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5"/>
  </bookViews>
  <sheets>
    <sheet name="财务映射表" sheetId="17" state="hidden" r:id="rId1"/>
    <sheet name="运营成本管理看板" sheetId="24" r:id="rId2"/>
    <sheet name="运营成本管理看板（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引出数据_合同数据仓库'!$C$1:$C$22</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<sst xmlns="http://schemas.openxmlformats.org/spreadsheetml/2006/main" count="45159" uniqueCount="5391">
  <si>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</si>
  <si>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</si>
  <si>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</si>
  <si>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</si>
  <si>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</si>
  <si>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</si>
  <si>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</si>
  <si>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</si>
  <si>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</si>
  <si>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</si>
  <si>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</si>
  <si>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</si>
  <si>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</si>
  <si>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</si>
  <si>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</si>
  <si>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</si>
  <si>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</si>
  <si>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</si>
  <si>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</si>
  <si>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</si>
  <si>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</si>
  <si>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</si>
  <si>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</si>
  <si>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</si>
  <si>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</si>
  <si>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</si>
  <si>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</si>
  <si>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</si>
  <si>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</si>
  <si>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</si>
  <si>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</si>
  <si>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</si>
  <si>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</si>
  <si>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</si>
  <si>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</si>
  <si>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</si>
  <si>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</si>
  <si>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</si>
  <si>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</si>
  <si>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</si>
  <si>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</si>
  <si>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</si>
  <si>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</si>
  <si>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</si>
  <si>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</si>
  <si>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</si>
  <si>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</si>
  <si>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</si>
  <si>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</si>
  <si>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</si>
  <si>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</si>
  <si>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</si>
  <si>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</si>
  <si>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</si>
  <si>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</si>
  <si>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</si>
  <si>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</si>
  <si>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</si>
  <si>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</si>
  <si>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</si>
  <si>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</si>
  <si>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</si>
  <si>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</si>
  <si>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</si>
  <si>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</si>
  <si>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</si>
  <si>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</si>
  <si>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</si>
  <si>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</si>
  <si>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</si>
  <si>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</si>
  <si>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</si>
  <si>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</si>
  <si>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</si>
  <si>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</si>
  <si>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</si>
  <si>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</si>
  <si>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</si>
  <si>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</si>
  <si>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</si>
  <si>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</si>
  <si>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</si>
  <si>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</si>
  <si>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</si>
  <si>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</si>
  <si>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</si>
  <si>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</si>
  <si>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</si>
  <si>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</si>
  <si>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</si>
  <si>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</si>
  <si>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</si>
  <si>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</si>
  <si>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</si>
  <si>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</si>
  <si>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</si>
  <si>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</si>
  <si>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</si>
  <si>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</si>
  <si>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</si>
  <si>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</si>
  <si>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</si>
  <si>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</si>
  <si>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</si>
  <si>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</si>
  <si>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</si>
  <si>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</si>
  <si>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</si>
  <si>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</si>
  <si>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</si>
  <si>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</si>
  <si>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</si>
  <si>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</si>
  <si>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</si>
  <si>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</si>
  <si>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</si>
  <si>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</si>
  <si>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</si>
  <si>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</si>
  <si>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</si>
  <si>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</si>
  <si>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</si>
  <si>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</si>
  <si>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</si>
  <si>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</si>
  <si>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</si>
  <si>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</si>
  <si>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</si>
  <si>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</si>
  <si>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</si>
  <si>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</si>
  <si>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</si>
  <si>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</si>
  <si>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</si>
  <si>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</si>
  <si>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</si>
  <si>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</si>
  <si>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</si>
  <si>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</si>
  <si>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</si>
  <si>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</si>
  <si>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</si>
  <si>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</si>
  <si>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</si>
  <si>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</si>
  <si>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</si>
  <si>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</si>
  <si>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</si>
  <si>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</si>
  <si>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</si>
  <si>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</si>
  <si>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</si>
  <si>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</si>
  <si>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</si>
  <si>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</si>
  <si>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</si>
  <si>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</si>
  <si>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</si>
  <si>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</si>
  <si>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</si>
  <si>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</si>
  <si>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</si>
  <si>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</si>
  <si>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</si>
  <si>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</si>
  <si>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</si>
  <si>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</si>
  <si>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</si>
  <si>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</si>
  <si>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</si>
  <si>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</si>
  <si>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</si>
  <si>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</si>
  <si>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</si>
  <si>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</si>
  <si>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</si>
  <si>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</si>
  <si>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</si>
  <si>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</si>
  <si>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</si>
  <si>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</si>
  <si>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</si>
  <si>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</si>
  <si>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</si>
  <si>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</si>
  <si>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</si>
  <si>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</si>
  <si>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</si>
  <si>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</si>
  <si>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</si>
  <si>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</si>
  <si>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</si>
  <si>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</si>
  <si>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</si>
  <si>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</si>
  <si>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</si>
  <si>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</si>
  <si>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</si>
  <si>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</si>
  <si>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</si>
  <si>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</si>
  <si>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</si>
  <si>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</si>
  <si>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</si>
  <si>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</si>
  <si>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</si>
  <si>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</si>
  <si>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</si>
  <si>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</si>
  <si>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</si>
  <si>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</si>
  <si>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</si>
  <si>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</si>
  <si>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</si>
  <si>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</si>
  <si>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</si>
  <si>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</si>
  <si>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</si>
  <si>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</si>
  <si>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</si>
  <si>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</si>
  <si>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</si>
  <si>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</si>
  <si>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</si>
  <si>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</si>
  <si>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</si>
  <si>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</si>
  <si>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</si>
  <si>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</si>
  <si>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</si>
  <si>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</si>
  <si>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</si>
  <si>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</si>
  <si>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</si>
  <si>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</si>
  <si>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</si>
  <si>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</si>
  <si>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</si>
  <si>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</si>
  <si>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</si>
  <si>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</si>
  <si>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</si>
  <si>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</si>
  <si>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</si>
  <si>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</si>
  <si>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</si>
  <si>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</si>
  <si>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</si>
  <si>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</si>
  <si>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</si>
  <si>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</si>
  <si>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</si>
  <si>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</si>
  <si>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</si>
  <si>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</si>
  <si>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</si>
  <si>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</si>
  <si>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</si>
  <si>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</si>
  <si>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</si>
  <si>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</si>
  <si>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</si>
  <si>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</si>
  <si>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</si>
  <si>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</si>
  <si>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</si>
  <si>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</si>
  <si>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</si>
  <si>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</si>
  <si>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</si>
  <si>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</si>
  <si>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</si>
  <si>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</si>
  <si>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</si>
  <si>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</si>
  <si>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</si>
  <si>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</si>
  <si>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</si>
  <si>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</si>
  <si>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</si>
  <si>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</si>
  <si>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</si>
  <si>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</si>
  <si>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</si>
  <si>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</si>
  <si>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</si>
  <si>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</si>
  <si>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</si>
  <si>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</si>
  <si>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</si>
  <si>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</si>
  <si>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</si>
  <si>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</si>
  <si>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</si>
  <si>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</si>
  <si>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</si>
  <si>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</si>
  <si>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</si>
  <si>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</si>
  <si>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</si>
  <si>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</si>
  <si>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</si>
  <si>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</si>
  <si>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</si>
  <si>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</si>
  <si>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</si>
  <si>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</si>
  <si>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</si>
  <si>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</si>
  <si>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</si>
  <si>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</si>
  <si>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</si>
  <si>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</si>
  <si>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</si>
  <si>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</si>
  <si>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</si>
  <si>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</si>
  <si>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</si>
  <si>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</si>
  <si>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</si>
  <si>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</si>
  <si>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</si>
  <si>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</si>
  <si>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</si>
  <si>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</si>
  <si>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</si>
  <si>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</si>
  <si>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</si>
  <si>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</si>
  <si>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</si>
  <si>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</si>
  <si>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</si>
  <si>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</si>
  <si>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</si>
  <si>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</si>
  <si>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</si>
  <si>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</si>
  <si>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</si>
  <si>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</si>
  <si>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</si>
  <si>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</si>
  <si>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</si>
  <si>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</si>
  <si>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</si>
  <si>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</si>
  <si>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</si>
  <si>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</si>
  <si>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</si>
  <si>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</si>
  <si>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</si>
  <si>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</si>
  <si>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</si>
  <si>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</si>
  <si>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</si>
  <si>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</si>
  <si>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</si>
  <si>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</si>
  <si>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</si>
  <si>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</si>
  <si>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</si>
  <si>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</si>
  <si>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</si>
  <si>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</si>
  <si>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</si>
  <si>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</si>
  <si>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</si>
  <si>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</si>
  <si>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</si>
  <si>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</si>
  <si>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</si>
  <si>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</si>
  <si>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</si>
  <si>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</si>
  <si>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</si>
  <si>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</si>
  <si>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</si>
  <si>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</si>
  <si>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</si>
  <si>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</si>
  <si>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</si>
  <si>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</si>
  <si>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</si>
  <si>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</si>
  <si>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</si>
  <si>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</si>
  <si>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</si>
  <si>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</si>
  <si>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</si>
  <si>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</si>
  <si>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</si>
  <si>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</si>
  <si>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</si>
  <si>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</si>
  <si>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</si>
  <si>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</si>
  <si>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</si>
  <si>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</si>
  <si>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</si>
  <si>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</si>
  <si>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</si>
  <si>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</si>
  <si>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</si>
  <si>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</si>
  <si>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</si>
  <si>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</si>
  <si>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</si>
  <si>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</si>
  <si>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</si>
  <si>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</si>
  <si>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</si>
  <si>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</si>
  <si>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</si>
  <si>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</si>
  <si>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</si>
  <si>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</si>
  <si>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</si>
  <si>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</si>
  <si>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</si>
  <si>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</si>
  <si>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</si>
  <si>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</si>
  <si>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</si>
  <si>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</si>
  <si>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</si>
  <si>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</si>
  <si>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</si>
  <si>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</si>
  <si>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</si>
  <si>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</si>
  <si>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</si>
  <si>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</si>
  <si>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</si>
  <si>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</si>
  <si>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</si>
  <si>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</si>
  <si>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</si>
  <si>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</si>
  <si>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</si>
  <si>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</si>
  <si>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</si>
  <si>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</si>
  <si>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</si>
  <si>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</si>
  <si>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</si>
  <si>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</si>
  <si>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</si>
  <si>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</si>
  <si>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</si>
  <si>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</si>
  <si>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</si>
  <si>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</si>
  <si>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</si>
  <si>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</si>
  <si>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</si>
  <si>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</si>
  <si>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</si>
  <si>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</si>
  <si>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</si>
  <si>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</si>
  <si>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</si>
  <si>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</si>
  <si>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</si>
  <si>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</si>
  <si>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</si>
  <si>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</si>
  <si>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</si>
  <si>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</si>
  <si>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</si>
  <si>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</si>
  <si>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</si>
  <si>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</si>
  <si>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</si>
  <si>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</si>
  <si>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</si>
  <si>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</si>
  <si>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</si>
  <si>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</si>
  <si>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</si>
  <si>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</si>
  <si>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</si>
  <si>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</si>
  <si>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</si>
  <si>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</si>
  <si>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</si>
  <si>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</si>
  <si>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</si>
  <si>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</si>
  <si>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</si>
  <si>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</si>
  <si>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</si>
  <si>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</si>
  <si>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</si>
  <si>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</si>
  <si>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</si>
  <si>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</si>
  <si>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</si>
  <si>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</si>
  <si>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</si>
  <si>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</si>
  <si>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</si>
  <si>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</si>
  <si>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</si>
  <si>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</si>
  <si>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</si>
  <si>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</si>
  <si>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</si>
  <si>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</si>
  <si>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</si>
  <si>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</si>
  <si>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</si>
  <si>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</si>
  <si>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</si>
  <si>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</si>
  <si>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</si>
  <si>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</si>
  <si>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</si>
  <si>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</si>
  <si>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</si>
  <si>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</si>
  <si>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</si>
  <si>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</si>
  <si>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</si>
  <si>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</si>
  <si>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</si>
  <si>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</si>
  <si>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</si>
  <si>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</si>
  <si>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</si>
  <si>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</si>
  <si>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</si>
  <si>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</si>
  <si>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</si>
  <si>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</si>
  <si>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</si>
  <si>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</si>
  <si>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</si>
  <si>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</si>
  <si>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</si>
  <si>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</si>
  <si>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</si>
  <si>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</si>
  <si>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</si>
  <si>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</si>
  <si>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</si>
  <si>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</si>
  <si>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</si>
  <si>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</si>
  <si>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</si>
  <si>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</si>
  <si>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</si>
  <si>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</si>
  <si>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</si>
  <si>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</si>
  <si>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</si>
  <si>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</si>
  <si>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</si>
  <si>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</si>
  <si>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</si>
  <si>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</si>
  <si>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</si>
  <si>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</si>
  <si>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</si>
  <si>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</si>
  <si>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</si>
  <si>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</si>
  <si>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</si>
  <si>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</si>
  <si>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</si>
  <si>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</si>
  <si>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</si>
  <si>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</si>
  <si>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</si>
  <si>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</si>
  <si>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</si>
  <si>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</si>
  <si>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</si>
  <si>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</si>
  <si>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</si>
  <si>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</si>
  <si>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</si>
  <si>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</si>
  <si>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</si>
  <si>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</si>
  <si>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</si>
  <si>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</si>
  <si>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</si>
  <si>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</si>
  <si>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</si>
  <si>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</si>
  <si>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</si>
  <si>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</si>
  <si>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</si>
  <si>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</si>
  <si>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</si>
  <si>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</si>
  <si>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</si>
  <si>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</si>
  <si>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</si>
  <si>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</si>
  <si>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</si>
  <si>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</si>
  <si>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</si>
  <si>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</si>
  <si>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</si>
  <si>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</si>
  <si>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</si>
  <si>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</si>
  <si>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</si>
  <si>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</si>
  <si>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</si>
  <si>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</si>
  <si>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</si>
  <si>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</si>
  <si>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</si>
  <si>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</si>
  <si>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</si>
  <si>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</si>
  <si>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</si>
  <si>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</si>
  <si>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</si>
  <si>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</si>
  <si>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</si>
  <si>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</si>
  <si>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</si>
  <si>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</si>
  <si>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</si>
  <si>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</si>
  <si>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</si>
  <si>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</si>
  <si>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</si>
  <si>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</si>
  <si>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</si>
  <si>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</si>
  <si>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</si>
  <si>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</si>
  <si>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</si>
  <si>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</si>
  <si>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</si>
  <si>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</si>
  <si>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</si>
  <si>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</si>
  <si>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</si>
  <si>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</si>
  <si>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</si>
  <si>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</si>
  <si>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</si>
  <si>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</si>
  <si>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</si>
  <si>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</si>
  <si>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</si>
  <si>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</si>
  <si>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</si>
  <si>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</si>
  <si>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</si>
  <si>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</si>
  <si>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</si>
  <si>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</si>
  <si>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</si>
  <si>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</si>
  <si>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</si>
  <si>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</si>
  <si>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</si>
  <si>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</si>
  <si>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</si>
  <si>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</si>
  <si>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</si>
  <si>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</si>
  <si>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</si>
  <si>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</si>
  <si>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</si>
  <si>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</si>
  <si>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</si>
  <si>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</si>
  <si>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</si>
  <si>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</si>
  <si>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</si>
  <si>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</si>
  <si>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</si>
  <si>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</si>
  <si>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</si>
  <si>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</si>
  <si>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</si>
  <si>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</si>
  <si>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</si>
  <si>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</si>
  <si>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</si>
  <si>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</si>
  <si>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</si>
  <si>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</si>
  <si>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</si>
  <si>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</si>
  <si>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</si>
  <si>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</si>
  <si>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</si>
  <si>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</si>
  <si>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</si>
  <si>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</si>
  <si>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</si>
  <si>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</si>
  <si>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</si>
  <si>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</si>
  <si>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</si>
  <si>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</si>
  <si>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</si>
  <si>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</si>
  <si>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</si>
  <si>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</si>
  <si>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</si>
  <si>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</si>
  <si>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</si>
  <si>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</si>
  <si>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</si>
  <si>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</si>
  <si>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</si>
  <si>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</si>
  <si>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</si>
  <si>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</si>
  <si>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</si>
  <si>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</si>
  <si>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</si>
  <si>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</si>
  <si>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深圳市金地物业管理有限公司深圳市公安局南山分局物业管理服务中心</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</si>
  <si>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</si>
  <si>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</si>
  <si>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</si>
  <si>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</si>
  <si>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</si>
  <si>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</si>
  <si>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</si>
  <si>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</si>
  <si>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</si>
  <si>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</si>
  <si>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</si>
  <si>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</si>
  <si>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</si>
  <si>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</si>
  <si>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</si>
  <si>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</si>
  <si>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</si>
  <si>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</si>
  <si>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</si>
  <si>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</si>
  <si>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</si>
  <si>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</si>
  <si>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</si>
  <si>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</si>
  <si>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</si>
  <si>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</si>
  <si>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</si>
  <si>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</si>
  <si>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</si>
  <si>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</si>
  <si>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</si>
  <si>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</si>
  <si>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</si>
  <si>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</si>
  <si>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</si>
  <si>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</si>
  <si>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</si>
  <si>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</si>
  <si>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</si>
  <si>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</si>
  <si>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</si>
  <si>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</si>
  <si>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</si>
  <si>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</si>
  <si>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</si>
  <si>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</si>
  <si>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</si>
  <si>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</si>
  <si>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</si>
  <si>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</si>
  <si>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</si>
  <si>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</si>
  <si>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</si>
  <si>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</si>
  <si>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</si>
  <si>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</si>
  <si>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</si>
  <si>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</si>
  <si>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</si>
  <si>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</si>
  <si>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</si>
  <si>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</si>
  <si>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</si>
  <si>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</si>
  <si>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</si>
  <si>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</si>
  <si>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</si>
  <si>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</si>
  <si>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</si>
  <si>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</si>
  <si>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</si>
  <si>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</si>
  <si>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</si>
  <si>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</si>
  <si>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</si>
  <si>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</si>
  <si>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</si>
  <si>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</si>
  <si>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</si>
  <si>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</si>
  <si>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</si>
  <si>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</si>
  <si>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</si>
  <si>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</si>
  <si>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</si>
  <si>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</si>
  <si>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</si>
  <si>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</si>
  <si>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</si>
  <si>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</si>
  <si>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</si>
  <si>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</si>
  <si>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</si>
  <si>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</si>
  <si>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</si>
  <si>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</si>
  <si>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</si>
  <si>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</si>
  <si>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</si>
  <si>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</si>
  <si>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</si>
  <si>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</si>
  <si>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</si>
  <si>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</si>
  <si>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</si>
  <si>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</si>
  <si>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</si>
  <si>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</si>
  <si>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</si>
  <si>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</si>
  <si>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</si>
  <si>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</si>
  <si>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</si>
  <si>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</si>
  <si>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</si>
  <si>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</si>
  <si>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</si>
  <si>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</si>
  <si>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</si>
  <si>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</si>
  <si>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</si>
  <si>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</si>
  <si>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</si>
  <si>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</si>
  <si>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</si>
  <si>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</si>
  <si>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</si>
  <si>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</si>
  <si>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</si>
  <si>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</si>
  <si>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</si>
  <si>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</si>
  <si>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</si>
  <si>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</si>
  <si>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</si>
  <si>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</si>
  <si>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</si>
  <si>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</si>
  <si>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</si>
  <si>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</si>
  <si>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</si>
  <si>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</si>
  <si>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</si>
  <si>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</si>
  <si>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</si>
  <si>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</si>
  <si>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</si>
  <si>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</si>
  <si>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</si>
  <si>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</si>
  <si>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</si>
  <si>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</si>
  <si>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</si>
  <si>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</si>
  <si>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</si>
  <si>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</si>
  <si>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</si>
  <si>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</si>
  <si>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</si>
  <si>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</si>
  <si>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</si>
  <si>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</si>
  <si>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</si>
  <si>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</si>
  <si>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</si>
  <si>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</si>
  <si>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</si>
  <si>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</si>
  <si>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</si>
  <si>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</si>
  <si>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</si>
  <si>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</si>
  <si>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</si>
  <si>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</si>
  <si>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</si>
  <si>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</si>
  <si>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</si>
  <si>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</si>
  <si>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</si>
  <si>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</si>
  <si>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</si>
  <si>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</si>
  <si>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</si>
  <si>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</si>
  <si>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</si>
  <si>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</si>
  <si>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</si>
  <si>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</si>
  <si>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</si>
  <si>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</si>
  <si>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</si>
  <si>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</si>
  <si>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</si>
  <si>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</si>
  <si>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</si>
  <si>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</si>
  <si>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</si>
  <si>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</si>
  <si>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</si>
  <si>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</si>
  <si>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</si>
  <si>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</si>
  <si>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</si>
  <si>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</si>
  <si>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</si>
  <si>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</si>
  <si>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</si>
  <si>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</si>
  <si>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</si>
  <si>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</si>
  <si>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</si>
  <si>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</si>
  <si>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</si>
  <si>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</si>
  <si>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</si>
  <si>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</si>
  <si>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</si>
  <si>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</si>
  <si>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</si>
  <si>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</si>
  <si>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</si>
  <si>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</si>
  <si>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</si>
  <si>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</si>
  <si>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</si>
  <si>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</si>
  <si>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</si>
  <si>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</si>
  <si>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</si>
  <si>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</si>
  <si>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</si>
  <si>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</si>
  <si>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</si>
  <si>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</si>
  <si>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</si>
  <si>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</si>
  <si>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</si>
  <si>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</si>
  <si>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</si>
  <si>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</si>
  <si>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</si>
  <si>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</si>
  <si>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</si>
  <si>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</si>
  <si>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</si>
  <si>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</si>
  <si>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</si>
  <si>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</si>
  <si>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</si>
  <si>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</si>
  <si>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</si>
  <si>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</si>
  <si>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</si>
  <si>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</si>
  <si>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</si>
  <si>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</si>
  <si>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</si>
  <si>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</si>
  <si>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</si>
  <si>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</si>
  <si>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</si>
  <si>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</si>
  <si>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</si>
  <si>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</si>
  <si>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</si>
  <si>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</si>
  <si>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</si>
  <si>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</si>
  <si>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</si>
  <si>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</si>
  <si>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</si>
  <si>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</si>
  <si>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</si>
  <si>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</si>
  <si>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</si>
  <si>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</si>
  <si>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</si>
  <si>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</si>
  <si>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</si>
  <si>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</si>
  <si>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</si>
  <si>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</si>
  <si>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</si>
  <si>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</si>
  <si>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</si>
  <si>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</si>
  <si>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</si>
  <si>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</si>
  <si>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</si>
  <si>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</si>
  <si>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</si>
  <si>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</si>
  <si>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</si>
  <si>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</si>
  <si>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</si>
  <si>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</si>
  <si>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</si>
  <si>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</si>
  <si>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</si>
  <si>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</si>
  <si>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</si>
  <si>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</si>
  <si>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</si>
  <si>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</si>
  <si>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</si>
  <si>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</si>
  <si>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</si>
  <si>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</si>
  <si>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</si>
  <si>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</si>
  <si>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</si>
  <si>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</si>
  <si>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</si>
  <si>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</si>
  <si>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</si>
  <si>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</si>
  <si>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</si>
  <si>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</si>
  <si>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</si>
  <si>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</si>
  <si>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</si>
  <si>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</si>
  <si>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</si>
  <si>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</si>
  <si>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</si>
  <si>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</si>
  <si>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</si>
  <si>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</si>
  <si>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</si>
  <si>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</si>
  <si>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</si>
  <si>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</si>
  <si>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</si>
  <si>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</si>
  <si>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</si>
  <si>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</si>
  <si>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</si>
  <si>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</si>
  <si>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</si>
  <si>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</si>
  <si>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</si>
  <si>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</si>
  <si>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</si>
  <si>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</si>
  <si>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</si>
  <si>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</si>
  <si>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</si>
  <si>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</si>
  <si>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</si>
  <si>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</si>
  <si>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</si>
  <si>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</si>
  <si>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</si>
  <si>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</si>
  <si>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</si>
  <si>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</si>
  <si>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</si>
  <si>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</si>
  <si>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</si>
  <si>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</si>
  <si>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</si>
  <si>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</si>
  <si>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</si>
  <si>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</si>
  <si>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</si>
  <si>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</si>
  <si>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</si>
  <si>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</si>
  <si>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</si>
  <si>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</si>
  <si>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</si>
  <si>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</si>
  <si>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</si>
  <si>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</si>
  <si>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</si>
  <si>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</si>
  <si>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</si>
  <si>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</si>
  <si>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</si>
  <si>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</si>
  <si>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</si>
  <si>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</si>
  <si>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</si>
  <si>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</si>
  <si>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</si>
  <si>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</si>
  <si>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</si>
  <si>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</si>
  <si>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</si>
  <si>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</si>
  <si>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</si>
  <si>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</si>
  <si>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</si>
  <si>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</si>
  <si>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</si>
  <si>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</si>
  <si>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</si>
  <si>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</si>
  <si>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</si>
  <si>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</si>
  <si>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</si>
  <si>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</si>
  <si>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</si>
  <si>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</si>
  <si>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</si>
  <si>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</si>
  <si>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</si>
  <si>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</si>
  <si>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</si>
  <si>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</si>
  <si>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</si>
  <si>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</si>
  <si>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</si>
  <si>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</si>
  <si>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</si>
  <si>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</si>
  <si>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</si>
  <si>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</si>
  <si>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</si>
  <si>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</si>
  <si>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</si>
  <si>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</si>
  <si>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</si>
  <si>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</si>
  <si>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</si>
  <si>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</si>
  <si>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</si>
  <si>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</si>
  <si>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</si>
  <si>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</si>
  <si>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</si>
  <si>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</si>
  <si>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</si>
  <si>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</si>
  <si>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</si>
  <si>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</si>
  <si>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</si>
  <si>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</si>
  <si>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</si>
  <si>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</si>
  <si>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</si>
  <si>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</si>
  <si>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</si>
  <si>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</si>
  <si>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</si>
  <si>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</si>
  <si>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</si>
  <si>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</si>
  <si>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</si>
  <si>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</si>
  <si>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</si>
  <si>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</si>
  <si>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</si>
  <si>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</si>
  <si>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</si>
  <si>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</si>
  <si>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</si>
  <si>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</si>
  <si>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</si>
  <si>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</si>
  <si>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</si>
  <si>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</si>
  <si>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</si>
  <si>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</si>
  <si>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</si>
  <si>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</si>
  <si>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</si>
  <si>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</si>
  <si>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</si>
  <si>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</si>
  <si>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</si>
  <si>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</si>
  <si>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</si>
  <si>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</si>
  <si>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</si>
  <si>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</si>
  <si>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</si>
  <si>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</si>
  <si>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</si>
  <si>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</si>
  <si>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</si>
  <si>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</si>
  <si>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</si>
  <si>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</si>
  <si>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</si>
  <si>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</si>
  <si>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</si>
  <si>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</si>
  <si>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</si>
  <si>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</si>
  <si>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</si>
  <si>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</si>
  <si>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</si>
  <si>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</si>
  <si>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</si>
  <si>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</si>
  <si>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</si>
  <si>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</si>
  <si>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</si>
  <si>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</si>
  <si>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</si>
  <si>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</si>
  <si>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</si>
  <si>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</si>
  <si>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</si>
  <si>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</si>
  <si>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</si>
  <si>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</si>
  <si>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</si>
  <si>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</si>
  <si>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</si>
  <si>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</si>
  <si>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</si>
  <si>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</si>
  <si>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</si>
  <si>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</si>
  <si>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</si>
  <si>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</si>
  <si>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</si>
  <si>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</si>
  <si>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</si>
  <si>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</si>
  <si>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</si>
  <si>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</si>
  <si>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</si>
  <si>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</si>
  <si>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</si>
  <si>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</si>
  <si>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</si>
  <si>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</si>
  <si>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</si>
  <si>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</si>
  <si>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</si>
  <si>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</si>
  <si>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</si>
  <si>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</si>
  <si>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</si>
  <si>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</si>
  <si>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</si>
  <si>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</si>
  <si>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</si>
  <si>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</si>
  <si>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</si>
  <si>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</si>
  <si>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</si>
  <si>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</si>
  <si>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</si>
  <si>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</si>
  <si>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</si>
  <si>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</si>
  <si>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</si>
  <si>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</si>
  <si>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</si>
  <si>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</si>
  <si>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</si>
  <si>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</si>
  <si>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</si>
  <si>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</si>
  <si>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</si>
  <si>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</si>
  <si>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</si>
  <si>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</si>
  <si>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</si>
  <si>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</si>
  <si>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</si>
  <si>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</si>
  <si>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</si>
  <si>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</si>
  <si>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</si>
  <si>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</si>
  <si>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</si>
  <si>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</si>
  <si>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</si>
  <si>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</si>
  <si>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</si>
  <si>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</si>
  <si>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</si>
  <si>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</si>
  <si>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</si>
  <si>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</si>
  <si>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</si>
  <si>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</si>
  <si>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</si>
  <si>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</si>
  <si>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</si>
  <si>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</si>
  <si>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</si>
  <si>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</si>
  <si>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</si>
  <si>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</si>
  <si>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</si>
  <si>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</si>
  <si>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</si>
  <si>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</si>
  <si>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</si>
  <si>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</si>
  <si>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</si>
  <si>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</si>
  <si>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</si>
  <si>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</si>
  <si>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</si>
  <si>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</si>
  <si>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</si>
  <si>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</si>
  <si>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</si>
  <si>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</si>
  <si>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</si>
  <si>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</si>
  <si>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</si>
  <si>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</si>
  <si>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</si>
  <si>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</si>
  <si>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</si>
  <si>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</si>
  <si>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</si>
  <si>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</si>
  <si>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</si>
  <si>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</si>
  <si>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</si>
  <si>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</si>
  <si>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</si>
  <si>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</si>
  <si>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</si>
  <si>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</si>
  <si>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</si>
  <si>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</si>
  <si>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</si>
  <si>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</si>
  <si>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</si>
  <si>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</si>
  <si>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</si>
  <si>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</si>
  <si>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</si>
  <si>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</si>
  <si>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</si>
  <si>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</si>
  <si>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</si>
  <si>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</si>
  <si>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</si>
  <si>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</si>
  <si>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</si>
  <si>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</si>
  <si>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</si>
  <si>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</si>
  <si>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</si>
  <si>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</si>
  <si>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</si>
  <si>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</si>
  <si>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</si>
  <si>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</si>
  <si>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</si>
  <si>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</si>
  <si>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</si>
  <si>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</si>
  <si>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</si>
  <si>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</si>
  <si>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</si>
  <si>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</si>
  <si>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</si>
  <si>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</si>
  <si>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</si>
  <si>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</si>
  <si>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</si>
  <si>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</si>
  <si>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</si>
  <si>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</si>
  <si>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</si>
  <si>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</si>
  <si>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</si>
  <si>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</si>
  <si>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</si>
  <si>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</si>
  <si>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</si>
  <si>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</si>
  <si>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</si>
  <si>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</si>
  <si>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</si>
  <si>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</si>
  <si>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</si>
  <si>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</si>
  <si>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</si>
  <si>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</si>
  <si>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</si>
  <si>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</si>
  <si>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</si>
  <si>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</si>
  <si>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</si>
  <si>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</si>
  <si>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</si>
  <si>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</si>
  <si>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</si>
  <si>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</si>
  <si>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</si>
  <si>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</si>
  <si>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</si>
  <si>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</si>
  <si>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</si>
  <si>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</si>
  <si>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</si>
  <si>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</si>
  <si>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</si>
  <si>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</si>
  <si>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</si>
  <si>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</si>
  <si>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</si>
  <si>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</si>
  <si>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</si>
  <si>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</si>
  <si>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</si>
  <si>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</si>
  <si>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</si>
  <si>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</si>
  <si>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</si>
  <si>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</si>
  <si>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</si>
  <si>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</si>
  <si>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</si>
  <si>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</si>
  <si>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</si>
  <si>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</si>
  <si>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</si>
  <si>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</si>
  <si>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</si>
  <si>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</si>
  <si>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</si>
  <si>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</si>
  <si>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</si>
  <si>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</si>
  <si>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</si>
  <si>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</si>
  <si>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</si>
  <si>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</si>
  <si>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</si>
  <si>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</si>
  <si>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</si>
  <si>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</si>
  <si>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</si>
  <si>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</si>
  <si>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</si>
  <si>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</si>
  <si>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</si>
  <si>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</si>
  <si>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</si>
  <si>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</si>
  <si>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</si>
  <si>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</si>
  <si>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</si>
  <si>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</si>
  <si>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</si>
  <si>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</si>
  <si>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</si>
  <si>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</si>
  <si>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</si>
  <si>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</si>
  <si>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</si>
  <si>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</si>
  <si>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</si>
  <si>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</si>
  <si>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</si>
  <si>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</si>
  <si>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</si>
  <si>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</si>
  <si>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</si>
  <si>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</si>
  <si>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</si>
  <si>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</si>
  <si>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</si>
  <si>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</si>
  <si>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</si>
  <si>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</si>
  <si>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</si>
  <si>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</si>
  <si>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</si>
  <si>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</si>
  <si>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</si>
  <si>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</si>
  <si>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</si>
  <si>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</si>
  <si>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</si>
  <si>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</si>
  <si>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</si>
  <si>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</si>
  <si>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</si>
  <si>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</si>
  <si>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</si>
  <si>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</si>
  <si>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</si>
  <si>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</si>
  <si>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</si>
  <si>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</si>
  <si>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</si>
  <si>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</si>
  <si>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</si>
  <si>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</si>
  <si>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</si>
  <si>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</si>
  <si>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</si>
  <si>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</si>
  <si>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</si>
  <si>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</si>
  <si>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</si>
  <si>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</si>
  <si>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</si>
  <si>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</si>
  <si>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</si>
  <si>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</si>
  <si>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</si>
  <si>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</si>
  <si>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</si>
  <si>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</si>
  <si>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</si>
  <si>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</si>
  <si>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</si>
  <si>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</si>
  <si>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</si>
  <si>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</si>
  <si>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</si>
  <si>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</si>
  <si>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</si>
  <si>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</si>
  <si>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</si>
  <si>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</si>
  <si>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</si>
  <si>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</si>
  <si>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</si>
  <si>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</si>
  <si>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</si>
  <si>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</si>
  <si>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</si>
  <si>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</si>
  <si>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</si>
  <si>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</si>
  <si>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</si>
  <si>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</si>
  <si>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</si>
  <si>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</si>
  <si>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</si>
  <si>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</si>
  <si>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</si>
  <si>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</si>
  <si>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</si>
  <si>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</si>
  <si>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</si>
  <si>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</si>
  <si>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</si>
  <si>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</si>
  <si>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</si>
  <si>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</si>
  <si>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</si>
  <si>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</si>
  <si>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</si>
  <si>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</si>
  <si>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</si>
  <si>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</si>
  <si>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</si>
  <si>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</si>
  <si>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</si>
  <si>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</si>
  <si>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</si>
  <si>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</si>
  <si>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</si>
  <si>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</si>
  <si>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</si>
  <si>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</si>
  <si>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</si>
  <si>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</si>
  <si>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</si>
  <si>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</si>
  <si>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</si>
  <si>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</si>
  <si>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</si>
  <si>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</si>
  <si>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</si>
  <si>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</si>
  <si>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</si>
  <si>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</si>
  <si>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</si>
  <si>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</si>
  <si>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</si>
  <si>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</si>
  <si>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</si>
  <si>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</si>
  <si>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</si>
  <si>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</si>
  <si>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</si>
  <si>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</si>
  <si>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</si>
  <si>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</si>
  <si>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</si>
  <si>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</si>
  <si>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</si>
  <si>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</si>
  <si>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</si>
  <si>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</si>
  <si>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</si>
  <si>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</si>
  <si>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</si>
  <si>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</si>
  <si>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</si>
  <si>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</si>
  <si>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</si>
  <si>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</si>
  <si>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</si>
  <si>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</si>
  <si>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</si>
  <si>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</si>
  <si>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</si>
  <si>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</si>
  <si>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</si>
  <si>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</si>
  <si>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</si>
  <si>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</si>
  <si>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</si>
  <si>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</si>
  <si>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</si>
  <si>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</si>
  <si>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</si>
  <si>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</si>
  <si>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</si>
  <si>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</si>
  <si>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</si>
  <si>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</si>
  <si>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</si>
  <si>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</si>
  <si>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</si>
  <si>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</si>
  <si>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</si>
  <si>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</si>
  <si>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</si>
  <si>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</si>
  <si>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</si>
  <si>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</si>
  <si>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</si>
  <si>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</si>
  <si>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</si>
  <si>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</si>
  <si>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</si>
  <si>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</si>
  <si>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</si>
  <si>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</si>
  <si>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</si>
  <si>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</si>
  <si>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</si>
  <si>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</si>
  <si>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</si>
  <si>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</si>
  <si>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</si>
  <si>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</si>
  <si>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</si>
  <si>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</si>
  <si>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</si>
  <si>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</si>
  <si>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</si>
  <si>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</si>
  <si>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</si>
  <si>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</si>
  <si>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</si>
  <si>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</si>
  <si>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</si>
  <si>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</si>
  <si>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</si>
  <si>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</si>
  <si>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</si>
  <si>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</si>
  <si>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</si>
  <si>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</si>
  <si>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</si>
  <si>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</si>
  <si>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</si>
  <si>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</si>
  <si>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</si>
  <si>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</si>
  <si>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</si>
  <si>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</si>
  <si>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</si>
  <si>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</si>
  <si>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</si>
  <si>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</si>
  <si>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</si>
  <si>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</si>
  <si>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</si>
  <si>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</si>
  <si>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</si>
  <si>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</si>
  <si>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</si>
  <si>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</si>
  <si>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</si>
  <si>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</si>
  <si>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</si>
  <si>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</si>
  <si>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</si>
  <si>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</si>
  <si>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</si>
  <si>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</si>
  <si>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</si>
  <si>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</si>
  <si>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</si>
  <si>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</si>
  <si>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</si>
  <si>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</si>
  <si>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</si>
  <si>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</si>
  <si>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</si>
  <si>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</si>
  <si>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</si>
  <si>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</si>
  <si>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</si>
  <si>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</si>
  <si>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</si>
  <si>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</si>
  <si>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</si>
  <si>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</si>
  <si>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</si>
  <si>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</si>
  <si>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</si>
  <si>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</si>
  <si>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</si>
  <si>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</si>
  <si>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</si>
  <si>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</si>
  <si>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</si>
  <si>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</si>
  <si>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</si>
  <si>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</si>
  <si>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</si>
  <si>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</si>
  <si>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</si>
  <si>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</si>
  <si>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</si>
  <si>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</si>
  <si>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</si>
  <si>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</si>
  <si>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</si>
  <si>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</si>
  <si>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</si>
  <si>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</si>
  <si>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</si>
  <si>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</si>
  <si>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</si>
  <si>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</si>
  <si>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</si>
  <si>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</si>
  <si>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</si>
  <si>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</si>
  <si>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</si>
  <si>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</si>
  <si>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</si>
  <si>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</si>
  <si>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</si>
  <si>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</si>
  <si>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</si>
  <si>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</si>
  <si>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</si>
  <si>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</si>
  <si>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</si>
  <si>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</si>
  <si>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</si>
  <si>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</si>
  <si>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</si>
  <si>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</si>
  <si>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</si>
  <si>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</si>
  <si>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</si>
  <si>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</si>
  <si>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</si>
  <si>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</si>
  <si>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</si>
  <si>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</si>
  <si>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</si>
  <si>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</si>
  <si>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</si>
  <si>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</si>
  <si>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</si>
  <si>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</si>
  <si>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</si>
  <si>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</si>
  <si>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</si>
  <si>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</si>
  <si>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</si>
  <si>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</si>
  <si>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</si>
  <si>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</si>
  <si>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</si>
  <si>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</si>
  <si>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</si>
  <si>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</si>
  <si>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</si>
  <si>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</si>
  <si>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</si>
  <si>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</si>
  <si>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</si>
  <si>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</si>
  <si>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</si>
  <si>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</si>
  <si>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</si>
  <si>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</si>
  <si>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</si>
  <si>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</si>
  <si>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</si>
  <si>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</si>
  <si>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</si>
  <si>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</si>
  <si>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</si>
  <si>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</si>
  <si>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</si>
  <si>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</si>
  <si>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</si>
  <si>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</si>
  <si>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</si>
  <si>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</si>
  <si>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</si>
  <si>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</si>
  <si>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</si>
  <si>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</si>
  <si>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</si>
  <si>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</si>
  <si>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</si>
  <si>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</si>
  <si>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</si>
  <si>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</si>
  <si>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</si>
  <si>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</si>
  <si>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</si>
  <si>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</si>
  <si>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</si>
  <si>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</si>
  <si>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</si>
  <si>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</si>
  <si>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</si>
  <si>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</si>
  <si>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</si>
  <si>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</si>
  <si>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</si>
  <si>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</si>
  <si>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</si>
  <si>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</si>
  <si>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</si>
  <si>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</si>
  <si>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</si>
  <si>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</si>
  <si>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</si>
  <si>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</si>
  <si>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</si>
  <si>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</si>
  <si>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</si>
  <si>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</si>
  <si>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</si>
  <si>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</si>
  <si>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</si>
  <si>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</si>
  <si>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</si>
  <si>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</si>
  <si>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</si>
  <si>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</si>
  <si>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</si>
  <si>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</si>
  <si>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</si>
  <si>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</si>
  <si>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</si>
  <si>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</si>
  <si>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</si>
  <si>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</si>
  <si>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</si>
  <si>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</si>
  <si>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</si>
  <si>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</si>
  <si>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</si>
  <si>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</si>
  <si>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</si>
  <si>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</si>
  <si>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</si>
  <si>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</si>
  <si>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</si>
  <si>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</si>
  <si>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</si>
  <si>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</si>
  <si>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</si>
  <si>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</si>
  <si>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</si>
  <si>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</si>
  <si>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</si>
  <si>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</si>
  <si>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</si>
  <si>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</si>
  <si>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</si>
  <si>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</si>
  <si>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</si>
  <si>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</si>
  <si>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</si>
  <si>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</si>
  <si>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</si>
  <si>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</si>
  <si>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</si>
  <si>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</si>
  <si>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</si>
  <si>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</si>
  <si>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</si>
  <si>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</si>
  <si>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</si>
  <si>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</si>
  <si>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</si>
  <si>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</si>
  <si>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</si>
  <si>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</si>
  <si>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</si>
  <si>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</si>
  <si>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</si>
  <si>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</si>
  <si>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</si>
  <si>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</si>
  <si>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</si>
  <si>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</si>
  <si>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</si>
  <si>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</si>
  <si>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</si>
  <si>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</si>
  <si>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</si>
  <si>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</si>
  <si>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</si>
  <si>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</si>
  <si>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</si>
  <si>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</si>
  <si>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</si>
  <si>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</si>
  <si>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</si>
  <si>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</si>
  <si>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</si>
  <si>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</si>
  <si>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</si>
  <si>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</si>
  <si>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</si>
  <si>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</si>
  <si>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</si>
  <si>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</si>
  <si>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</si>
  <si>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</si>
  <si>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</si>
  <si>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</si>
  <si>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</si>
  <si>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</si>
  <si>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</si>
  <si>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</si>
  <si>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</si>
  <si>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</si>
  <si>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</si>
  <si>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</si>
  <si>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</si>
  <si>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</si>
  <si>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</si>
  <si>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</si>
  <si>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</si>
  <si>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</si>
  <si>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</si>
  <si>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</si>
  <si>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</si>
  <si>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</si>
  <si>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</si>
  <si>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</si>
  <si>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</si>
  <si>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</si>
  <si>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</si>
  <si>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</si>
  <si>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</si>
  <si>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</si>
  <si>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</si>
  <si>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</si>
  <si>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</si>
  <si>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</si>
  <si>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</si>
  <si>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</si>
  <si>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</si>
  <si>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</si>
  <si>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</si>
  <si>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</si>
  <si>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</si>
  <si>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</si>
  <si>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</si>
  <si>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</si>
  <si>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</si>
  <si>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</si>
  <si>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</si>
  <si>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</si>
  <si>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</si>
  <si>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</si>
  <si>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</si>
  <si>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</si>
  <si>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</si>
  <si>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</si>
  <si>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</si>
  <si>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</si>
  <si>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</si>
  <si>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</si>
  <si>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</si>
  <si>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</si>
  <si>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</si>
  <si>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</si>
  <si>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</si>
  <si>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</si>
  <si>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</si>
  <si>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</si>
  <si>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</si>
  <si>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</si>
  <si>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</si>
  <si>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</si>
  <si>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</si>
  <si>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</si>
  <si>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</si>
  <si>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</si>
  <si>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</si>
  <si>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</si>
  <si>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</si>
  <si>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</si>
  <si>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</si>
  <si>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</si>
  <si>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</si>
  <si>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</si>
  <si>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</si>
  <si>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</si>
  <si>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</si>
  <si>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</si>
  <si>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</si>
  <si>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</si>
  <si>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</si>
  <si>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</si>
  <si>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</si>
  <si>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</si>
  <si>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</si>
  <si>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</si>
  <si>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</si>
  <si>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</si>
  <si>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</si>
  <si>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</si>
  <si>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</si>
  <si>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</si>
  <si>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</si>
  <si>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</si>
  <si>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</si>
  <si>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</si>
  <si>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</si>
  <si>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</si>
  <si>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</si>
  <si>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</si>
  <si>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</si>
  <si>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</si>
  <si>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</si>
  <si>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</si>
  <si>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</si>
  <si>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</si>
  <si>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</si>
  <si>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</si>
  <si>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</si>
  <si>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</si>
  <si>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</si>
  <si>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</si>
  <si>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</si>
  <si>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</si>
  <si>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</si>
  <si>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</si>
  <si>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</si>
  <si>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</si>
  <si>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</si>
  <si>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</si>
  <si>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</si>
  <si>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</si>
  <si>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</si>
  <si>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</si>
  <si>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</si>
  <si>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</si>
  <si>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</si>
  <si>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</si>
  <si>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</si>
  <si>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</si>
  <si>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</si>
  <si>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</si>
  <si>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</si>
  <si>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</si>
  <si>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</si>
  <si>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</si>
  <si>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</si>
  <si>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</si>
  <si>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</si>
  <si>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</si>
  <si>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</si>
  <si>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</si>
  <si>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</si>
  <si>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</si>
  <si>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</si>
  <si>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</si>
  <si>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</si>
  <si>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</si>
  <si>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</si>
  <si>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</si>
  <si>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</si>
  <si>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</si>
  <si>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</si>
  <si>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</si>
  <si>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</si>
  <si>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</si>
  <si>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</si>
  <si>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</si>
  <si>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</si>
  <si>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</si>
  <si>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</si>
  <si>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</si>
  <si>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</si>
  <si>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</si>
  <si>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</si>
  <si>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</si>
  <si>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</si>
  <si>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</si>
  <si>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</si>
  <si>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</si>
  <si>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</si>
  <si>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</si>
  <si>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</si>
  <si>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</si>
  <si>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</si>
  <si>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</si>
  <si>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</si>
  <si>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</si>
  <si>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</si>
  <si>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</si>
  <si>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</si>
  <si>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</si>
  <si>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</si>
  <si>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</si>
  <si>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</si>
  <si>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</si>
  <si>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</si>
  <si>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</si>
  <si>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</si>
  <si>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</si>
  <si>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</si>
  <si>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</si>
  <si>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</si>
  <si>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</si>
  <si>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</si>
  <si>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</si>
  <si>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</si>
  <si>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</si>
  <si>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</si>
  <si>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</si>
  <si>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</si>
  <si>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</si>
  <si>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</si>
  <si>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</si>
  <si>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</si>
  <si>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</si>
  <si>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</si>
  <si>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</si>
  <si>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</si>
  <si>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</si>
  <si>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</si>
  <si>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</si>
  <si>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</si>
  <si>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</si>
  <si>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</si>
  <si>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</si>
  <si>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</si>
  <si>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</si>
  <si>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</si>
  <si>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</si>
  <si>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</si>
  <si>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</si>
  <si>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</si>
  <si>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</si>
  <si>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</si>
  <si>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</si>
  <si>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</si>
  <si>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</si>
  <si>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</si>
  <si>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</si>
  <si>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</si>
  <si>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</si>
  <si>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</si>
  <si>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</si>
  <si>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</si>
  <si>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</si>
  <si>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</si>
  <si>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</si>
  <si>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</si>
  <si>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</si>
  <si>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</si>
  <si>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</si>
  <si>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</si>
  <si>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</si>
  <si>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</si>
  <si>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</si>
  <si>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</si>
  <si>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</si>
  <si>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</si>
  <si>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</si>
  <si>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</si>
  <si>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</si>
  <si>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</si>
  <si>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</si>
  <si>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</si>
  <si>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</si>
  <si>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</si>
  <si>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</si>
  <si>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</si>
  <si>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</si>
  <si>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</si>
  <si>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</si>
  <si>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</si>
  <si>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</si>
  <si>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</si>
  <si>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</si>
  <si>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</si>
  <si>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</si>
  <si>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</si>
  <si>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</si>
  <si>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</si>
  <si>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</si>
  <si>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</si>
  <si>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</si>
  <si>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</si>
  <si>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</si>
  <si>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</si>
  <si>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</si>
  <si>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</si>
  <si>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</si>
  <si>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</si>
  <si>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</si>
  <si>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</si>
  <si>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</si>
  <si>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</si>
  <si>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</si>
  <si>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</si>
  <si>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</si>
  <si>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</si>
  <si>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</si>
  <si>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</si>
  <si>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</si>
  <si>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</si>
  <si>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</si>
  <si>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</si>
  <si>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</si>
  <si>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</si>
  <si>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</si>
  <si>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</si>
  <si>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</si>
  <si>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</si>
  <si>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</si>
  <si>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</si>
  <si>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</si>
  <si>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</si>
  <si>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</si>
  <si>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</si>
  <si>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</si>
  <si>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</si>
  <si>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</si>
  <si>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</si>
  <si>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</si>
  <si>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</si>
  <si>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</si>
  <si>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</si>
  <si>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</si>
  <si>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</si>
  <si>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</si>
  <si>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</si>
  <si>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</si>
  <si>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</si>
  <si>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</si>
  <si>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</si>
  <si>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</si>
  <si>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</si>
  <si>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</si>
  <si>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</si>
  <si>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</si>
  <si>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</si>
  <si>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</si>
  <si>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</si>
  <si>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</si>
  <si>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</si>
  <si>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</si>
  <si>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</si>
  <si>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</si>
  <si>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</si>
  <si>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</si>
  <si>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</si>
  <si>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</si>
  <si>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</si>
  <si>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</si>
  <si>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</si>
  <si>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</si>
  <si>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</si>
  <si>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</si>
  <si>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</si>
  <si>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</si>
  <si>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</si>
  <si>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</si>
  <si>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</si>
  <si>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</si>
  <si>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</si>
  <si>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</si>
  <si>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</si>
  <si>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</si>
  <si>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</si>
  <si>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</si>
  <si>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</si>
  <si>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</si>
  <si>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</si>
  <si>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</si>
  <si>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</si>
  <si>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</si>
  <si>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</si>
  <si>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</si>
  <si>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</si>
  <si>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</si>
  <si>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</si>
  <si>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</si>
  <si>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</si>
  <si>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</si>
  <si>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</si>
  <si>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</si>
  <si>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</si>
  <si>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</si>
  <si>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</si>
  <si>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</si>
  <si>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</si>
  <si>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</si>
  <si>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</si>
  <si>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</si>
  <si>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</si>
  <si>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</si>
  <si>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</si>
  <si>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</si>
  <si>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</si>
  <si>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</si>
  <si>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</si>
  <si>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</si>
  <si>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</si>
  <si>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</si>
  <si>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</si>
  <si>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</si>
  <si>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</si>
  <si>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</si>
  <si>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</si>
  <si>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</si>
  <si>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</si>
  <si>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</si>
  <si>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</si>
  <si>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</si>
  <si>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</si>
  <si>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</si>
  <si>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</si>
  <si>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</si>
  <si>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</si>
  <si>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</si>
  <si>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</si>
  <si>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</si>
  <si>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</si>
  <si>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</si>
  <si>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</si>
  <si>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</si>
  <si>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</si>
  <si>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</si>
  <si>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</si>
  <si>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</si>
  <si>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</si>
  <si>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</si>
  <si>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</si>
  <si>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</si>
  <si>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</si>
  <si>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</si>
  <si>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</si>
  <si>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</si>
  <si>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</si>
  <si>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</si>
  <si>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</si>
  <si>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</si>
  <si>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</si>
  <si>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</si>
  <si>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</si>
  <si>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</si>
  <si>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深圳区域公司深圳住宅三片区运营中心</t>
  </si>
  <si>
    <t>项目ID</t>
  </si>
  <si>
    <t>UU000002204</t>
  </si>
  <si>
    <t>总户数</t>
  </si>
  <si>
    <t>项目编码</t>
  </si>
  <si>
    <t>车位总数</t>
  </si>
  <si>
    <t>深圳区域公司深圳市公安局南山分局物业管理服务中心</t>
  </si>
  <si>
    <t>建筑面积</t>
  </si>
  <si>
    <t>项目类型</t>
  </si>
  <si>
    <t>非住</t>
  </si>
  <si>
    <t>项目来源</t>
  </si>
  <si>
    <t>市场拓展-存量项目</t>
  </si>
  <si>
    <t>收费面积</t>
  </si>
  <si>
    <t>项目性质</t>
  </si>
  <si>
    <t>政府办公</t>
  </si>
  <si>
    <t>业务组织</t>
  </si>
  <si>
    <t>定档</t>
  </si>
  <si>
    <t>接管时间</t>
  </si>
  <si>
    <t>2023-09</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</si>
  <si>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</si>
  <si>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</si>
  <si>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</si>
  <si>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</si>
  <si>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</si>
  <si>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</si>
  <si>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</si>
  <si>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</si>
  <si>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</si>
  <si>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</si>
  <si>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</si>
  <si>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</si>
  <si>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</si>
  <si>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</si>
  <si>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</si>
  <si>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</si>
  <si>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</si>
  <si>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</si>
  <si>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</si>
  <si>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</si>
  <si>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</si>
  <si>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</si>
  <si>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</si>
  <si>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</si>
  <si>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</si>
  <si>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</si>
  <si>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</si>
  <si>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</si>
  <si>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</si>
  <si>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</si>
  <si>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</si>
  <si>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</si>
  <si>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</si>
  <si>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</si>
  <si>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</si>
  <si>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</si>
  <si>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</si>
  <si>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</si>
  <si>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</si>
  <si>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</si>
  <si>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</si>
  <si>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</si>
  <si>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</si>
  <si>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</si>
  <si>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</si>
  <si>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</si>
  <si>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</si>
  <si>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</si>
  <si>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</si>
  <si>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</si>
  <si>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</si>
  <si>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</si>
  <si>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</si>
  <si>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</si>
  <si>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</si>
  <si>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</si>
  <si>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</si>
  <si>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</si>
  <si>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</si>
  <si>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</si>
  <si>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</si>
  <si>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</si>
  <si>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</si>
  <si>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</si>
  <si>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</si>
  <si>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</si>
  <si>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</si>
  <si>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</si>
  <si>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</si>
  <si>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</si>
  <si>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</si>
  <si>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</si>
  <si>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</si>
  <si>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</si>
  <si>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</si>
  <si>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</si>
  <si>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</si>
  <si>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</si>
  <si>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</si>
  <si>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</si>
  <si>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</si>
  <si>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</si>
  <si>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</si>
  <si>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</si>
  <si>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</si>
  <si>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</si>
  <si>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</si>
  <si>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</si>
  <si>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</si>
  <si>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</si>
  <si>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</si>
  <si>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</si>
  <si>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</si>
  <si>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</si>
  <si>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</si>
  <si>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</si>
  <si>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</si>
  <si>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</si>
  <si>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</si>
  <si>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</si>
  <si>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</si>
  <si>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</si>
  <si>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</si>
  <si>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</si>
  <si>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</si>
  <si>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</si>
  <si>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</si>
  <si>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</si>
  <si>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</si>
  <si>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</si>
  <si>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</si>
  <si>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</si>
  <si>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</si>
  <si>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</si>
  <si>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</si>
  <si>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</si>
  <si>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</si>
  <si>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</si>
  <si>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</si>
  <si>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</si>
  <si>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</si>
  <si>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</si>
  <si>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</si>
  <si>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</si>
  <si>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</si>
  <si>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</si>
  <si>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</si>
  <si>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</si>
  <si>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</si>
  <si>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</si>
  <si>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</si>
  <si>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</si>
  <si>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</si>
  <si>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</si>
  <si>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</si>
  <si>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</si>
  <si>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</si>
  <si>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</si>
  <si>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</si>
  <si>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</si>
  <si>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</si>
  <si>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</si>
  <si>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</si>
  <si>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</si>
  <si>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</si>
  <si>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</si>
  <si>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</si>
  <si>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</si>
  <si>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</si>
  <si>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</si>
  <si>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</si>
  <si>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</si>
  <si>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</si>
  <si>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</si>
  <si>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</si>
  <si>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</si>
  <si>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</si>
  <si>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</si>
  <si>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</si>
  <si>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</si>
  <si>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</si>
  <si>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</si>
  <si>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</si>
  <si>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</si>
  <si>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</si>
  <si>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</si>
  <si>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</si>
  <si>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</si>
  <si>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</si>
  <si>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</si>
  <si>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</si>
  <si>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</si>
  <si>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</si>
  <si>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</si>
  <si>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</si>
  <si>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</si>
  <si>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</si>
  <si>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</si>
  <si>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</si>
  <si>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</si>
  <si>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</si>
  <si>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</si>
  <si>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</si>
  <si>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</si>
  <si>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</si>
  <si>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</si>
  <si>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</si>
  <si>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</si>
  <si>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</si>
  <si>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</si>
  <si>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</si>
  <si>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</si>
  <si>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</si>
  <si>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</si>
  <si>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</si>
  <si>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</si>
  <si>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</si>
  <si>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</si>
  <si>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</si>
  <si>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</si>
  <si>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</si>
  <si>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</si>
  <si>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</si>
  <si>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</si>
  <si>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</si>
  <si>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</si>
  <si>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</si>
  <si>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</si>
  <si>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</si>
  <si>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</si>
  <si>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</si>
  <si>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</si>
  <si>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</si>
  <si>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</si>
  <si>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</si>
  <si>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</si>
  <si>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</si>
  <si>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</si>
  <si>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</si>
  <si>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</si>
  <si>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</si>
  <si>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</si>
  <si>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</si>
  <si>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</si>
  <si>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</si>
  <si>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</si>
  <si>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</si>
  <si>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</si>
  <si>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</si>
  <si>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</si>
  <si>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</si>
  <si>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</si>
  <si>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</si>
  <si>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</si>
  <si>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</si>
  <si>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</si>
  <si>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</si>
  <si>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</si>
  <si>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</si>
  <si>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</si>
  <si>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</si>
  <si>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</si>
  <si>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</si>
  <si>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</si>
  <si>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</si>
  <si>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</si>
  <si>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</si>
  <si>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</si>
  <si>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</si>
  <si>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</si>
  <si>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</si>
  <si>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</si>
  <si>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</si>
  <si>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</si>
  <si>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</si>
  <si>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</si>
  <si>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</si>
  <si>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</si>
  <si>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</si>
  <si>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</si>
  <si>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</si>
  <si>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</si>
  <si>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</si>
  <si>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</si>
  <si>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</si>
  <si>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</si>
  <si>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</si>
  <si>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</si>
  <si>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</si>
  <si>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</si>
  <si>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</si>
  <si>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</si>
  <si>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</si>
  <si>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</si>
  <si>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</si>
  <si>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</si>
  <si>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</si>
  <si>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</si>
  <si>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</si>
  <si>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</si>
  <si>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</si>
  <si>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</si>
  <si>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</si>
  <si>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</si>
  <si>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</si>
  <si>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</si>
  <si>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</si>
  <si>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</si>
  <si>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</si>
  <si>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</si>
  <si>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</si>
  <si>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</si>
  <si>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</si>
  <si>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</si>
  <si>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</si>
  <si>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</si>
  <si>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</si>
  <si>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</si>
  <si>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</si>
  <si>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</si>
  <si>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</si>
  <si>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</si>
  <si>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</si>
  <si>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</si>
  <si>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</si>
  <si>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</si>
  <si>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</si>
  <si>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</si>
  <si>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</si>
  <si>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</si>
  <si>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</si>
  <si>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</si>
  <si>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</si>
  <si>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</si>
  <si>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</si>
  <si>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</si>
  <si>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</si>
  <si>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</si>
  <si>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</si>
  <si>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</si>
  <si>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</si>
  <si>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</si>
  <si>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</si>
  <si>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</si>
  <si>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</si>
  <si>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</si>
  <si>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</si>
  <si>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</si>
  <si>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</si>
  <si>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</si>
  <si>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</si>
  <si>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</si>
  <si>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</si>
  <si>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</si>
  <si>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</si>
  <si>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</si>
  <si>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</si>
  <si>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</si>
  <si>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</si>
  <si>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</si>
  <si>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</si>
  <si>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</si>
  <si>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</si>
  <si>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</si>
  <si>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</si>
  <si>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</si>
  <si>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</si>
  <si>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</si>
  <si>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</si>
  <si>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</si>
  <si>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</si>
  <si>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</si>
  <si>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</si>
  <si>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</si>
  <si>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</si>
  <si>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</si>
  <si>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</si>
  <si>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</si>
  <si>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</si>
  <si>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</si>
  <si>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</si>
  <si>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</si>
  <si>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</si>
  <si>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</si>
  <si>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</si>
  <si>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</si>
  <si>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</si>
  <si>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</si>
  <si>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</si>
  <si>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</si>
  <si>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</si>
  <si>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</si>
  <si>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</si>
  <si>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</si>
  <si>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</si>
  <si>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</si>
  <si>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</si>
  <si>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</si>
  <si>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</si>
  <si>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</si>
  <si>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</si>
  <si>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</si>
  <si>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</si>
  <si>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</si>
  <si>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</si>
  <si>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</si>
  <si>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</si>
  <si>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</si>
  <si>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</si>
  <si>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</si>
  <si>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</si>
  <si>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</si>
  <si>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</si>
  <si>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</si>
  <si>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</si>
  <si>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</si>
  <si>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</si>
  <si>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</si>
  <si>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</si>
  <si>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</si>
  <si>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</si>
  <si>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</si>
  <si>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</si>
  <si>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</si>
  <si>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</si>
  <si>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</si>
  <si>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人事外包费-报销单</t>
  </si>
  <si>
    <t>清包</t>
  </si>
  <si>
    <t>半包</t>
  </si>
  <si>
    <t>GCFW-Z-2024-7051</t>
  </si>
  <si>
    <t>GCFW-Z-2025-03323</t>
  </si>
  <si>
    <t>GCFW-Z-2024-7045</t>
  </si>
  <si>
    <t>HJFW-Z-2024-6949</t>
  </si>
  <si>
    <t>生活垃圾清运外包-报销单</t>
  </si>
  <si>
    <t>HJFW-Z-2024-7103</t>
  </si>
  <si>
    <t>HJFW-Z-2025-00534</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</si>
  <si>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</si>
  <si>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</si>
  <si>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</si>
  <si>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</si>
  <si>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</si>
  <si>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</si>
  <si>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</si>
  <si>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</si>
  <si>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</si>
  <si>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</si>
  <si>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</si>
  <si>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</si>
  <si>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</si>
  <si>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</si>
  <si>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</si>
  <si>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14时50分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</si>
  <si>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</si>
  <si>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</si>
  <si>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</si>
  <si>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</si>
  <si>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</si>
  <si>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</si>
  <si>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</si>
  <si>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</si>
  <si>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</si>
  <si>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</si>
  <si>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</si>
  <si>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</si>
  <si>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</si>
  <si>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PO250605000254</t>
  </si>
  <si>
    <t>9010020001</t>
  </si>
  <si>
    <t>消防维保/施工</t>
  </si>
  <si>
    <t>服务类/工程服务类/消防维保/施工</t>
  </si>
  <si>
    <t>深圳市乔森消防科技有限公司</t>
  </si>
  <si>
    <t>2025-06-05 15:31:22.0</t>
  </si>
  <si>
    <t>U金地智慧服务集团公司/UB深圳区域公司/UBS深圳区域公司深圳非住三片区运营中心/UBSA深圳区域公司深圳市公安局南山分局物业管理服务中心//</t>
  </si>
  <si>
    <t>3597564</t>
  </si>
  <si>
    <t>PO250522000174</t>
  </si>
  <si>
    <t>4030290217</t>
  </si>
  <si>
    <t>拖把 嘉宇洁 毛巾拖1902 杆长116CM，毛长30CM，头直径10CM 圆形，纯棉配木棍</t>
  </si>
  <si>
    <t>清洁物资类/清洁工具/拖把</t>
  </si>
  <si>
    <t>广东高美环保设备有限公司</t>
  </si>
  <si>
    <t>2025-05-22 14:12:22.0</t>
  </si>
  <si>
    <t>3591658</t>
  </si>
  <si>
    <t>2020010499</t>
  </si>
  <si>
    <t>毛巾 天赐 C09006 34x76CM 超细纤维，蓝色</t>
  </si>
  <si>
    <t>家居生活/日杂生活/个人护理</t>
  </si>
  <si>
    <t>毛巾</t>
  </si>
  <si>
    <t>3591657</t>
  </si>
  <si>
    <t>4080050697</t>
  </si>
  <si>
    <t>垃圾袋 红清庭 平口垃圾袋 克重18g/个，80CMx90CM，50个/扎，1.35丝 黑色，塑料</t>
  </si>
  <si>
    <t>清洁物资类/清洁耗材/垃圾袋</t>
  </si>
  <si>
    <t>3591674</t>
  </si>
  <si>
    <t>4030050020</t>
  </si>
  <si>
    <t>厕所刷 康庭 长柄圆头刷A-155 8CMx45CM 球刷</t>
  </si>
  <si>
    <t>清洁物资类/清洁工具/厕所刷</t>
  </si>
  <si>
    <t>厕所刷</t>
  </si>
  <si>
    <t>3591653</t>
  </si>
  <si>
    <t>4030160154</t>
  </si>
  <si>
    <t>大竹扫 红清庭 竹枝 1.8m 加厚</t>
  </si>
  <si>
    <t>清洁物资类/清洁工具/扫把/竹扫大</t>
  </si>
  <si>
    <t>大竹扫</t>
  </si>
  <si>
    <t>3591651</t>
  </si>
  <si>
    <t>4070010112</t>
  </si>
  <si>
    <t>擦手纸 洁柔 JC003 225MMx222MM，单层，450克，200抽/包，20包/箱 自然无香</t>
  </si>
  <si>
    <t>清洁物资类/清洁纸品/擦手纸</t>
  </si>
  <si>
    <t>3591670</t>
  </si>
  <si>
    <t>4030070128</t>
  </si>
  <si>
    <t>尘推 cleanme 24号 60CM 布+架+杆，棉线</t>
  </si>
  <si>
    <t>清洁物资类/清洁工具/尘推</t>
  </si>
  <si>
    <t>3591660</t>
  </si>
  <si>
    <t>4080210279</t>
  </si>
  <si>
    <t>漂白水 六采 20KG/桶 除菌，去渍，漂白</t>
  </si>
  <si>
    <t>清洁物资类/清洁耗材/清洁剂</t>
  </si>
  <si>
    <t>漂白水</t>
  </si>
  <si>
    <t>3591667</t>
  </si>
  <si>
    <t>4030330018</t>
  </si>
  <si>
    <t>胶皮手套 东方红 S/M/L 乳胶，黄色</t>
  </si>
  <si>
    <t>清洁物资类/清洁工具/胶皮手套</t>
  </si>
  <si>
    <t>胶皮手套</t>
  </si>
  <si>
    <t>3591648</t>
  </si>
  <si>
    <t>4080210284</t>
  </si>
  <si>
    <t>洗洁精 浪奇 高富力2型 20KG/桶 柠檬香型</t>
  </si>
  <si>
    <t>洗洁精</t>
  </si>
  <si>
    <t>3591664</t>
  </si>
  <si>
    <t>4030160153</t>
  </si>
  <si>
    <t>扫把 坚牌 小扫把配木杆 30CMx1M 塑胶</t>
  </si>
  <si>
    <t>3591652</t>
  </si>
  <si>
    <t>4030110038</t>
  </si>
  <si>
    <t>垃圾铲/簸箕 加尔美 Dx-001 25x68CM 垃圾铲配木杆，塑胶，红色</t>
  </si>
  <si>
    <t>清洁物资类/清洁工具/垃圾铲</t>
  </si>
  <si>
    <t>垃圾铲/簸箕</t>
  </si>
  <si>
    <t>3591654</t>
  </si>
  <si>
    <t>4070080048</t>
  </si>
  <si>
    <t>纸盒、纸巾分配器 白云清洁 AF10522 28x12.5x28.5CM 大卷纸架，ABS材质</t>
  </si>
  <si>
    <t>清洁物资类/清洁纸品/纸盒</t>
  </si>
  <si>
    <t>纸盒、纸巾分配器</t>
  </si>
  <si>
    <t>3591645</t>
  </si>
  <si>
    <t>4030070127</t>
  </si>
  <si>
    <t>尘推 cleanme 36号 90CM 布+架+杆，棉线</t>
  </si>
  <si>
    <t>3591661</t>
  </si>
  <si>
    <t>4030290219</t>
  </si>
  <si>
    <t>拖把 好媳妇 TJ-5400 27CM 海绵挤水拖把，可更换拖把头</t>
  </si>
  <si>
    <t>3591647</t>
  </si>
  <si>
    <t>4080210283</t>
  </si>
  <si>
    <t xml:space="preserve">洗手液 六采 红色液体 20KG/桶 </t>
  </si>
  <si>
    <t>洗手液</t>
  </si>
  <si>
    <t>3591665</t>
  </si>
  <si>
    <t>4030290216</t>
  </si>
  <si>
    <t>拖把 国辉 2005 15CM 方形，纯棉配木棍</t>
  </si>
  <si>
    <t>3591659</t>
  </si>
  <si>
    <t>4030220054</t>
  </si>
  <si>
    <t>水刮 白云清洁 AF04002 刮长55CM，杆长125CM 22“胶板海棉推水刮</t>
  </si>
  <si>
    <t>清洁物资类/清洁工具/水刮</t>
  </si>
  <si>
    <t>水刮</t>
  </si>
  <si>
    <t>3591655</t>
  </si>
  <si>
    <t>4080240077</t>
  </si>
  <si>
    <t xml:space="preserve">固体香薰 安安 柠檬香型 90g/个 </t>
  </si>
  <si>
    <t>清洁物资类/清洁耗材/除味/香氛用品</t>
  </si>
  <si>
    <t>固体香薰</t>
  </si>
  <si>
    <t>3591663</t>
  </si>
  <si>
    <t>4080050700</t>
  </si>
  <si>
    <t>垃圾袋 红清庭 有耳背心垃圾袋 克重5.6g/个，33CM，50个/扎，1.45丝 黑色，塑料</t>
  </si>
  <si>
    <t>3591672</t>
  </si>
  <si>
    <t>4080050698</t>
  </si>
  <si>
    <t>垃圾袋 红清庭 平口垃圾袋 克重12g/个，60CMx90CM，50个/扎，1.3丝 黑色，塑料</t>
  </si>
  <si>
    <t>3591673</t>
  </si>
  <si>
    <t>4070010113</t>
  </si>
  <si>
    <t>擦手纸 五月花 A980015 230MMx225MM，2层，400克，200抽/包，20包/箱 自然无香</t>
  </si>
  <si>
    <t>3591671</t>
  </si>
  <si>
    <t>3130010070</t>
  </si>
  <si>
    <t>草帽 红清庭 麦秸 直径43CM 麦秸编织</t>
  </si>
  <si>
    <t>形象视觉/其他服装/配饰/其他配饰</t>
  </si>
  <si>
    <t>草帽</t>
  </si>
  <si>
    <t>3591650</t>
  </si>
  <si>
    <t>6100040022</t>
  </si>
  <si>
    <t>雨靴 健象 女款 36-40 橡胶</t>
  </si>
  <si>
    <t>消防安保/劳保类/足部防护</t>
  </si>
  <si>
    <t>雨靴</t>
  </si>
  <si>
    <t>3591646</t>
  </si>
  <si>
    <t>4030240108</t>
  </si>
  <si>
    <t>拖把桶 三水 塑料地拖桶 40x20CM 红色，带脱水盖</t>
  </si>
  <si>
    <t>清洁物资类/清洁工具/水桶</t>
  </si>
  <si>
    <t>拖把桶</t>
  </si>
  <si>
    <t>3591649</t>
  </si>
  <si>
    <t>4080210280</t>
  </si>
  <si>
    <t xml:space="preserve">其他清洁剂 KIMBO 绿水DFF014 3.8L/桶 </t>
  </si>
  <si>
    <t>其他清洁剂</t>
  </si>
  <si>
    <t>3591666</t>
  </si>
  <si>
    <t>4080090111</t>
  </si>
  <si>
    <t>百洁布 红清庭 纳米高密去污棉 10x6x2CM 物理去污，耐磨，清洁力强</t>
  </si>
  <si>
    <t>清洁物资类/清洁耗材/其它清洁耗材</t>
  </si>
  <si>
    <t>百洁布</t>
  </si>
  <si>
    <t>3591662</t>
  </si>
  <si>
    <t>4080050696</t>
  </si>
  <si>
    <t>垃圾袋 红清庭 平口垃圾袋 克重4g/个，45CMx50CM，50个/扎，0.95丝 黑色，塑料</t>
  </si>
  <si>
    <t>3591675</t>
  </si>
  <si>
    <t>4080210278</t>
  </si>
  <si>
    <t>洁厕灵 六采 红药水 20KG/桶 红色</t>
  </si>
  <si>
    <t>洁厕灵</t>
  </si>
  <si>
    <t>3591668</t>
  </si>
  <si>
    <t>4070050309</t>
  </si>
  <si>
    <t>卷纸 红清庭 A917380 114MMx90MM，三层，800克，12卷/箱 自然无香</t>
  </si>
  <si>
    <t>清洁物资类/清洁纸品/卷纸</t>
  </si>
  <si>
    <t>卷纸</t>
  </si>
  <si>
    <t>3591669</t>
  </si>
  <si>
    <t>4030070130</t>
  </si>
  <si>
    <t>尘推布 cleanme 24号 60CM尘推布 棉线</t>
  </si>
  <si>
    <t>尘推布</t>
  </si>
  <si>
    <t>3591644</t>
  </si>
  <si>
    <t>4080090112</t>
  </si>
  <si>
    <t>百洁布 3M 思高B7105 5片/包 尼龙纤维</t>
  </si>
  <si>
    <t>3591656</t>
  </si>
  <si>
    <t>PO250515000374</t>
  </si>
  <si>
    <t>4080240076</t>
  </si>
  <si>
    <t xml:space="preserve">空气清新剂 澳臣 柠檬茉莉 450ML/瓶 </t>
  </si>
  <si>
    <t>空气清新剂</t>
  </si>
  <si>
    <t>2025-05-15 18:30:53.0</t>
  </si>
  <si>
    <t>3586353</t>
  </si>
  <si>
    <t>3586359</t>
  </si>
  <si>
    <t>4080210286</t>
  </si>
  <si>
    <t xml:space="preserve">玻璃清洁剂 KIMBO DFF022 3.8L/桶 </t>
  </si>
  <si>
    <t>玻璃清洁剂</t>
  </si>
  <si>
    <t>3586365</t>
  </si>
  <si>
    <t>4080210289</t>
  </si>
  <si>
    <t>其他清洁剂 洁而亮 多功能清洁乳 600g/瓶 柠檬香型</t>
  </si>
  <si>
    <t>3586349</t>
  </si>
  <si>
    <t>3586354</t>
  </si>
  <si>
    <t>3586342</t>
  </si>
  <si>
    <t>3586363</t>
  </si>
  <si>
    <t>4080210059</t>
  </si>
  <si>
    <t>洗手液 威露士/walch 倍护滋润抑菌 525ML 功效：清洁、水润、抑菌</t>
  </si>
  <si>
    <t>3586355</t>
  </si>
  <si>
    <t>4080210288</t>
  </si>
  <si>
    <t xml:space="preserve">去污粉 多之彩 强力去污 700g/瓶 </t>
  </si>
  <si>
    <t>去污粉</t>
  </si>
  <si>
    <t>3586350</t>
  </si>
  <si>
    <t>3586344</t>
  </si>
  <si>
    <t>4030160155</t>
  </si>
  <si>
    <t>大竹扫 红清庭 竹枝 12齿 竹扒，树叶扒</t>
  </si>
  <si>
    <t>3586340</t>
  </si>
  <si>
    <t>3586356</t>
  </si>
  <si>
    <t>4080050699</t>
  </si>
  <si>
    <t>垃圾袋 红清庭 平口垃圾袋 克重33g/个，90CMx110CM，50个/扎，1.8丝 黑色，塑料</t>
  </si>
  <si>
    <t>3586360</t>
  </si>
  <si>
    <t>4030030079</t>
  </si>
  <si>
    <t>玻璃刮 白云清洁 AF04114A 14寸 不锈钢</t>
  </si>
  <si>
    <t>清洁物资类/清洁工具/玻璃刮</t>
  </si>
  <si>
    <t>玻璃刮</t>
  </si>
  <si>
    <t>3586346</t>
  </si>
  <si>
    <t>3586351</t>
  </si>
  <si>
    <t>4080210285</t>
  </si>
  <si>
    <t>除胶剂 洁而亮 450ML/罐 强力除胶</t>
  </si>
  <si>
    <t>除胶剂</t>
  </si>
  <si>
    <t>3586352</t>
  </si>
  <si>
    <t>3586343</t>
  </si>
  <si>
    <t>3586335</t>
  </si>
  <si>
    <t>3586357</t>
  </si>
  <si>
    <t>3586334</t>
  </si>
  <si>
    <t>3586341</t>
  </si>
  <si>
    <t>3586358</t>
  </si>
  <si>
    <t>3586347</t>
  </si>
  <si>
    <t>3586337</t>
  </si>
  <si>
    <t>3586336</t>
  </si>
  <si>
    <t>4080090114</t>
  </si>
  <si>
    <t>钢丝球 妙丰 MF-0077B 10个/包 不锈钢丝</t>
  </si>
  <si>
    <t>钢丝球</t>
  </si>
  <si>
    <t>3586364</t>
  </si>
  <si>
    <t>3586348</t>
  </si>
  <si>
    <t>4030220056</t>
  </si>
  <si>
    <t>涂水器 cleanme 可替换毛头布 14寸 纤维</t>
  </si>
  <si>
    <t>涂水器</t>
  </si>
  <si>
    <t>3586338</t>
  </si>
  <si>
    <t>3586362</t>
  </si>
  <si>
    <t>4030220055</t>
  </si>
  <si>
    <t>涂水器 cleanme 14寸 纤维，可替换</t>
  </si>
  <si>
    <t>3586345</t>
  </si>
  <si>
    <t>3586361</t>
  </si>
  <si>
    <t>3586339</t>
  </si>
  <si>
    <t>3586333</t>
  </si>
  <si>
    <t>PO250508000372</t>
  </si>
  <si>
    <t>10010010002</t>
  </si>
  <si>
    <t xml:space="preserve">淘宝/天猫/京东C端/其他-报销专用物料 </t>
  </si>
  <si>
    <t>虚拟编码类/虚拟/通用编码/虚拟/通用编码</t>
  </si>
  <si>
    <t>淘宝/天猫/京东C端/其他-报销专用物料</t>
  </si>
  <si>
    <t>淘宝/天猫/京东C端/其他-深圳</t>
  </si>
  <si>
    <t>2025-04-30 11:53:23.0</t>
  </si>
  <si>
    <t>3581574</t>
  </si>
  <si>
    <t>PO250429000289</t>
  </si>
  <si>
    <t>4080240075</t>
  </si>
  <si>
    <t xml:space="preserve">檀香 朝记行 茉莉花塔香 20盘/盒 </t>
  </si>
  <si>
    <t>檀香</t>
  </si>
  <si>
    <t>2025-04-29 19:09:59.0</t>
  </si>
  <si>
    <t>3557816</t>
  </si>
  <si>
    <t>3557795</t>
  </si>
  <si>
    <t>4030150055</t>
  </si>
  <si>
    <t xml:space="preserve">清洗刷 佳一 洗衣刷1030 13.5x5.5CM </t>
  </si>
  <si>
    <t>清洁物资类/清洁工具/清洗刷</t>
  </si>
  <si>
    <t>清洗刷</t>
  </si>
  <si>
    <t>3557785</t>
  </si>
  <si>
    <t>4030070129</t>
  </si>
  <si>
    <t>尘推布 cleanme 36号 90CM尘推布 棉线</t>
  </si>
  <si>
    <t>3557804</t>
  </si>
  <si>
    <t>3557812</t>
  </si>
  <si>
    <t>3557817</t>
  </si>
  <si>
    <t>4080090113</t>
  </si>
  <si>
    <t xml:space="preserve">刀片 嘉禾 A-100 7节，10片/盒 </t>
  </si>
  <si>
    <t>刀片</t>
  </si>
  <si>
    <t>3557791</t>
  </si>
  <si>
    <t>3557801</t>
  </si>
  <si>
    <t>3557806</t>
  </si>
  <si>
    <t>3557803</t>
  </si>
  <si>
    <t>3557800</t>
  </si>
  <si>
    <t>4030240109</t>
  </si>
  <si>
    <t>水桶 粤新 大白桶 65L 塑料</t>
  </si>
  <si>
    <t>水桶</t>
  </si>
  <si>
    <t>3557783</t>
  </si>
  <si>
    <t>3557809</t>
  </si>
  <si>
    <t>3557811</t>
  </si>
  <si>
    <t>3557819</t>
  </si>
  <si>
    <t>3557827</t>
  </si>
  <si>
    <t>3557796</t>
  </si>
  <si>
    <t>3557822</t>
  </si>
  <si>
    <t>3557824</t>
  </si>
  <si>
    <t>3557790</t>
  </si>
  <si>
    <t>2010030690</t>
  </si>
  <si>
    <t>一次性塑料杯 喇叭花 太空杯 300ML，100个/组 塑料，透明</t>
  </si>
  <si>
    <t>家居生活/厨房卫浴/厨具</t>
  </si>
  <si>
    <t>一次性塑料杯</t>
  </si>
  <si>
    <t>3557786</t>
  </si>
  <si>
    <t>3557826</t>
  </si>
  <si>
    <t>3557782</t>
  </si>
  <si>
    <t>3557799</t>
  </si>
  <si>
    <t>3557789</t>
  </si>
  <si>
    <t>4030220057</t>
  </si>
  <si>
    <t>涂水器 cleanme T字架 14寸 PP材质</t>
  </si>
  <si>
    <t>3557781</t>
  </si>
  <si>
    <t>3557794</t>
  </si>
  <si>
    <t>4080210287</t>
  </si>
  <si>
    <t xml:space="preserve">不锈钢清洁剂 KIMBO DFF021 3.8L/桶 </t>
  </si>
  <si>
    <t>不锈钢清洁剂</t>
  </si>
  <si>
    <t>3557810</t>
  </si>
  <si>
    <t>3557821</t>
  </si>
  <si>
    <t>3557802</t>
  </si>
  <si>
    <t>3557788</t>
  </si>
  <si>
    <t>3557820</t>
  </si>
  <si>
    <t>4030140132</t>
  </si>
  <si>
    <t>刷子 白云清洁 杆子长度1.2m，刷子规格18寸 地刷配木杆</t>
  </si>
  <si>
    <t>清洁物资类/清洁工具/刷子</t>
  </si>
  <si>
    <t>刷子</t>
  </si>
  <si>
    <t>3557797</t>
  </si>
  <si>
    <t>3557814</t>
  </si>
  <si>
    <t>3557825</t>
  </si>
  <si>
    <t>4030060106</t>
  </si>
  <si>
    <t>铲刀 白云清洁 AF06301 34x23CM 可换伸缩杆和刀片</t>
  </si>
  <si>
    <t>清洁物资类/清洁工具/铲刀</t>
  </si>
  <si>
    <t>铲刀</t>
  </si>
  <si>
    <t>3557792</t>
  </si>
  <si>
    <t>3557808</t>
  </si>
  <si>
    <t>3557787</t>
  </si>
  <si>
    <t>3557807</t>
  </si>
  <si>
    <t>4030170075</t>
  </si>
  <si>
    <t>伸缩杆 白云清洁 AF05004Y 3米双节 金色，加厚</t>
  </si>
  <si>
    <t>清洁物资类/清洁工具/伸缩杆</t>
  </si>
  <si>
    <t>伸缩杆</t>
  </si>
  <si>
    <t>3557780</t>
  </si>
  <si>
    <t>3557805</t>
  </si>
  <si>
    <t>3557793</t>
  </si>
  <si>
    <t>3557815</t>
  </si>
  <si>
    <t>3557813</t>
  </si>
  <si>
    <t>3557828</t>
  </si>
  <si>
    <t>3557798</t>
  </si>
  <si>
    <t>3557823</t>
  </si>
  <si>
    <t>3557818</t>
  </si>
  <si>
    <t>4040030055</t>
  </si>
  <si>
    <t xml:space="preserve">垃圾篓 中华 836 8L，口宽27x底宽19x高25CM </t>
  </si>
  <si>
    <t>清洁物资类/垃圾桶/垃圾篓/小垃圾桶</t>
  </si>
  <si>
    <t>3557784</t>
  </si>
  <si>
    <t>PO250414000347</t>
  </si>
  <si>
    <t>2025-04-14 17:40:59.0</t>
  </si>
  <si>
    <t>3538806</t>
  </si>
  <si>
    <t>3538817</t>
  </si>
  <si>
    <t>3538823</t>
  </si>
  <si>
    <t>3538810</t>
  </si>
  <si>
    <t>3538820</t>
  </si>
  <si>
    <t>3538819</t>
  </si>
  <si>
    <t>3538826</t>
  </si>
  <si>
    <t>3538816</t>
  </si>
  <si>
    <t>3538795</t>
  </si>
  <si>
    <t>3538818</t>
  </si>
  <si>
    <t>3538786</t>
  </si>
  <si>
    <t>3538814</t>
  </si>
  <si>
    <t>3538788</t>
  </si>
  <si>
    <t>3538809</t>
  </si>
  <si>
    <t>3538793</t>
  </si>
  <si>
    <t>3538824</t>
  </si>
  <si>
    <t>3538813</t>
  </si>
  <si>
    <t>3538794</t>
  </si>
  <si>
    <t>3538822</t>
  </si>
  <si>
    <t>3538797</t>
  </si>
  <si>
    <t>3538792</t>
  </si>
  <si>
    <t>3538805</t>
  </si>
  <si>
    <t>3070020132</t>
  </si>
  <si>
    <t>A字牌 白云清洁 AF03047+AF03038+AF03042 尺寸31.5x28.5x64CM 工作进行中（AF03047），清扫中（AF03038），小心地滑（AF03042）等，A字告示牌</t>
  </si>
  <si>
    <t>形象视觉/标识标牌/A字牌</t>
  </si>
  <si>
    <t>A字牌</t>
  </si>
  <si>
    <t>3538785</t>
  </si>
  <si>
    <t>3538804</t>
  </si>
  <si>
    <t>3538811</t>
  </si>
  <si>
    <t>3538807</t>
  </si>
  <si>
    <t>4040030054</t>
  </si>
  <si>
    <t>小垃圾桶 白云清洁 AF07022 8L 脚踏垃圾桶，不带茶漏</t>
  </si>
  <si>
    <t>小垃圾桶</t>
  </si>
  <si>
    <t>3538830</t>
  </si>
  <si>
    <t>3538821</t>
  </si>
  <si>
    <t>3538787</t>
  </si>
  <si>
    <t>3538789</t>
  </si>
  <si>
    <t>3538784</t>
  </si>
  <si>
    <t>3538828</t>
  </si>
  <si>
    <t>3538801</t>
  </si>
  <si>
    <t>3538800</t>
  </si>
  <si>
    <t>3538827</t>
  </si>
  <si>
    <t>3538799</t>
  </si>
  <si>
    <t>3538790</t>
  </si>
  <si>
    <t>3538798</t>
  </si>
  <si>
    <t>3538812</t>
  </si>
  <si>
    <t>3538831</t>
  </si>
  <si>
    <t>3538829</t>
  </si>
  <si>
    <t>3538808</t>
  </si>
  <si>
    <t>3538796</t>
  </si>
  <si>
    <t>3538803</t>
  </si>
  <si>
    <t>3538825</t>
  </si>
  <si>
    <t>3538791</t>
  </si>
  <si>
    <t>3538802</t>
  </si>
  <si>
    <t>3538815</t>
  </si>
  <si>
    <t>PO250408000123</t>
  </si>
  <si>
    <t>AA3749134</t>
  </si>
  <si>
    <t>DELI/得力 复印纸 莱茵河7419 A4 80g 5包装 1箱</t>
  </si>
  <si>
    <t>办公类/办公耗材/办公用纸</t>
  </si>
  <si>
    <t>震坤行工业超市（上海）有限公司</t>
  </si>
  <si>
    <t>2025-04-08 16:30:31.0</t>
  </si>
  <si>
    <t>3534354</t>
  </si>
  <si>
    <t>NC8290</t>
  </si>
  <si>
    <t>M&amp;G/晨光 中性笔 GP1008 黑色 0.5mm 12支/盒 1盒</t>
  </si>
  <si>
    <t>办公类/办公耗材/笔类</t>
  </si>
  <si>
    <t>3534353</t>
  </si>
  <si>
    <t>AC0507337</t>
  </si>
  <si>
    <t>M&amp;G/晨光 中性笔风速Q7 AGP30105 黑色 0.7mm 12支 1盒</t>
  </si>
  <si>
    <t>3534352</t>
  </si>
  <si>
    <t>PO250326000143</t>
  </si>
  <si>
    <t>2025-03-21 20:41:41.0</t>
  </si>
  <si>
    <t>3515774</t>
  </si>
  <si>
    <t>PO250326000186</t>
  </si>
  <si>
    <t>2025-03-12 09:10:24.0</t>
  </si>
  <si>
    <t>3525892</t>
  </si>
  <si>
    <t>PO250319000305</t>
  </si>
  <si>
    <t>2025-03-10 15:52:51.0</t>
  </si>
  <si>
    <t>3521001</t>
  </si>
  <si>
    <t>PO250305000240</t>
  </si>
  <si>
    <t>3020080010</t>
  </si>
  <si>
    <t>一档若邻荟秩序男夏装功能长裤 藏青蓝 M 35%TC棉65%聚酯纤维薄款料</t>
  </si>
  <si>
    <t>形象视觉/技能序列服装/一档若邻荟</t>
  </si>
  <si>
    <t>一档若邻荟秩序男夏装功能长裤</t>
  </si>
  <si>
    <t>深圳市乐华德服饰有限公司</t>
  </si>
  <si>
    <t>2025-03-05 15:18:47.0</t>
  </si>
  <si>
    <t>3489494</t>
  </si>
  <si>
    <t>3020080051</t>
  </si>
  <si>
    <t>一档若邻荟秩序帽子（夏） 藏青蓝 均码 35%TC棉65%聚酯纤维薄款料</t>
  </si>
  <si>
    <t>一档若邻荟秩序帽子（夏）</t>
  </si>
  <si>
    <t>3489493</t>
  </si>
  <si>
    <t>3020080034</t>
  </si>
  <si>
    <t>一档若邻荟秩序男冬装夹克 藏青蓝 M 35%TC棉65%聚酯纤维薄款料</t>
  </si>
  <si>
    <t>一档若邻荟秩序男冬装夹克</t>
  </si>
  <si>
    <t>3489492</t>
  </si>
  <si>
    <t>3020080002</t>
  </si>
  <si>
    <t>一档若邻荟秩序男夏装短袖衬衣 白色 M 80%涤纶，20%黏胶，含臂章1枚、胸码条1枚</t>
  </si>
  <si>
    <t>一档若邻荟秩序男夏装短袖衬衣</t>
  </si>
  <si>
    <t>3489495</t>
  </si>
  <si>
    <t>PO250307000240</t>
  </si>
  <si>
    <t>2020100001</t>
  </si>
  <si>
    <t xml:space="preserve">社区文化活动 </t>
  </si>
  <si>
    <t>家居生活/日杂生活/社区文化活动</t>
  </si>
  <si>
    <t>2025-02-27 17:43:40.0</t>
  </si>
  <si>
    <t>3501101</t>
  </si>
  <si>
    <t>3501100</t>
  </si>
  <si>
    <t>PO250221000248</t>
  </si>
  <si>
    <t>2025-02-21 16:47:35.0</t>
  </si>
  <si>
    <t>3481653</t>
  </si>
  <si>
    <t>3020080026</t>
  </si>
  <si>
    <t>一档若邻荟秩序男冬装长袖衬衣 白色 M 80%涤纶，20%黏胶，含臂章1枚、胸码条1枚</t>
  </si>
  <si>
    <t>一档若邻荟秩序男冬装长袖衬衣</t>
  </si>
  <si>
    <t>3481651</t>
  </si>
  <si>
    <t>3020080042</t>
  </si>
  <si>
    <t>一档若邻荟秩序男冬装功能长裤 藏青蓝 M 35%TC棉65%聚酯纤维薄款料</t>
  </si>
  <si>
    <t>一档若邻荟秩序男冬装功能长裤</t>
  </si>
  <si>
    <t>3481652</t>
  </si>
  <si>
    <t>3481650</t>
  </si>
  <si>
    <t>PO250220000159</t>
  </si>
  <si>
    <t>6040020013</t>
  </si>
  <si>
    <t>对讲机 海能达 TD500 数字模拟信号 配1电1充</t>
  </si>
  <si>
    <t>消防安保/安防通讯/对讲机</t>
  </si>
  <si>
    <t>深圳市信腾通讯设备有限公司</t>
  </si>
  <si>
    <t>2025-02-20 14:50:18.0</t>
  </si>
  <si>
    <t>3480640</t>
  </si>
  <si>
    <t>PO250120000030</t>
  </si>
  <si>
    <t>3020080027</t>
  </si>
  <si>
    <t>一档若邻荟秩序男冬装长袖衬衣 白色 L 80%涤纶，20%黏胶，含臂章1枚、胸码条1枚</t>
  </si>
  <si>
    <t>2025-01-20 09:18:53.0</t>
  </si>
  <si>
    <t>3462397</t>
  </si>
  <si>
    <t>3020080036</t>
  </si>
  <si>
    <t>一档若邻荟秩序男冬装夹克 藏青蓝 XL 35%TC棉65%聚酯纤维薄款料</t>
  </si>
  <si>
    <t>3462398</t>
  </si>
  <si>
    <t>3020080011</t>
  </si>
  <si>
    <t>一档若邻荟秩序男夏装功能长裤 藏青蓝 L 35%TC棉65%聚酯纤维薄款料</t>
  </si>
  <si>
    <t>3462396</t>
  </si>
  <si>
    <t>3462394</t>
  </si>
  <si>
    <t>3020080028</t>
  </si>
  <si>
    <t>一档若邻荟秩序男冬装长袖衬衣 白色 XL 80%涤纶，20%黏胶，含臂章1枚、胸码条1枚</t>
  </si>
  <si>
    <t>3462400</t>
  </si>
  <si>
    <t>3020080044</t>
  </si>
  <si>
    <t>一档若邻荟秩序男冬装功能长裤 藏青蓝 XL 35%TC棉65%聚酯纤维薄款料</t>
  </si>
  <si>
    <t>3462399</t>
  </si>
  <si>
    <t>3020080035</t>
  </si>
  <si>
    <t>一档若邻荟秩序男冬装夹克 藏青蓝 L 35%TC棉65%聚酯纤维薄款料</t>
  </si>
  <si>
    <t>3462395</t>
  </si>
  <si>
    <t>PO250228000057</t>
  </si>
  <si>
    <t>9020040001</t>
  </si>
  <si>
    <t>外墙清洗</t>
  </si>
  <si>
    <t>服务类/环境服务类/外墙清洗</t>
  </si>
  <si>
    <t>深圳市蓝岛环境服务有限公司</t>
  </si>
  <si>
    <t>2025-01-07 15:49:19.0</t>
  </si>
  <si>
    <t>U金地智慧服务集团公司/UN深圳公司/UNR深圳公司直管项目（虚拟）/UNRD深圳公司深圳市公安局南山分局物业管理服务中心//</t>
  </si>
  <si>
    <t>3485361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</si>
  <si>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</si>
  <si>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</si>
  <si>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</si>
  <si>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</si>
  <si>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</si>
  <si>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</si>
  <si>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</si>
  <si>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</si>
  <si>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</si>
  <si>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</si>
  <si>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</si>
  <si>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</si>
  <si>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</si>
  <si>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</si>
  <si>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</si>
  <si>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</si>
  <si>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</si>
  <si>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</si>
  <si>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</si>
  <si>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</si>
  <si>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</si>
  <si>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</si>
  <si>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</si>
  <si>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</si>
  <si>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</si>
  <si>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</si>
  <si>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</si>
  <si>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</si>
  <si>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</si>
  <si>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</si>
  <si>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</si>
  <si>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</si>
  <si>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</si>
  <si>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</si>
  <si>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</si>
  <si>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</si>
  <si>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</si>
  <si>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</si>
  <si>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</si>
  <si>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</si>
  <si>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</si>
  <si>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</si>
  <si>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</si>
  <si>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</si>
  <si>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</si>
  <si>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</si>
  <si>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</si>
  <si>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</si>
  <si>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</si>
  <si>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</si>
  <si>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</si>
  <si>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</si>
  <si>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</si>
  <si>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</si>
  <si>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</si>
  <si>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</si>
  <si>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</si>
  <si>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</si>
  <si>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</si>
  <si>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</si>
  <si>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</si>
  <si>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</si>
  <si>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</si>
  <si>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</si>
  <si>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</si>
  <si>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</si>
  <si>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</si>
  <si>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</si>
  <si>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</si>
  <si>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</si>
  <si>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</si>
  <si>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</si>
  <si>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</si>
  <si>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</si>
  <si>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</si>
  <si>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</si>
  <si>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</si>
  <si>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</si>
  <si>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</si>
  <si>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</si>
  <si>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</si>
  <si>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</si>
  <si>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</si>
  <si>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</si>
  <si>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</si>
  <si>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</si>
  <si>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</si>
  <si>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</si>
  <si>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</si>
  <si>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</si>
  <si>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</si>
  <si>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</si>
  <si>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</si>
  <si>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</si>
  <si>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</si>
  <si>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</si>
  <si>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</si>
  <si>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</si>
  <si>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</si>
  <si>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</si>
  <si>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</si>
  <si>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</si>
  <si>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</si>
  <si>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</si>
  <si>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</si>
  <si>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</si>
  <si>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</si>
  <si>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</si>
  <si>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</si>
  <si>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</si>
  <si>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</si>
  <si>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</si>
  <si>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</si>
  <si>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</si>
  <si>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</si>
  <si>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</si>
  <si>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</si>
  <si>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</si>
  <si>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</si>
  <si>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</si>
  <si>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</si>
  <si>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</si>
  <si>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</si>
  <si>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</si>
  <si>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</si>
  <si>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</si>
  <si>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</si>
  <si>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</si>
  <si>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</si>
  <si>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</si>
  <si>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</si>
  <si>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</si>
  <si>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</si>
  <si>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</si>
  <si>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</si>
  <si>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</si>
  <si>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2214645485094886400</t>
  </si>
  <si>
    <t>审核通过</t>
  </si>
  <si>
    <t>深圳非住三片区南山分局项目消防维保合同（2025年5月15日-2025年9月14日）</t>
  </si>
  <si>
    <t>2025-09-14</t>
  </si>
  <si>
    <t>从合同</t>
  </si>
  <si>
    <t>线下签署（智能+物理）</t>
  </si>
  <si>
    <t>001</t>
  </si>
  <si>
    <t>银行转账</t>
  </si>
  <si>
    <t>CNY</t>
  </si>
  <si>
    <t>人民币</t>
  </si>
  <si>
    <t>叁仟贰佰陆拾肆元捌角</t>
  </si>
  <si>
    <t>增值税专用发票</t>
  </si>
  <si>
    <t>U1015000229</t>
  </si>
  <si>
    <t>深圳区域公司</t>
  </si>
  <si>
    <t/>
  </si>
  <si>
    <t>2025-05-14</t>
  </si>
  <si>
    <t>2025-06-01</t>
  </si>
  <si>
    <t>20075517</t>
  </si>
  <si>
    <t>刘慧</t>
  </si>
  <si>
    <t>V1.0</t>
  </si>
  <si>
    <t>HTTZ-065459</t>
  </si>
  <si>
    <t>GCFW-Z-2025-02253</t>
  </si>
  <si>
    <t>正常</t>
  </si>
  <si>
    <t>待履约</t>
  </si>
  <si>
    <t>已签章</t>
  </si>
  <si>
    <t>已归档</t>
  </si>
  <si>
    <t>JD-YWLX-061</t>
  </si>
  <si>
    <t>工程服务类</t>
  </si>
  <si>
    <t>2214645457211165696</t>
  </si>
  <si>
    <t>SealSign-20250514-0154</t>
  </si>
  <si>
    <t>新签</t>
  </si>
  <si>
    <t>2025-05-26 18:29:30:486</t>
  </si>
  <si>
    <t>2025-05-14 14:37:18:079</t>
  </si>
  <si>
    <t>2025-06-05 15:31:05:857</t>
  </si>
  <si>
    <t>eipuser</t>
  </si>
  <si>
    <t>EIP接口用户</t>
  </si>
  <si>
    <t>2214645457831877632</t>
  </si>
  <si>
    <t>fxyz_engineeringservice</t>
  </si>
  <si>
    <t>2214645485094841344</t>
  </si>
  <si>
    <t>132</t>
  </si>
  <si>
    <t>深圳市金地物业管理有限公司</t>
  </si>
  <si>
    <t>2214645485094841345</t>
  </si>
  <si>
    <t>42990</t>
  </si>
  <si>
    <t>2153635701516731392</t>
  </si>
  <si>
    <t>深圳非住城服三片区南山分局项目外墙清洗服务采购品类合同2025年1月15日-2025年3月31日</t>
  </si>
  <si>
    <t>2025-03-31</t>
  </si>
  <si>
    <t>主合同</t>
  </si>
  <si>
    <t>2025-02-19</t>
  </si>
  <si>
    <t>2025-01-15</t>
  </si>
  <si>
    <t>20006393</t>
  </si>
  <si>
    <t>罗志雄</t>
  </si>
  <si>
    <t>履约中</t>
  </si>
  <si>
    <t>JD-YWLX-053</t>
  </si>
  <si>
    <t>环境服务类</t>
  </si>
  <si>
    <t>2153635680679458816</t>
  </si>
  <si>
    <t>SealSign-20250219-0032</t>
  </si>
  <si>
    <t>关于深圳区域公司深圳市公安局南山分局外墙清洗服务外包，项目结算主体深圳市金地物业管理有限公司为一般纳税人，非住类项目， 比价规则按照未含税总价最低者中标执行，有效报价供应商3家，资金来源为自有资金，清洗面积为18000平方米，经比价后拟定未含税总价最低的供应商深圳市蓝岛环境服务有限公司中标，定标未含税总金额为32264.15元，税率6%，中标价格低于项目立项预算金额16200元，三家单位投标价格已与项目确认，年前需完成清洗。</t>
  </si>
  <si>
    <t>ID-000028</t>
  </si>
  <si>
    <t>杨振华</t>
  </si>
  <si>
    <t>2025-02-26 14:50:54:254</t>
  </si>
  <si>
    <t>2025-02-19 10:37:13:858</t>
  </si>
  <si>
    <t>2025-04-15 02:01:24:116</t>
  </si>
  <si>
    <t>2153629426896619520</t>
  </si>
  <si>
    <t>fxyz_environmentalservice</t>
  </si>
  <si>
    <t>2153635701516686336</t>
  </si>
  <si>
    <t>2153635701516686337</t>
  </si>
  <si>
    <t>42094</t>
  </si>
  <si>
    <t>2066074090896151552</t>
  </si>
  <si>
    <t>南山分局项目生活垃圾清运合同</t>
  </si>
  <si>
    <t>2025-10-14</t>
  </si>
  <si>
    <t>2024-10-10</t>
  </si>
  <si>
    <t>2024-10-15</t>
  </si>
  <si>
    <t>JD-YWLX-055</t>
  </si>
  <si>
    <t>生活垃圾清运</t>
  </si>
  <si>
    <t>2066074070570563584</t>
  </si>
  <si>
    <t>SealSign-20241021-0129</t>
  </si>
  <si>
    <t>关于深圳城市公司南山公安分局项目生活垃圾清运服务外包，合同拟签约时间为一年，按照招标采购策略的评标规则（通过两阶段评分法定标，技术标合格分为60分，投标单位共有4家，3家单位都满足技术分入围，最高限价327600元）执行，小苹果清洁投标单价为500元/桶，税率6%；深丽洁投标单价为450元/桶，税率1%；鹏腾清洁投标单价为430元/桶，按照未含税价进行评分，鹏腾环境报价最低得分，经招标小组一致评标后拟定商务得分第一的供应商深圳市鹏腾清洁服务有限公司中标，定标含税单价430，税率1%，定标数量52，定标含税总金额268320元，与上年合同对比节约成本70080元，资金来源为自有资金。请领导审批！</t>
  </si>
  <si>
    <t>2024-10-31 14:26:48:037</t>
  </si>
  <si>
    <t>2024-10-21 15:09:19:567</t>
  </si>
  <si>
    <t>2025-04-15 01:57:51:669</t>
  </si>
  <si>
    <t>2066068514124383232</t>
  </si>
  <si>
    <t>2066074090896150528</t>
  </si>
  <si>
    <t>2066074090896150529</t>
  </si>
  <si>
    <t>45645</t>
  </si>
  <si>
    <t>深圳市鹏腾清洁服务有限公司</t>
  </si>
  <si>
    <t>2059449570332571648</t>
  </si>
  <si>
    <t>深圳市南山分局项目外包消杀合同</t>
  </si>
  <si>
    <t>2024-09-15</t>
  </si>
  <si>
    <t>JD-YWLX-051</t>
  </si>
  <si>
    <t>四害消杀</t>
  </si>
  <si>
    <t>2059449547003797504</t>
  </si>
  <si>
    <t>SealSign-20241012-0043</t>
  </si>
  <si>
    <t>关于深圳城市公司南山公安分局四害消杀服务外包服务，合同拟签约时间为一年，按照招标采购策略的评标规则（综合评分法、技术标与商务标权重为35：65、最高限价312000元）执行，有效应标供应商3家，经招标小组一致评标后拟定综合评分排名第一的供应商	深圳市火点燃科技有限公司中标，定标含税单价0.83，税率6%，定标数量1，定标含税总金额232440元，与上年合同对比节约成本139560元，资金来源为自有资金。请领导审批！</t>
  </si>
  <si>
    <t>2024-10-21 16:15:11:288</t>
  </si>
  <si>
    <t>2024-10-12 11:50:00:992</t>
  </si>
  <si>
    <t>2025-04-15 01:57:36:707</t>
  </si>
  <si>
    <t>2059445216024258560</t>
  </si>
  <si>
    <t>2059449570332572672</t>
  </si>
  <si>
    <t>2059449570332572673</t>
  </si>
  <si>
    <t>420691</t>
  </si>
  <si>
    <t>深圳市火点燃科技有限公司</t>
  </si>
  <si>
    <t>2046510047743197184</t>
  </si>
  <si>
    <t>南山分局电梯维护保养合同</t>
  </si>
  <si>
    <t>2024-09-14</t>
  </si>
  <si>
    <t>80022966</t>
  </si>
  <si>
    <t>方新</t>
  </si>
  <si>
    <t>JD-YWLX-060</t>
  </si>
  <si>
    <t>电梯维保/施工</t>
  </si>
  <si>
    <t>2046510020320884736</t>
  </si>
  <si>
    <t>SealSign-20240924-0235</t>
  </si>
  <si>
    <t>项目已完成不符合续签条件的报备，深圳市南山分局项目电梯维保服务外包，深圳市新城市楼宇设备科技有限公司为合格供应商，该单位一直为项目电梯维保服务，续签价格无变动，该供应商已和甲方（南山公安）签订合同，标准保，对超出500元的设备零配件，报价甲方甲方同意后代为购买或维修，电梯维保单价700元/台/月，保险单价200元/台/年，电梯检验费单价760元/台/年，电梯数量：全年合计13台，按维保时间滚动交付，9月14日9台由我司负责电梯合同到期，另外四台台分别于24/9/14，2024/12/30，2024/12/31，2025/4/25交付，请领导审批！</t>
  </si>
  <si>
    <t>2024-10-02 16:48:07:018</t>
  </si>
  <si>
    <t>2024-09-24 15:21:03:490</t>
  </si>
  <si>
    <t>2025-04-15 02:11:16:042</t>
  </si>
  <si>
    <t>2046505473401745408</t>
  </si>
  <si>
    <t>2046510047743198208</t>
  </si>
  <si>
    <t>2046510047743198209</t>
  </si>
  <si>
    <t>420045</t>
  </si>
  <si>
    <t>深圳市新城市楼宇设备科技有限公司</t>
  </si>
  <si>
    <t>2046496246788585472</t>
  </si>
  <si>
    <t>化粪池、隔油池清理及厨房排污管疏通服务合同</t>
  </si>
  <si>
    <t>2025-09-30</t>
  </si>
  <si>
    <t>2024-09-24</t>
  </si>
  <si>
    <t>2024-10-01</t>
  </si>
  <si>
    <t>JD-YWLX-062</t>
  </si>
  <si>
    <t>化粪池清淘及管道冲洗</t>
  </si>
  <si>
    <t>2046496224927859712</t>
  </si>
  <si>
    <t>SealSign-20240924-0207</t>
  </si>
  <si>
    <t xml:space="preserve">关于深圳城市公司南山公安分局项目化粪池清掏及管道疏通服务采购品类需求，项目结算主体深圳市金地物业管理有限公司为一般纳税人， 比价规则按照不含税总价最低者中标执行，报价单位3家，有效报价供应商2家，其中深圳市润道通环保科技有限公司未按照要求提供PDF报价文档及word文档报价单将不作为有效报价，经比价后拟定不含税总价最低的供应商金源峰环保科技（深圳）有限公司中标，税率6%，定标数量1年，定标含税总金额94800元。相比立项金额成本节省1200元。
</t>
  </si>
  <si>
    <t>2024-09-27 10:42:00:846</t>
  </si>
  <si>
    <t>2024-09-24 14:57:04:763</t>
  </si>
  <si>
    <t>2025-04-15 02:11:15:487</t>
  </si>
  <si>
    <t>2046493404484862976</t>
  </si>
  <si>
    <t>2046496246788586496</t>
  </si>
  <si>
    <t>2046496246788586497</t>
  </si>
  <si>
    <t>45858</t>
  </si>
  <si>
    <t>金源峰环保科技（深圳）有限公司</t>
  </si>
  <si>
    <t>2046345171699775488</t>
  </si>
  <si>
    <t>GCFW-Z-2024-7011</t>
  </si>
  <si>
    <t>关闭</t>
  </si>
  <si>
    <t>南山分局化粪池、隔油池清理及厨房排污管疏通服务合同</t>
  </si>
  <si>
    <t>未签章</t>
  </si>
  <si>
    <t>未归档</t>
  </si>
  <si>
    <t>2046345145326074880</t>
  </si>
  <si>
    <t>SealSign-20240924-0045</t>
  </si>
  <si>
    <t>2024-09-24 09:34:50:255</t>
  </si>
  <si>
    <t>2025-04-15 02:11:10:438</t>
  </si>
  <si>
    <t>2046331214859649024</t>
  </si>
  <si>
    <t>2046345171699820544</t>
  </si>
  <si>
    <t>2046345171699820545</t>
  </si>
  <si>
    <t>2037074368827239424</t>
  </si>
  <si>
    <t>GCFW-Z-2024-6604</t>
  </si>
  <si>
    <t>南山分局项目立体停车库服务合同</t>
  </si>
  <si>
    <t>2024-09-11</t>
  </si>
  <si>
    <t>JD-YWLX-066</t>
  </si>
  <si>
    <t>设备设施维护</t>
  </si>
  <si>
    <t>2037074351966188544</t>
  </si>
  <si>
    <t>SealSign-20240911-0129</t>
  </si>
  <si>
    <t>深圳市南山公安分局项目立体停车库外包合同申请续签，杭州西子智能停车股份有限公司为合格供应商，该维保单位为原南山公安分局立体车库维保单位，续签价格与原合同一致，13000元/月，合同总价156000元/年，24小时驻场1人，合同期限：2024年9月15日-2025年9月14日，近半年服务履约评估良好，请领导审批！</t>
  </si>
  <si>
    <t>2024-09-13 09:37:32:717</t>
  </si>
  <si>
    <t>2024-09-11 15:00:21:642</t>
  </si>
  <si>
    <t>2025-04-15 02:10:11:789</t>
  </si>
  <si>
    <t>2037072971620686848</t>
  </si>
  <si>
    <t>2037074368827284480</t>
  </si>
  <si>
    <t>2037074368827284481</t>
  </si>
  <si>
    <t>420530</t>
  </si>
  <si>
    <t>杭州西子智能停车股份有限公司</t>
  </si>
  <si>
    <t>2015939649138122752</t>
  </si>
  <si>
    <t>RLZY-Z-2024-0472</t>
  </si>
  <si>
    <t>深圳南山分局劳务派遣合同</t>
  </si>
  <si>
    <t>2025-07-09</t>
  </si>
  <si>
    <t>2024-08-13</t>
  </si>
  <si>
    <t>2024-07-10</t>
  </si>
  <si>
    <t>正常关闭</t>
  </si>
  <si>
    <t>JD-YWLX-078</t>
  </si>
  <si>
    <t>劳务外包/劳务派遣</t>
  </si>
  <si>
    <t>人力资源类</t>
  </si>
  <si>
    <t>2015939644239164416</t>
  </si>
  <si>
    <t>SealSign-20240813-0068</t>
  </si>
  <si>
    <t xml:space="preserve">深圳公安局南山分局因节约人工成本，规避劳务风险，项目申请与深圳博才人力资源有限公司签订劳务派遣协议，目前南山分局项目食堂厨师及面点师缺7人，57600/年/人，已邮件报备区首并得到回复，请领导审批！
</t>
  </si>
  <si>
    <t>2024-08-19 14:42:34:457</t>
  </si>
  <si>
    <t>2024-08-13 10:55:45:802</t>
  </si>
  <si>
    <t>2025-04-15 01:40:38:986</t>
  </si>
  <si>
    <t>2015931365429609472</t>
  </si>
  <si>
    <t>fxyz_humanresourcesclass</t>
  </si>
  <si>
    <t>2015939649138077696</t>
  </si>
  <si>
    <t>2015939649138077697</t>
  </si>
  <si>
    <t>425639</t>
  </si>
  <si>
    <t>深圳博才人力资源有限公司</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</si>
  <si>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</si>
  <si>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</si>
  <si>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</si>
  <si>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</si>
  <si>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</si>
  <si>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</si>
  <si>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</si>
  <si>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</si>
  <si>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</si>
  <si>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</si>
  <si>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</si>
  <si>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</si>
  <si>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</si>
  <si>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</si>
  <si>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</si>
  <si>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</si>
  <si>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</si>
  <si>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</si>
  <si>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</si>
  <si>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</si>
  <si>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</si>
  <si>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</si>
  <si>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</si>
  <si>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</si>
  <si>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</si>
  <si>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</si>
  <si>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</si>
  <si>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</si>
  <si>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</si>
  <si>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</si>
  <si>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</si>
  <si>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</si>
  <si>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</si>
  <si>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</si>
  <si>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</si>
  <si>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</si>
  <si>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</si>
  <si>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</si>
  <si>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</si>
  <si>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</si>
  <si>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</si>
  <si>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</si>
  <si>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</si>
  <si>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</si>
  <si>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</si>
  <si>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</si>
  <si>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</si>
  <si>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</si>
  <si>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</si>
  <si>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</si>
  <si>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</si>
  <si>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</si>
  <si>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</si>
  <si>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</si>
  <si>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</si>
  <si>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</si>
  <si>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</si>
  <si>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</si>
  <si>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</si>
  <si>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</si>
  <si>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</si>
  <si>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</si>
  <si>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</si>
  <si>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</si>
  <si>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</si>
  <si>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</si>
  <si>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</si>
  <si>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</si>
  <si>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</si>
  <si>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</si>
  <si>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</si>
  <si>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</si>
  <si>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</si>
  <si>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</si>
  <si>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</si>
  <si>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</si>
  <si>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</si>
  <si>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</si>
  <si>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FK250421000219</t>
  </si>
  <si>
    <t>已审核</t>
  </si>
  <si>
    <t>FK-WY.SZ.65-20250423-000040</t>
  </si>
  <si>
    <t>已付款</t>
  </si>
  <si>
    <t>2025-04-21</t>
  </si>
  <si>
    <t>4000023119200364150</t>
  </si>
  <si>
    <t>中国工商银行股份有限公司深圳麒麟支行</t>
  </si>
  <si>
    <t>金采易购</t>
  </si>
  <si>
    <t>深圳非住三片区南山分局项目2025年1月垃圾清运报销单</t>
  </si>
  <si>
    <t>业财用户</t>
  </si>
  <si>
    <t>2025-04-24</t>
  </si>
  <si>
    <t>2025-06-13</t>
  </si>
  <si>
    <t>已过账</t>
  </si>
  <si>
    <t>WY.SZ.65-202506-0016</t>
  </si>
  <si>
    <t>0012</t>
  </si>
  <si>
    <t>2025-06-30</t>
  </si>
  <si>
    <t>采购付款</t>
  </si>
  <si>
    <t>转 WY.SZ.65-202506-0016</t>
  </si>
  <si>
    <t>主动付款</t>
  </si>
  <si>
    <t>外包服务费.生活垃圾清运外包</t>
  </si>
  <si>
    <t>其他付款</t>
  </si>
  <si>
    <t>CF250416000421</t>
  </si>
  <si>
    <t>2025年6期</t>
  </si>
  <si>
    <t>AP-202504-0042858</t>
  </si>
  <si>
    <t>深圳市金地物业管理有限公司深圳本部</t>
  </si>
  <si>
    <t>FK250421000214</t>
  </si>
  <si>
    <t>FK-WY.SZ.65-20250423-000041</t>
  </si>
  <si>
    <t>深圳非住三片区南山分局项目2025年2月垃圾清运报销单</t>
  </si>
  <si>
    <t>2025-06-18</t>
  </si>
  <si>
    <t>WY.SZ.65-202506-0025</t>
  </si>
  <si>
    <t>0024</t>
  </si>
  <si>
    <t>转 WY.SZ.65-202506-0025</t>
  </si>
  <si>
    <t>CF250421000083</t>
  </si>
  <si>
    <t>AP-202504-0042856</t>
  </si>
  <si>
    <t>FK250421000096</t>
  </si>
  <si>
    <t>FK-WY.SZ.65-20250421-000039</t>
  </si>
  <si>
    <t>450766344103</t>
  </si>
  <si>
    <t>中国银行上海市张江支行</t>
  </si>
  <si>
    <t>深圳非住三片区南山分局项目2025年3月办公用品报销单</t>
  </si>
  <si>
    <t>EAS处理中</t>
  </si>
  <si>
    <t>WY.SZ.65-202507-0006</t>
  </si>
  <si>
    <t>0005</t>
  </si>
  <si>
    <t>2025-07-31</t>
  </si>
  <si>
    <t>转 WY.SZ.65-202507-0006</t>
  </si>
  <si>
    <t>办公事务.办公费</t>
  </si>
  <si>
    <t>ZB20210901JCWZ02</t>
  </si>
  <si>
    <t>CF250414000094</t>
  </si>
  <si>
    <t>2025年7期</t>
  </si>
  <si>
    <t>AP-202504-0042840</t>
  </si>
  <si>
    <t>FK250417000294</t>
  </si>
  <si>
    <t>FK-WY.SZ.65-20250417-000038</t>
  </si>
  <si>
    <t>2025-04-17</t>
  </si>
  <si>
    <t>110020190010009060</t>
  </si>
  <si>
    <t>东莞农村商业银行股份有限公司南城支行</t>
  </si>
  <si>
    <t>深圳非住三片区南山分局项目费用报销单</t>
  </si>
  <si>
    <t>WY.SZ.65-202506-0024</t>
  </si>
  <si>
    <t>0023</t>
  </si>
  <si>
    <t>转 WY.SZ.65-202506-0024</t>
  </si>
  <si>
    <t>XHWZ-Z-2025-00011</t>
  </si>
  <si>
    <t>CF250416000527</t>
  </si>
  <si>
    <t>AP-202504-0041370</t>
  </si>
  <si>
    <t>日杂生活</t>
  </si>
  <si>
    <t>清洁耗材</t>
  </si>
  <si>
    <t>厨卫电器</t>
  </si>
  <si>
    <t>劳保类</t>
  </si>
  <si>
    <t>清洁纸品</t>
  </si>
  <si>
    <t>垃圾桶</t>
  </si>
  <si>
    <t>FK250414000760</t>
  </si>
  <si>
    <t>FK-WY.SZ.65-20250415-000031</t>
  </si>
  <si>
    <t>2025-04-14</t>
  </si>
  <si>
    <t>6214855254768845</t>
  </si>
  <si>
    <t>招商银行深圳分行营业部</t>
  </si>
  <si>
    <t>深圳非住三片区南山分局项目2025年1月社区文化活动报销单</t>
  </si>
  <si>
    <t>2025-04-16</t>
  </si>
  <si>
    <t>2025-04-25</t>
  </si>
  <si>
    <t>WY.SZ.65-202504-0024</t>
  </si>
  <si>
    <t>0031</t>
  </si>
  <si>
    <t>2025-04-30</t>
  </si>
  <si>
    <t>转 WY.SZ.65-202504-0024</t>
  </si>
  <si>
    <t>社区及业委会费用.社区文化费用</t>
  </si>
  <si>
    <t>CF250414000245</t>
  </si>
  <si>
    <t>2025年4期</t>
  </si>
  <si>
    <t>AP-202504-0039155</t>
  </si>
  <si>
    <t>FK250414000742</t>
  </si>
  <si>
    <t>FK-WY.SZ.65-20250415-000032</t>
  </si>
  <si>
    <t>伍海波</t>
  </si>
  <si>
    <t>6214837551104395</t>
  </si>
  <si>
    <t>招商银行深圳安联支行</t>
  </si>
  <si>
    <t>WY.SZ.65-202504-0023</t>
  </si>
  <si>
    <t>0030</t>
  </si>
  <si>
    <t>转 WY.SZ.65-202504-0023</t>
  </si>
  <si>
    <t>CF250414000246</t>
  </si>
  <si>
    <t>AP-202504-0039154</t>
  </si>
  <si>
    <t>FK250411000693</t>
  </si>
  <si>
    <t>FK-WY.SZ.65-20250415-000033</t>
  </si>
  <si>
    <t>2025-04-11</t>
  </si>
  <si>
    <t>771857932006</t>
  </si>
  <si>
    <t>中国银行股份有限公司深圳南油支行</t>
  </si>
  <si>
    <t>深圳非住三片区南山分局项目2025年2月电梯报销单</t>
  </si>
  <si>
    <t>2025-05-23</t>
  </si>
  <si>
    <t>WY.SZ.65-202505-0024</t>
  </si>
  <si>
    <t>0022</t>
  </si>
  <si>
    <t>2025-05-31</t>
  </si>
  <si>
    <t>转 WY.SZ.65-202505-0024</t>
  </si>
  <si>
    <t>外包服务费.电梯维保外包</t>
  </si>
  <si>
    <t>CF250411000375</t>
  </si>
  <si>
    <t>2025年5期</t>
  </si>
  <si>
    <t>AP-202504-0038423</t>
  </si>
  <si>
    <t>FK250411000663</t>
  </si>
  <si>
    <t>FK-WY.SZ.65-20250415-000036</t>
  </si>
  <si>
    <t>41019400040066293</t>
  </si>
  <si>
    <t>中国农业银行深圳宝安支行</t>
  </si>
  <si>
    <t>深圳非住三片区南山分局项目2025年1月份化粪池报销单</t>
  </si>
  <si>
    <t>WY.SZ.65-202505-0023</t>
  </si>
  <si>
    <t>0026</t>
  </si>
  <si>
    <t>转 WY.SZ.65-202505-0023</t>
  </si>
  <si>
    <t>化粪池清掏</t>
  </si>
  <si>
    <t>外包服务费.保洁外包</t>
  </si>
  <si>
    <t>CF250411000354</t>
  </si>
  <si>
    <t>AP-202504-0038407</t>
  </si>
  <si>
    <t>FK250410000716</t>
  </si>
  <si>
    <t>FK-WY.SZ.65-20250417-000037</t>
  </si>
  <si>
    <t>2025-04-10</t>
  </si>
  <si>
    <t>深圳非住三片区南山分局项目3月公用车电瓶报销单</t>
  </si>
  <si>
    <t>2025-05-09</t>
  </si>
  <si>
    <t>WY.SZ.65-202505-0004</t>
  </si>
  <si>
    <t>0004</t>
  </si>
  <si>
    <t>转 WY.SZ.65-202505-0004</t>
  </si>
  <si>
    <t>虚拟/通用编码</t>
  </si>
  <si>
    <t>CF250331000254</t>
  </si>
  <si>
    <t>AP-202503-0033435</t>
  </si>
  <si>
    <t>FK250410000681</t>
  </si>
  <si>
    <t>FK-WY.SZ.65-20250415-000034</t>
  </si>
  <si>
    <t>深圳非住三片区南山分局项目1-2月工程物资报销单</t>
  </si>
  <si>
    <t>2025-04-15</t>
  </si>
  <si>
    <t>WY.SZ.65-202504-0022</t>
  </si>
  <si>
    <t>0029</t>
  </si>
  <si>
    <t>转 WY.SZ.65-202504-0022</t>
  </si>
  <si>
    <t>CF250331000257</t>
  </si>
  <si>
    <t>AP-202503-0033434</t>
  </si>
  <si>
    <t>FK250409000256</t>
  </si>
  <si>
    <t>FK-WY.SZ.65-20250415-000035</t>
  </si>
  <si>
    <t>2025-04-09</t>
  </si>
  <si>
    <t>1202020719906677353</t>
  </si>
  <si>
    <t>中国工商银行杭州市解放路支行</t>
  </si>
  <si>
    <t>深圳非住三片区南山分局项目1月份立体停车库报销单</t>
  </si>
  <si>
    <t>WY.SZ.65-202506-0013</t>
  </si>
  <si>
    <t>0015</t>
  </si>
  <si>
    <t>转 WY.SZ.65-202506-0013</t>
  </si>
  <si>
    <t>CF250312000468</t>
  </si>
  <si>
    <t>AP-202503-0026042</t>
  </si>
  <si>
    <t>FK250409000232</t>
  </si>
  <si>
    <t>FK-WY.SZ.65-20250414-000030</t>
  </si>
  <si>
    <t>深圳非住三片区南山分局项目化粪池2024年12月份报销单</t>
  </si>
  <si>
    <t>WY.SZ.65-202505-0025</t>
  </si>
  <si>
    <t>转 WY.SZ.65-202505-0025</t>
  </si>
  <si>
    <t>CF250409000132</t>
  </si>
  <si>
    <t>AP-202504-0036781</t>
  </si>
  <si>
    <t>FK250402000782</t>
  </si>
  <si>
    <t>FK-WY.SZ.65-20250409-000029</t>
  </si>
  <si>
    <t>2025-04-02</t>
  </si>
  <si>
    <t>深圳非住三片区南山分局项目2025年1月份电梯报销单</t>
  </si>
  <si>
    <t>CF250402000344</t>
  </si>
  <si>
    <t>AP-202504-0034451</t>
  </si>
  <si>
    <t>FK250320000738</t>
  </si>
  <si>
    <t>FK-WY.SZ.65-20250325-000026</t>
  </si>
  <si>
    <t>2025-03-20</t>
  </si>
  <si>
    <t>深圳非住三片区南山分局项目2024年10-12月工程物料费用报销单</t>
  </si>
  <si>
    <t>2025-03-25</t>
  </si>
  <si>
    <t>WY.SZ.65-202504-0004</t>
  </si>
  <si>
    <t>0007</t>
  </si>
  <si>
    <t>转 WY.SZ.65-202504-0004</t>
  </si>
  <si>
    <t>CF250320000379</t>
  </si>
  <si>
    <t>AP-202503-0029613</t>
  </si>
  <si>
    <t>FK250317000701</t>
  </si>
  <si>
    <t>FK-WY.SZ.65-20250324-000025</t>
  </si>
  <si>
    <t>2025-03-17</t>
  </si>
  <si>
    <t>4000022309201717285</t>
  </si>
  <si>
    <t>中国工商银行股份有限公司深圳布吉支行</t>
  </si>
  <si>
    <t>深圳非住三片区南山分局项目2025年3月员工服装报销单</t>
  </si>
  <si>
    <t>2025-03-24</t>
  </si>
  <si>
    <t>WY.SZ.65-202506-0012</t>
  </si>
  <si>
    <t>0016</t>
  </si>
  <si>
    <t>转 WY.SZ.65-202506-0012</t>
  </si>
  <si>
    <t>技能序列服装</t>
  </si>
  <si>
    <t>ZB20220428JCWZ01</t>
  </si>
  <si>
    <t>CF250317000249</t>
  </si>
  <si>
    <t>AP-202503-0027506</t>
  </si>
  <si>
    <t>借款单</t>
  </si>
  <si>
    <t>JK-WY.SZ.65-20250314-000002</t>
  </si>
  <si>
    <t>FK-WY.SZ.65-20250317-000022</t>
  </si>
  <si>
    <t>南山分局项目备用金</t>
  </si>
  <si>
    <t>2025-03-26</t>
  </si>
  <si>
    <t>费用</t>
  </si>
  <si>
    <t>未生成</t>
  </si>
  <si>
    <t>WY.SZ.65-202503-0025</t>
  </si>
  <si>
    <t>0035</t>
  </si>
  <si>
    <t>个人借款</t>
  </si>
  <si>
    <t>转 WY.SZ.65-202503-0025</t>
  </si>
  <si>
    <t>借款.项目备用金</t>
  </si>
  <si>
    <t>职员</t>
  </si>
  <si>
    <t>2025年3期</t>
  </si>
  <si>
    <t>FK250314000358</t>
  </si>
  <si>
    <t>FK-WY.SZ.65-20250319-000023</t>
  </si>
  <si>
    <t>2025-03-14</t>
  </si>
  <si>
    <t>深圳非住三片区南山分局项目2025年2月化粪池清掏费用</t>
  </si>
  <si>
    <t>2025-05-16</t>
  </si>
  <si>
    <t>WY.SZ.65-202505-0012</t>
  </si>
  <si>
    <t>0014</t>
  </si>
  <si>
    <t>转 WY.SZ.65-202505-0012</t>
  </si>
  <si>
    <t>CF250312000467</t>
  </si>
  <si>
    <t>AP-202503-0026043</t>
  </si>
  <si>
    <t>日常报销单</t>
  </si>
  <si>
    <t>FYBX-WY.SZ.65-20250311-000006</t>
  </si>
  <si>
    <t>FK-WY.SZ.65-20250313-000021</t>
  </si>
  <si>
    <t>2025-03-13</t>
  </si>
  <si>
    <t>南山分局项目+油卡充值</t>
  </si>
  <si>
    <t>WY.SZ.65-202504-0003</t>
  </si>
  <si>
    <t>0006</t>
  </si>
  <si>
    <t>费用报销</t>
  </si>
  <si>
    <t>转 WY.SZ.65-202504-0003</t>
  </si>
  <si>
    <t>业务活动.市内交通费</t>
  </si>
  <si>
    <t>FK250312000913</t>
  </si>
  <si>
    <t>FK-WY.SZ.65-20250408-000028</t>
  </si>
  <si>
    <t>2025-03-12</t>
  </si>
  <si>
    <t>41029600040033643</t>
  </si>
  <si>
    <t>中国农业银行深圳民治支行</t>
  </si>
  <si>
    <t>深圳非住三片区南山分局项目外墙清洗服务费报销单</t>
  </si>
  <si>
    <t>2025-04-08</t>
  </si>
  <si>
    <t>WY.SZ.65-202506-0014</t>
  </si>
  <si>
    <t>0010</t>
  </si>
  <si>
    <t>转 WY.SZ.65-202506-0014</t>
  </si>
  <si>
    <t>CF250312000439</t>
  </si>
  <si>
    <t>AP-202503-0025452</t>
  </si>
  <si>
    <t>FK250312000826</t>
  </si>
  <si>
    <t>FK-WY.SZ.65-20250319-000024</t>
  </si>
  <si>
    <t>160800392</t>
  </si>
  <si>
    <t>中国民生银行股份有限公司深圳泰然支行</t>
  </si>
  <si>
    <t>深圳非住三片区南山分局项目对讲机费用报销单</t>
  </si>
  <si>
    <t>2025-03-19</t>
  </si>
  <si>
    <t>WY.SZ.65-202503-0026</t>
  </si>
  <si>
    <t>0036</t>
  </si>
  <si>
    <t>转 WY.SZ.65-202503-0026</t>
  </si>
  <si>
    <t>安防通讯</t>
  </si>
  <si>
    <t>XHWZ-Z-2024-0089</t>
  </si>
  <si>
    <t>CF250305000409</t>
  </si>
  <si>
    <t>AP-202503-0025116</t>
  </si>
  <si>
    <t>FK250312000353</t>
  </si>
  <si>
    <t>FK-WY.SZ.65-20250313-000020</t>
  </si>
  <si>
    <t>付款失败</t>
  </si>
  <si>
    <t>已退单</t>
  </si>
  <si>
    <t>交易结果待查。接口返回：(0)。/银行返回：(SUC0000)</t>
  </si>
  <si>
    <t>CF250312000169</t>
  </si>
  <si>
    <t>AP-202503-0025148</t>
  </si>
  <si>
    <t>FK250303000146</t>
  </si>
  <si>
    <t>FK-WY.SZ.65-20250310-000019</t>
  </si>
  <si>
    <t>2025-03-03</t>
  </si>
  <si>
    <t>深圳非住三片区南山分局项目2月新员工服装报销单</t>
  </si>
  <si>
    <t>2025-03-10</t>
  </si>
  <si>
    <t>WY.SZ.65-202503-0027</t>
  </si>
  <si>
    <t>0037</t>
  </si>
  <si>
    <t>转 WY.SZ.65-202503-0027</t>
  </si>
  <si>
    <t>CF250228000125</t>
  </si>
  <si>
    <t>AP-202503-0020803</t>
  </si>
  <si>
    <t>FK250228000127</t>
  </si>
  <si>
    <t>FK-WY.SZ.65-20250304-000018</t>
  </si>
  <si>
    <t>2025-02-28</t>
  </si>
  <si>
    <t>15000098652529</t>
  </si>
  <si>
    <t>平安银行深圳南海支行</t>
  </si>
  <si>
    <t>深圳非住三片区南山分局项目2025年四害消杀12.15-1.14报销单</t>
  </si>
  <si>
    <t>2025-03-05</t>
  </si>
  <si>
    <t>WY.SZ.65-202504-0015</t>
  </si>
  <si>
    <t>0013</t>
  </si>
  <si>
    <t>转 WY.SZ.65-202504-0015</t>
  </si>
  <si>
    <t>外包服务费.消杀外包</t>
  </si>
  <si>
    <t>CF250228000075</t>
  </si>
  <si>
    <t>AP-202502-0020393</t>
  </si>
  <si>
    <t>FK250225000521</t>
  </si>
  <si>
    <t>FK-WY.SZ.65-20250303-000017</t>
  </si>
  <si>
    <t>2025-02-25</t>
  </si>
  <si>
    <t>深圳非住三片区南山分局项目2025年四害消杀1.15-2.14报销单</t>
  </si>
  <si>
    <t>2025-03-04</t>
  </si>
  <si>
    <t>WY.SZ.65-202504-0009</t>
  </si>
  <si>
    <t>转 WY.SZ.65-202504-0009</t>
  </si>
  <si>
    <t>CF250225000316</t>
  </si>
  <si>
    <t>AP-202502-0019207</t>
  </si>
  <si>
    <t>FK250221000192</t>
  </si>
  <si>
    <t>FK-WY.SZ.65-20250227-000016</t>
  </si>
  <si>
    <t>深圳市清泉智能贸易有限公司</t>
  </si>
  <si>
    <t>2025-02-21</t>
  </si>
  <si>
    <t>755954770610801</t>
  </si>
  <si>
    <t>招商银行股份有限公司深圳百仕达支行</t>
  </si>
  <si>
    <t>深圳市南山分局项目费用报销单</t>
  </si>
  <si>
    <t>WY.SZ.65-202503-0024</t>
  </si>
  <si>
    <t>0032</t>
  </si>
  <si>
    <t>转 WY.SZ.65-202503-0024</t>
  </si>
  <si>
    <t>设备租赁</t>
  </si>
  <si>
    <t>办公事务.设备租赁费</t>
  </si>
  <si>
    <t>QTFW-Z-2024-0249</t>
  </si>
  <si>
    <t>CF250220000116</t>
  </si>
  <si>
    <t>AP-202502-0017847</t>
  </si>
  <si>
    <t>FK250221000150</t>
  </si>
  <si>
    <t>FK-WY.SZ.65-20250227-000015</t>
  </si>
  <si>
    <t>深圳思高电梯有限公司</t>
  </si>
  <si>
    <t>44201508000052536696</t>
  </si>
  <si>
    <t>中国建设银行股份有限公司深圳上步支行</t>
  </si>
  <si>
    <t>2025-02-27</t>
  </si>
  <si>
    <t>WY.SZ.65-202504-0008</t>
  </si>
  <si>
    <t>转 WY.SZ.65-202504-0008</t>
  </si>
  <si>
    <t>GCFW-Z-2024-1104</t>
  </si>
  <si>
    <t>CF250220000121</t>
  </si>
  <si>
    <t>AP-202502-0017846</t>
  </si>
  <si>
    <t>FK241227000093</t>
  </si>
  <si>
    <t>FK-WY.SZ.65-20250103-000002</t>
  </si>
  <si>
    <t>2024-12-27</t>
  </si>
  <si>
    <t>2025-01-03</t>
  </si>
  <si>
    <t>WY.SZ.65-202502-0033</t>
  </si>
  <si>
    <t>转 WY.SZ.65-202502-0033</t>
  </si>
  <si>
    <t>CF241226000184</t>
  </si>
  <si>
    <t>2025年2期</t>
  </si>
  <si>
    <t>AP-202412-0148147</t>
  </si>
  <si>
    <t>FYBX-WY.SZ.65-20250211-000005</t>
  </si>
  <si>
    <t>FK-WY.SZ.65-20250220-000014</t>
  </si>
  <si>
    <t>2025-02-20</t>
  </si>
  <si>
    <t>南山分局项目+公用车油费</t>
  </si>
  <si>
    <t>WY.SZ.65-202503-0009</t>
  </si>
  <si>
    <t>0019</t>
  </si>
  <si>
    <t>转 WY.SZ.65-202503-0009</t>
  </si>
  <si>
    <t>非并表</t>
  </si>
  <si>
    <t>FK241227000064</t>
  </si>
  <si>
    <t>FK-WY.SZ.65-20250106-000004</t>
  </si>
  <si>
    <t>2025-01-06</t>
  </si>
  <si>
    <t>WY.SZ.65-202502-0028</t>
  </si>
  <si>
    <t>0017</t>
  </si>
  <si>
    <t>转 WY.SZ.65-202502-0028</t>
  </si>
  <si>
    <t>CF241226000187</t>
  </si>
  <si>
    <t>AP-202412-0148149,AP-202412-0148137,AP-202412-0148144</t>
  </si>
  <si>
    <t>CF241226000182</t>
  </si>
  <si>
    <t>CF241226000189</t>
  </si>
  <si>
    <t>FK250214000252</t>
  </si>
  <si>
    <t>FK-WY.SZ.65-20250327-000027</t>
  </si>
  <si>
    <t>2025-02-14</t>
  </si>
  <si>
    <t>2025-03-28</t>
  </si>
  <si>
    <t>WY.SZ.65-202505-0005</t>
  </si>
  <si>
    <t>转 WY.SZ.65-202505-0005</t>
  </si>
  <si>
    <t>CF250214000110</t>
  </si>
  <si>
    <t>AP-202502-0014500</t>
  </si>
  <si>
    <t>FYBX-WY.SZ.65-20250210-000004</t>
  </si>
  <si>
    <t>FK-WY.SZ.65-20250214-000013</t>
  </si>
  <si>
    <t>南山分局项目+12月交通费</t>
  </si>
  <si>
    <t>WY.SZ.65-202503-0011</t>
  </si>
  <si>
    <t>0018</t>
  </si>
  <si>
    <t>转 WY.SZ.65-202503-0011</t>
  </si>
  <si>
    <t>FYBX-WY.SZ.65-20250210-000003</t>
  </si>
  <si>
    <t>FK-WY.SZ.65-20250214-000012</t>
  </si>
  <si>
    <t>春节业务招待费</t>
  </si>
  <si>
    <t>WY.SZ.65-202503-0010</t>
  </si>
  <si>
    <t>转 WY.SZ.65-202503-0010</t>
  </si>
  <si>
    <t>业务活动.业务招待费</t>
  </si>
  <si>
    <t>FK250210000341</t>
  </si>
  <si>
    <t>FK-WY.SZ.65-20250214-000011</t>
  </si>
  <si>
    <t>2025-02-10</t>
  </si>
  <si>
    <t>2025-04-18</t>
  </si>
  <si>
    <t>WY.SZ.65-202504-0020</t>
  </si>
  <si>
    <t>转 WY.SZ.65-202504-0020</t>
  </si>
  <si>
    <t>CF250208000245</t>
  </si>
  <si>
    <t>AP-202502-0012465</t>
  </si>
  <si>
    <t>FK250612000687</t>
  </si>
  <si>
    <t>FK-WY.SZ.65-20250709-000052</t>
  </si>
  <si>
    <t>2025-06-12</t>
  </si>
  <si>
    <t>深圳非住三片区南山分局项目4月清洁物资报销单</t>
  </si>
  <si>
    <t>CF250507000537</t>
  </si>
  <si>
    <t>AP-202505-0048940</t>
  </si>
  <si>
    <t>案场服装</t>
  </si>
  <si>
    <t>FK250612000670</t>
  </si>
  <si>
    <t>FK-WY.SZ.65-20250708-000050</t>
  </si>
  <si>
    <t>深圳非住三片区南山分分局项目3月工程物资报销单</t>
  </si>
  <si>
    <t>2025-07-08</t>
  </si>
  <si>
    <t>2025-07-25</t>
  </si>
  <si>
    <t>WY.SZ.65-202507-0022</t>
  </si>
  <si>
    <t>转 WY.SZ.65-202507-0022</t>
  </si>
  <si>
    <t>CF250515000308</t>
  </si>
  <si>
    <t>AP-202505-0052844</t>
  </si>
  <si>
    <t>FK250612000663</t>
  </si>
  <si>
    <t>FK-WY.SZ.65-20250618-000048</t>
  </si>
  <si>
    <t>深圳非住三片区南山分局项目化粪池3月费用报销单</t>
  </si>
  <si>
    <t>2025-06-19</t>
  </si>
  <si>
    <t>CF250612000369</t>
  </si>
  <si>
    <t>AP-202506-0064114</t>
  </si>
  <si>
    <t>FK250611000277</t>
  </si>
  <si>
    <t>FK-WY.SZ.65-20250714-000053</t>
  </si>
  <si>
    <t>2025-06-11</t>
  </si>
  <si>
    <t>深圳非住三片区南山分局项目6月清洁物料报销单</t>
  </si>
  <si>
    <t>2025-07-15</t>
  </si>
  <si>
    <t>CF250605000396</t>
  </si>
  <si>
    <t>AP-202506-0063260</t>
  </si>
  <si>
    <t>FK250611000243</t>
  </si>
  <si>
    <t>FK-WY.SZ.65-20250615-000044</t>
  </si>
  <si>
    <t>深圳非住三片区南山分局项目化粪池4月份费用报销单</t>
  </si>
  <si>
    <t>2025-06-16</t>
  </si>
  <si>
    <t>CF250604000413</t>
  </si>
  <si>
    <t>AP-202506-0060313</t>
  </si>
  <si>
    <t>FYBX-WY.SZ.65-20250120-000002</t>
  </si>
  <si>
    <t>FK-WY.SZ.65-20250121-000009</t>
  </si>
  <si>
    <t>2025-01-21</t>
  </si>
  <si>
    <t>南山分局项目+业务招待费</t>
  </si>
  <si>
    <t>2025-01-22</t>
  </si>
  <si>
    <t>WY.SZ.65-202503-0012</t>
  </si>
  <si>
    <t>转 WY.SZ.65-202503-0012</t>
  </si>
  <si>
    <t>JK-WY.SZ.65-20250115-000001</t>
  </si>
  <si>
    <t>FK-WY.SZ.65-20250121-000008</t>
  </si>
  <si>
    <t>南山分局项目+开工利是</t>
  </si>
  <si>
    <t>WY.SZ.65-202503-0018</t>
  </si>
  <si>
    <t>转 WY.SZ.65-202503-0018</t>
  </si>
  <si>
    <t>借款.员工借款</t>
  </si>
  <si>
    <t>FK250116001489</t>
  </si>
  <si>
    <t>FK-WY.SZ.65-20250213-000010</t>
  </si>
  <si>
    <t>2025-01-16</t>
  </si>
  <si>
    <t>2025-02-13</t>
  </si>
  <si>
    <t>WY.SZ.65-202504-0021</t>
  </si>
  <si>
    <t>转 WY.SZ.65-202504-0021</t>
  </si>
  <si>
    <t>XHWZ-Z-2024-0010</t>
  </si>
  <si>
    <t>CF250108000042</t>
  </si>
  <si>
    <t>AP-202501-0006106</t>
  </si>
  <si>
    <t>FK241227000078</t>
  </si>
  <si>
    <t>FK-WY.SZ.65-20250103-000003</t>
  </si>
  <si>
    <t>2025-01-10</t>
  </si>
  <si>
    <t>WY.SZ.65-202501-0015</t>
  </si>
  <si>
    <t>0003</t>
  </si>
  <si>
    <t>2025-01-31</t>
  </si>
  <si>
    <t>转 WY.SZ.65-202501-0015</t>
  </si>
  <si>
    <t>CF241226000183</t>
  </si>
  <si>
    <t>2025年1期</t>
  </si>
  <si>
    <t>AP-202412-0148148,AP-202412-0148145</t>
  </si>
  <si>
    <t>CF241226000186</t>
  </si>
  <si>
    <t>FK250106000221</t>
  </si>
  <si>
    <t>FK-WY.SZ.65-20250109-000007</t>
  </si>
  <si>
    <t>2025-01-09</t>
  </si>
  <si>
    <t>WY.SZ.65-202506-0015</t>
  </si>
  <si>
    <t>转 WY.SZ.65-202506-0015</t>
  </si>
  <si>
    <t>CF250106000119</t>
  </si>
  <si>
    <t>AP-202501-0001660,AP-202501-0001661</t>
  </si>
  <si>
    <t>CF250106000122</t>
  </si>
  <si>
    <t>FK250106000090</t>
  </si>
  <si>
    <t>FK-WY.SZ.65-20250108-000005</t>
  </si>
  <si>
    <t>2025-01-08</t>
  </si>
  <si>
    <t>WY.SZ.65-202503-0017</t>
  </si>
  <si>
    <t>0021</t>
  </si>
  <si>
    <t>转 WY.SZ.65-202503-0017</t>
  </si>
  <si>
    <t>CF250106000027</t>
  </si>
  <si>
    <t>AP-202501-0001579</t>
  </si>
  <si>
    <t>FK250106000087</t>
  </si>
  <si>
    <t>FK-WY.SZ.65-20250108-000006</t>
  </si>
  <si>
    <t>WY.SZ.65-202503-0016</t>
  </si>
  <si>
    <t>转 WY.SZ.65-202503-0016</t>
  </si>
  <si>
    <t>CF250106000032</t>
  </si>
  <si>
    <t>AP-202501-0001603,AP-202501-0001600</t>
  </si>
  <si>
    <t>CF250106000033</t>
  </si>
  <si>
    <t>FK250522000169</t>
  </si>
  <si>
    <t>FK-WY.SZ.65-20250715-000056</t>
  </si>
  <si>
    <t>2025-05-22</t>
  </si>
  <si>
    <t>深圳非住三片区南山分局项目5月清洁物料费用报销单</t>
  </si>
  <si>
    <t>CF250521000349</t>
  </si>
  <si>
    <t>AP-202505-0055975</t>
  </si>
  <si>
    <t>FK241227000107</t>
  </si>
  <si>
    <t>FK-WY.SZ.65-20250103-000001</t>
  </si>
  <si>
    <t>WY.SZ.65-202503-0015</t>
  </si>
  <si>
    <t>转 WY.SZ.65-202503-0015</t>
  </si>
  <si>
    <t>ZB20220428JCWZ03</t>
  </si>
  <si>
    <t>CF241225000414</t>
  </si>
  <si>
    <t>AP-202412-0148129,AP-202412-0148127</t>
  </si>
  <si>
    <t>荣尚荟服装</t>
  </si>
  <si>
    <t>CF241225000697</t>
  </si>
  <si>
    <t>FK250515000583</t>
  </si>
  <si>
    <t>FK-WY.SZ.65-20250522-000045</t>
  </si>
  <si>
    <t>2025-05-15</t>
  </si>
  <si>
    <t>深圳非住三片区南山分局项目4月垃圾清运费用报销单</t>
  </si>
  <si>
    <t>2025-07-11</t>
  </si>
  <si>
    <t>WY.SZ.65-202507-0012</t>
  </si>
  <si>
    <t>转 WY.SZ.65-202507-0012</t>
  </si>
  <si>
    <t>CF250515000185</t>
  </si>
  <si>
    <t>AP-202505-0052825</t>
  </si>
  <si>
    <t>FK250515000404</t>
  </si>
  <si>
    <t>FK-WY.SZ.65-20250522-000046</t>
  </si>
  <si>
    <t>深圳非住三片区南山分局项目3月垃圾清运费用报销单</t>
  </si>
  <si>
    <t>WY.SZ.65-202507-0008</t>
  </si>
  <si>
    <t>转 WY.SZ.65-202507-0008</t>
  </si>
  <si>
    <t>CF250515000181</t>
  </si>
  <si>
    <t>AP-202505-0052736</t>
  </si>
  <si>
    <t>FK250515000354</t>
  </si>
  <si>
    <t>FK-WY.SZ.65-20250522-000047</t>
  </si>
  <si>
    <t>深圳非住三片区南山分局项目3月消杀费用报销单</t>
  </si>
  <si>
    <t>WY.SZ.65-202507-0009</t>
  </si>
  <si>
    <t>0011</t>
  </si>
  <si>
    <t>转 WY.SZ.65-202507-0009</t>
  </si>
  <si>
    <t>CF250515000165</t>
  </si>
  <si>
    <t>AP-202505-0052695</t>
  </si>
  <si>
    <t>FK250723000185</t>
  </si>
  <si>
    <t>FK-WY.SZ.65-20250730-000060</t>
  </si>
  <si>
    <t>2025-07-23</t>
  </si>
  <si>
    <t>深圳非住三片区南山分局项目7月清洁物资报销单</t>
  </si>
  <si>
    <t>2025-07-30</t>
  </si>
  <si>
    <t>CF250722000434</t>
  </si>
  <si>
    <t>AP-202507-0082647</t>
  </si>
  <si>
    <t>FK250721001078</t>
  </si>
  <si>
    <t>FK-WY.SZ.65-20250730-000061</t>
  </si>
  <si>
    <t>2025-07-21</t>
  </si>
  <si>
    <t>深圳非住三片区南山分局项目2025年5月化粪池费用报销单</t>
  </si>
  <si>
    <t>CF250721000744</t>
  </si>
  <si>
    <t>AP-202507-0081788</t>
  </si>
  <si>
    <t>FK250721001076</t>
  </si>
  <si>
    <t>FK-WY.SZ.65-20250730-000062</t>
  </si>
  <si>
    <t>深圳非住三片区南山分局项目2025年6月化粪池费用报销单</t>
  </si>
  <si>
    <t>CF250721000743</t>
  </si>
  <si>
    <t>AP-202507-0081787</t>
  </si>
  <si>
    <t>FK250708001043</t>
  </si>
  <si>
    <t>FK-WY.SZ.65-20250715-000057</t>
  </si>
  <si>
    <t>深圳非住三片区南山分局项目2025年4月电梯费用报销单</t>
  </si>
  <si>
    <t>CF250708000509</t>
  </si>
  <si>
    <t>AP-202507-0074826</t>
  </si>
  <si>
    <t>FK250708001021</t>
  </si>
  <si>
    <t>FK-WY.SZ.65-20250715-000059</t>
  </si>
  <si>
    <t>深圳非住三片区南山分局项目2025年5月电梯费用报销单</t>
  </si>
  <si>
    <t>CF250708000473</t>
  </si>
  <si>
    <t>AP-202507-0074815</t>
  </si>
  <si>
    <t>FK250708001003</t>
  </si>
  <si>
    <t>FK-WY.SZ.65-20250715-000058</t>
  </si>
  <si>
    <t>深圳非住三片区南山分局项目2025年6月电梯费用报销单</t>
  </si>
  <si>
    <t>CF250708000461</t>
  </si>
  <si>
    <t>AP-202507-0074807</t>
  </si>
  <si>
    <t>FK250708000984</t>
  </si>
  <si>
    <t>FK-WY.SZ.65-20250715-000054</t>
  </si>
  <si>
    <t>深圳非住三片区南山分局项目2025年5月份费用报销单</t>
  </si>
  <si>
    <t>CF250708000453</t>
  </si>
  <si>
    <t>AP-202507-0074800</t>
  </si>
  <si>
    <t>FK250708000961</t>
  </si>
  <si>
    <t>FK-WY.SZ.65-20250715-000055</t>
  </si>
  <si>
    <t>深圳非住三片区南山分局项目2025年6月份费用报销单</t>
  </si>
  <si>
    <t>CF250708000434</t>
  </si>
  <si>
    <t>AP-202507-0074793</t>
  </si>
  <si>
    <t>FK250703000265</t>
  </si>
  <si>
    <t>FK-WY.SZ.65-20250708-000051</t>
  </si>
  <si>
    <t>2025-07-03</t>
  </si>
  <si>
    <t>深圳非住三片区南山分局项目四害消杀4月费用报销单</t>
  </si>
  <si>
    <t>CF250703000110</t>
  </si>
  <si>
    <t>AP-202507-0072578</t>
  </si>
  <si>
    <t>FK250703000237</t>
  </si>
  <si>
    <t>FK-WY.SZ.65-20250708-000049</t>
  </si>
  <si>
    <t>深圳非住三片区南山分局项目四害消杀5月费用报销单</t>
  </si>
  <si>
    <t>CF250703000109</t>
  </si>
  <si>
    <t>AP-202507-0072571</t>
  </si>
  <si>
    <t>FK250507000237</t>
  </si>
  <si>
    <t>FK-WY.SZ.65-20250513-000042</t>
  </si>
  <si>
    <t>2025-05-07</t>
  </si>
  <si>
    <t>深圳非住三片区南山分局项目2.15-3.14消杀费用报销单</t>
  </si>
  <si>
    <t>2025-05-13</t>
  </si>
  <si>
    <t>2025-06-20</t>
  </si>
  <si>
    <t>WY.SZ.65-202506-0028</t>
  </si>
  <si>
    <t>转 WY.SZ.65-202506-0028</t>
  </si>
  <si>
    <t>CF250507000041</t>
  </si>
  <si>
    <t>AP-202505-0048566</t>
  </si>
  <si>
    <t>FK250507000167</t>
  </si>
  <si>
    <t>FK-WY.SZ.65-20250520-000043</t>
  </si>
  <si>
    <t>深圳非住三片区南山分局项目3月电梯费用报销单</t>
  </si>
  <si>
    <t>2025-05-20</t>
  </si>
  <si>
    <t>WY.SZ.65-202507-0007</t>
  </si>
  <si>
    <t>0008</t>
  </si>
  <si>
    <t>转 WY.SZ.65-202507-0007</t>
  </si>
  <si>
    <t>CF250507000062</t>
  </si>
  <si>
    <t>AP-202505-0048570</t>
  </si>
  <si>
    <t>2025-01</t>
  </si>
  <si>
    <t>2025-02</t>
  </si>
  <si>
    <t>2025-03</t>
  </si>
  <si>
    <t>2025-04</t>
  </si>
  <si>
    <t>2025-05</t>
  </si>
  <si>
    <t>2025-06</t>
  </si>
  <si>
    <t>2025-07</t>
  </si>
  <si>
    <t>2025-08</t>
  </si>
  <si>
    <t>2025-09</t>
  </si>
  <si>
    <t>2025-10</t>
  </si>
  <si>
    <t>2025-11</t>
  </si>
  <si>
    <t>2025-12</t>
  </si>
  <si>
    <t>办公事务.办公能耗</t>
  </si>
  <si>
    <t>办公事务.通讯费</t>
  </si>
  <si>
    <t>办公事务.房租</t>
  </si>
  <si>
    <t>办公事务.物业管理费</t>
  </si>
  <si>
    <t>办公事务.诉讼费</t>
  </si>
  <si>
    <t>业务活动.咨询服务费</t>
  </si>
  <si>
    <t>项目能耗.项目水费</t>
  </si>
  <si>
    <t>项目能耗.项目电费</t>
  </si>
  <si>
    <t>项目能耗.项目燃气费</t>
  </si>
  <si>
    <t>项目能耗.项目暖气费</t>
  </si>
  <si>
    <t>财产费用.财产保险费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</si>
  <si>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</si>
  <si>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</si>
  <si>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</si>
  <si>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</si>
  <si>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</si>
  <si>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</si>
  <si>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</si>
  <si>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</si>
  <si>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</si>
  <si>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</si>
  <si>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</si>
  <si>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</si>
  <si>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</si>
  <si>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</si>
  <si>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</si>
  <si>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</si>
  <si>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</si>
  <si>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</si>
  <si>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</si>
  <si>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</si>
  <si>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</si>
  <si>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</si>
  <si>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</si>
  <si>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</si>
  <si>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</si>
  <si>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</si>
  <si>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</si>
  <si>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</si>
  <si>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</si>
  <si>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</si>
  <si>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</si>
  <si>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</si>
  <si>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</si>
  <si>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</si>
  <si>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</si>
  <si>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</si>
  <si>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</si>
  <si>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</si>
  <si>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</si>
  <si>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</si>
  <si>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</si>
  <si>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</si>
  <si>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</si>
  <si>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</si>
  <si>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</si>
  <si>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</si>
  <si>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</si>
  <si>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</si>
  <si>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</si>
  <si>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</si>
  <si>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</si>
  <si>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</si>
  <si>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</si>
  <si>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</si>
  <si>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</si>
  <si>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</si>
  <si>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</si>
  <si>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</si>
  <si>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</si>
  <si>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</si>
  <si>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</si>
  <si>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</si>
  <si>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</si>
  <si>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</si>
  <si>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</si>
  <si>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</si>
  <si>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</si>
  <si>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</si>
  <si>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</si>
  <si>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</si>
  <si>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</si>
  <si>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</si>
  <si>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</si>
  <si>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</si>
  <si>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</si>
  <si>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</si>
  <si>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</si>
  <si>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</si>
  <si>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</si>
  <si>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</si>
  <si>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</si>
  <si>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</si>
  <si>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</si>
  <si>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</si>
  <si>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</si>
  <si>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</si>
  <si>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</si>
  <si>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</si>
  <si>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</si>
  <si>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</si>
  <si>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</si>
  <si>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</si>
  <si>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</si>
  <si>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</si>
  <si>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</si>
  <si>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</si>
  <si>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</si>
  <si>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</si>
  <si>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</si>
  <si>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</si>
  <si>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</si>
  <si>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</si>
  <si>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</si>
  <si>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</si>
  <si>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</si>
  <si>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</si>
  <si>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</si>
  <si>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</si>
  <si>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</si>
  <si>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</si>
  <si>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</si>
  <si>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</si>
  <si>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</si>
  <si>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</si>
  <si>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</si>
  <si>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</si>
  <si>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</si>
  <si>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</si>
  <si>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</si>
  <si>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</si>
  <si>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</si>
  <si>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</si>
  <si>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</si>
  <si>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</si>
  <si>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</si>
  <si>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</si>
  <si>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</si>
  <si>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</si>
  <si>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</si>
  <si>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</si>
  <si>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</si>
  <si>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</si>
  <si>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</si>
  <si>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</si>
  <si>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</si>
  <si>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</si>
  <si>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</si>
  <si>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</si>
  <si>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</si>
  <si>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</si>
  <si>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</si>
  <si>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</si>
  <si>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</si>
  <si>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</si>
  <si>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</si>
  <si>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</si>
  <si>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</si>
  <si>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</si>
  <si>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</si>
  <si>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</si>
  <si>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</si>
  <si>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</si>
  <si>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</si>
  <si>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</si>
  <si>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</si>
  <si>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</si>
  <si>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</si>
  <si>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</si>
  <si>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</si>
  <si>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</si>
  <si>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</si>
  <si>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</si>
  <si>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</si>
  <si>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</si>
  <si>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</si>
  <si>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</si>
  <si>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</si>
  <si>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</si>
  <si>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</si>
  <si>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</si>
  <si>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</si>
  <si>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</si>
  <si>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</si>
  <si>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</si>
  <si>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</si>
  <si>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</si>
  <si>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</si>
  <si>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</si>
  <si>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</si>
  <si>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</si>
  <si>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</si>
  <si>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</si>
  <si>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</si>
  <si>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</si>
  <si>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</si>
  <si>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</si>
  <si>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</si>
  <si>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</si>
  <si>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</si>
  <si>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</si>
  <si>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</si>
  <si>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</si>
  <si>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</si>
  <si>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</si>
  <si>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</si>
  <si>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</si>
  <si>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</si>
  <si>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</si>
  <si>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</si>
  <si>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</si>
  <si>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</si>
  <si>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</si>
  <si>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</si>
  <si>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</si>
  <si>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</si>
  <si>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</si>
  <si>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</si>
  <si>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</si>
  <si>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</si>
  <si>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</si>
  <si>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</si>
  <si>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</si>
  <si>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</si>
  <si>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</si>
  <si>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</si>
  <si>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</si>
  <si>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</si>
  <si>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</si>
  <si>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</si>
  <si>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</si>
  <si>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</si>
  <si>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</si>
  <si>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</si>
  <si>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</si>
  <si>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</si>
  <si>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</si>
  <si>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</si>
  <si>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</si>
  <si>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</si>
  <si>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</si>
  <si>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</si>
  <si>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</si>
  <si>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</si>
  <si>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</si>
  <si>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</si>
  <si>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</si>
  <si>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</si>
  <si>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</si>
  <si>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</si>
  <si>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</si>
  <si>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</si>
  <si>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</si>
  <si>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</si>
  <si>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</si>
  <si>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</si>
  <si>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</si>
  <si>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</si>
  <si>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</si>
  <si>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</si>
  <si>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</si>
  <si>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</si>
  <si>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</si>
  <si>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</si>
  <si>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</si>
  <si>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</si>
  <si>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</si>
  <si>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</si>
  <si>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</si>
  <si>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</si>
  <si>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</si>
  <si>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</si>
  <si>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</si>
  <si>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</si>
  <si>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</si>
  <si>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</si>
  <si>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</si>
  <si>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</si>
  <si>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</si>
  <si>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</si>
  <si>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</si>
  <si>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</si>
  <si>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</si>
  <si>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</si>
  <si>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</si>
  <si>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</si>
  <si>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</si>
  <si>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</si>
  <si>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</si>
  <si>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</si>
  <si>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</si>
  <si>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</si>
  <si>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</si>
  <si>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</si>
  <si>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</si>
  <si>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</si>
  <si>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</si>
  <si>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</si>
  <si>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</si>
  <si>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</si>
  <si>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</si>
  <si>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</si>
  <si>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</si>
  <si>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</si>
  <si>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</si>
  <si>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</si>
  <si>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</si>
  <si>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</si>
  <si>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</si>
  <si>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</si>
  <si>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</si>
  <si>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</si>
  <si>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</si>
  <si>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</si>
  <si>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</si>
  <si>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</si>
  <si>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</si>
  <si>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</si>
  <si>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</si>
  <si>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</si>
  <si>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</si>
  <si>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</si>
  <si>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</si>
  <si>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</si>
  <si>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</si>
  <si>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</si>
  <si>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</si>
  <si>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</si>
  <si>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</si>
  <si>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</si>
  <si>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</si>
  <si>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</si>
  <si>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</si>
  <si>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</si>
  <si>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</si>
  <si>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</si>
  <si>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</si>
  <si>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</si>
  <si>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</si>
  <si>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</si>
  <si>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</si>
  <si>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</si>
  <si>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</si>
  <si>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</si>
  <si>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</si>
  <si>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</si>
  <si>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</si>
  <si>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</si>
  <si>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</si>
  <si>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</si>
  <si>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</si>
  <si>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</si>
  <si>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</si>
  <si>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</si>
  <si>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</si>
  <si>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</si>
  <si>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</si>
  <si>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</si>
  <si>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</si>
  <si>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</si>
  <si>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</si>
  <si>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</si>
  <si>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</si>
  <si>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</si>
  <si>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</si>
  <si>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</si>
  <si>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</si>
  <si>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</si>
  <si>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</si>
  <si>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</si>
  <si>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</si>
  <si>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</si>
  <si>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</si>
  <si>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</si>
  <si>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</si>
  <si>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</si>
  <si>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</si>
  <si>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</si>
  <si>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</si>
  <si>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</si>
  <si>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</si>
  <si>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</si>
  <si>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</si>
  <si>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</si>
  <si>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</si>
  <si>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</si>
  <si>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</si>
  <si>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</si>
  <si>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</si>
  <si>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</si>
  <si>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</si>
  <si>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</si>
  <si>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</si>
  <si>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</si>
  <si>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</si>
  <si>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</si>
  <si>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</si>
  <si>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</si>
  <si>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</si>
  <si>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</si>
  <si>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</si>
  <si>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</si>
  <si>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</si>
  <si>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</si>
  <si>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</si>
  <si>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</si>
  <si>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</si>
  <si>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</si>
  <si>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</si>
  <si>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</si>
  <si>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</si>
  <si>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</si>
  <si>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</si>
  <si>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</si>
  <si>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</si>
  <si>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</si>
  <si>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</si>
  <si>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</si>
  <si>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</si>
  <si>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</si>
  <si>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</si>
  <si>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</si>
  <si>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</si>
  <si>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</si>
  <si>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</si>
  <si>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</si>
  <si>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</si>
  <si>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</si>
  <si>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</si>
  <si>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</si>
  <si>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</si>
  <si>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</si>
  <si>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</si>
  <si>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</si>
  <si>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</si>
  <si>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</si>
  <si>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</si>
  <si>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</si>
  <si>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</si>
  <si>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</si>
  <si>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</si>
  <si>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</si>
  <si>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</si>
  <si>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</si>
  <si>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</si>
  <si>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</si>
  <si>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</si>
  <si>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</si>
  <si>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</si>
  <si>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</si>
  <si>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</si>
  <si>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</si>
  <si>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</si>
  <si>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</si>
  <si>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</si>
  <si>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</si>
  <si>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</si>
  <si>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</si>
  <si>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</si>
  <si>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</si>
  <si>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</si>
  <si>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</si>
  <si>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</si>
  <si>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</si>
  <si>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</si>
  <si>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</si>
  <si>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</si>
  <si>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</si>
  <si>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</si>
  <si>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</si>
  <si>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</si>
  <si>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</si>
  <si>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</si>
  <si>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</si>
  <si>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</si>
  <si>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</si>
  <si>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</si>
  <si>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</si>
  <si>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</si>
  <si>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</si>
  <si>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</si>
  <si>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</si>
  <si>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</si>
  <si>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</si>
  <si>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</si>
  <si>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</si>
  <si>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</si>
  <si>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</si>
  <si>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</si>
  <si>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</si>
  <si>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</si>
  <si>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</si>
  <si>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</si>
  <si>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</si>
  <si>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</si>
  <si>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</si>
  <si>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</si>
  <si>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</si>
  <si>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</si>
  <si>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</si>
  <si>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</si>
  <si>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</si>
  <si>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</si>
  <si>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</si>
  <si>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</si>
  <si>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</si>
  <si>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</si>
  <si>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</si>
  <si>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</si>
  <si>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</si>
  <si>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</si>
  <si>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</si>
  <si>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</si>
  <si>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</si>
  <si>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</si>
  <si>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</si>
  <si>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</si>
  <si>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</si>
  <si>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</si>
  <si>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</si>
  <si>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</si>
  <si>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</si>
  <si>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</si>
  <si>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</si>
  <si>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</si>
  <si>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</si>
  <si>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</si>
  <si>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</si>
  <si>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</si>
  <si>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</si>
  <si>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</si>
  <si>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</si>
  <si>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</si>
  <si>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</si>
  <si>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</si>
  <si>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</si>
  <si>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</si>
  <si>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</si>
  <si>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</si>
  <si>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</si>
  <si>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</si>
  <si>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</si>
  <si>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</si>
  <si>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</si>
  <si>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</si>
  <si>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</si>
  <si>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</si>
  <si>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</si>
  <si>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</si>
  <si>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</si>
  <si>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家居生活/日杂生活/清洁用具（更新中）</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</si>
  <si>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</si>
  <si>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</si>
  <si>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</si>
  <si>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</si>
  <si>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</si>
  <si>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</si>
  <si>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</si>
  <si>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</si>
  <si>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</si>
  <si>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</si>
  <si>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</si>
  <si>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</si>
  <si>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</si>
  <si>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</si>
  <si>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</si>
  <si>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</si>
  <si>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</si>
  <si>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</si>
  <si>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</si>
  <si>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</si>
  <si>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</si>
  <si>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</si>
  <si>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</si>
  <si>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</si>
  <si>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</si>
  <si>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</si>
  <si>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</si>
  <si>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</si>
  <si>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</si>
  <si>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</si>
  <si>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</si>
  <si>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</si>
  <si>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</si>
  <si>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</si>
  <si>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</si>
  <si>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</si>
  <si>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</si>
  <si>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</si>
  <si>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</si>
  <si>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</si>
  <si>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</si>
  <si>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</si>
  <si>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</si>
  <si>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</si>
  <si>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</si>
  <si>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</si>
  <si>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</si>
  <si>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</si>
  <si>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</si>
  <si>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</si>
  <si>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</si>
  <si>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</si>
  <si>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</si>
  <si>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</si>
  <si>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</si>
  <si>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</si>
  <si>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</si>
  <si>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</si>
  <si>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</si>
  <si>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</si>
  <si>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</si>
  <si>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</si>
  <si>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</si>
  <si>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</si>
  <si>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</si>
  <si>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</si>
  <si>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</si>
  <si>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</si>
  <si>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</si>
  <si>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</si>
  <si>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</si>
  <si>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</si>
  <si>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</si>
  <si>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</si>
  <si>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</si>
  <si>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</si>
  <si>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</si>
  <si>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</si>
  <si>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清洁物资类/清洁工具/杯刷</t>
  </si>
  <si>
    <t>清洁物资类/清洁工具/玻璃擦</t>
  </si>
  <si>
    <t>清洁物资类/清洁工具/玻璃清洁器</t>
  </si>
  <si>
    <t>清洁物资类/清洁工具/布草车</t>
  </si>
  <si>
    <t>清洁物资类/清洁工具/布草袋</t>
  </si>
  <si>
    <t>清洁物资类/清洁工具/厕所泵</t>
  </si>
  <si>
    <t>清洁物资类/清洁工具/地拖把（更新中）</t>
  </si>
  <si>
    <t>清洁物资类/清洁工具/斗车</t>
  </si>
  <si>
    <t>清洁物资类/清洁工具/火钳</t>
  </si>
  <si>
    <t>清洁物资类/清洁工具/马桶刷</t>
  </si>
  <si>
    <t>清洁物资类/清洁工具/喷壶</t>
  </si>
  <si>
    <t>清洁物资类/清洁工具/清洁手推车</t>
  </si>
  <si>
    <t>清洁物资类/清洁工具/清洁套装</t>
  </si>
  <si>
    <t>清洁物资类/清洁工具/拾物夹</t>
  </si>
  <si>
    <t>清洁物资类/清洁工具/收纳工具</t>
  </si>
  <si>
    <t>清洁物资类/清洁工具/水管</t>
  </si>
  <si>
    <t>清洁物资类/清洁工具/水瓢</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</si>
  <si>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</si>
  <si>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</si>
  <si>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</si>
  <si>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</si>
  <si>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</si>
  <si>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</si>
  <si>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</si>
  <si>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</si>
  <si>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</si>
  <si>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</si>
  <si>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</si>
  <si>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</si>
  <si>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</si>
  <si>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</si>
  <si>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</si>
  <si>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</si>
  <si>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</si>
  <si>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</si>
  <si>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</si>
  <si>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</si>
  <si>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</si>
  <si>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</si>
  <si>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</si>
  <si>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</si>
  <si>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</si>
  <si>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</si>
  <si>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</si>
  <si>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</si>
  <si>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</si>
  <si>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</si>
  <si>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</si>
  <si>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</si>
  <si>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</si>
  <si>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</si>
  <si>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</si>
  <si>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</si>
  <si>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</si>
  <si>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</si>
  <si>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</si>
  <si>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</si>
  <si>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</si>
  <si>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</si>
  <si>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</si>
  <si>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</si>
  <si>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</si>
  <si>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</si>
  <si>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</si>
  <si>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</si>
  <si>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</si>
  <si>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</si>
  <si>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</si>
  <si>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</si>
  <si>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</si>
  <si>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</si>
  <si>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</si>
  <si>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</si>
  <si>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</si>
  <si>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</si>
  <si>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</si>
  <si>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</si>
  <si>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</si>
  <si>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</si>
  <si>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</si>
  <si>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</si>
  <si>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</si>
  <si>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</si>
  <si>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清洁物资类/清洁纸品/大盘纸</t>
  </si>
  <si>
    <t>清洁物资类/清洁纸品/盒纸（更新中）</t>
  </si>
  <si>
    <t>清洁物资类/清洁纸品/马桶坐垫纸</t>
  </si>
  <si>
    <t>清洁物资类/清洁纸品/湿巾</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</si>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</sst>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7">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4"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5" borderId="38" applyNumberFormat="0" applyAlignment="0" applyProtection="0">
      <alignment vertical="center"/>
    </xf>
    <xf numFmtId="0" fontId="57" fillId="46" borderId="39" applyNumberFormat="0" applyAlignment="0" applyProtection="0">
      <alignment vertical="center"/>
    </xf>
    <xf numFmtId="0" fontId="58" fillId="46" borderId="38" applyNumberFormat="0" applyAlignment="0" applyProtection="0">
      <alignment vertical="center"/>
    </xf>
    <xf numFmtId="0" fontId="59" fillId="47"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8" borderId="0" applyNumberFormat="0" applyBorder="0" applyAlignment="0" applyProtection="0">
      <alignment vertical="center"/>
    </xf>
    <xf numFmtId="0" fontId="63" fillId="49" borderId="0" applyNumberFormat="0" applyBorder="0" applyAlignment="0" applyProtection="0">
      <alignment vertical="center"/>
    </xf>
    <xf numFmtId="0" fontId="64" fillId="50" borderId="0" applyNumberFormat="0" applyBorder="0" applyAlignment="0" applyProtection="0">
      <alignment vertical="center"/>
    </xf>
    <xf numFmtId="0" fontId="65" fillId="13" borderId="0" applyNumberFormat="0" applyBorder="0" applyAlignment="0" applyProtection="0">
      <alignment vertical="center"/>
    </xf>
    <xf numFmtId="0" fontId="66" fillId="37" borderId="0" applyNumberFormat="0" applyBorder="0" applyAlignment="0" applyProtection="0">
      <alignment vertical="center"/>
    </xf>
    <xf numFmtId="0" fontId="66" fillId="33" borderId="0" applyNumberFormat="0" applyBorder="0" applyAlignment="0" applyProtection="0">
      <alignment vertical="center"/>
    </xf>
    <xf numFmtId="0" fontId="65" fillId="51" borderId="0" applyNumberFormat="0" applyBorder="0" applyAlignment="0" applyProtection="0">
      <alignment vertical="center"/>
    </xf>
    <xf numFmtId="0" fontId="65" fillId="17" borderId="0" applyNumberFormat="0" applyBorder="0" applyAlignment="0" applyProtection="0">
      <alignment vertical="center"/>
    </xf>
    <xf numFmtId="0" fontId="66" fillId="52" borderId="0" applyNumberFormat="0" applyBorder="0" applyAlignment="0" applyProtection="0">
      <alignment vertical="center"/>
    </xf>
    <xf numFmtId="0" fontId="66" fillId="53" borderId="0" applyNumberFormat="0" applyBorder="0" applyAlignment="0" applyProtection="0">
      <alignment vertical="center"/>
    </xf>
    <xf numFmtId="0" fontId="65" fillId="54" borderId="0" applyNumberFormat="0" applyBorder="0" applyAlignment="0" applyProtection="0">
      <alignment vertical="center"/>
    </xf>
    <xf numFmtId="0" fontId="65" fillId="5" borderId="0" applyNumberFormat="0" applyBorder="0" applyAlignment="0" applyProtection="0">
      <alignment vertical="center"/>
    </xf>
    <xf numFmtId="0" fontId="66" fillId="36"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8" borderId="0" applyNumberFormat="0" applyBorder="0" applyAlignment="0" applyProtection="0">
      <alignment vertical="center"/>
    </xf>
    <xf numFmtId="0" fontId="66" fillId="38"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59" borderId="0" applyNumberFormat="0" applyBorder="0" applyAlignment="0" applyProtection="0">
      <alignment vertical="center"/>
    </xf>
    <xf numFmtId="0" fontId="66" fillId="60" borderId="0" applyNumberFormat="0" applyBorder="0" applyAlignment="0" applyProtection="0">
      <alignment vertical="center"/>
    </xf>
    <xf numFmtId="0" fontId="66"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6" fillId="64" borderId="0" applyNumberFormat="0" applyBorder="0" applyAlignment="0" applyProtection="0">
      <alignment vertical="center"/>
    </xf>
    <xf numFmtId="0" fontId="66" fillId="65" borderId="0" applyNumberFormat="0" applyBorder="0" applyAlignment="0" applyProtection="0">
      <alignment vertical="center"/>
    </xf>
    <xf numFmtId="0" fontId="65" fillId="66"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69">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2" borderId="0" xfId="0" applyFont="1" applyFill="1" applyAlignment="1">
      <alignment vertical="center"/>
    </xf>
    <xf numFmtId="0" fontId="7" fillId="12"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3" borderId="7"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5"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3" borderId="8"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9" fillId="13" borderId="9"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9" fillId="13" borderId="11" xfId="0" applyFont="1" applyFill="1" applyBorder="1" applyAlignment="1">
      <alignment horizontal="center" vertical="center" wrapText="1"/>
    </xf>
    <xf numFmtId="0" fontId="9" fillId="13" borderId="12" xfId="0" applyFont="1" applyFill="1" applyBorder="1" applyAlignment="1">
      <alignment horizontal="center" vertical="center" wrapText="1"/>
    </xf>
    <xf numFmtId="0" fontId="9" fillId="16" borderId="12" xfId="0" applyFont="1" applyFill="1" applyBorder="1" applyAlignment="1">
      <alignment horizontal="center" vertical="center" wrapText="1"/>
    </xf>
    <xf numFmtId="0" fontId="9" fillId="16" borderId="7" xfId="0" applyFont="1" applyFill="1" applyBorder="1" applyAlignment="1">
      <alignment horizontal="left" vertical="center" wrapText="1"/>
    </xf>
    <xf numFmtId="0" fontId="13" fillId="14" borderId="7" xfId="0" applyFont="1" applyFill="1" applyBorder="1" applyAlignment="1">
      <alignment horizontal="center" vertical="center" wrapText="1"/>
    </xf>
    <xf numFmtId="0" fontId="9" fillId="14" borderId="7" xfId="0" applyFont="1" applyFill="1" applyBorder="1" applyAlignment="1">
      <alignment horizontal="left" vertical="center" wrapText="1"/>
    </xf>
    <xf numFmtId="0" fontId="13"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2" fontId="9"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4" fillId="17"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11"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1" borderId="7"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2"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2"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4" borderId="7" xfId="0" applyNumberFormat="1" applyFont="1" applyFill="1" applyBorder="1" applyAlignment="1">
      <alignment horizontal="left" vertical="center" wrapText="1"/>
    </xf>
    <xf numFmtId="182" fontId="4" fillId="17"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8" borderId="7" xfId="0" applyNumberFormat="1" applyFont="1" applyFill="1" applyBorder="1" applyAlignment="1">
      <alignment horizontal="left" vertical="center" wrapText="1"/>
    </xf>
    <xf numFmtId="182" fontId="11" fillId="3"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6"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6" borderId="14" xfId="0" applyFont="1" applyFill="1" applyBorder="1" applyAlignment="1">
      <alignment horizontal="center" vertical="center" wrapText="1"/>
    </xf>
    <xf numFmtId="0" fontId="9" fillId="16"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3"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23" borderId="15" xfId="0" applyFont="1" applyFill="1" applyBorder="1" applyAlignment="1">
      <alignment horizontal="center" vertical="center" wrapText="1"/>
    </xf>
    <xf numFmtId="182" fontId="11" fillId="24" borderId="7" xfId="0" applyNumberFormat="1" applyFont="1" applyFill="1" applyBorder="1" applyAlignment="1">
      <alignment horizontal="right" vertical="center" wrapText="1"/>
    </xf>
    <xf numFmtId="182" fontId="11" fillId="17" borderId="7" xfId="0" applyNumberFormat="1" applyFont="1" applyFill="1" applyBorder="1" applyAlignment="1">
      <alignment horizontal="right" vertical="center" wrapText="1"/>
    </xf>
    <xf numFmtId="182" fontId="11"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1"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2" fontId="11" fillId="15" borderId="7" xfId="0" applyNumberFormat="1" applyFont="1" applyFill="1" applyBorder="1" applyAlignment="1">
      <alignment horizontal="right" vertical="center" wrapText="1"/>
    </xf>
    <xf numFmtId="182" fontId="11" fillId="15" borderId="7" xfId="0" applyNumberFormat="1" applyFont="1" applyFill="1" applyBorder="1" applyAlignment="1">
      <alignment horizontal="left" vertical="center" wrapText="1"/>
    </xf>
    <xf numFmtId="0" fontId="0" fillId="0" borderId="7" xfId="0" applyBorder="1">
      <alignment vertical="center"/>
    </xf>
    <xf numFmtId="43" fontId="11" fillId="25" borderId="7" xfId="0" applyNumberFormat="1" applyFont="1" applyFill="1" applyBorder="1" applyAlignment="1">
      <alignment horizontal="center" vertical="center" wrapText="1"/>
    </xf>
    <xf numFmtId="43" fontId="11" fillId="25"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3" borderId="7" xfId="0" applyFont="1" applyFill="1" applyBorder="1" applyAlignment="1">
      <alignment horizontal="center" vertical="center"/>
    </xf>
    <xf numFmtId="0" fontId="23" fillId="26"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8"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29" borderId="7" xfId="52" applyNumberFormat="1" applyFont="1" applyFill="1" applyBorder="1" applyAlignment="1">
      <alignment horizontal="center" vertical="center" wrapText="1"/>
    </xf>
    <xf numFmtId="43" fontId="31" fillId="29" borderId="7" xfId="52" applyNumberFormat="1" applyFont="1" applyFill="1" applyBorder="1" applyAlignment="1">
      <alignment horizontal="center" vertical="center" wrapText="1"/>
    </xf>
    <xf numFmtId="176" fontId="31" fillId="29" borderId="7" xfId="52" applyFont="1" applyFill="1" applyBorder="1" applyAlignment="1">
      <alignment horizontal="center" vertical="center" wrapText="1"/>
    </xf>
    <xf numFmtId="0" fontId="9" fillId="30" borderId="7" xfId="0" applyFont="1" applyFill="1" applyBorder="1" applyAlignment="1">
      <alignment horizontal="center" vertical="center"/>
    </xf>
    <xf numFmtId="43" fontId="9" fillId="30" borderId="7" xfId="0" applyNumberFormat="1" applyFont="1" applyFill="1" applyBorder="1" applyAlignment="1">
      <alignment horizontal="center" vertical="center"/>
    </xf>
    <xf numFmtId="187" fontId="9" fillId="30"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1" borderId="7" xfId="0" applyFont="1" applyFill="1" applyBorder="1" applyAlignment="1">
      <alignment horizontal="center" vertical="center"/>
    </xf>
    <xf numFmtId="43" fontId="30" fillId="31" borderId="7" xfId="0" applyNumberFormat="1" applyFont="1" applyFill="1" applyBorder="1" applyAlignment="1">
      <alignment horizontal="center" vertical="center"/>
    </xf>
    <xf numFmtId="187" fontId="30" fillId="31"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9" fillId="13" borderId="7" xfId="0" applyFont="1" applyFill="1" applyBorder="1" applyAlignment="1">
      <alignment horizontal="center" vertical="center"/>
    </xf>
    <xf numFmtId="43" fontId="9" fillId="13" borderId="7" xfId="0" applyNumberFormat="1" applyFont="1" applyFill="1" applyBorder="1" applyAlignment="1">
      <alignment horizontal="center" vertical="center"/>
    </xf>
    <xf numFmtId="187" fontId="9" fillId="13" borderId="7" xfId="0" applyNumberFormat="1" applyFont="1" applyFill="1" applyBorder="1">
      <alignment vertical="center"/>
    </xf>
    <xf numFmtId="0" fontId="4" fillId="33" borderId="7" xfId="0" applyFont="1" applyFill="1" applyBorder="1" applyAlignment="1">
      <alignment horizontal="center" vertical="center" wrapText="1"/>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187" fontId="30" fillId="3" borderId="7" xfId="0" applyNumberFormat="1" applyFont="1" applyFill="1" applyBorder="1" applyProtection="1">
      <alignment vertical="center"/>
      <protection locked="0"/>
    </xf>
    <xf numFmtId="0" fontId="30" fillId="33" borderId="7" xfId="0" applyFont="1" applyFill="1" applyBorder="1">
      <alignment vertical="center"/>
    </xf>
    <xf numFmtId="0" fontId="30" fillId="3" borderId="7" xfId="0" applyFont="1" applyFill="1" applyBorder="1" applyProtection="1">
      <alignment vertical="center"/>
      <protection locked="0"/>
    </xf>
    <xf numFmtId="0" fontId="11" fillId="34"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4" borderId="0" xfId="0" applyFont="1" applyFill="1" applyAlignment="1">
      <alignment horizontal="center" vertical="center"/>
    </xf>
    <xf numFmtId="0" fontId="11" fillId="34" borderId="0" xfId="0" applyFont="1" applyFill="1" applyAlignment="1">
      <alignment horizontal="center" vertical="center" wrapText="1"/>
    </xf>
    <xf numFmtId="0" fontId="32" fillId="0" borderId="0" xfId="0" applyFont="1" applyAlignment="1">
      <alignment horizontal="left" vertical="center"/>
    </xf>
    <xf numFmtId="0" fontId="11" fillId="3" borderId="7" xfId="0" applyFont="1" applyFill="1" applyBorder="1" applyAlignment="1" applyProtection="1">
      <alignment horizontal="center" vertical="center" wrapText="1"/>
      <protection locked="0"/>
    </xf>
    <xf numFmtId="0" fontId="9" fillId="14" borderId="13" xfId="0" applyFont="1" applyFill="1" applyBorder="1" applyAlignment="1">
      <alignment horizontal="center" vertical="center" wrapText="1"/>
    </xf>
    <xf numFmtId="0" fontId="9" fillId="14" borderId="14" xfId="0" applyFont="1" applyFill="1" applyBorder="1" applyAlignment="1">
      <alignment horizontal="center" vertical="center" wrapText="1"/>
    </xf>
    <xf numFmtId="0" fontId="9" fillId="14" borderId="8" xfId="0" applyFont="1" applyFill="1" applyBorder="1" applyAlignment="1">
      <alignment horizontal="center" vertical="center" wrapText="1"/>
    </xf>
    <xf numFmtId="0" fontId="9" fillId="14" borderId="12" xfId="0" applyFont="1" applyFill="1" applyBorder="1" applyAlignment="1">
      <alignment horizontal="center" vertical="center" wrapText="1"/>
    </xf>
    <xf numFmtId="187" fontId="11" fillId="3" borderId="7" xfId="0" applyNumberFormat="1" applyFont="1" applyFill="1" applyBorder="1" applyAlignment="1" applyProtection="1">
      <alignment horizontal="center" vertical="center" wrapText="1"/>
      <protection locked="0"/>
    </xf>
    <xf numFmtId="0" fontId="11" fillId="35" borderId="7" xfId="0" applyFont="1" applyFill="1" applyBorder="1" applyAlignment="1" applyProtection="1">
      <alignment horizontal="center" vertical="center" wrapText="1"/>
      <protection locked="0"/>
    </xf>
    <xf numFmtId="0" fontId="9" fillId="14" borderId="15" xfId="0" applyFont="1" applyFill="1" applyBorder="1" applyAlignment="1">
      <alignment horizontal="center" vertical="center" wrapText="1"/>
    </xf>
    <xf numFmtId="43" fontId="9" fillId="13" borderId="7" xfId="0" applyNumberFormat="1" applyFont="1" applyFill="1" applyBorder="1" applyAlignment="1">
      <alignment horizontal="center" vertical="center" wrapText="1"/>
    </xf>
    <xf numFmtId="43" fontId="9" fillId="13" borderId="7" xfId="0" applyNumberFormat="1" applyFont="1" applyFill="1" applyBorder="1" applyAlignment="1">
      <alignment horizontal="center" vertical="top" wrapText="1"/>
    </xf>
    <xf numFmtId="43" fontId="9"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2"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3" borderId="8" xfId="0" applyNumberFormat="1" applyFont="1" applyFill="1" applyBorder="1" applyAlignment="1">
      <alignment horizontal="center" vertical="center" wrapText="1"/>
    </xf>
    <xf numFmtId="43" fontId="9" fillId="16" borderId="8" xfId="0" applyNumberFormat="1" applyFont="1" applyFill="1" applyBorder="1" applyAlignment="1">
      <alignment horizontal="center" vertical="center" wrapText="1"/>
    </xf>
    <xf numFmtId="49" fontId="9" fillId="16" borderId="7" xfId="0" applyNumberFormat="1" applyFont="1" applyFill="1" applyBorder="1" applyAlignment="1">
      <alignment vertical="center" wrapText="1"/>
    </xf>
    <xf numFmtId="43" fontId="9" fillId="13" borderId="9" xfId="0" applyNumberFormat="1" applyFont="1" applyFill="1" applyBorder="1" applyAlignment="1">
      <alignment horizontal="center" vertical="center" wrapText="1"/>
    </xf>
    <xf numFmtId="43" fontId="9" fillId="13" borderId="10" xfId="0" applyNumberFormat="1" applyFont="1" applyFill="1" applyBorder="1" applyAlignment="1">
      <alignment horizontal="center" vertical="center" wrapText="1"/>
    </xf>
    <xf numFmtId="43" fontId="9" fillId="16" borderId="10" xfId="0" applyNumberFormat="1" applyFont="1" applyFill="1" applyBorder="1" applyAlignment="1">
      <alignment horizontal="center" vertical="center" wrapText="1"/>
    </xf>
    <xf numFmtId="43" fontId="9" fillId="13" borderId="11"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top" wrapText="1"/>
    </xf>
    <xf numFmtId="43" fontId="9" fillId="16" borderId="12" xfId="0" applyNumberFormat="1" applyFont="1" applyFill="1" applyBorder="1" applyAlignment="1">
      <alignment horizontal="center" vertical="top" wrapText="1"/>
    </xf>
    <xf numFmtId="49" fontId="9" fillId="16" borderId="7" xfId="0" applyNumberFormat="1" applyFont="1" applyFill="1" applyBorder="1" applyAlignment="1">
      <alignment horizontal="left" vertical="top" wrapText="1"/>
    </xf>
    <xf numFmtId="43" fontId="9" fillId="16" borderId="7" xfId="0" applyNumberFormat="1" applyFont="1" applyFill="1" applyBorder="1" applyAlignment="1">
      <alignment horizontal="center" vertical="top" wrapText="1"/>
    </xf>
    <xf numFmtId="43" fontId="13" fillId="14" borderId="7" xfId="0" applyNumberFormat="1" applyFont="1" applyFill="1" applyBorder="1" applyAlignment="1">
      <alignment horizontal="center" vertical="center" wrapText="1"/>
    </xf>
    <xf numFmtId="49" fontId="9"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9" fillId="13" borderId="8"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8" borderId="15" xfId="0" applyNumberFormat="1" applyFont="1" applyFill="1" applyBorder="1" applyAlignment="1">
      <alignment horizontal="center" vertical="center" wrapText="1"/>
    </xf>
    <xf numFmtId="43" fontId="11" fillId="25" borderId="15"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center"/>
    </xf>
    <xf numFmtId="43" fontId="9" fillId="13" borderId="14" xfId="0" applyNumberFormat="1" applyFont="1" applyFill="1" applyBorder="1" applyAlignment="1">
      <alignment horizontal="center" vertical="center"/>
    </xf>
    <xf numFmtId="43" fontId="9" fillId="13" borderId="15" xfId="0" applyNumberFormat="1" applyFont="1" applyFill="1" applyBorder="1" applyAlignment="1">
      <alignment horizontal="center" vertical="center"/>
    </xf>
    <xf numFmtId="43" fontId="9" fillId="13" borderId="13"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top" wrapText="1"/>
    </xf>
    <xf numFmtId="43" fontId="11" fillId="3" borderId="7" xfId="0" applyNumberFormat="1" applyFont="1" applyFill="1" applyBorder="1" applyAlignment="1" applyProtection="1">
      <alignment horizontal="center" vertical="center" wrapText="1"/>
      <protection locked="0"/>
    </xf>
    <xf numFmtId="43" fontId="9" fillId="13" borderId="14" xfId="0" applyNumberFormat="1" applyFont="1" applyFill="1" applyBorder="1" applyAlignment="1">
      <alignment horizontal="center" vertical="center" wrapText="1"/>
    </xf>
    <xf numFmtId="43" fontId="9" fillId="13" borderId="15"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top" wrapText="1"/>
    </xf>
    <xf numFmtId="43" fontId="9"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8" borderId="13" xfId="0" applyNumberFormat="1" applyFont="1" applyFill="1" applyBorder="1" applyAlignment="1">
      <alignment horizontal="center" vertical="center" wrapText="1"/>
    </xf>
    <xf numFmtId="43" fontId="11" fillId="3" borderId="13" xfId="0" applyNumberFormat="1" applyFont="1" applyFill="1" applyBorder="1" applyAlignment="1" applyProtection="1">
      <alignment horizontal="center" vertical="center" wrapText="1"/>
      <protection locked="0"/>
    </xf>
    <xf numFmtId="43" fontId="9" fillId="32" borderId="10" xfId="0" applyNumberFormat="1" applyFont="1" applyFill="1" applyBorder="1" applyAlignment="1">
      <alignment horizontal="center" vertical="center" wrapText="1"/>
    </xf>
    <xf numFmtId="43" fontId="9" fillId="32" borderId="10" xfId="0" applyNumberFormat="1" applyFont="1" applyFill="1" applyBorder="1" applyAlignment="1">
      <alignment horizontal="center" vertical="top" wrapText="1"/>
    </xf>
    <xf numFmtId="43" fontId="9"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1" fillId="3" borderId="8" xfId="0" applyNumberFormat="1" applyFont="1" applyFill="1" applyBorder="1" applyAlignment="1" applyProtection="1">
      <alignment horizontal="center" vertical="center" wrapText="1"/>
      <protection locked="0"/>
    </xf>
    <xf numFmtId="43" fontId="11" fillId="3" borderId="12" xfId="0" applyNumberFormat="1" applyFont="1" applyFill="1" applyBorder="1" applyAlignment="1" applyProtection="1">
      <alignment horizontal="center" vertical="center" wrapText="1"/>
      <protection locked="0"/>
    </xf>
    <xf numFmtId="43" fontId="11" fillId="18" borderId="7" xfId="0" applyNumberFormat="1" applyFont="1" applyFill="1" applyBorder="1" applyAlignment="1" applyProtection="1">
      <alignment horizontal="center" vertical="center" wrapText="1"/>
      <protection locked="0"/>
    </xf>
    <xf numFmtId="43" fontId="11" fillId="18" borderId="13" xfId="0" applyNumberFormat="1" applyFont="1" applyFill="1" applyBorder="1" applyAlignment="1" applyProtection="1">
      <alignment horizontal="center" vertical="center" wrapText="1"/>
      <protection locked="0"/>
    </xf>
    <xf numFmtId="43" fontId="11" fillId="25" borderId="13" xfId="0" applyNumberFormat="1" applyFont="1" applyFill="1" applyBorder="1" applyAlignment="1">
      <alignment horizontal="center" vertical="center" wrapText="1"/>
    </xf>
    <xf numFmtId="188" fontId="11"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1"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3" borderId="0" xfId="0" applyFill="1">
      <alignment vertical="center"/>
    </xf>
    <xf numFmtId="0" fontId="0" fillId="28" borderId="0" xfId="0" applyFill="1">
      <alignment vertical="center"/>
    </xf>
    <xf numFmtId="0" fontId="0" fillId="0" borderId="0" xfId="0" applyFill="1">
      <alignment vertical="center"/>
    </xf>
    <xf numFmtId="0" fontId="34" fillId="0" borderId="0" xfId="0" applyFont="1">
      <alignment vertical="center"/>
    </xf>
    <xf numFmtId="0" fontId="35"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6"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5" fillId="0" borderId="0" xfId="0" applyFont="1" applyFill="1">
      <alignment vertical="center"/>
    </xf>
    <xf numFmtId="0" fontId="38" fillId="16" borderId="7" xfId="0" applyFont="1" applyFill="1" applyBorder="1" applyAlignment="1">
      <alignment horizontal="center" vertical="center"/>
    </xf>
    <xf numFmtId="0" fontId="39" fillId="0" borderId="7" xfId="0" applyFont="1" applyFill="1" applyBorder="1" applyAlignment="1">
      <alignment horizontal="center" vertical="center"/>
    </xf>
    <xf numFmtId="0" fontId="34" fillId="0" borderId="0" xfId="0" applyFont="1" applyFill="1" applyAlignment="1">
      <alignment vertical="center"/>
    </xf>
    <xf numFmtId="0" fontId="38" fillId="16" borderId="7" xfId="0" applyFont="1" applyFill="1" applyBorder="1" applyAlignment="1">
      <alignment horizontal="right" wrapText="1"/>
    </xf>
    <xf numFmtId="187" fontId="40" fillId="11" borderId="7" xfId="0" applyNumberFormat="1" applyFont="1" applyFill="1" applyBorder="1" applyAlignment="1">
      <alignment horizontal="right"/>
    </xf>
    <xf numFmtId="0" fontId="38" fillId="16" borderId="7" xfId="0" applyFont="1" applyFill="1" applyBorder="1" applyAlignment="1">
      <alignment horizontal="right"/>
    </xf>
    <xf numFmtId="9" fontId="40" fillId="0" borderId="7" xfId="3" applyFont="1" applyFill="1" applyBorder="1" applyAlignment="1">
      <alignment horizontal="center"/>
    </xf>
    <xf numFmtId="187" fontId="40" fillId="11" borderId="8" xfId="0" applyNumberFormat="1" applyFont="1" applyFill="1" applyBorder="1" applyAlignment="1">
      <alignment horizontal="right"/>
    </xf>
    <xf numFmtId="0" fontId="38" fillId="16"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6" borderId="15" xfId="0" applyFont="1" applyFill="1" applyBorder="1" applyAlignment="1">
      <alignment horizontal="right" wrapText="1"/>
    </xf>
    <xf numFmtId="9" fontId="40" fillId="36"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7" borderId="7" xfId="3" applyNumberFormat="1" applyFont="1" applyFill="1" applyBorder="1" applyAlignment="1">
      <alignment horizontal="center"/>
    </xf>
    <xf numFmtId="9" fontId="41" fillId="0" borderId="15" xfId="3" applyFont="1" applyFill="1" applyBorder="1" applyAlignment="1">
      <alignment horizontal="left"/>
    </xf>
    <xf numFmtId="9" fontId="40" fillId="38"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19" borderId="18" xfId="0" applyFont="1" applyFill="1" applyBorder="1" applyAlignment="1">
      <alignment horizontal="center" vertical="center"/>
    </xf>
    <xf numFmtId="0" fontId="34" fillId="19" borderId="0" xfId="0" applyFont="1" applyFill="1" applyBorder="1" applyAlignment="1">
      <alignment horizontal="center" vertical="center"/>
    </xf>
    <xf numFmtId="0" fontId="43" fillId="16" borderId="16" xfId="0" applyFont="1" applyFill="1" applyBorder="1" applyAlignment="1">
      <alignment horizontal="left" vertical="center"/>
    </xf>
    <xf numFmtId="0" fontId="43" fillId="16"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4" fillId="0" borderId="0" xfId="0" applyFont="1" applyFill="1" applyBorder="1">
      <alignment vertical="center"/>
    </xf>
    <xf numFmtId="0" fontId="38" fillId="16"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5" fillId="32" borderId="15" xfId="0" applyFont="1" applyFill="1" applyBorder="1">
      <alignment vertical="center"/>
    </xf>
    <xf numFmtId="0" fontId="38" fillId="16"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8" fillId="13" borderId="13" xfId="0" applyFont="1" applyFill="1" applyBorder="1" applyAlignment="1">
      <alignment horizontal="center" vertical="center" wrapText="1"/>
    </xf>
    <xf numFmtId="189" fontId="35"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4" fillId="0" borderId="0" xfId="0" applyNumberFormat="1" applyFont="1" applyAlignment="1">
      <alignment vertical="center"/>
    </xf>
    <xf numFmtId="9" fontId="40"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7" borderId="7" xfId="3" applyFont="1" applyFill="1" applyBorder="1" applyAlignment="1">
      <alignment horizontal="center"/>
    </xf>
    <xf numFmtId="187" fontId="34" fillId="0" borderId="0" xfId="0" applyNumberFormat="1" applyFont="1" applyAlignment="1">
      <alignment horizontal="center" vertical="center"/>
    </xf>
    <xf numFmtId="9" fontId="40" fillId="38" borderId="7" xfId="3" applyFont="1" applyFill="1" applyBorder="1" applyAlignment="1">
      <alignment horizontal="center"/>
    </xf>
    <xf numFmtId="187" fontId="0" fillId="0" borderId="0" xfId="0" applyNumberFormat="1" applyAlignment="1">
      <alignment vertical="center"/>
    </xf>
    <xf numFmtId="0" fontId="42" fillId="11" borderId="7" xfId="0" applyNumberFormat="1" applyFont="1" applyFill="1" applyBorder="1" applyAlignment="1">
      <alignment horizontal="center"/>
    </xf>
    <xf numFmtId="0" fontId="34" fillId="32" borderId="0" xfId="0" applyFont="1" applyFill="1" applyAlignment="1">
      <alignment horizontal="center" vertical="center"/>
    </xf>
    <xf numFmtId="187" fontId="34" fillId="0" borderId="11" xfId="0" applyNumberFormat="1" applyFont="1" applyBorder="1" applyAlignment="1">
      <alignment horizontal="center" vertical="center"/>
    </xf>
    <xf numFmtId="0" fontId="36" fillId="19" borderId="0" xfId="0" applyFont="1" applyFill="1" applyBorder="1" applyAlignment="1">
      <alignment horizontal="center" vertical="center"/>
    </xf>
    <xf numFmtId="0" fontId="34" fillId="19" borderId="0" xfId="0" applyFont="1" applyFill="1" applyBorder="1">
      <alignment vertical="center"/>
    </xf>
    <xf numFmtId="0" fontId="34" fillId="19" borderId="0" xfId="0" applyFont="1" applyFill="1" applyAlignment="1">
      <alignment horizontal="center" vertical="center"/>
    </xf>
    <xf numFmtId="0" fontId="34" fillId="19" borderId="0" xfId="0" applyFont="1" applyFill="1">
      <alignment vertical="center"/>
    </xf>
    <xf numFmtId="49" fontId="38" fillId="13" borderId="7" xfId="0" applyNumberFormat="1" applyFont="1" applyFill="1" applyBorder="1" applyAlignment="1">
      <alignment horizontal="center" vertical="center" wrapText="1"/>
    </xf>
    <xf numFmtId="43" fontId="38" fillId="13" borderId="7" xfId="0" applyNumberFormat="1" applyFont="1" applyFill="1" applyBorder="1" applyAlignment="1">
      <alignment horizontal="center" vertical="center" wrapText="1"/>
    </xf>
    <xf numFmtId="49" fontId="32" fillId="17" borderId="7" xfId="0" applyNumberFormat="1" applyFont="1" applyFill="1" applyBorder="1" applyAlignment="1">
      <alignment horizontal="center" vertical="center" wrapText="1"/>
    </xf>
    <xf numFmtId="43" fontId="32" fillId="17" borderId="7" xfId="0" applyNumberFormat="1" applyFont="1" applyFill="1" applyBorder="1" applyAlignment="1">
      <alignment horizontal="center" vertical="center" wrapText="1"/>
    </xf>
    <xf numFmtId="190" fontId="45" fillId="11" borderId="7" xfId="0" applyNumberFormat="1" applyFont="1" applyFill="1" applyBorder="1" applyAlignment="1">
      <alignment horizontal="center" vertical="center"/>
    </xf>
    <xf numFmtId="0" fontId="32" fillId="17"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8" fillId="16" borderId="15" xfId="0" applyFont="1" applyFill="1" applyBorder="1" applyAlignment="1">
      <alignment horizontal="center" vertical="center"/>
    </xf>
    <xf numFmtId="0" fontId="38" fillId="13" borderId="14" xfId="0" applyFont="1" applyFill="1" applyBorder="1" applyAlignment="1">
      <alignment horizontal="center" vertical="center" wrapText="1"/>
    </xf>
    <xf numFmtId="0" fontId="35" fillId="11" borderId="21" xfId="0" applyFont="1" applyFill="1" applyBorder="1" applyAlignment="1">
      <alignment horizontal="center" vertical="center"/>
    </xf>
    <xf numFmtId="0" fontId="35" fillId="11" borderId="15" xfId="0" applyFont="1" applyFill="1" applyBorder="1" applyAlignment="1">
      <alignment horizontal="center" vertical="center"/>
    </xf>
    <xf numFmtId="0" fontId="34" fillId="0" borderId="0" xfId="0" applyFont="1" applyAlignment="1">
      <alignment vertical="center"/>
    </xf>
    <xf numFmtId="187" fontId="34" fillId="0" borderId="9" xfId="0" applyNumberFormat="1" applyFont="1" applyBorder="1" applyAlignment="1">
      <alignment vertical="center"/>
    </xf>
    <xf numFmtId="0" fontId="34" fillId="0" borderId="20" xfId="0" applyFont="1" applyBorder="1" applyAlignment="1">
      <alignment vertical="center"/>
    </xf>
    <xf numFmtId="187" fontId="34" fillId="0" borderId="11" xfId="0" applyNumberFormat="1" applyFont="1" applyBorder="1" applyAlignment="1">
      <alignment vertical="center"/>
    </xf>
    <xf numFmtId="0" fontId="34" fillId="0" borderId="22" xfId="0" applyFont="1" applyBorder="1" applyAlignment="1">
      <alignment vertical="center"/>
    </xf>
    <xf numFmtId="0" fontId="34" fillId="19" borderId="20" xfId="0" applyFont="1" applyFill="1" applyBorder="1">
      <alignment vertical="center"/>
    </xf>
    <xf numFmtId="0" fontId="43" fillId="16"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4" fillId="0" borderId="20" xfId="0" applyFont="1" applyFill="1" applyBorder="1">
      <alignment vertical="center"/>
    </xf>
    <xf numFmtId="0" fontId="35" fillId="0" borderId="0" xfId="0" applyFont="1" applyAlignment="1">
      <alignment vertical="center"/>
    </xf>
    <xf numFmtId="0" fontId="40" fillId="3" borderId="13" xfId="3" applyNumberFormat="1" applyFont="1" applyFill="1" applyBorder="1" applyAlignment="1">
      <alignment horizontal="right"/>
    </xf>
    <xf numFmtId="0" fontId="0" fillId="0" borderId="7" xfId="0" applyBorder="1" applyAlignment="1">
      <alignment horizontal="center" vertical="center"/>
    </xf>
    <xf numFmtId="4" fontId="46" fillId="39" borderId="23" xfId="0" applyNumberFormat="1" applyFont="1" applyFill="1" applyBorder="1" applyAlignment="1" applyProtection="1">
      <alignment horizontal="center" vertical="center"/>
      <protection locked="0"/>
    </xf>
    <xf numFmtId="0" fontId="46"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39" borderId="26" xfId="0" applyNumberFormat="1" applyFont="1" applyFill="1" applyBorder="1" applyAlignment="1" applyProtection="1">
      <alignment horizontal="center" vertical="center"/>
      <protection locked="0"/>
    </xf>
    <xf numFmtId="0" fontId="46"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0" borderId="29" xfId="0" applyNumberFormat="1" applyFont="1" applyFill="1" applyBorder="1" applyAlignment="1" applyProtection="1">
      <alignment horizontal="center" vertical="center"/>
      <protection locked="0"/>
    </xf>
    <xf numFmtId="0" fontId="47"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7" fillId="40" borderId="23" xfId="0" applyNumberFormat="1" applyFont="1" applyFill="1" applyBorder="1" applyAlignment="1" applyProtection="1">
      <alignment horizontal="center" vertical="center"/>
      <protection locked="0"/>
    </xf>
    <xf numFmtId="0" fontId="47" fillId="40" borderId="31" xfId="0" applyFont="1" applyFill="1" applyBorder="1" applyAlignment="1" applyProtection="1">
      <alignment horizontal="center" vertical="center"/>
      <protection locked="0"/>
    </xf>
    <xf numFmtId="0" fontId="47"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0" borderId="33" xfId="0" applyNumberFormat="1" applyFont="1" applyFill="1" applyBorder="1" applyAlignment="1" applyProtection="1">
      <alignment horizontal="center" vertical="center"/>
      <protection locked="0"/>
    </xf>
    <xf numFmtId="0" fontId="47"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7</c:v>
                </c:pt>
                <c:pt idx="2">
                  <c:v>9</c:v>
                </c:pt>
                <c:pt idx="3">
                  <c:v>8</c:v>
                </c:pt>
                <c:pt idx="4">
                  <c:v>8</c:v>
                </c:pt>
                <c:pt idx="5">
                  <c:v>8</c:v>
                </c:pt>
                <c:pt idx="6">
                  <c:v>8</c:v>
                </c:pt>
                <c:pt idx="7">
                  <c:v>8</c:v>
                </c:pt>
                <c:pt idx="8">
                  <c:v>6</c:v>
                </c:pt>
                <c:pt idx="9">
                  <c:v>6</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5</c:v>
                </c:pt>
                <c:pt idx="2">
                  <c:v>3</c:v>
                </c:pt>
                <c:pt idx="3">
                  <c:v>9</c:v>
                </c:pt>
                <c:pt idx="4">
                  <c:v>8</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1</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7</c:v>
                </c:pt>
                <c:pt idx="1">
                  <c:v>13</c:v>
                </c:pt>
                <c:pt idx="2">
                  <c:v>12</c:v>
                </c:pt>
                <c:pt idx="3">
                  <c:v>18</c:v>
                </c:pt>
                <c:pt idx="4">
                  <c:v>16</c:v>
                </c:pt>
                <c:pt idx="5">
                  <c:v>8</c:v>
                </c:pt>
                <c:pt idx="6">
                  <c:v>8</c:v>
                </c:pt>
                <c:pt idx="7">
                  <c:v>8</c:v>
                </c:pt>
                <c:pt idx="8">
                  <c:v>6</c:v>
                </c:pt>
                <c:pt idx="9">
                  <c:v>6</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0.0142217461217296</c:v>
                </c:pt>
                <c:pt idx="1">
                  <c:v>0.98577825387827</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0.0278822085174534</c:v>
                </c:pt>
                <c:pt idx="1">
                  <c:v>0.972117791482547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160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25</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6</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23.5833333333333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0.0148681945630072</c:v>
                </c:pt>
                <c:pt idx="1">
                  <c:v>0.0192195285454305</c:v>
                </c:pt>
                <c:pt idx="2">
                  <c:v>0.0198016799778339</c:v>
                </c:pt>
                <c:pt idx="3">
                  <c:v>0.0266937600591072</c:v>
                </c:pt>
                <c:pt idx="4">
                  <c:v>0.0298917820442862</c:v>
                </c:pt>
                <c:pt idx="5">
                  <c:v>0.0278822085174534</c:v>
                </c:pt>
                <c:pt idx="6">
                  <c:v>0.0264856646308663</c:v>
                </c:pt>
                <c:pt idx="7">
                  <c:v>0.0254187223503411</c:v>
                </c:pt>
                <c:pt idx="8">
                  <c:v>0.0240409937338256</c:v>
                </c:pt>
                <c:pt idx="9">
                  <c:v>0.0220227559341491</c:v>
                </c:pt>
                <c:pt idx="10">
                  <c:v>0.020103416463116</c:v>
                </c:pt>
                <c:pt idx="11">
                  <c:v>0.0181733039225001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77737.4139726028</c:v>
                </c:pt>
                <c:pt idx="1">
                  <c:v>168655.684657534</c:v>
                </c:pt>
                <c:pt idx="2">
                  <c:v>243996.558630137</c:v>
                </c:pt>
                <c:pt idx="3">
                  <c:v>423597.971506849</c:v>
                </c:pt>
                <c:pt idx="4">
                  <c:v>580366.565479452</c:v>
                </c:pt>
                <c:pt idx="5">
                  <c:v>640241.798356165</c:v>
                </c:pt>
                <c:pt idx="6">
                  <c:v>702112.872328767</c:v>
                </c:pt>
                <c:pt idx="7">
                  <c:v>763983.94630137</c:v>
                </c:pt>
                <c:pt idx="8">
                  <c:v>807843.310684932</c:v>
                </c:pt>
                <c:pt idx="9">
                  <c:v>818135.036712329</c:v>
                </c:pt>
                <c:pt idx="10">
                  <c:v>818135.036712329</c:v>
                </c:pt>
                <c:pt idx="11">
                  <c:v>818135.036712329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5228436.69035764</c:v>
                </c:pt>
                <c:pt idx="1">
                  <c:v>8775224.85834507</c:v>
                </c:pt>
                <c:pt idx="2">
                  <c:v>12322013.0263325</c:v>
                </c:pt>
                <c:pt idx="3">
                  <c:v>15868801.1943199</c:v>
                </c:pt>
                <c:pt idx="4">
                  <c:v>19415589.3623073</c:v>
                </c:pt>
                <c:pt idx="5">
                  <c:v>22962377.5302948</c:v>
                </c:pt>
                <c:pt idx="6">
                  <c:v>26509165.6982822</c:v>
                </c:pt>
                <c:pt idx="7">
                  <c:v>30055953.8662696</c:v>
                </c:pt>
                <c:pt idx="8">
                  <c:v>33602742.034257</c:v>
                </c:pt>
                <c:pt idx="9">
                  <c:v>37149530.2022445</c:v>
                </c:pt>
                <c:pt idx="10">
                  <c:v>40696318.3702319</c:v>
                </c:pt>
                <c:pt idx="11">
                  <c:v>45018508.4782193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4333.9265510865</c:v>
                </c:pt>
                <c:pt idx="1">
                  <c:v>117.408372207132</c:v>
                </c:pt>
                <c:pt idx="2">
                  <c:v>17.4049811320754</c:v>
                </c:pt>
                <c:pt idx="3">
                  <c:v>0</c:v>
                </c:pt>
                <c:pt idx="4">
                  <c:v>12.96</c:v>
                </c:pt>
                <c:pt idx="5">
                  <c:v>20.1509433962264</c:v>
                </c:pt>
                <c:pt idx="6">
                  <c:v>4269.21761822642</c:v>
                </c:pt>
                <c:pt idx="7">
                  <c:v>64.7089328600785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2142.47594686008</c:v>
                </c:pt>
                <c:pt idx="1">
                  <c:v>117.408372207132</c:v>
                </c:pt>
                <c:pt idx="2">
                  <c:v>9.72249056603772</c:v>
                </c:pt>
                <c:pt idx="3">
                  <c:v>0</c:v>
                </c:pt>
                <c:pt idx="4">
                  <c:v>6.48</c:v>
                </c:pt>
                <c:pt idx="5">
                  <c:v>20.1509433962264</c:v>
                </c:pt>
                <c:pt idx="6">
                  <c:v>2095.83871211321</c:v>
                </c:pt>
                <c:pt idx="7">
                  <c:v>0</c:v>
                </c:pt>
                <c:pt idx="8">
                  <c:v>46.637234746871</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39.0796438356165</c:v>
                </c:pt>
                <c:pt idx="1">
                  <c:v>22.241797</c:v>
                </c:pt>
                <c:pt idx="2">
                  <c:v>0</c:v>
                </c:pt>
                <c:pt idx="3">
                  <c:v>0</c:v>
                </c:pt>
                <c:pt idx="4">
                  <c:v>2.665889</c:v>
                </c:pt>
                <c:pt idx="5">
                  <c:v>0.03685</c:v>
                </c:pt>
                <c:pt idx="6">
                  <c:v>0</c:v>
                </c:pt>
                <c:pt idx="7">
                  <c:v>0</c:v>
                </c:pt>
                <c:pt idx="8">
                  <c:v>39.1741561643836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0.00901714493196</c:v>
                </c:pt>
                <c:pt idx="1">
                  <c:v>0.189439616459046</c:v>
                </c:pt>
                <c:pt idx="2">
                  <c:v>0</c:v>
                </c:pt>
                <c:pt idx="3">
                  <c:v>0</c:v>
                </c:pt>
                <c:pt idx="4">
                  <c:v>0.205701311728395</c:v>
                </c:pt>
                <c:pt idx="5">
                  <c:v>0.00182869850187266</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0.0182404119368948</c:v>
                </c:pt>
                <c:pt idx="1">
                  <c:v>0.189439616459046</c:v>
                </c:pt>
                <c:pt idx="2">
                  <c:v>0</c:v>
                </c:pt>
                <c:pt idx="3">
                  <c:v>0</c:v>
                </c:pt>
                <c:pt idx="4">
                  <c:v>0.41140262345679</c:v>
                </c:pt>
                <c:pt idx="5">
                  <c:v>0.00182869850187266</c:v>
                </c:pt>
                <c:pt idx="6">
                  <c:v>0</c:v>
                </c:pt>
                <c:pt idx="7">
                  <c:v>0</c:v>
                </c:pt>
                <c:pt idx="8">
                  <c:v>0.839975962919026</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0.0148681945630072</c:v>
                </c:pt>
                <c:pt idx="1">
                  <c:v>0.0256339725911857</c:v>
                </c:pt>
                <c:pt idx="2">
                  <c:v>0.0212419999177323</c:v>
                </c:pt>
                <c:pt idx="3">
                  <c:v>0.0506377613689357</c:v>
                </c:pt>
                <c:pt idx="4">
                  <c:v>0.0442001570287066</c:v>
                </c:pt>
                <c:pt idx="5">
                  <c:v>0.0168815362070771</c:v>
                </c:pt>
                <c:pt idx="6">
                  <c:v>0.0174442540806463</c:v>
                </c:pt>
                <c:pt idx="7">
                  <c:v>0.0174442540806463</c:v>
                </c:pt>
                <c:pt idx="8">
                  <c:v>0.0123659385072464</c:v>
                </c:pt>
                <c:pt idx="9">
                  <c:v>0.00290170304510664</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0.0148681945630072</c:v>
                      </c:pt>
                      <c:pt idx="1">
                        <c:v>0.0192195285454305</c:v>
                      </c:pt>
                      <c:pt idx="2">
                        <c:v>0.0198016799778339</c:v>
                      </c:pt>
                      <c:pt idx="3">
                        <c:v>0.0266937600591072</c:v>
                      </c:pt>
                      <c:pt idx="4">
                        <c:v>0.0298917820442862</c:v>
                      </c:pt>
                      <c:pt idx="5">
                        <c:v>0.0278822085174534</c:v>
                      </c:pt>
                      <c:pt idx="6">
                        <c:v>0.0264856646308663</c:v>
                      </c:pt>
                      <c:pt idx="7">
                        <c:v>0.0254187223503411</c:v>
                      </c:pt>
                      <c:pt idx="8">
                        <c:v>0.0240409937338256</c:v>
                      </c:pt>
                      <c:pt idx="9">
                        <c:v>0.0220227559341491</c:v>
                      </c:pt>
                      <c:pt idx="10">
                        <c:v>0.020103416463116</c:v>
                      </c:pt>
                      <c:pt idx="11">
                        <c:v>0.0181733039225001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77737.4139726028</c:v>
                </c:pt>
                <c:pt idx="1">
                  <c:v>90918.2706849314</c:v>
                </c:pt>
                <c:pt idx="2">
                  <c:v>75340.8739726028</c:v>
                </c:pt>
                <c:pt idx="3">
                  <c:v>179601.412876712</c:v>
                </c:pt>
                <c:pt idx="4">
                  <c:v>156768.593972603</c:v>
                </c:pt>
                <c:pt idx="5">
                  <c:v>59875.2328767124</c:v>
                </c:pt>
                <c:pt idx="6">
                  <c:v>61871.0739726028</c:v>
                </c:pt>
                <c:pt idx="7">
                  <c:v>61871.0739726028</c:v>
                </c:pt>
                <c:pt idx="8">
                  <c:v>43859.3643835617</c:v>
                </c:pt>
                <c:pt idx="9">
                  <c:v>10291.7260273973</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5228436.69035764</c:v>
                </c:pt>
                <c:pt idx="1">
                  <c:v>3546788.16798743</c:v>
                </c:pt>
                <c:pt idx="2">
                  <c:v>3546788.16798743</c:v>
                </c:pt>
                <c:pt idx="3">
                  <c:v>3546788.16798743</c:v>
                </c:pt>
                <c:pt idx="4">
                  <c:v>3546788.16798743</c:v>
                </c:pt>
                <c:pt idx="5">
                  <c:v>3546788.16798743</c:v>
                </c:pt>
                <c:pt idx="6">
                  <c:v>3546788.16798743</c:v>
                </c:pt>
                <c:pt idx="7">
                  <c:v>3546788.16798743</c:v>
                </c:pt>
                <c:pt idx="8">
                  <c:v>3546788.16798743</c:v>
                </c:pt>
                <c:pt idx="9">
                  <c:v>3546788.16798743</c:v>
                </c:pt>
                <c:pt idx="10">
                  <c:v>3546788.16798743</c:v>
                </c:pt>
                <c:pt idx="11">
                  <c:v>4322190.10798742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1" t="s">
        <v>0</v>
      </c>
      <c r="B1" s="441"/>
      <c r="C1" s="441" t="s">
        <v>1</v>
      </c>
      <c r="D1" s="441"/>
    </row>
    <row r="2" spans="1:4">
      <c r="A2" s="441" t="s">
        <v>2</v>
      </c>
      <c r="B2" s="441" t="s">
        <v>3</v>
      </c>
      <c r="C2" s="441" t="s">
        <v>2</v>
      </c>
      <c r="D2" s="441" t="s">
        <v>3</v>
      </c>
    </row>
    <row r="3" ht="16.5" spans="1:4">
      <c r="A3" s="442">
        <v>6400</v>
      </c>
      <c r="B3" s="443" t="s">
        <v>4</v>
      </c>
      <c r="C3" s="444"/>
      <c r="D3" s="445"/>
    </row>
    <row r="4" ht="16.5" spans="1:4">
      <c r="A4" s="446">
        <v>6401</v>
      </c>
      <c r="B4" s="447" t="s">
        <v>5</v>
      </c>
      <c r="C4" s="448"/>
      <c r="D4" s="441"/>
    </row>
    <row r="5" ht="16.5" spans="1:4">
      <c r="A5" s="446">
        <v>6401.03</v>
      </c>
      <c r="B5" s="447" t="s">
        <v>6</v>
      </c>
      <c r="C5" s="448"/>
      <c r="D5" s="441"/>
    </row>
    <row r="6" ht="16.5" spans="1:4">
      <c r="A6" s="449" t="s">
        <v>7</v>
      </c>
      <c r="B6" s="450" t="s">
        <v>8</v>
      </c>
      <c r="C6" s="451">
        <v>1.2</v>
      </c>
      <c r="D6" s="108" t="s">
        <v>9</v>
      </c>
    </row>
    <row r="7" ht="16.5" spans="1:4">
      <c r="A7" s="446" t="s">
        <v>10</v>
      </c>
      <c r="B7" s="447" t="s">
        <v>11</v>
      </c>
      <c r="C7" s="448"/>
      <c r="D7" s="441"/>
    </row>
    <row r="8" ht="16.5" spans="1:4">
      <c r="A8" s="452" t="s">
        <v>12</v>
      </c>
      <c r="B8" s="453" t="s">
        <v>13</v>
      </c>
      <c r="C8" s="454" t="s">
        <v>14</v>
      </c>
      <c r="D8" s="118" t="s">
        <v>15</v>
      </c>
    </row>
    <row r="9" ht="16.5" spans="1:4">
      <c r="A9" s="452" t="s">
        <v>16</v>
      </c>
      <c r="B9" s="453" t="s">
        <v>17</v>
      </c>
      <c r="C9" s="454" t="s">
        <v>18</v>
      </c>
      <c r="D9" s="118" t="s">
        <v>19</v>
      </c>
    </row>
    <row r="10" ht="16.5" spans="1:4">
      <c r="A10" s="455" t="s">
        <v>20</v>
      </c>
      <c r="B10" s="456" t="s">
        <v>21</v>
      </c>
      <c r="C10" s="457" t="s">
        <v>22</v>
      </c>
      <c r="D10" s="458" t="s">
        <v>23</v>
      </c>
    </row>
    <row r="11" ht="16.5" spans="1:4">
      <c r="A11" s="459"/>
      <c r="B11" s="460"/>
      <c r="C11" s="457" t="s">
        <v>24</v>
      </c>
      <c r="D11" s="458" t="s">
        <v>25</v>
      </c>
    </row>
    <row r="12" ht="16.5" spans="1:4">
      <c r="A12" s="452" t="s">
        <v>26</v>
      </c>
      <c r="B12" s="453" t="s">
        <v>27</v>
      </c>
      <c r="C12" s="457" t="s">
        <v>28</v>
      </c>
      <c r="D12" s="458" t="s">
        <v>29</v>
      </c>
    </row>
    <row r="13" ht="16.5" spans="1:4">
      <c r="A13" s="452" t="s">
        <v>30</v>
      </c>
      <c r="B13" s="461" t="s">
        <v>31</v>
      </c>
      <c r="C13" s="462" t="s">
        <v>32</v>
      </c>
      <c r="D13" s="463" t="s">
        <v>33</v>
      </c>
    </row>
    <row r="14" ht="16.5" spans="1:4">
      <c r="A14" s="455" t="s">
        <v>34</v>
      </c>
      <c r="B14" s="456" t="s">
        <v>35</v>
      </c>
      <c r="C14" s="462" t="s">
        <v>36</v>
      </c>
      <c r="D14" s="463" t="s">
        <v>37</v>
      </c>
    </row>
    <row r="15" ht="16.5" spans="1:4">
      <c r="A15" s="464"/>
      <c r="B15" s="465"/>
      <c r="C15" s="462" t="s">
        <v>38</v>
      </c>
      <c r="D15" s="463" t="s">
        <v>39</v>
      </c>
    </row>
    <row r="16" ht="16.5" spans="1:4">
      <c r="A16" s="464"/>
      <c r="B16" s="465"/>
      <c r="C16" s="462" t="s">
        <v>40</v>
      </c>
      <c r="D16" s="463" t="s">
        <v>41</v>
      </c>
    </row>
    <row r="17" ht="16.5" spans="1:4">
      <c r="A17" s="459"/>
      <c r="B17" s="460"/>
      <c r="C17" s="462" t="s">
        <v>42</v>
      </c>
      <c r="D17" s="463" t="s">
        <v>43</v>
      </c>
    </row>
    <row r="18" ht="16.5" spans="1:4">
      <c r="A18" s="452" t="s">
        <v>44</v>
      </c>
      <c r="B18" s="453" t="s">
        <v>45</v>
      </c>
      <c r="C18" s="462" t="s">
        <v>46</v>
      </c>
      <c r="D18" s="463" t="s">
        <v>47</v>
      </c>
    </row>
    <row r="19" ht="33" spans="1:4">
      <c r="A19" s="455" t="s">
        <v>48</v>
      </c>
      <c r="B19" s="456" t="s">
        <v>49</v>
      </c>
      <c r="C19" s="466" t="s">
        <v>50</v>
      </c>
      <c r="D19" s="467" t="s">
        <v>51</v>
      </c>
    </row>
    <row r="20" ht="33" spans="1:4">
      <c r="A20" s="459"/>
      <c r="B20" s="460"/>
      <c r="C20" s="466" t="s">
        <v>52</v>
      </c>
      <c r="D20" s="467" t="s">
        <v>53</v>
      </c>
    </row>
    <row r="21" ht="16.5" spans="1:4">
      <c r="A21" s="455" t="s">
        <v>54</v>
      </c>
      <c r="B21" s="456" t="s">
        <v>55</v>
      </c>
      <c r="C21" s="466" t="s">
        <v>56</v>
      </c>
      <c r="D21" s="467" t="s">
        <v>57</v>
      </c>
    </row>
    <row r="22" ht="16.5" spans="1:4">
      <c r="A22" s="464"/>
      <c r="B22" s="465"/>
      <c r="C22" s="466" t="s">
        <v>58</v>
      </c>
      <c r="D22" s="467" t="s">
        <v>59</v>
      </c>
    </row>
    <row r="23" ht="16.5" spans="1:4">
      <c r="A23" s="459"/>
      <c r="B23" s="460"/>
      <c r="C23" s="466" t="s">
        <v>60</v>
      </c>
      <c r="D23" s="467" t="s">
        <v>61</v>
      </c>
    </row>
    <row r="24" ht="16.5" spans="1:4">
      <c r="A24" s="452" t="s">
        <v>62</v>
      </c>
      <c r="B24" s="453" t="s">
        <v>63</v>
      </c>
      <c r="C24" s="451">
        <v>1.3</v>
      </c>
      <c r="D24" s="108" t="s">
        <v>64</v>
      </c>
    </row>
    <row r="25" ht="16.5" spans="1:4">
      <c r="A25" s="455" t="s">
        <v>65</v>
      </c>
      <c r="B25" s="456" t="s">
        <v>66</v>
      </c>
      <c r="C25" s="457" t="s">
        <v>67</v>
      </c>
      <c r="D25" s="458" t="s">
        <v>68</v>
      </c>
    </row>
    <row r="26" ht="16.5" spans="1:4">
      <c r="A26" s="464"/>
      <c r="B26" s="465"/>
      <c r="C26" s="457" t="s">
        <v>69</v>
      </c>
      <c r="D26" s="458" t="s">
        <v>68</v>
      </c>
    </row>
    <row r="27" ht="16.5" spans="1:4">
      <c r="A27" s="464"/>
      <c r="B27" s="465"/>
      <c r="C27" s="457" t="s">
        <v>70</v>
      </c>
      <c r="D27" s="458" t="s">
        <v>68</v>
      </c>
    </row>
    <row r="28" ht="16.5" spans="1:4">
      <c r="A28" s="464"/>
      <c r="B28" s="465"/>
      <c r="C28" s="457" t="s">
        <v>71</v>
      </c>
      <c r="D28" s="458" t="s">
        <v>68</v>
      </c>
    </row>
    <row r="29" ht="16.5" spans="1:4">
      <c r="A29" s="464"/>
      <c r="B29" s="465"/>
      <c r="C29" s="457" t="s">
        <v>72</v>
      </c>
      <c r="D29" s="458" t="s">
        <v>68</v>
      </c>
    </row>
    <row r="30" ht="16.5" spans="1:4">
      <c r="A30" s="464"/>
      <c r="B30" s="465"/>
      <c r="C30" s="457" t="s">
        <v>73</v>
      </c>
      <c r="D30" s="458" t="s">
        <v>68</v>
      </c>
    </row>
    <row r="31" ht="16.5" spans="1:4">
      <c r="A31" s="464"/>
      <c r="B31" s="465"/>
      <c r="C31" s="457" t="s">
        <v>74</v>
      </c>
      <c r="D31" s="458" t="s">
        <v>68</v>
      </c>
    </row>
    <row r="32" ht="16.5" spans="1:4">
      <c r="A32" s="459"/>
      <c r="B32" s="460"/>
      <c r="C32" s="457" t="s">
        <v>75</v>
      </c>
      <c r="D32" s="458" t="s">
        <v>68</v>
      </c>
    </row>
    <row r="33" ht="16.5" spans="1:4">
      <c r="A33" s="449" t="s">
        <v>76</v>
      </c>
      <c r="B33" s="450" t="s">
        <v>77</v>
      </c>
      <c r="C33" s="21" t="s">
        <v>78</v>
      </c>
      <c r="D33" s="22" t="s">
        <v>79</v>
      </c>
    </row>
    <row r="34" ht="16.5" spans="1:2">
      <c r="A34" s="446" t="s">
        <v>80</v>
      </c>
      <c r="B34" s="447" t="s">
        <v>81</v>
      </c>
    </row>
    <row r="35" ht="16.5" spans="1:4">
      <c r="A35" s="452" t="s">
        <v>82</v>
      </c>
      <c r="B35" s="453" t="s">
        <v>83</v>
      </c>
      <c r="C35" s="21" t="s">
        <v>84</v>
      </c>
      <c r="D35" s="22" t="s">
        <v>85</v>
      </c>
    </row>
    <row r="36" ht="16.5" spans="1:6">
      <c r="A36" s="452" t="s">
        <v>86</v>
      </c>
      <c r="B36" s="453" t="s">
        <v>87</v>
      </c>
      <c r="C36" s="21" t="s">
        <v>88</v>
      </c>
      <c r="D36" s="22" t="s">
        <v>89</v>
      </c>
      <c r="F36" s="9"/>
    </row>
    <row r="37" ht="16.5" spans="1:6">
      <c r="A37" s="452" t="s">
        <v>90</v>
      </c>
      <c r="B37" s="453" t="s">
        <v>91</v>
      </c>
      <c r="C37" s="21" t="s">
        <v>92</v>
      </c>
      <c r="D37" s="22" t="s">
        <v>93</v>
      </c>
      <c r="F37" s="9"/>
    </row>
    <row r="38" ht="16.5" spans="1:4">
      <c r="A38" s="452" t="s">
        <v>94</v>
      </c>
      <c r="B38" s="453" t="s">
        <v>95</v>
      </c>
      <c r="C38" s="21" t="s">
        <v>96</v>
      </c>
      <c r="D38" s="22" t="s">
        <v>97</v>
      </c>
    </row>
    <row r="39" ht="16.5" spans="1:4">
      <c r="A39" s="455" t="s">
        <v>98</v>
      </c>
      <c r="B39" s="456" t="s">
        <v>99</v>
      </c>
      <c r="C39" s="21" t="s">
        <v>100</v>
      </c>
      <c r="D39" s="22" t="s">
        <v>101</v>
      </c>
    </row>
    <row r="40" ht="16.5" spans="1:4">
      <c r="A40" s="459"/>
      <c r="B40" s="460"/>
      <c r="C40" s="21" t="s">
        <v>102</v>
      </c>
      <c r="D40" s="22" t="s">
        <v>103</v>
      </c>
    </row>
    <row r="41" ht="16.5" spans="1:2">
      <c r="A41" s="446" t="s">
        <v>104</v>
      </c>
      <c r="B41" s="447" t="s">
        <v>105</v>
      </c>
    </row>
    <row r="42" ht="16.5" spans="1:4">
      <c r="A42" s="452" t="s">
        <v>106</v>
      </c>
      <c r="B42" s="453" t="s">
        <v>107</v>
      </c>
      <c r="C42" s="457" t="s">
        <v>108</v>
      </c>
      <c r="D42" s="458" t="s">
        <v>109</v>
      </c>
    </row>
    <row r="43" ht="16.5" spans="1:4">
      <c r="A43" s="452" t="s">
        <v>110</v>
      </c>
      <c r="B43" s="453" t="s">
        <v>111</v>
      </c>
      <c r="C43" s="457" t="s">
        <v>112</v>
      </c>
      <c r="D43" s="458" t="s">
        <v>109</v>
      </c>
    </row>
    <row r="44" ht="16.5" spans="1:4">
      <c r="A44" s="452" t="s">
        <v>113</v>
      </c>
      <c r="B44" s="453" t="s">
        <v>114</v>
      </c>
      <c r="C44" s="457" t="s">
        <v>115</v>
      </c>
      <c r="D44" s="458" t="s">
        <v>109</v>
      </c>
    </row>
    <row r="45" ht="16.5" spans="1:4">
      <c r="A45" s="452" t="s">
        <v>116</v>
      </c>
      <c r="B45" s="453" t="s">
        <v>117</v>
      </c>
      <c r="C45" s="457" t="s">
        <v>118</v>
      </c>
      <c r="D45" s="458" t="s">
        <v>109</v>
      </c>
    </row>
    <row r="46" ht="16.5" spans="1:4">
      <c r="A46" s="452" t="s">
        <v>119</v>
      </c>
      <c r="B46" s="453" t="s">
        <v>120</v>
      </c>
      <c r="C46" s="457" t="s">
        <v>121</v>
      </c>
      <c r="D46" s="458" t="s">
        <v>109</v>
      </c>
    </row>
    <row r="47" ht="16.5" spans="1:4">
      <c r="A47" s="452" t="s">
        <v>122</v>
      </c>
      <c r="B47" s="453" t="s">
        <v>123</v>
      </c>
      <c r="C47" s="457" t="s">
        <v>124</v>
      </c>
      <c r="D47" s="458" t="s">
        <v>109</v>
      </c>
    </row>
    <row r="48" ht="16.5" spans="1:4">
      <c r="A48" s="452" t="s">
        <v>125</v>
      </c>
      <c r="B48" s="453" t="s">
        <v>126</v>
      </c>
      <c r="C48" s="457" t="s">
        <v>127</v>
      </c>
      <c r="D48" s="458" t="s">
        <v>109</v>
      </c>
    </row>
    <row r="49" ht="16.5" spans="1:4">
      <c r="A49" s="452" t="s">
        <v>128</v>
      </c>
      <c r="B49" s="453" t="s">
        <v>129</v>
      </c>
      <c r="C49" s="457" t="s">
        <v>130</v>
      </c>
      <c r="D49" s="458" t="s">
        <v>109</v>
      </c>
    </row>
    <row r="50" ht="16.5" spans="1:2">
      <c r="A50" s="446" t="s">
        <v>131</v>
      </c>
      <c r="B50" s="447" t="s">
        <v>132</v>
      </c>
    </row>
    <row r="51" ht="16.5" spans="1:4">
      <c r="A51" s="455" t="s">
        <v>133</v>
      </c>
      <c r="B51" s="456" t="s">
        <v>134</v>
      </c>
      <c r="C51" s="21" t="s">
        <v>135</v>
      </c>
      <c r="D51" s="468" t="s">
        <v>136</v>
      </c>
    </row>
    <row r="52" ht="16.5" spans="1:4">
      <c r="A52" s="459"/>
      <c r="B52" s="460"/>
      <c r="C52" s="21" t="s">
        <v>137</v>
      </c>
      <c r="D52" s="22" t="s">
        <v>138</v>
      </c>
    </row>
    <row r="53" ht="16.5" spans="1:4">
      <c r="A53" s="455" t="s">
        <v>139</v>
      </c>
      <c r="B53" s="456" t="s">
        <v>140</v>
      </c>
      <c r="C53" s="21" t="s">
        <v>141</v>
      </c>
      <c r="D53" s="22" t="s">
        <v>142</v>
      </c>
    </row>
    <row r="54" ht="16.5" spans="1:4">
      <c r="A54" s="459"/>
      <c r="B54" s="460"/>
      <c r="C54" s="21" t="s">
        <v>143</v>
      </c>
      <c r="D54" s="468" t="s">
        <v>144</v>
      </c>
    </row>
    <row r="55" ht="16.5" spans="1:4">
      <c r="A55" s="452" t="s">
        <v>145</v>
      </c>
      <c r="B55" s="453" t="s">
        <v>146</v>
      </c>
      <c r="C55" s="21" t="s">
        <v>147</v>
      </c>
      <c r="D55" s="22" t="s">
        <v>148</v>
      </c>
    </row>
    <row r="56" ht="16.5" spans="1:2">
      <c r="A56" s="446" t="s">
        <v>149</v>
      </c>
      <c r="B56" s="447" t="s">
        <v>150</v>
      </c>
    </row>
    <row r="57" ht="16.5" spans="1:4">
      <c r="A57" s="452" t="s">
        <v>151</v>
      </c>
      <c r="B57" s="453" t="s">
        <v>152</v>
      </c>
      <c r="C57" s="21" t="s">
        <v>153</v>
      </c>
      <c r="D57" s="22" t="s">
        <v>154</v>
      </c>
    </row>
    <row r="58" ht="16.5" spans="1:4">
      <c r="A58" s="452" t="s">
        <v>155</v>
      </c>
      <c r="B58" s="453" t="s">
        <v>156</v>
      </c>
      <c r="C58" s="21" t="s">
        <v>157</v>
      </c>
      <c r="D58" s="22" t="s">
        <v>158</v>
      </c>
    </row>
    <row r="59" ht="16.5" spans="1:2">
      <c r="A59" s="452" t="s">
        <v>159</v>
      </c>
      <c r="B59" s="453" t="s">
        <v>160</v>
      </c>
    </row>
    <row r="60" ht="16.5" spans="1:2">
      <c r="A60" s="452" t="s">
        <v>161</v>
      </c>
      <c r="B60" s="453" t="s">
        <v>162</v>
      </c>
    </row>
    <row r="61" ht="16.5" spans="1:2">
      <c r="A61" s="452" t="s">
        <v>163</v>
      </c>
      <c r="B61" s="453" t="s">
        <v>164</v>
      </c>
    </row>
    <row r="62" ht="16.5" spans="1:2">
      <c r="A62" s="452" t="s">
        <v>165</v>
      </c>
      <c r="B62" s="453" t="s">
        <v>166</v>
      </c>
    </row>
    <row r="63" ht="16.5" spans="1:2">
      <c r="A63" s="452" t="s">
        <v>167</v>
      </c>
      <c r="B63" s="45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ht="51" customHeight="1" spans="2:20">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深圳区域公司深圳市公安局南山分局物业管理服务中心</v>
      </c>
      <c r="E3" s="341"/>
      <c r="F3" s="341"/>
      <c r="G3" s="341"/>
      <c r="H3" s="341"/>
      <c r="I3" s="340" t="s">
        <v>171</v>
      </c>
      <c r="J3" s="341">
        <v>2025</v>
      </c>
      <c r="K3" s="377" t="s">
        <v>172</v>
      </c>
      <c r="L3" s="378">
        <v>6</v>
      </c>
      <c r="M3" s="379" t="s">
        <v>173</v>
      </c>
      <c r="N3" s="380"/>
      <c r="O3" s="377" t="s">
        <v>174</v>
      </c>
      <c r="P3" s="381"/>
      <c r="Q3" s="381"/>
      <c r="R3" s="381"/>
      <c r="S3" s="381"/>
      <c r="T3" s="421"/>
      <c r="AC3" s="439"/>
    </row>
    <row r="4" s="332" customFormat="1" ht="74.1" customHeight="1" spans="1:33">
      <c r="A4" s="342"/>
      <c r="B4" s="343" t="s">
        <v>175</v>
      </c>
      <c r="C4" s="343"/>
      <c r="D4" s="344">
        <f>'2 过程管理表单'!H4/10000</f>
        <v>4501.85084782193</v>
      </c>
      <c r="E4" s="344"/>
      <c r="F4" s="343" t="s">
        <v>176</v>
      </c>
      <c r="G4" s="345"/>
      <c r="H4" s="346">
        <f>L3/12</f>
        <v>0.5</v>
      </c>
      <c r="I4" s="346"/>
      <c r="J4" s="382">
        <f t="shared" ref="J4:J9" si="0">H4</f>
        <v>0.5</v>
      </c>
      <c r="K4" s="383">
        <f t="shared" ref="K4:K9" si="1">1-J4</f>
        <v>0.5</v>
      </c>
      <c r="L4" s="384"/>
      <c r="M4" s="385"/>
      <c r="N4" s="386"/>
      <c r="O4" s="387" t="s">
        <v>177</v>
      </c>
      <c r="P4" s="388">
        <f>SUM(P6:P10)</f>
        <v>214.583333333333</v>
      </c>
      <c r="Q4" s="422" t="s">
        <v>178</v>
      </c>
      <c r="R4" s="423">
        <f>SUM(Q6:Q10)</f>
        <v>20</v>
      </c>
      <c r="S4" s="422" t="s">
        <v>179</v>
      </c>
      <c r="T4" s="424">
        <f>SUM(R6:R10)</f>
        <v>22</v>
      </c>
      <c r="U4" s="425"/>
      <c r="V4" s="425"/>
      <c r="W4" s="425"/>
      <c r="X4" s="425"/>
      <c r="Y4" s="425"/>
      <c r="Z4" s="425"/>
      <c r="AA4" s="425"/>
      <c r="AB4" s="425"/>
      <c r="AC4" s="425"/>
      <c r="AD4" s="425"/>
      <c r="AE4" s="425"/>
      <c r="AF4" s="425"/>
      <c r="AG4" s="425"/>
    </row>
    <row r="5" s="332" customFormat="1" ht="74.1" customHeight="1" spans="1:33">
      <c r="A5" s="342"/>
      <c r="B5" s="343" t="s">
        <v>180</v>
      </c>
      <c r="C5" s="343"/>
      <c r="D5" s="344">
        <f>INDEX('4主要费项费项月累成本使用情况'!C38:N38,MATCH($L$3&amp;"月",表3_3[[#Headers],[1月]:[12月]],0))/10000</f>
        <v>2296.23775302948</v>
      </c>
      <c r="E5" s="344"/>
      <c r="F5" s="343" t="s">
        <v>181</v>
      </c>
      <c r="G5" s="345"/>
      <c r="H5" s="346">
        <f>D6/D4</f>
        <v>0.0142217461217296</v>
      </c>
      <c r="I5" s="346"/>
      <c r="J5" s="389">
        <f t="shared" si="0"/>
        <v>0.0142217461217296</v>
      </c>
      <c r="K5" s="390">
        <f t="shared" si="1"/>
        <v>0.98577825387827</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INDEX('4主要费项费项月累成本使用情况'!C39:N39,MATCH($L$3&amp;"月",表3_3[[#Headers],[1月]:[12月]],0))/10000</f>
        <v>64.0241798356165</v>
      </c>
      <c r="E6" s="347"/>
      <c r="F6" s="343" t="s">
        <v>186</v>
      </c>
      <c r="G6" s="345"/>
      <c r="H6" s="346">
        <f>D6/D5</f>
        <v>0.0278822085174534</v>
      </c>
      <c r="I6" s="346"/>
      <c r="J6" s="393">
        <f t="shared" si="0"/>
        <v>0.0278822085174534</v>
      </c>
      <c r="K6" s="394">
        <f t="shared" si="1"/>
        <v>0.972117791482547</v>
      </c>
      <c r="L6" s="395"/>
      <c r="M6" s="396"/>
      <c r="N6" s="386"/>
      <c r="O6" s="366" t="s">
        <v>187</v>
      </c>
      <c r="P6" s="397">
        <f>'1-2 人员岗位信息'!D7</f>
        <v>160</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INDEX('4主要费项费项月累成本使用情况'!C48:N48,MATCH($L$3&amp;"月",表3_3[[#Headers],[1月]:[12月]],0))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1</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20</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25</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440">
        <v>35</v>
      </c>
      <c r="E9" s="355" t="s">
        <v>197</v>
      </c>
      <c r="F9" s="351" t="s">
        <v>198</v>
      </c>
      <c r="G9" s="345"/>
      <c r="H9" s="356">
        <f>IFERROR(INDEX(劳务外包表!C47:N47,MATCH($L$3&amp;"月",劳务外包表!C1:N1,0))/劳务外包表!N49,"无目标值")</f>
        <v>0</v>
      </c>
      <c r="I9" s="403"/>
      <c r="J9" s="393">
        <f t="shared" si="0"/>
        <v>0</v>
      </c>
      <c r="K9" s="394">
        <f t="shared" si="1"/>
        <v>1</v>
      </c>
      <c r="L9" s="395"/>
      <c r="M9" s="396"/>
      <c r="N9" s="386"/>
      <c r="O9" s="366" t="s">
        <v>199</v>
      </c>
      <c r="P9" s="404">
        <f>'1-2 人员岗位信息'!D155</f>
        <v>6</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t="e" cm="1">
        <f t="array" ref="D10">SUMPRODUCT((TEXT('2-2 引出数据_合同数据仓库'!#REF!,"yyyymm")&lt;=TEXT(DATE(2025,$L$3+1,0),"yyyymm"))*(('2-2 引出数据_合同数据仓库'!#REF!="审核通过")))</f>
        <v>#REF!</v>
      </c>
      <c r="E10" s="357"/>
      <c r="F10" s="343" t="s">
        <v>201</v>
      </c>
      <c r="G10" s="343"/>
      <c r="H10" s="358" t="e" cm="1">
        <f t="array" ref="H10">SUMPRODUCT(--(LEFT('2-1 采购订单物料明细表报表导出'!#REF!,7)&lt;&gt;"")*--(LEFT('2-1 采购订单物料明细表报表导出'!#REF!,7)&lt;=TEXT(DATE(2025,$L$3,1),"yyyy-mm")))</f>
        <v>#REF!</v>
      </c>
      <c r="I10" s="405"/>
      <c r="J10" s="343" t="s">
        <v>202</v>
      </c>
      <c r="K10" s="343"/>
      <c r="L10" s="358" t="e" cm="1">
        <f t="array" ref="L10">SUMPRODUCT((TEXT('2-3 引出列表'!#REF!,"yyyymm")&lt;=TEXT(DATE(2025,$L$3+1,0),"yyyymm"))*(('2-3 引出列表'!#REF!="已审核")+('2-3 引出列表'!#REF!="已付款")))</f>
        <v>#REF!</v>
      </c>
      <c r="M10" s="405"/>
      <c r="N10" s="406"/>
      <c r="O10" s="368" t="s">
        <v>203</v>
      </c>
      <c r="P10" s="407">
        <f>'1-2 人员岗位信息'!D35</f>
        <v>23.5833333333333</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ht="9" customHeight="1" spans="2:20">
      <c r="B11" s="359"/>
      <c r="C11" s="360"/>
      <c r="D11" s="360"/>
      <c r="E11" s="360"/>
      <c r="F11" s="360"/>
      <c r="G11" s="360"/>
      <c r="H11" s="360"/>
      <c r="I11" s="408"/>
      <c r="J11" s="360"/>
      <c r="K11" s="408"/>
      <c r="L11" s="360"/>
      <c r="M11" s="409"/>
      <c r="N11" s="410"/>
      <c r="O11" s="410"/>
      <c r="P11" s="411"/>
      <c r="Q11" s="411"/>
      <c r="R11" s="411"/>
      <c r="S11" s="411"/>
      <c r="T11" s="430"/>
    </row>
    <row r="12" ht="27.95" customHeight="1" spans="2:20">
      <c r="B12" s="361" t="s">
        <v>204</v>
      </c>
      <c r="C12" s="362"/>
      <c r="D12" s="362"/>
      <c r="E12" s="362"/>
      <c r="F12" s="362"/>
      <c r="G12" s="362"/>
      <c r="H12" s="362"/>
      <c r="I12" s="362"/>
      <c r="J12" s="362"/>
      <c r="K12" s="362"/>
      <c r="L12" s="362"/>
      <c r="M12" s="362"/>
      <c r="N12" s="362"/>
      <c r="O12" s="362"/>
      <c r="P12" s="362"/>
      <c r="Q12" s="362"/>
      <c r="R12" s="362"/>
      <c r="S12" s="362"/>
      <c r="T12" s="431"/>
    </row>
    <row r="13" ht="17.1" customHeight="1" spans="2:20">
      <c r="B13" s="363"/>
      <c r="C13" s="364"/>
      <c r="D13" s="364"/>
      <c r="E13" s="364"/>
      <c r="F13" s="364"/>
      <c r="G13" s="364"/>
      <c r="H13" s="364"/>
      <c r="I13" s="364"/>
      <c r="J13" s="364"/>
      <c r="K13" s="364"/>
      <c r="L13" s="364"/>
      <c r="M13" s="364"/>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ht="20.1" customHeight="1" spans="2:20">
      <c r="B36" s="363"/>
      <c r="C36" s="364"/>
      <c r="D36" s="364"/>
      <c r="E36" s="364"/>
      <c r="F36" s="364"/>
      <c r="G36" s="364"/>
      <c r="H36" s="364"/>
      <c r="I36" s="364"/>
      <c r="J36" s="364"/>
      <c r="K36" s="364"/>
      <c r="L36" s="364"/>
      <c r="M36" s="364"/>
      <c r="T36" s="432"/>
    </row>
    <row r="37" ht="20.1" customHeight="1" spans="2:20">
      <c r="B37" s="363"/>
      <c r="C37" s="364"/>
      <c r="D37" s="364"/>
      <c r="E37" s="364"/>
      <c r="F37" s="364"/>
      <c r="G37" s="364"/>
      <c r="H37" s="364"/>
      <c r="I37" s="364"/>
      <c r="J37" s="364"/>
      <c r="K37" s="364"/>
      <c r="L37" s="364"/>
      <c r="M37" s="364"/>
      <c r="T37" s="432"/>
    </row>
    <row r="38" ht="20.1" customHeight="1" spans="2:20">
      <c r="B38" s="363"/>
      <c r="C38" s="364"/>
      <c r="D38" s="364"/>
      <c r="E38" s="364"/>
      <c r="F38" s="364"/>
      <c r="G38" s="364"/>
      <c r="H38" s="364"/>
      <c r="I38" s="364"/>
      <c r="J38" s="364"/>
      <c r="K38" s="364"/>
      <c r="L38" s="364"/>
      <c r="M38" s="364"/>
      <c r="T38" s="432"/>
    </row>
    <row r="39" ht="20.1" customHeight="1" spans="2:20">
      <c r="B39" s="363"/>
      <c r="C39" s="364"/>
      <c r="D39" s="364"/>
      <c r="E39" s="364"/>
      <c r="F39" s="364"/>
      <c r="G39" s="364"/>
      <c r="H39" s="364"/>
      <c r="I39" s="364"/>
      <c r="J39" s="364"/>
      <c r="K39" s="364"/>
      <c r="L39" s="364"/>
      <c r="M39" s="364"/>
      <c r="T39" s="432"/>
    </row>
    <row r="40" ht="20.1" customHeight="1" spans="2:20">
      <c r="B40" s="363"/>
      <c r="C40" s="364"/>
      <c r="D40" s="364"/>
      <c r="E40" s="364"/>
      <c r="F40" s="364"/>
      <c r="G40" s="364"/>
      <c r="H40" s="364"/>
      <c r="I40" s="364"/>
      <c r="J40" s="364"/>
      <c r="K40" s="364"/>
      <c r="L40" s="364"/>
      <c r="M40" s="364"/>
      <c r="T40" s="432"/>
    </row>
    <row r="41" ht="20.1" customHeight="1" spans="2:20">
      <c r="B41" s="363"/>
      <c r="C41" s="364"/>
      <c r="D41" s="364"/>
      <c r="E41" s="364"/>
      <c r="F41" s="364"/>
      <c r="G41" s="364"/>
      <c r="H41" s="364"/>
      <c r="I41" s="364"/>
      <c r="J41" s="364"/>
      <c r="K41" s="364"/>
      <c r="L41" s="364"/>
      <c r="M41" s="364"/>
      <c r="T41" s="432"/>
    </row>
    <row r="42" ht="20.1" customHeight="1" spans="2:20">
      <c r="B42" s="363"/>
      <c r="C42" s="364"/>
      <c r="D42" s="364"/>
      <c r="E42" s="364"/>
      <c r="F42" s="364"/>
      <c r="G42" s="364"/>
      <c r="H42" s="364"/>
      <c r="I42" s="364"/>
      <c r="J42" s="364"/>
      <c r="K42" s="364"/>
      <c r="L42" s="364"/>
      <c r="M42" s="364"/>
      <c r="T42" s="432"/>
    </row>
    <row r="43" ht="20.1" customHeight="1" spans="2:20">
      <c r="B43" s="363"/>
      <c r="C43" s="364"/>
      <c r="D43" s="364"/>
      <c r="E43" s="364"/>
      <c r="F43" s="364"/>
      <c r="G43" s="364"/>
      <c r="H43" s="364"/>
      <c r="I43" s="364"/>
      <c r="J43" s="364"/>
      <c r="K43" s="364"/>
      <c r="L43" s="364"/>
      <c r="M43" s="364"/>
      <c r="T43" s="432"/>
    </row>
    <row r="44" ht="20.1" customHeight="1" spans="2:20">
      <c r="B44" s="370"/>
      <c r="C44" s="371"/>
      <c r="D44" s="371"/>
      <c r="E44" s="371"/>
      <c r="F44" s="371"/>
      <c r="G44" s="371"/>
      <c r="H44" s="371"/>
      <c r="I44" s="371"/>
      <c r="J44" s="371"/>
      <c r="K44" s="371"/>
      <c r="L44" s="371"/>
      <c r="M44" s="371"/>
      <c r="N44" s="369"/>
      <c r="O44" s="369"/>
      <c r="P44" s="371"/>
      <c r="Q44" s="371"/>
      <c r="R44" s="371"/>
      <c r="S44" s="371"/>
      <c r="T44" s="435"/>
    </row>
    <row r="45" ht="27.95" customHeight="1" spans="2:20">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4333.9265510865</v>
      </c>
      <c r="Q48" s="416">
        <f>INDEX('4主要费项费项月累成本使用情况'!C5:N5,MATCH($L$3&amp;"月",表3_3[[#Headers],[1月]:[12月]],0))/10000</f>
        <v>2142.47594686008</v>
      </c>
      <c r="R48" s="416">
        <f>INDEX('4主要费项费项月累成本使用情况'!C3:N3,MATCH($L$3&amp;"月",表3_3[[#Headers],[1月]:[12月]],0))/10000</f>
        <v>39.0796438356165</v>
      </c>
      <c r="S48" s="436">
        <f t="shared" ref="S48:S56" si="2">IFERROR(R48/P48,"无年度目标")</f>
        <v>0.00901714493196</v>
      </c>
      <c r="T48" s="437">
        <f t="shared" ref="T48:T56" si="3">IFERROR(R48/Q48,"无月度目标")</f>
        <v>0.0182404119368948</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117.408372207132</v>
      </c>
      <c r="Q49" s="416">
        <f>INDEX('4主要费项费项月累成本使用情况'!C9:N9,MATCH($L$3&amp;"月",表3_3[[#Headers],[1月]:[12月]],0))/10000</f>
        <v>117.408372207132</v>
      </c>
      <c r="R49" s="416">
        <f>INDEX('4主要费项费项月累成本使用情况'!C7:N7,MATCH($L$3&amp;"月",表3_3[[#Headers],[1月]:[12月]],0))/10000</f>
        <v>22.241797</v>
      </c>
      <c r="S49" s="436">
        <f t="shared" si="2"/>
        <v>0.189439616459046</v>
      </c>
      <c r="T49" s="437">
        <f t="shared" si="3"/>
        <v>0.189439616459046</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17.4049811320754</v>
      </c>
      <c r="Q50" s="416">
        <f>INDEX('4主要费项费项月累成本使用情况'!C13:N13,MATCH($L$3&amp;"月",表3_3[[#Headers],[1月]:[12月]],0))/10000</f>
        <v>9.72249056603772</v>
      </c>
      <c r="R50" s="416">
        <f>INDEX('4主要费项费项月累成本使用情况'!C10:N10,MATCH($L$3&amp;"月",表3_3[[#Headers],[1月]:[12月]],0))/10000</f>
        <v>0</v>
      </c>
      <c r="S50" s="436">
        <f t="shared" si="2"/>
        <v>0</v>
      </c>
      <c r="T50" s="437">
        <f t="shared" si="3"/>
        <v>0</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过程管理表单'!H597/10000</f>
        <v>0</v>
      </c>
      <c r="Q51" s="416">
        <f>INDEX('4主要费项费项月累成本使用情况'!C17:N17,MATCH($L$3&amp;"月",表3_3[[#Headers],[1月]:[12月]],0))/10000</f>
        <v>0</v>
      </c>
      <c r="R51" s="416">
        <f>INDEX('4主要费项费项月累成本使用情况'!C15:N15,MATCH($L$3&amp;"月",表3_3[[#Headers],[1月]:[12月]],0))/10000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过程管理表单'!H603/10000</f>
        <v>12.96</v>
      </c>
      <c r="Q52" s="416">
        <f>INDEX('4主要费项费项月累成本使用情况'!C21:N21,MATCH($L$3&amp;"月",表3_3[[#Headers],[1月]:[12月]],0))/10000</f>
        <v>6.48</v>
      </c>
      <c r="R52" s="416">
        <f>INDEX('4主要费项费项月累成本使用情况'!C19:N19,MATCH($L$3&amp;"月",表3_3[[#Headers],[1月]:[12月]],0))/10000</f>
        <v>2.665889</v>
      </c>
      <c r="S52" s="436">
        <f t="shared" si="2"/>
        <v>0.205701311728395</v>
      </c>
      <c r="T52" s="437">
        <f t="shared" si="3"/>
        <v>0.41140262345679</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过程管理表单'!H616/10000</f>
        <v>20.1509433962264</v>
      </c>
      <c r="Q53" s="416">
        <f>INDEX('4主要费项费项月累成本使用情况'!C25:N25,MATCH($L$3&amp;"月",表3_3[[#Headers],[1月]:[12月]],0))/10000</f>
        <v>20.1509433962264</v>
      </c>
      <c r="R53" s="416">
        <f>INDEX('4主要费项费项月累成本使用情况'!C23:N23,MATCH($L$3&amp;"月",表3_3[[#Headers],[1月]:[12月]],0))/10000</f>
        <v>0.03685</v>
      </c>
      <c r="S53" s="436">
        <f t="shared" si="2"/>
        <v>0.00182869850187266</v>
      </c>
      <c r="T53" s="437">
        <f t="shared" si="3"/>
        <v>0.00182869850187266</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4269.21761822642</v>
      </c>
      <c r="Q54" s="416">
        <f>INDEX('4主要费项费项月累成本使用情况'!C29:N29,MATCH($L$3&amp;"月",表3_3[[#Headers],[1月]:[12月]],0))/10000</f>
        <v>2095.83871211321</v>
      </c>
      <c r="R54" s="416">
        <f>INDEX('4主要费项费项月累成本使用情况'!C27:N27,MATCH($L$3&amp;"月",表3_3[[#Headers],[1月]:[12月]],0))/10000</f>
        <v>0</v>
      </c>
      <c r="S54" s="436">
        <f t="shared" si="2"/>
        <v>0</v>
      </c>
      <c r="T54" s="437">
        <f t="shared" si="3"/>
        <v>0</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64.7089328600785</v>
      </c>
      <c r="Q55" s="416">
        <f>INDEX('4主要费项费项月累成本使用情况'!C33:N33,MATCH($L$3&amp;"月",表3_3[[#Headers],[1月]:[12月]],0))/10000</f>
        <v>0</v>
      </c>
      <c r="R55" s="416">
        <f>INDEX('4主要费项费项月累成本使用情况'!C31:N31,MATCH($L$3&amp;"月",表3_3[[#Headers],[1月]:[12月]],0))/10000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INDEX('4主要费项费项月累成本使用情况'!C37:N37,MATCH($L$3&amp;"月",表3_3[[#Headers],[1月]:[12月]],0))/10000</f>
        <v>46.637234746871</v>
      </c>
      <c r="R56" s="416">
        <f>INDEX('4主要费项费项月累成本使用情况'!C35:N35,MATCH($L$3&amp;"月",表3_3[[#Headers],[1月]:[12月]],0))/10000</f>
        <v>39.1741561643836</v>
      </c>
      <c r="S56" s="436" t="str">
        <f t="shared" si="2"/>
        <v>无年度目标</v>
      </c>
      <c r="T56" s="437">
        <f t="shared" si="3"/>
        <v>0.839975962919026</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pans="2:20">
      <c r="B65" s="363"/>
      <c r="C65" s="364"/>
      <c r="D65" s="364"/>
      <c r="E65" s="364"/>
      <c r="F65" s="364"/>
      <c r="G65" s="364"/>
      <c r="H65" s="364"/>
      <c r="I65" s="364"/>
      <c r="J65" s="364"/>
      <c r="K65" s="364"/>
      <c r="L65" s="364"/>
      <c r="M65" s="364"/>
      <c r="T65" s="432"/>
    </row>
    <row r="66" ht="27.95" customHeight="1" spans="1:20">
      <c r="A66" s="333"/>
      <c r="B66" s="366"/>
      <c r="C66" s="333"/>
      <c r="D66" s="333"/>
      <c r="E66" s="333"/>
      <c r="F66" s="333"/>
      <c r="G66" s="333"/>
      <c r="H66" s="333"/>
      <c r="I66" s="333"/>
      <c r="J66" s="333"/>
      <c r="K66" s="333"/>
      <c r="L66" s="333"/>
      <c r="M66" s="333"/>
      <c r="T66" s="432"/>
    </row>
    <row r="67" spans="2:20">
      <c r="B67" s="363"/>
      <c r="C67" s="364"/>
      <c r="D67" s="364"/>
      <c r="E67" s="364"/>
      <c r="F67" s="364"/>
      <c r="G67" s="364"/>
      <c r="H67" s="364"/>
      <c r="I67" s="364"/>
      <c r="J67" s="364"/>
      <c r="K67" s="364"/>
      <c r="L67" s="364"/>
      <c r="M67" s="364"/>
      <c r="T67" s="432"/>
    </row>
    <row r="68" spans="2:20">
      <c r="B68" s="363"/>
      <c r="C68" s="364"/>
      <c r="D68" s="364"/>
      <c r="E68" s="364"/>
      <c r="F68" s="364"/>
      <c r="G68" s="364"/>
      <c r="H68" s="364"/>
      <c r="I68" s="364"/>
      <c r="J68" s="364"/>
      <c r="K68" s="364"/>
      <c r="L68" s="364"/>
      <c r="M68" s="364"/>
      <c r="T68" s="432"/>
    </row>
    <row r="69" spans="2:20">
      <c r="B69" s="363"/>
      <c r="C69" s="364"/>
      <c r="D69" s="364"/>
      <c r="E69" s="364"/>
      <c r="F69" s="364"/>
      <c r="G69" s="364"/>
      <c r="H69" s="364"/>
      <c r="I69" s="364"/>
      <c r="J69" s="364"/>
      <c r="K69" s="364"/>
      <c r="L69" s="364"/>
      <c r="M69" s="364"/>
      <c r="T69" s="432"/>
    </row>
    <row r="70" spans="2:20">
      <c r="B70" s="370"/>
      <c r="C70" s="371"/>
      <c r="D70" s="371"/>
      <c r="E70" s="371"/>
      <c r="F70" s="371"/>
      <c r="G70" s="371"/>
      <c r="H70" s="371"/>
      <c r="I70" s="371"/>
      <c r="J70" s="371"/>
      <c r="K70" s="371"/>
      <c r="L70" s="371"/>
      <c r="M70" s="371"/>
      <c r="N70" s="369"/>
      <c r="O70" s="369"/>
      <c r="P70" s="371"/>
      <c r="Q70" s="371"/>
      <c r="R70" s="371"/>
      <c r="S70" s="371"/>
      <c r="T70" s="435"/>
    </row>
    <row r="71" ht="27.95" customHeight="1" spans="2:20">
      <c r="B71" s="361" t="s">
        <v>225</v>
      </c>
      <c r="C71" s="362"/>
      <c r="D71" s="362"/>
      <c r="E71" s="362"/>
      <c r="F71" s="362"/>
      <c r="G71" s="362"/>
      <c r="H71" s="362"/>
      <c r="I71" s="362"/>
      <c r="J71" s="362"/>
      <c r="K71" s="362"/>
      <c r="L71" s="362"/>
      <c r="M71" s="362"/>
      <c r="N71" s="362"/>
      <c r="O71" s="362"/>
      <c r="P71" s="362"/>
      <c r="Q71" s="362"/>
      <c r="R71" s="362"/>
      <c r="S71" s="362"/>
      <c r="T71" s="431"/>
    </row>
    <row r="72" spans="2:20">
      <c r="B72" s="363"/>
      <c r="C72" s="364"/>
      <c r="D72" s="364"/>
      <c r="E72" s="364"/>
      <c r="F72" s="364"/>
      <c r="G72" s="364"/>
      <c r="H72" s="364"/>
      <c r="I72" s="364"/>
      <c r="J72" s="364"/>
      <c r="K72" s="364"/>
      <c r="L72" s="364"/>
      <c r="M72" s="364"/>
      <c r="T72" s="432"/>
    </row>
    <row r="73" spans="2:20">
      <c r="B73" s="363"/>
      <c r="C73" s="364"/>
      <c r="D73" s="364"/>
      <c r="E73" s="364"/>
      <c r="F73" s="364"/>
      <c r="G73" s="364"/>
      <c r="H73" s="364"/>
      <c r="I73" s="364"/>
      <c r="J73" s="364"/>
      <c r="K73" s="364"/>
      <c r="L73" s="364"/>
      <c r="M73" s="364"/>
      <c r="T73" s="432"/>
    </row>
    <row r="74" spans="2:20">
      <c r="B74" s="363"/>
      <c r="C74" s="364"/>
      <c r="D74" s="364"/>
      <c r="E74" s="364"/>
      <c r="F74" s="364"/>
      <c r="G74" s="364"/>
      <c r="H74" s="364"/>
      <c r="I74" s="364"/>
      <c r="J74" s="364"/>
      <c r="K74" s="364"/>
      <c r="L74" s="364"/>
      <c r="M74" s="364"/>
      <c r="T74" s="432"/>
    </row>
    <row r="75" spans="2:20">
      <c r="B75" s="363"/>
      <c r="C75" s="364"/>
      <c r="D75" s="364"/>
      <c r="E75" s="364"/>
      <c r="F75" s="364"/>
      <c r="G75" s="364"/>
      <c r="H75" s="364"/>
      <c r="I75" s="364"/>
      <c r="J75" s="364"/>
      <c r="K75" s="364"/>
      <c r="L75" s="364"/>
      <c r="M75" s="364"/>
      <c r="T75" s="432"/>
    </row>
    <row r="76" spans="2:20">
      <c r="B76" s="363"/>
      <c r="C76" s="364"/>
      <c r="D76" s="364"/>
      <c r="E76" s="364"/>
      <c r="F76" s="364"/>
      <c r="G76" s="364"/>
      <c r="H76" s="364"/>
      <c r="I76" s="364"/>
      <c r="J76" s="364"/>
      <c r="K76" s="364"/>
      <c r="L76" s="364"/>
      <c r="M76" s="364"/>
      <c r="T76" s="432"/>
    </row>
    <row r="77" spans="2:20">
      <c r="B77" s="363"/>
      <c r="C77" s="364"/>
      <c r="D77" s="364"/>
      <c r="E77" s="364"/>
      <c r="F77" s="364"/>
      <c r="G77" s="364"/>
      <c r="H77" s="364"/>
      <c r="I77" s="364"/>
      <c r="J77" s="364"/>
      <c r="K77" s="364"/>
      <c r="L77" s="364"/>
      <c r="M77" s="364"/>
      <c r="T77" s="432"/>
    </row>
    <row r="78" spans="2:20">
      <c r="B78" s="363"/>
      <c r="C78" s="364"/>
      <c r="D78" s="364"/>
      <c r="E78" s="364"/>
      <c r="F78" s="364"/>
      <c r="G78" s="364"/>
      <c r="H78" s="364"/>
      <c r="I78" s="364"/>
      <c r="J78" s="364"/>
      <c r="K78" s="364"/>
      <c r="L78" s="364"/>
      <c r="M78" s="364"/>
      <c r="T78" s="432"/>
    </row>
    <row r="79" spans="2:20">
      <c r="B79" s="363"/>
      <c r="C79" s="364"/>
      <c r="D79" s="364"/>
      <c r="E79" s="364"/>
      <c r="F79" s="364"/>
      <c r="G79" s="364"/>
      <c r="H79" s="364"/>
      <c r="I79" s="364"/>
      <c r="J79" s="364"/>
      <c r="K79" s="364"/>
      <c r="L79" s="364"/>
      <c r="M79" s="364"/>
      <c r="T79" s="432"/>
    </row>
    <row r="80" spans="2:20">
      <c r="B80" s="363"/>
      <c r="C80" s="364"/>
      <c r="D80" s="364"/>
      <c r="E80" s="364"/>
      <c r="F80" s="364"/>
      <c r="G80" s="364"/>
      <c r="H80" s="364"/>
      <c r="I80" s="364"/>
      <c r="J80" s="364"/>
      <c r="K80" s="364"/>
      <c r="L80" s="364"/>
      <c r="M80" s="364"/>
      <c r="T80" s="432"/>
    </row>
    <row r="81" spans="2:20">
      <c r="B81" s="363"/>
      <c r="C81" s="364"/>
      <c r="D81" s="364"/>
      <c r="E81" s="364"/>
      <c r="F81" s="364"/>
      <c r="G81" s="364"/>
      <c r="H81" s="364"/>
      <c r="I81" s="364"/>
      <c r="J81" s="364"/>
      <c r="K81" s="364"/>
      <c r="L81" s="364"/>
      <c r="M81" s="364"/>
      <c r="T81" s="432"/>
    </row>
    <row r="82" spans="2:20">
      <c r="B82" s="363"/>
      <c r="C82" s="364"/>
      <c r="D82" s="364"/>
      <c r="E82" s="364"/>
      <c r="F82" s="364"/>
      <c r="G82" s="364"/>
      <c r="H82" s="364"/>
      <c r="I82" s="364"/>
      <c r="J82" s="364"/>
      <c r="K82" s="364"/>
      <c r="L82" s="364"/>
      <c r="M82" s="364"/>
      <c r="T82" s="432"/>
    </row>
    <row r="83" spans="2:20">
      <c r="B83" s="363"/>
      <c r="C83" s="364"/>
      <c r="D83" s="364"/>
      <c r="E83" s="364"/>
      <c r="F83" s="364"/>
      <c r="G83" s="364"/>
      <c r="H83" s="364"/>
      <c r="I83" s="364"/>
      <c r="J83" s="364"/>
      <c r="K83" s="364"/>
      <c r="L83" s="364"/>
      <c r="M83" s="364"/>
      <c r="T83" s="432"/>
    </row>
    <row r="84" spans="2:20">
      <c r="B84" s="363"/>
      <c r="C84" s="364"/>
      <c r="D84" s="364"/>
      <c r="E84" s="364"/>
      <c r="F84" s="364"/>
      <c r="G84" s="364"/>
      <c r="H84" s="364"/>
      <c r="I84" s="364"/>
      <c r="J84" s="364"/>
      <c r="K84" s="364"/>
      <c r="L84" s="364"/>
      <c r="M84" s="364"/>
      <c r="T84" s="432"/>
    </row>
    <row r="85" spans="2:20">
      <c r="B85" s="363"/>
      <c r="C85" s="364"/>
      <c r="D85" s="364"/>
      <c r="E85" s="364"/>
      <c r="F85" s="364"/>
      <c r="G85" s="364"/>
      <c r="H85" s="364"/>
      <c r="I85" s="364"/>
      <c r="J85" s="364"/>
      <c r="K85" s="364"/>
      <c r="L85" s="364"/>
      <c r="M85" s="364"/>
      <c r="T85" s="432"/>
    </row>
    <row r="86" spans="2:20">
      <c r="B86" s="363"/>
      <c r="C86" s="364"/>
      <c r="D86" s="364"/>
      <c r="E86" s="364"/>
      <c r="F86" s="364"/>
      <c r="G86" s="364"/>
      <c r="H86" s="364"/>
      <c r="I86" s="364"/>
      <c r="J86" s="364"/>
      <c r="K86" s="364"/>
      <c r="L86" s="364"/>
      <c r="M86" s="364"/>
      <c r="T86" s="432"/>
    </row>
    <row r="87" spans="2:20">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40" zoomScaleNormal="40" workbookViewId="0">
      <selection activeCell="AA6" sqref="AA6"/>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s="330" customFormat="1" ht="51" customHeight="1" spans="1:20">
      <c r="A2" s="334"/>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深圳区域公司深圳市公安局南山分局物业管理服务中心</v>
      </c>
      <c r="E3" s="341"/>
      <c r="F3" s="341"/>
      <c r="G3" s="341"/>
      <c r="H3" s="341"/>
      <c r="I3" s="340" t="s">
        <v>171</v>
      </c>
      <c r="J3" s="341">
        <v>2025</v>
      </c>
      <c r="K3" s="377" t="s">
        <v>172</v>
      </c>
      <c r="L3" s="378">
        <v>5</v>
      </c>
      <c r="M3" s="379" t="s">
        <v>173</v>
      </c>
      <c r="N3" s="380"/>
      <c r="O3" s="377" t="s">
        <v>174</v>
      </c>
      <c r="P3" s="381"/>
      <c r="Q3" s="381"/>
      <c r="R3" s="381"/>
      <c r="S3" s="381"/>
      <c r="T3" s="421"/>
      <c r="AC3" s="439"/>
    </row>
    <row r="4" s="332" customFormat="1" ht="74.1" customHeight="1" spans="1:33">
      <c r="A4" s="342"/>
      <c r="B4" s="343" t="s">
        <v>175</v>
      </c>
      <c r="C4" s="343"/>
      <c r="D4" s="344">
        <f>'2 过程管理表单'!H4/10000</f>
        <v>4501.85084782193</v>
      </c>
      <c r="E4" s="344"/>
      <c r="F4" s="343" t="s">
        <v>176</v>
      </c>
      <c r="G4" s="345"/>
      <c r="H4" s="346">
        <f>L3/12</f>
        <v>0.416666666666667</v>
      </c>
      <c r="I4" s="346"/>
      <c r="J4" s="382">
        <f t="shared" ref="J4:J9" si="0">H4</f>
        <v>0.416666666666667</v>
      </c>
      <c r="K4" s="383">
        <f t="shared" ref="K4:K9" si="1">1-J4</f>
        <v>0.583333333333333</v>
      </c>
      <c r="L4" s="384"/>
      <c r="M4" s="385"/>
      <c r="N4" s="386"/>
      <c r="O4" s="387" t="s">
        <v>177</v>
      </c>
      <c r="P4" s="388">
        <f>SUM(P6:P10)</f>
        <v>214.583333333333</v>
      </c>
      <c r="Q4" s="422" t="s">
        <v>178</v>
      </c>
      <c r="R4" s="423">
        <f>SUM(Q6:Q10)</f>
        <v>20</v>
      </c>
      <c r="S4" s="422" t="s">
        <v>179</v>
      </c>
      <c r="T4" s="424">
        <f>SUM(R6:R10)</f>
        <v>22</v>
      </c>
      <c r="U4" s="425"/>
      <c r="V4" s="425"/>
      <c r="W4" s="425"/>
      <c r="X4" s="425"/>
      <c r="Y4" s="425"/>
      <c r="Z4" s="425"/>
      <c r="AA4" s="425"/>
      <c r="AB4" s="425"/>
      <c r="AC4" s="425"/>
      <c r="AD4" s="425"/>
      <c r="AE4" s="425"/>
      <c r="AF4" s="425"/>
      <c r="AG4" s="425"/>
    </row>
    <row r="5" s="332" customFormat="1" ht="74.1" customHeight="1" spans="1:33">
      <c r="A5" s="342"/>
      <c r="B5" s="343" t="s">
        <v>180</v>
      </c>
      <c r="C5" s="343"/>
      <c r="D5" s="344">
        <f>INDEX('4-1主要费项费项月累成本使用情况 '!C38:N38,MATCH($L$3&amp;"月",表3_3[[#Headers],[1月]:[12月]],0))/10000</f>
        <v>173.202147834508</v>
      </c>
      <c r="E5" s="344"/>
      <c r="F5" s="343" t="s">
        <v>181</v>
      </c>
      <c r="G5" s="345"/>
      <c r="H5" s="346">
        <f>D6/D4</f>
        <v>0.0122995562091388</v>
      </c>
      <c r="I5" s="346"/>
      <c r="J5" s="389">
        <f t="shared" si="0"/>
        <v>0.0122995562091388</v>
      </c>
      <c r="K5" s="390">
        <f t="shared" si="1"/>
        <v>0.987700443790861</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INDEX('4-1主要费项费项月累成本使用情况 '!C39:N39,MATCH($L$3&amp;"月",表3_3[[#Headers],[1月]:[12月]],0))/10000</f>
        <v>55.3707675479452</v>
      </c>
      <c r="E6" s="347"/>
      <c r="F6" s="343" t="s">
        <v>186</v>
      </c>
      <c r="G6" s="345"/>
      <c r="H6" s="346">
        <f>D6/D5</f>
        <v>0.319688688854199</v>
      </c>
      <c r="I6" s="346"/>
      <c r="J6" s="393">
        <f t="shared" si="0"/>
        <v>0.319688688854199</v>
      </c>
      <c r="K6" s="394">
        <f t="shared" si="1"/>
        <v>0.680311311145801</v>
      </c>
      <c r="L6" s="395"/>
      <c r="M6" s="396"/>
      <c r="N6" s="386"/>
      <c r="O6" s="366" t="s">
        <v>187</v>
      </c>
      <c r="P6" s="397">
        <f>'1-2 人员岗位信息'!D7</f>
        <v>160</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1</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15</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25</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349">
        <f>INDEX('4-1主要费项费项月累成本使用情况 '!C52:N52,MATCH($L$3&amp;"月",表3_3[[#Headers],[1月]:[12月]],0))</f>
        <v>0</v>
      </c>
      <c r="E9" s="355" t="s">
        <v>197</v>
      </c>
      <c r="F9" s="351" t="s">
        <v>198</v>
      </c>
      <c r="G9" s="345"/>
      <c r="H9" s="356">
        <f>IFERROR(INDEX(劳务外包表!C47:N47,MATCH($L$3&amp;"月",劳务外包表!C1:N1,0))/劳务外包表!N49,"无目标值")</f>
        <v>0</v>
      </c>
      <c r="I9" s="403"/>
      <c r="J9" s="393">
        <f t="shared" si="0"/>
        <v>0</v>
      </c>
      <c r="K9" s="394">
        <f t="shared" si="1"/>
        <v>1</v>
      </c>
      <c r="L9" s="395"/>
      <c r="M9" s="396"/>
      <c r="N9" s="386"/>
      <c r="O9" s="366" t="s">
        <v>199</v>
      </c>
      <c r="P9" s="404">
        <f>'1-2 人员岗位信息'!D155</f>
        <v>6</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1</v>
      </c>
      <c r="E10" s="357"/>
      <c r="F10" s="343" t="s">
        <v>201</v>
      </c>
      <c r="G10" s="343"/>
      <c r="H10" s="358" cm="1">
        <f t="array" ref="H10">SUMPRODUCT(--(LEFT('2-1 采购订单物料明细表报表导出'!$K:$K,7)&lt;&gt;"")*--(LEFT('2-1 采购订单物料明细表报表导出'!$K:$K,7)&lt;=TEXT(DATE(2025,$L$3,1),"yyyy-mm")))</f>
        <v>188</v>
      </c>
      <c r="I10" s="405"/>
      <c r="J10" s="343" t="s">
        <v>202</v>
      </c>
      <c r="K10" s="343"/>
      <c r="L10" s="358" cm="1">
        <f t="array" ref="L10">SUMPRODUCT((TEXT('2-3 引出列表'!$N:$N,"yyyymm")&lt;=TEXT(DATE(2025,$L$3+1,0),"yyyymm"))*(('2-3 引出列表'!$L:$L="已审核")+('2-3 引出列表'!$L:$L="已付款")))</f>
        <v>208</v>
      </c>
      <c r="M10" s="405"/>
      <c r="N10" s="406"/>
      <c r="O10" s="368" t="s">
        <v>203</v>
      </c>
      <c r="P10" s="407">
        <f>'1-2 人员岗位信息'!D35</f>
        <v>23.5833333333333</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s="330" customFormat="1" ht="9" customHeight="1" spans="1:20">
      <c r="A11" s="334"/>
      <c r="B11" s="359"/>
      <c r="C11" s="360"/>
      <c r="D11" s="360"/>
      <c r="E11" s="360"/>
      <c r="F11" s="360"/>
      <c r="G11" s="360"/>
      <c r="H11" s="360"/>
      <c r="I11" s="408"/>
      <c r="J11" s="360"/>
      <c r="K11" s="408"/>
      <c r="L11" s="360"/>
      <c r="M11" s="409"/>
      <c r="N11" s="410"/>
      <c r="O11" s="410"/>
      <c r="P11" s="411"/>
      <c r="Q11" s="411"/>
      <c r="R11" s="411"/>
      <c r="S11" s="411"/>
      <c r="T11" s="430"/>
    </row>
    <row r="12" s="330" customFormat="1" ht="27.95" customHeight="1" spans="1:20">
      <c r="A12" s="334"/>
      <c r="B12" s="361" t="s">
        <v>204</v>
      </c>
      <c r="C12" s="362"/>
      <c r="D12" s="362"/>
      <c r="E12" s="362"/>
      <c r="F12" s="362"/>
      <c r="G12" s="362"/>
      <c r="H12" s="362"/>
      <c r="I12" s="362"/>
      <c r="J12" s="362"/>
      <c r="K12" s="362"/>
      <c r="L12" s="362"/>
      <c r="M12" s="362"/>
      <c r="N12" s="362"/>
      <c r="O12" s="362"/>
      <c r="P12" s="362"/>
      <c r="Q12" s="362"/>
      <c r="R12" s="362"/>
      <c r="S12" s="362"/>
      <c r="T12" s="431"/>
    </row>
    <row r="13" s="330" customFormat="1" ht="17.1" customHeight="1" spans="1:20">
      <c r="A13" s="334"/>
      <c r="B13" s="363"/>
      <c r="C13" s="364"/>
      <c r="D13" s="364"/>
      <c r="E13" s="364"/>
      <c r="F13" s="364"/>
      <c r="G13" s="364"/>
      <c r="H13" s="364"/>
      <c r="I13" s="364"/>
      <c r="J13" s="364"/>
      <c r="K13" s="364"/>
      <c r="L13" s="364"/>
      <c r="M13" s="364"/>
      <c r="N13" s="333"/>
      <c r="O13" s="333"/>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s="330" customFormat="1" ht="20.1" customHeight="1" spans="1:20">
      <c r="A36" s="334"/>
      <c r="B36" s="363"/>
      <c r="C36" s="364"/>
      <c r="D36" s="364"/>
      <c r="E36" s="364"/>
      <c r="F36" s="364"/>
      <c r="G36" s="364"/>
      <c r="H36" s="364"/>
      <c r="I36" s="364"/>
      <c r="J36" s="364"/>
      <c r="K36" s="364"/>
      <c r="L36" s="364"/>
      <c r="M36" s="364"/>
      <c r="N36" s="333"/>
      <c r="O36" s="333"/>
      <c r="T36" s="432"/>
    </row>
    <row r="37" s="330" customFormat="1" ht="20.1" customHeight="1" spans="1:20">
      <c r="A37" s="334"/>
      <c r="B37" s="363"/>
      <c r="C37" s="364"/>
      <c r="D37" s="364"/>
      <c r="E37" s="364"/>
      <c r="F37" s="364"/>
      <c r="G37" s="364"/>
      <c r="H37" s="364"/>
      <c r="I37" s="364"/>
      <c r="J37" s="364"/>
      <c r="K37" s="364"/>
      <c r="L37" s="364"/>
      <c r="M37" s="364"/>
      <c r="N37" s="333"/>
      <c r="O37" s="333"/>
      <c r="T37" s="432"/>
    </row>
    <row r="38" s="330" customFormat="1" ht="20.1" customHeight="1" spans="1:20">
      <c r="A38" s="334"/>
      <c r="B38" s="363"/>
      <c r="C38" s="364"/>
      <c r="D38" s="364"/>
      <c r="E38" s="364"/>
      <c r="F38" s="364"/>
      <c r="G38" s="364"/>
      <c r="H38" s="364"/>
      <c r="I38" s="364"/>
      <c r="J38" s="364"/>
      <c r="K38" s="364"/>
      <c r="L38" s="364"/>
      <c r="M38" s="364"/>
      <c r="N38" s="333"/>
      <c r="O38" s="333"/>
      <c r="T38" s="432"/>
    </row>
    <row r="39" s="330" customFormat="1" ht="20.1" customHeight="1" spans="1:20">
      <c r="A39" s="334"/>
      <c r="B39" s="363"/>
      <c r="C39" s="364"/>
      <c r="D39" s="364"/>
      <c r="E39" s="364"/>
      <c r="F39" s="364"/>
      <c r="G39" s="364"/>
      <c r="H39" s="364"/>
      <c r="I39" s="364"/>
      <c r="J39" s="364"/>
      <c r="K39" s="364"/>
      <c r="L39" s="364"/>
      <c r="M39" s="364"/>
      <c r="N39" s="333"/>
      <c r="O39" s="333"/>
      <c r="T39" s="432"/>
    </row>
    <row r="40" s="330" customFormat="1" ht="20.1" customHeight="1" spans="1:20">
      <c r="A40" s="334"/>
      <c r="B40" s="363"/>
      <c r="C40" s="364"/>
      <c r="D40" s="364"/>
      <c r="E40" s="364"/>
      <c r="F40" s="364"/>
      <c r="G40" s="364"/>
      <c r="H40" s="364"/>
      <c r="I40" s="364"/>
      <c r="J40" s="364"/>
      <c r="K40" s="364"/>
      <c r="L40" s="364"/>
      <c r="M40" s="364"/>
      <c r="N40" s="333"/>
      <c r="O40" s="333"/>
      <c r="T40" s="432"/>
    </row>
    <row r="41" s="330" customFormat="1" ht="20.1" customHeight="1" spans="1:20">
      <c r="A41" s="334"/>
      <c r="B41" s="363"/>
      <c r="C41" s="364"/>
      <c r="D41" s="364"/>
      <c r="E41" s="364"/>
      <c r="F41" s="364"/>
      <c r="G41" s="364"/>
      <c r="H41" s="364"/>
      <c r="I41" s="364"/>
      <c r="J41" s="364"/>
      <c r="K41" s="364"/>
      <c r="L41" s="364"/>
      <c r="M41" s="364"/>
      <c r="N41" s="333"/>
      <c r="O41" s="333"/>
      <c r="T41" s="432"/>
    </row>
    <row r="42" s="330" customFormat="1" ht="20.1" customHeight="1" spans="1:20">
      <c r="A42" s="334"/>
      <c r="B42" s="363"/>
      <c r="C42" s="364"/>
      <c r="D42" s="364"/>
      <c r="E42" s="364"/>
      <c r="F42" s="364"/>
      <c r="G42" s="364"/>
      <c r="H42" s="364"/>
      <c r="I42" s="364"/>
      <c r="J42" s="364"/>
      <c r="K42" s="364"/>
      <c r="L42" s="364"/>
      <c r="M42" s="364"/>
      <c r="N42" s="333"/>
      <c r="O42" s="333"/>
      <c r="T42" s="432"/>
    </row>
    <row r="43" s="330" customFormat="1" ht="20.1" customHeight="1" spans="1:20">
      <c r="A43" s="334"/>
      <c r="B43" s="363"/>
      <c r="C43" s="364"/>
      <c r="D43" s="364"/>
      <c r="E43" s="364"/>
      <c r="F43" s="364"/>
      <c r="G43" s="364"/>
      <c r="H43" s="364"/>
      <c r="I43" s="364"/>
      <c r="J43" s="364"/>
      <c r="K43" s="364"/>
      <c r="L43" s="364"/>
      <c r="M43" s="364"/>
      <c r="N43" s="333"/>
      <c r="O43" s="333"/>
      <c r="T43" s="432"/>
    </row>
    <row r="44" s="330" customFormat="1" ht="20.1" customHeight="1" spans="1:20">
      <c r="A44" s="334"/>
      <c r="B44" s="370"/>
      <c r="C44" s="371"/>
      <c r="D44" s="371"/>
      <c r="E44" s="371"/>
      <c r="F44" s="371"/>
      <c r="G44" s="371"/>
      <c r="H44" s="371"/>
      <c r="I44" s="371"/>
      <c r="J44" s="371"/>
      <c r="K44" s="371"/>
      <c r="L44" s="371"/>
      <c r="M44" s="371"/>
      <c r="N44" s="369"/>
      <c r="O44" s="369"/>
      <c r="P44" s="371"/>
      <c r="Q44" s="371"/>
      <c r="R44" s="371"/>
      <c r="S44" s="371"/>
      <c r="T44" s="435"/>
    </row>
    <row r="45" s="330" customFormat="1" ht="27.95" customHeight="1" spans="1:20">
      <c r="A45" s="334"/>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4333.9265510865</v>
      </c>
      <c r="Q48" s="416">
        <f>INDEX('4-1主要费项费项月累成本使用情况 '!C5:N5,MATCH($L$3&amp;"月",表3_3[[#Headers],[1月]:[12月]],0))/10000</f>
        <v>47.3517001556781</v>
      </c>
      <c r="R48" s="416">
        <f>INDEX('4-1主要费项费项月累成本使用情况 '!C3:N3,MATCH($L$3&amp;"月",表3_3[[#Headers],[1月]:[12月]],0))/10000</f>
        <v>33.0921205479452</v>
      </c>
      <c r="S48" s="436">
        <f t="shared" ref="S48:S56" si="2">IFERROR(R48/P48,"无年度目标")</f>
        <v>0.00763559791747028</v>
      </c>
      <c r="T48" s="437">
        <f t="shared" ref="T48:T56" si="3">IFERROR(R48/Q48,"无月度目标")</f>
        <v>0.698858128412461</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117.408372207132</v>
      </c>
      <c r="Q49" s="416">
        <f>INDEX('4-1主要费项费项月累成本使用情况 '!C9:N9,MATCH($L$3&amp;"月",表3_3[[#Headers],[1月]:[12月]],0))/10000</f>
        <v>117.408372207132</v>
      </c>
      <c r="R49" s="416">
        <f>INDEX('4-1主要费项费项月累成本使用情况 '!C7:N7,MATCH($L$3&amp;"月",表3_3[[#Headers],[1月]:[12月]],0))/10000</f>
        <v>22.241797</v>
      </c>
      <c r="S49" s="436">
        <f t="shared" si="2"/>
        <v>0.189439616459046</v>
      </c>
      <c r="T49" s="437">
        <f t="shared" si="3"/>
        <v>0.189439616459046</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17.4049811320754</v>
      </c>
      <c r="Q50" s="416">
        <f>INDEX('4-1主要费项费项月累成本使用情况 '!C13:N13,MATCH($L$3&amp;"月",表3_3[[#Headers],[1月]:[12月]],0))/10000</f>
        <v>8.4420754716981</v>
      </c>
      <c r="R50" s="416">
        <f>INDEX('4-1主要费项费项月累成本使用情况 '!C10:N10,MATCH($L$3&amp;"月",表3_3[[#Headers],[1月]:[12月]],0))/10000</f>
        <v>0</v>
      </c>
      <c r="S50" s="436">
        <f t="shared" si="2"/>
        <v>0</v>
      </c>
      <c r="T50" s="437">
        <f t="shared" si="3"/>
        <v>0</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过程管理表单'!H598/10000</f>
        <v>0</v>
      </c>
      <c r="Q51" s="416">
        <f>INDEX('4-1主要费项费项月累成本使用情况 '!C17:N17,MATCH($L$3&amp;"月",表3_3[[#Headers],[1月]:[12月]],0))/10000</f>
        <v>0</v>
      </c>
      <c r="R51" s="416">
        <f>INDEX('4-1主要费项费项月累成本使用情况 '!C15:N15,MATCH($L$3&amp;"月",表3_3[[#Headers],[1月]:[12月]],0))/10000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过程管理表单'!H604/10000</f>
        <v>0</v>
      </c>
      <c r="Q52" s="416">
        <f>INDEX('4-1主要费项费项月累成本使用情况 '!C21:N21,MATCH($L$3&amp;"月",表3_3[[#Headers],[1月]:[12月]],0))/10000</f>
        <v>0</v>
      </c>
      <c r="R52" s="416">
        <f>INDEX('4-1主要费项费项月累成本使用情况 '!C19:N19,MATCH($L$3&amp;"月",表3_3[[#Headers],[1月]:[12月]],0))/10000</f>
        <v>0</v>
      </c>
      <c r="S52" s="436" t="str">
        <f t="shared" si="2"/>
        <v>无年度目标</v>
      </c>
      <c r="T52" s="437" t="str">
        <f t="shared" si="3"/>
        <v>无月度目标</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过程管理表单'!H617/10000</f>
        <v>0</v>
      </c>
      <c r="Q53" s="416">
        <f>INDEX('4-1主要费项费项月累成本使用情况 '!C25:N25,MATCH($L$3&amp;"月",表3_3[[#Headers],[1月]:[12月]],0))/10000</f>
        <v>0</v>
      </c>
      <c r="R53" s="416">
        <f>INDEX('4-1主要费项费项月累成本使用情况 '!C23:N23,MATCH($L$3&amp;"月",表3_3[[#Headers],[1月]:[12月]],0))/10000</f>
        <v>0.03685</v>
      </c>
      <c r="S53" s="436" t="str">
        <f t="shared" si="2"/>
        <v>无年度目标</v>
      </c>
      <c r="T53" s="437" t="str">
        <f t="shared" si="3"/>
        <v>无月度目标</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4269.21761822642</v>
      </c>
      <c r="Q54" s="416">
        <f>INDEX('4-1主要费项费项月累成本使用情况 '!C29:N29,MATCH($L$3&amp;"月",表3_3[[#Headers],[1月]:[12月]],0))/10000</f>
        <v>1746.53226009434</v>
      </c>
      <c r="R54" s="416">
        <f>INDEX('4-1主要费项费项月累成本使用情况 '!C27:N27,MATCH($L$3&amp;"月",表3_3[[#Headers],[1月]:[12月]],0))/10000</f>
        <v>0</v>
      </c>
      <c r="S54" s="436">
        <f t="shared" si="2"/>
        <v>0</v>
      </c>
      <c r="T54" s="437">
        <f t="shared" si="3"/>
        <v>0</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64.7089328600785</v>
      </c>
      <c r="Q55" s="416">
        <f>INDEX('4-1主要费项费项月累成本使用情况 '!C33:N33,MATCH($L$3&amp;"月",表3_3[[#Headers],[1月]:[12月]],0))/10000</f>
        <v>0</v>
      </c>
      <c r="R55" s="416">
        <f>INDEX('4-1主要费项费项月累成本使用情况 '!C31:N31,MATCH($L$3&amp;"月",表3_3[[#Headers],[1月]:[12月]],0))/10000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INDEX('4-1主要费项费项月累成本使用情况 '!C37:N37,MATCH($L$3&amp;"月",表3_3[[#Headers],[1月]:[12月]],0))/10000</f>
        <v>43.6252850613364</v>
      </c>
      <c r="R56" s="416">
        <f>INDEX('4-1主要费项费项月累成本使用情况 '!C35:N35,MATCH($L$3&amp;"月",表3_3[[#Headers],[1月]:[12月]],0))/10000</f>
        <v>33.1866328767124</v>
      </c>
      <c r="S56" s="436" t="str">
        <f t="shared" si="2"/>
        <v>无年度目标</v>
      </c>
      <c r="T56" s="437">
        <f t="shared" si="3"/>
        <v>0.760720138104601</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330" customFormat="1" spans="1:20">
      <c r="A65" s="334"/>
      <c r="B65" s="363"/>
      <c r="C65" s="364"/>
      <c r="D65" s="364"/>
      <c r="E65" s="364"/>
      <c r="F65" s="364"/>
      <c r="G65" s="364"/>
      <c r="H65" s="364"/>
      <c r="I65" s="364"/>
      <c r="J65" s="364"/>
      <c r="K65" s="364"/>
      <c r="L65" s="364"/>
      <c r="M65" s="364"/>
      <c r="N65" s="333"/>
      <c r="O65" s="333"/>
      <c r="T65" s="432"/>
    </row>
    <row r="66" s="330" customFormat="1" ht="27.95" customHeight="1" spans="1:20">
      <c r="A66" s="333"/>
      <c r="B66" s="366"/>
      <c r="C66" s="333"/>
      <c r="D66" s="333"/>
      <c r="E66" s="333"/>
      <c r="F66" s="333"/>
      <c r="G66" s="333"/>
      <c r="H66" s="333"/>
      <c r="I66" s="333"/>
      <c r="J66" s="333"/>
      <c r="K66" s="333"/>
      <c r="L66" s="333"/>
      <c r="M66" s="333"/>
      <c r="N66" s="333"/>
      <c r="O66" s="333"/>
      <c r="T66" s="432"/>
    </row>
    <row r="67" s="330" customFormat="1" spans="1:20">
      <c r="A67" s="334"/>
      <c r="B67" s="363"/>
      <c r="C67" s="364"/>
      <c r="D67" s="364"/>
      <c r="E67" s="364"/>
      <c r="F67" s="364"/>
      <c r="G67" s="364"/>
      <c r="H67" s="364"/>
      <c r="I67" s="364"/>
      <c r="J67" s="364"/>
      <c r="K67" s="364"/>
      <c r="L67" s="364"/>
      <c r="M67" s="364"/>
      <c r="N67" s="333"/>
      <c r="O67" s="333"/>
      <c r="T67" s="432"/>
    </row>
    <row r="68" s="330" customFormat="1" spans="1:20">
      <c r="A68" s="334"/>
      <c r="B68" s="363"/>
      <c r="C68" s="364"/>
      <c r="D68" s="364"/>
      <c r="E68" s="364"/>
      <c r="F68" s="364"/>
      <c r="G68" s="364"/>
      <c r="H68" s="364"/>
      <c r="I68" s="364"/>
      <c r="J68" s="364"/>
      <c r="K68" s="364"/>
      <c r="L68" s="364"/>
      <c r="M68" s="364"/>
      <c r="N68" s="333"/>
      <c r="O68" s="333"/>
      <c r="T68" s="432"/>
    </row>
    <row r="69" s="330" customFormat="1" spans="1:20">
      <c r="A69" s="334"/>
      <c r="B69" s="363"/>
      <c r="C69" s="364"/>
      <c r="D69" s="364"/>
      <c r="E69" s="364"/>
      <c r="F69" s="364"/>
      <c r="G69" s="364"/>
      <c r="H69" s="364"/>
      <c r="I69" s="364"/>
      <c r="J69" s="364"/>
      <c r="K69" s="364"/>
      <c r="L69" s="364"/>
      <c r="M69" s="364"/>
      <c r="N69" s="333"/>
      <c r="O69" s="333"/>
      <c r="T69" s="432"/>
    </row>
    <row r="70" s="330" customFormat="1" spans="1:20">
      <c r="A70" s="334"/>
      <c r="B70" s="370"/>
      <c r="C70" s="371"/>
      <c r="D70" s="371"/>
      <c r="E70" s="371"/>
      <c r="F70" s="371"/>
      <c r="G70" s="371"/>
      <c r="H70" s="371"/>
      <c r="I70" s="371"/>
      <c r="J70" s="371"/>
      <c r="K70" s="371"/>
      <c r="L70" s="371"/>
      <c r="M70" s="371"/>
      <c r="N70" s="369"/>
      <c r="O70" s="369"/>
      <c r="P70" s="371"/>
      <c r="Q70" s="371"/>
      <c r="R70" s="371"/>
      <c r="S70" s="371"/>
      <c r="T70" s="435"/>
    </row>
    <row r="71" s="330" customFormat="1" ht="27.95" customHeight="1" spans="1:20">
      <c r="A71" s="334"/>
      <c r="B71" s="361" t="s">
        <v>225</v>
      </c>
      <c r="C71" s="362"/>
      <c r="D71" s="362"/>
      <c r="E71" s="362"/>
      <c r="F71" s="362"/>
      <c r="G71" s="362"/>
      <c r="H71" s="362"/>
      <c r="I71" s="362"/>
      <c r="J71" s="362"/>
      <c r="K71" s="362"/>
      <c r="L71" s="362"/>
      <c r="M71" s="362"/>
      <c r="N71" s="362"/>
      <c r="O71" s="362"/>
      <c r="P71" s="362"/>
      <c r="Q71" s="362"/>
      <c r="R71" s="362"/>
      <c r="S71" s="362"/>
      <c r="T71" s="431"/>
    </row>
    <row r="72" s="330" customFormat="1" spans="1:20">
      <c r="A72" s="334"/>
      <c r="B72" s="363"/>
      <c r="C72" s="364"/>
      <c r="D72" s="364"/>
      <c r="E72" s="364"/>
      <c r="F72" s="364"/>
      <c r="G72" s="364"/>
      <c r="H72" s="364"/>
      <c r="I72" s="364"/>
      <c r="J72" s="364"/>
      <c r="K72" s="364"/>
      <c r="L72" s="364"/>
      <c r="M72" s="364"/>
      <c r="N72" s="333"/>
      <c r="O72" s="333"/>
      <c r="T72" s="432"/>
    </row>
    <row r="73" s="330" customFormat="1" spans="1:20">
      <c r="A73" s="334"/>
      <c r="B73" s="363"/>
      <c r="C73" s="364"/>
      <c r="D73" s="364"/>
      <c r="E73" s="364"/>
      <c r="F73" s="364"/>
      <c r="G73" s="364"/>
      <c r="H73" s="364"/>
      <c r="I73" s="364"/>
      <c r="J73" s="364"/>
      <c r="K73" s="364"/>
      <c r="L73" s="364"/>
      <c r="M73" s="364"/>
      <c r="N73" s="333"/>
      <c r="O73" s="333"/>
      <c r="T73" s="432"/>
    </row>
    <row r="74" s="330" customFormat="1" spans="1:20">
      <c r="A74" s="334"/>
      <c r="B74" s="363"/>
      <c r="C74" s="364"/>
      <c r="D74" s="364"/>
      <c r="E74" s="364"/>
      <c r="F74" s="364"/>
      <c r="G74" s="364"/>
      <c r="H74" s="364"/>
      <c r="I74" s="364"/>
      <c r="J74" s="364"/>
      <c r="K74" s="364"/>
      <c r="L74" s="364"/>
      <c r="M74" s="364"/>
      <c r="N74" s="333"/>
      <c r="O74" s="333"/>
      <c r="T74" s="432"/>
    </row>
    <row r="75" s="330" customFormat="1" spans="1:20">
      <c r="A75" s="334"/>
      <c r="B75" s="363"/>
      <c r="C75" s="364"/>
      <c r="D75" s="364"/>
      <c r="E75" s="364"/>
      <c r="F75" s="364"/>
      <c r="G75" s="364"/>
      <c r="H75" s="364"/>
      <c r="I75" s="364"/>
      <c r="J75" s="364"/>
      <c r="K75" s="364"/>
      <c r="L75" s="364"/>
      <c r="M75" s="364"/>
      <c r="N75" s="333"/>
      <c r="O75" s="333"/>
      <c r="T75" s="432"/>
    </row>
    <row r="76" s="330" customFormat="1" spans="1:20">
      <c r="A76" s="334"/>
      <c r="B76" s="363"/>
      <c r="C76" s="364"/>
      <c r="D76" s="364"/>
      <c r="E76" s="364"/>
      <c r="F76" s="364"/>
      <c r="G76" s="364"/>
      <c r="H76" s="364"/>
      <c r="I76" s="364"/>
      <c r="J76" s="364"/>
      <c r="K76" s="364"/>
      <c r="L76" s="364"/>
      <c r="M76" s="364"/>
      <c r="N76" s="333"/>
      <c r="O76" s="333"/>
      <c r="T76" s="432"/>
    </row>
    <row r="77" s="330" customFormat="1" spans="1:20">
      <c r="A77" s="334"/>
      <c r="B77" s="363"/>
      <c r="C77" s="364"/>
      <c r="D77" s="364"/>
      <c r="E77" s="364"/>
      <c r="F77" s="364"/>
      <c r="G77" s="364"/>
      <c r="H77" s="364"/>
      <c r="I77" s="364"/>
      <c r="J77" s="364"/>
      <c r="K77" s="364"/>
      <c r="L77" s="364"/>
      <c r="M77" s="364"/>
      <c r="N77" s="333"/>
      <c r="O77" s="333"/>
      <c r="T77" s="432"/>
    </row>
    <row r="78" s="330" customFormat="1" spans="1:20">
      <c r="A78" s="334"/>
      <c r="B78" s="363"/>
      <c r="C78" s="364"/>
      <c r="D78" s="364"/>
      <c r="E78" s="364"/>
      <c r="F78" s="364"/>
      <c r="G78" s="364"/>
      <c r="H78" s="364"/>
      <c r="I78" s="364"/>
      <c r="J78" s="364"/>
      <c r="K78" s="364"/>
      <c r="L78" s="364"/>
      <c r="M78" s="364"/>
      <c r="N78" s="333"/>
      <c r="O78" s="333"/>
      <c r="T78" s="432"/>
    </row>
    <row r="79" s="330" customFormat="1" spans="1:20">
      <c r="A79" s="334"/>
      <c r="B79" s="363"/>
      <c r="C79" s="364"/>
      <c r="D79" s="364"/>
      <c r="E79" s="364"/>
      <c r="F79" s="364"/>
      <c r="G79" s="364"/>
      <c r="H79" s="364"/>
      <c r="I79" s="364"/>
      <c r="J79" s="364"/>
      <c r="K79" s="364"/>
      <c r="L79" s="364"/>
      <c r="M79" s="364"/>
      <c r="N79" s="333"/>
      <c r="O79" s="333"/>
      <c r="T79" s="432"/>
    </row>
    <row r="80" s="330" customFormat="1" spans="1:20">
      <c r="A80" s="334"/>
      <c r="B80" s="363"/>
      <c r="C80" s="364"/>
      <c r="D80" s="364"/>
      <c r="E80" s="364"/>
      <c r="F80" s="364"/>
      <c r="G80" s="364"/>
      <c r="H80" s="364"/>
      <c r="I80" s="364"/>
      <c r="J80" s="364"/>
      <c r="K80" s="364"/>
      <c r="L80" s="364"/>
      <c r="M80" s="364"/>
      <c r="N80" s="333"/>
      <c r="O80" s="333"/>
      <c r="T80" s="432"/>
    </row>
    <row r="81" s="330" customFormat="1" spans="1:20">
      <c r="A81" s="334"/>
      <c r="B81" s="363"/>
      <c r="C81" s="364"/>
      <c r="D81" s="364"/>
      <c r="E81" s="364"/>
      <c r="F81" s="364"/>
      <c r="G81" s="364"/>
      <c r="H81" s="364"/>
      <c r="I81" s="364"/>
      <c r="J81" s="364"/>
      <c r="K81" s="364"/>
      <c r="L81" s="364"/>
      <c r="M81" s="364"/>
      <c r="N81" s="333"/>
      <c r="O81" s="333"/>
      <c r="T81" s="432"/>
    </row>
    <row r="82" s="330" customFormat="1" spans="1:20">
      <c r="A82" s="334"/>
      <c r="B82" s="363"/>
      <c r="C82" s="364"/>
      <c r="D82" s="364"/>
      <c r="E82" s="364"/>
      <c r="F82" s="364"/>
      <c r="G82" s="364"/>
      <c r="H82" s="364"/>
      <c r="I82" s="364"/>
      <c r="J82" s="364"/>
      <c r="K82" s="364"/>
      <c r="L82" s="364"/>
      <c r="M82" s="364"/>
      <c r="N82" s="333"/>
      <c r="O82" s="333"/>
      <c r="T82" s="432"/>
    </row>
    <row r="83" s="330" customFormat="1" spans="1:20">
      <c r="A83" s="334"/>
      <c r="B83" s="363"/>
      <c r="C83" s="364"/>
      <c r="D83" s="364"/>
      <c r="E83" s="364"/>
      <c r="F83" s="364"/>
      <c r="G83" s="364"/>
      <c r="H83" s="364"/>
      <c r="I83" s="364"/>
      <c r="J83" s="364"/>
      <c r="K83" s="364"/>
      <c r="L83" s="364"/>
      <c r="M83" s="364"/>
      <c r="N83" s="333"/>
      <c r="O83" s="333"/>
      <c r="T83" s="432"/>
    </row>
    <row r="84" s="330" customFormat="1" spans="1:20">
      <c r="A84" s="334"/>
      <c r="B84" s="363"/>
      <c r="C84" s="364"/>
      <c r="D84" s="364"/>
      <c r="E84" s="364"/>
      <c r="F84" s="364"/>
      <c r="G84" s="364"/>
      <c r="H84" s="364"/>
      <c r="I84" s="364"/>
      <c r="J84" s="364"/>
      <c r="K84" s="364"/>
      <c r="L84" s="364"/>
      <c r="M84" s="364"/>
      <c r="N84" s="333"/>
      <c r="O84" s="333"/>
      <c r="T84" s="432"/>
    </row>
    <row r="85" s="330" customFormat="1" spans="1:20">
      <c r="A85" s="334"/>
      <c r="B85" s="363"/>
      <c r="C85" s="364"/>
      <c r="D85" s="364"/>
      <c r="E85" s="364"/>
      <c r="F85" s="364"/>
      <c r="G85" s="364"/>
      <c r="H85" s="364"/>
      <c r="I85" s="364"/>
      <c r="J85" s="364"/>
      <c r="K85" s="364"/>
      <c r="L85" s="364"/>
      <c r="M85" s="364"/>
      <c r="N85" s="333"/>
      <c r="O85" s="333"/>
      <c r="T85" s="432"/>
    </row>
    <row r="86" s="330" customFormat="1" spans="1:20">
      <c r="A86" s="334"/>
      <c r="B86" s="363"/>
      <c r="C86" s="364"/>
      <c r="D86" s="364"/>
      <c r="E86" s="364"/>
      <c r="F86" s="364"/>
      <c r="G86" s="364"/>
      <c r="H86" s="364"/>
      <c r="I86" s="364"/>
      <c r="J86" s="364"/>
      <c r="K86" s="364"/>
      <c r="L86" s="364"/>
      <c r="M86" s="364"/>
      <c r="N86" s="333"/>
      <c r="O86" s="333"/>
      <c r="T86" s="432"/>
    </row>
    <row r="87" s="330" customFormat="1" spans="1:20">
      <c r="A87" s="334"/>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53" workbookViewId="0">
      <selection activeCell="P79" sqref="P79"/>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43570633.56</v>
      </c>
      <c r="D3">
        <v>3630886.13</v>
      </c>
      <c r="E3">
        <v>3630886.13</v>
      </c>
      <c r="F3">
        <v>3630886.13</v>
      </c>
      <c r="G3">
        <v>3630886.13</v>
      </c>
      <c r="H3">
        <v>3630886.13</v>
      </c>
      <c r="I3">
        <v>3630886.13</v>
      </c>
      <c r="J3">
        <v>3630886.13</v>
      </c>
      <c r="K3">
        <v>3630886.13</v>
      </c>
      <c r="L3">
        <v>3630886.13</v>
      </c>
      <c r="M3">
        <v>3630886.13</v>
      </c>
      <c r="N3">
        <v>3630886.13</v>
      </c>
      <c r="O3">
        <v>3630886.13</v>
      </c>
      <c r="P3">
        <v>43570633.5849057</v>
      </c>
      <c r="Q3">
        <v>3630886.13207547</v>
      </c>
      <c r="R3">
        <v>3630886.13207547</v>
      </c>
      <c r="S3">
        <v>3630886.13207547</v>
      </c>
      <c r="T3">
        <v>3630886.13207547</v>
      </c>
      <c r="U3">
        <v>3630886.13207547</v>
      </c>
      <c r="V3">
        <v>3630886.13207547</v>
      </c>
      <c r="W3">
        <v>3630886.13207547</v>
      </c>
      <c r="X3">
        <v>3630886.13207547</v>
      </c>
      <c r="Y3">
        <v>3630886.13207547</v>
      </c>
      <c r="Z3">
        <v>3630886.13207547</v>
      </c>
      <c r="AA3">
        <v>3630886.13207547</v>
      </c>
      <c r="AB3">
        <v>3630886.13207547</v>
      </c>
    </row>
    <row r="4" spans="1:28">
      <c r="A4">
        <v>6001</v>
      </c>
      <c r="B4" t="s">
        <v>256</v>
      </c>
      <c r="C4">
        <v>43570633.56</v>
      </c>
      <c r="D4">
        <v>3630886.13</v>
      </c>
      <c r="E4">
        <v>3630886.13</v>
      </c>
      <c r="F4">
        <v>3630886.13</v>
      </c>
      <c r="G4">
        <v>3630886.13</v>
      </c>
      <c r="H4">
        <v>3630886.13</v>
      </c>
      <c r="I4">
        <v>3630886.13</v>
      </c>
      <c r="J4">
        <v>3630886.13</v>
      </c>
      <c r="K4">
        <v>3630886.13</v>
      </c>
      <c r="L4">
        <v>3630886.13</v>
      </c>
      <c r="M4">
        <v>3630886.13</v>
      </c>
      <c r="N4">
        <v>3630886.13</v>
      </c>
      <c r="O4">
        <v>3630886.13</v>
      </c>
      <c r="P4">
        <v>43570633.5849057</v>
      </c>
      <c r="Q4">
        <v>3630886.13207547</v>
      </c>
      <c r="R4">
        <v>3630886.13207547</v>
      </c>
      <c r="S4">
        <v>3630886.13207547</v>
      </c>
      <c r="T4">
        <v>3630886.13207547</v>
      </c>
      <c r="U4">
        <v>3630886.13207547</v>
      </c>
      <c r="V4">
        <v>3630886.13207547</v>
      </c>
      <c r="W4">
        <v>3630886.13207547</v>
      </c>
      <c r="X4">
        <v>3630886.13207547</v>
      </c>
      <c r="Y4">
        <v>3630886.13207547</v>
      </c>
      <c r="Z4">
        <v>3630886.13207547</v>
      </c>
      <c r="AA4">
        <v>3630886.13207547</v>
      </c>
      <c r="AB4">
        <v>3630886.13207547</v>
      </c>
    </row>
    <row r="5" spans="1:28">
      <c r="A5">
        <v>6001.03</v>
      </c>
      <c r="B5" t="s">
        <v>257</v>
      </c>
      <c r="C5">
        <v>43570633.56</v>
      </c>
      <c r="D5">
        <v>3630886.13</v>
      </c>
      <c r="E5">
        <v>3630886.13</v>
      </c>
      <c r="F5">
        <v>3630886.13</v>
      </c>
      <c r="G5">
        <v>3630886.13</v>
      </c>
      <c r="H5">
        <v>3630886.13</v>
      </c>
      <c r="I5">
        <v>3630886.13</v>
      </c>
      <c r="J5">
        <v>3630886.13</v>
      </c>
      <c r="K5">
        <v>3630886.13</v>
      </c>
      <c r="L5">
        <v>3630886.13</v>
      </c>
      <c r="M5">
        <v>3630886.13</v>
      </c>
      <c r="N5">
        <v>3630886.13</v>
      </c>
      <c r="O5">
        <v>3630886.13</v>
      </c>
      <c r="P5">
        <v>43570633.5849057</v>
      </c>
      <c r="Q5">
        <v>3630886.13207547</v>
      </c>
      <c r="R5">
        <v>3630886.13207547</v>
      </c>
      <c r="S5">
        <v>3630886.13207547</v>
      </c>
      <c r="T5">
        <v>3630886.13207547</v>
      </c>
      <c r="U5">
        <v>3630886.13207547</v>
      </c>
      <c r="V5">
        <v>3630886.13207547</v>
      </c>
      <c r="W5">
        <v>3630886.13207547</v>
      </c>
      <c r="X5">
        <v>3630886.13207547</v>
      </c>
      <c r="Y5">
        <v>3630886.13207547</v>
      </c>
      <c r="Z5">
        <v>3630886.13207547</v>
      </c>
      <c r="AA5">
        <v>3630886.13207547</v>
      </c>
      <c r="AB5">
        <v>3630886.13207547</v>
      </c>
    </row>
    <row r="6" spans="1:28">
      <c r="A6" t="s">
        <v>258</v>
      </c>
      <c r="B6" t="s">
        <v>259</v>
      </c>
      <c r="C6">
        <v>43570633.56</v>
      </c>
      <c r="D6">
        <v>3630886.13</v>
      </c>
      <c r="E6">
        <v>3630886.13</v>
      </c>
      <c r="F6">
        <v>3630886.13</v>
      </c>
      <c r="G6">
        <v>3630886.13</v>
      </c>
      <c r="H6">
        <v>3630886.13</v>
      </c>
      <c r="I6">
        <v>3630886.13</v>
      </c>
      <c r="J6">
        <v>3630886.13</v>
      </c>
      <c r="K6">
        <v>3630886.13</v>
      </c>
      <c r="L6">
        <v>3630886.13</v>
      </c>
      <c r="M6">
        <v>3630886.13</v>
      </c>
      <c r="N6">
        <v>3630886.13</v>
      </c>
      <c r="O6">
        <v>3630886.13</v>
      </c>
      <c r="P6">
        <v>43570633.5849057</v>
      </c>
      <c r="Q6">
        <v>3630886.13207547</v>
      </c>
      <c r="R6">
        <v>3630886.13207547</v>
      </c>
      <c r="S6">
        <v>3630886.13207547</v>
      </c>
      <c r="T6">
        <v>3630886.13207547</v>
      </c>
      <c r="U6">
        <v>3630886.13207547</v>
      </c>
      <c r="V6">
        <v>3630886.13207547</v>
      </c>
      <c r="W6">
        <v>3630886.13207547</v>
      </c>
      <c r="X6">
        <v>3630886.13207547</v>
      </c>
      <c r="Y6">
        <v>3630886.13207547</v>
      </c>
      <c r="Z6">
        <v>3630886.13207547</v>
      </c>
      <c r="AA6">
        <v>3630886.13207547</v>
      </c>
      <c r="AB6">
        <v>3630886.13207547</v>
      </c>
    </row>
    <row r="7" spans="1:28">
      <c r="A7" t="s">
        <v>260</v>
      </c>
      <c r="B7" t="s">
        <v>261</v>
      </c>
      <c r="C7">
        <v>43570633.56</v>
      </c>
      <c r="D7">
        <v>3630886.13</v>
      </c>
      <c r="E7">
        <v>3630886.13</v>
      </c>
      <c r="F7">
        <v>3630886.13</v>
      </c>
      <c r="G7">
        <v>3630886.13</v>
      </c>
      <c r="H7">
        <v>3630886.13</v>
      </c>
      <c r="I7">
        <v>3630886.13</v>
      </c>
      <c r="J7">
        <v>3630886.13</v>
      </c>
      <c r="K7">
        <v>3630886.13</v>
      </c>
      <c r="L7">
        <v>3630886.13</v>
      </c>
      <c r="M7">
        <v>3630886.13</v>
      </c>
      <c r="N7">
        <v>3630886.13</v>
      </c>
      <c r="O7">
        <v>3630886.13</v>
      </c>
      <c r="P7">
        <v>43570633.5849057</v>
      </c>
      <c r="Q7">
        <v>3630886.13207547</v>
      </c>
      <c r="R7">
        <v>3630886.13207547</v>
      </c>
      <c r="S7">
        <v>3630886.13207547</v>
      </c>
      <c r="T7">
        <v>3630886.13207547</v>
      </c>
      <c r="U7">
        <v>3630886.13207547</v>
      </c>
      <c r="V7">
        <v>3630886.13207547</v>
      </c>
      <c r="W7">
        <v>3630886.13207547</v>
      </c>
      <c r="X7">
        <v>3630886.13207547</v>
      </c>
      <c r="Y7">
        <v>3630886.13207547</v>
      </c>
      <c r="Z7">
        <v>3630886.13207547</v>
      </c>
      <c r="AA7">
        <v>3630886.13207547</v>
      </c>
      <c r="AB7">
        <v>3630886.13207547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7"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8"/>
      <c r="P65">
        <v>0</v>
      </c>
    </row>
    <row r="66" spans="1:16">
      <c r="A66" t="s">
        <v>373</v>
      </c>
      <c r="B66" t="s">
        <v>374</v>
      </c>
      <c r="C66">
        <v>0</v>
      </c>
      <c r="O66" s="328"/>
      <c r="P66">
        <v>0</v>
      </c>
    </row>
    <row r="67" spans="1:16">
      <c r="A67" t="s">
        <v>375</v>
      </c>
      <c r="B67" t="s">
        <v>376</v>
      </c>
      <c r="C67">
        <v>0</v>
      </c>
      <c r="O67" s="328"/>
      <c r="P67">
        <v>0</v>
      </c>
    </row>
    <row r="68" spans="1:28">
      <c r="A68">
        <v>6001.54</v>
      </c>
      <c r="B68" t="s">
        <v>377</v>
      </c>
      <c r="C68">
        <v>0</v>
      </c>
      <c r="D68">
        <v>0</v>
      </c>
      <c r="E68">
        <v>0</v>
      </c>
      <c r="F68">
        <v>0</v>
      </c>
      <c r="G68">
        <v>0</v>
      </c>
      <c r="H68">
        <v>0</v>
      </c>
      <c r="I68">
        <v>0</v>
      </c>
      <c r="J68">
        <v>0</v>
      </c>
      <c r="K68">
        <v>0</v>
      </c>
      <c r="L68">
        <v>0</v>
      </c>
      <c r="M68">
        <v>0</v>
      </c>
      <c r="N68">
        <v>0</v>
      </c>
      <c r="O68" s="327">
        <v>0</v>
      </c>
      <c r="P68">
        <v>0</v>
      </c>
      <c r="Q68">
        <v>0</v>
      </c>
      <c r="R68">
        <v>0</v>
      </c>
      <c r="S68">
        <v>0</v>
      </c>
      <c r="T68">
        <v>0</v>
      </c>
      <c r="U68">
        <v>0</v>
      </c>
      <c r="V68">
        <v>0</v>
      </c>
      <c r="W68">
        <v>0</v>
      </c>
      <c r="X68">
        <v>0</v>
      </c>
      <c r="Y68">
        <v>0</v>
      </c>
      <c r="Z68">
        <v>0</v>
      </c>
      <c r="AA68">
        <v>0</v>
      </c>
      <c r="AB68">
        <v>0</v>
      </c>
    </row>
    <row r="69" spans="1:16">
      <c r="A69" t="s">
        <v>378</v>
      </c>
      <c r="B69" t="s">
        <v>379</v>
      </c>
      <c r="C69">
        <v>0</v>
      </c>
      <c r="O69" s="327"/>
      <c r="P69">
        <v>0</v>
      </c>
    </row>
    <row r="70" spans="1:16">
      <c r="A70" t="s">
        <v>380</v>
      </c>
      <c r="B70" t="s">
        <v>381</v>
      </c>
      <c r="C70">
        <v>0</v>
      </c>
      <c r="O70" s="328"/>
      <c r="P70">
        <v>0</v>
      </c>
    </row>
    <row r="71" spans="1:16">
      <c r="A71" t="s">
        <v>382</v>
      </c>
      <c r="B71" t="s">
        <v>383</v>
      </c>
      <c r="C71">
        <v>0</v>
      </c>
      <c r="O71" s="328"/>
      <c r="P71">
        <v>0</v>
      </c>
    </row>
    <row r="72" spans="1:16">
      <c r="A72" t="s">
        <v>384</v>
      </c>
      <c r="B72" t="s">
        <v>385</v>
      </c>
      <c r="C72">
        <v>0</v>
      </c>
      <c r="O72" s="328"/>
      <c r="P72">
        <v>0</v>
      </c>
    </row>
    <row r="73" spans="1:16">
      <c r="A73">
        <v>6051</v>
      </c>
      <c r="B73" t="s">
        <v>386</v>
      </c>
      <c r="C73">
        <v>0</v>
      </c>
      <c r="O73" s="328"/>
      <c r="P73">
        <v>0</v>
      </c>
    </row>
    <row r="74" s="327" customFormat="1" spans="1:28">
      <c r="A74" s="327">
        <v>6400</v>
      </c>
      <c r="B74" s="327" t="s">
        <v>4</v>
      </c>
      <c r="C74" s="327">
        <v>46015643.47</v>
      </c>
      <c r="D74" s="327">
        <v>3723277.69</v>
      </c>
      <c r="E74" s="327">
        <v>3990862.17</v>
      </c>
      <c r="F74" s="327">
        <v>4510539.11</v>
      </c>
      <c r="G74" s="327">
        <v>4028297.15</v>
      </c>
      <c r="H74" s="327">
        <v>3640664.19</v>
      </c>
      <c r="I74" s="327">
        <v>3991310.89</v>
      </c>
      <c r="J74" s="327">
        <v>3724835.96</v>
      </c>
      <c r="K74" s="327">
        <v>3744898.88</v>
      </c>
      <c r="L74" s="327">
        <v>3762470.65</v>
      </c>
      <c r="M74" s="327">
        <v>3643804.64</v>
      </c>
      <c r="N74" s="327">
        <v>3627341.07</v>
      </c>
      <c r="O74" s="327">
        <v>3627341.07</v>
      </c>
      <c r="P74" s="327">
        <v>45018508.4782193</v>
      </c>
      <c r="Q74" s="327">
        <v>3686485.29327928</v>
      </c>
      <c r="R74" s="327">
        <v>3686485.29327928</v>
      </c>
      <c r="S74" s="327">
        <v>3686485.29327928</v>
      </c>
      <c r="T74" s="327">
        <v>3686485.29327928</v>
      </c>
      <c r="U74" s="327">
        <v>3687145.67063777</v>
      </c>
      <c r="V74" s="327">
        <v>3687145.67063777</v>
      </c>
      <c r="W74" s="327">
        <v>3687145.67063777</v>
      </c>
      <c r="X74" s="327">
        <v>3687145.67063777</v>
      </c>
      <c r="Y74" s="327">
        <v>3687145.67063777</v>
      </c>
      <c r="Z74" s="327">
        <v>3687145.67063777</v>
      </c>
      <c r="AA74" s="327">
        <v>3687145.67063777</v>
      </c>
      <c r="AB74" s="327">
        <v>4462547.61063777</v>
      </c>
    </row>
    <row r="75" spans="1:28">
      <c r="A75">
        <v>6401</v>
      </c>
      <c r="B75" t="s">
        <v>5</v>
      </c>
      <c r="C75">
        <v>46015643.47</v>
      </c>
      <c r="D75">
        <v>3723277.69</v>
      </c>
      <c r="E75">
        <v>3990862.17</v>
      </c>
      <c r="F75">
        <v>4510539.11</v>
      </c>
      <c r="G75">
        <v>4028297.15</v>
      </c>
      <c r="H75">
        <v>3640664.19</v>
      </c>
      <c r="I75">
        <v>3991310.89</v>
      </c>
      <c r="J75">
        <v>3724835.96</v>
      </c>
      <c r="K75">
        <v>3744898.88</v>
      </c>
      <c r="L75">
        <v>3762470.65</v>
      </c>
      <c r="M75">
        <v>3643804.64</v>
      </c>
      <c r="N75">
        <v>3627341.07</v>
      </c>
      <c r="O75" s="328">
        <v>3627341.07</v>
      </c>
      <c r="P75">
        <v>45018508.4782193</v>
      </c>
      <c r="Q75">
        <v>3686485.29327928</v>
      </c>
      <c r="R75">
        <v>3686485.29327928</v>
      </c>
      <c r="S75">
        <v>3686485.29327928</v>
      </c>
      <c r="T75">
        <v>3686485.29327928</v>
      </c>
      <c r="U75">
        <v>3687145.67063777</v>
      </c>
      <c r="V75">
        <v>3687145.67063777</v>
      </c>
      <c r="W75">
        <v>3687145.67063777</v>
      </c>
      <c r="X75">
        <v>3687145.67063777</v>
      </c>
      <c r="Y75">
        <v>3687145.67063777</v>
      </c>
      <c r="Z75">
        <v>3687145.67063777</v>
      </c>
      <c r="AA75">
        <v>3687145.67063777</v>
      </c>
      <c r="AB75">
        <v>4462547.61063777</v>
      </c>
    </row>
    <row r="76" spans="1:28">
      <c r="A76">
        <v>6401.03</v>
      </c>
      <c r="B76" t="s">
        <v>6</v>
      </c>
      <c r="C76">
        <v>46015643.47</v>
      </c>
      <c r="D76">
        <v>3723277.69</v>
      </c>
      <c r="E76">
        <v>3990862.17</v>
      </c>
      <c r="F76">
        <v>4510539.11</v>
      </c>
      <c r="G76">
        <v>4028297.15</v>
      </c>
      <c r="H76">
        <v>3640664.19</v>
      </c>
      <c r="I76">
        <v>3991310.89</v>
      </c>
      <c r="J76">
        <v>3724835.96</v>
      </c>
      <c r="K76">
        <v>3744898.88</v>
      </c>
      <c r="L76">
        <v>3762470.65</v>
      </c>
      <c r="M76">
        <v>3643804.64</v>
      </c>
      <c r="N76">
        <v>3627341.07</v>
      </c>
      <c r="O76" s="328">
        <v>3627341.07</v>
      </c>
      <c r="P76">
        <v>45018508.4782193</v>
      </c>
      <c r="Q76">
        <v>3686485.29327928</v>
      </c>
      <c r="R76">
        <v>3686485.29327928</v>
      </c>
      <c r="S76">
        <v>3686485.29327928</v>
      </c>
      <c r="T76">
        <v>3686485.29327928</v>
      </c>
      <c r="U76">
        <v>3687145.67063777</v>
      </c>
      <c r="V76">
        <v>3687145.67063777</v>
      </c>
      <c r="W76">
        <v>3687145.67063777</v>
      </c>
      <c r="X76">
        <v>3687145.67063777</v>
      </c>
      <c r="Y76">
        <v>3687145.67063777</v>
      </c>
      <c r="Z76">
        <v>3687145.67063777</v>
      </c>
      <c r="AA76">
        <v>3687145.67063777</v>
      </c>
      <c r="AB76">
        <v>4462547.61063777</v>
      </c>
    </row>
    <row r="77" spans="1:28">
      <c r="A77" t="s">
        <v>7</v>
      </c>
      <c r="B77" t="s">
        <v>8</v>
      </c>
      <c r="C77">
        <v>1129933.35</v>
      </c>
      <c r="D77">
        <v>17459.88</v>
      </c>
      <c r="E77">
        <v>156834.4</v>
      </c>
      <c r="F77">
        <v>6081.38</v>
      </c>
      <c r="G77">
        <v>171150.56</v>
      </c>
      <c r="H77">
        <v>33903.26</v>
      </c>
      <c r="I77">
        <v>326844.76</v>
      </c>
      <c r="J77">
        <v>83633.26</v>
      </c>
      <c r="K77">
        <v>86007.53</v>
      </c>
      <c r="L77">
        <v>63096.46</v>
      </c>
      <c r="M77">
        <v>61640.62</v>
      </c>
      <c r="N77">
        <v>61640.62</v>
      </c>
      <c r="O77" s="328">
        <v>61640.62</v>
      </c>
      <c r="P77" s="327">
        <v>982083.722071322</v>
      </c>
      <c r="Q77">
        <v>81840.3101726102</v>
      </c>
      <c r="R77">
        <v>81840.3101726102</v>
      </c>
      <c r="S77">
        <v>81840.3101726102</v>
      </c>
      <c r="T77">
        <v>81840.3101726102</v>
      </c>
      <c r="U77">
        <v>81840.3101726102</v>
      </c>
      <c r="V77">
        <v>81840.3101726102</v>
      </c>
      <c r="W77">
        <v>81840.3101726102</v>
      </c>
      <c r="X77">
        <v>81840.3101726102</v>
      </c>
      <c r="Y77">
        <v>81840.3101726102</v>
      </c>
      <c r="Z77">
        <v>81840.3101726102</v>
      </c>
      <c r="AA77">
        <v>81840.3101726102</v>
      </c>
      <c r="AB77">
        <v>81840.3101726102</v>
      </c>
    </row>
    <row r="78" spans="1:28">
      <c r="A78" t="s">
        <v>10</v>
      </c>
      <c r="B78" t="s">
        <v>11</v>
      </c>
      <c r="C78">
        <v>1027911.87</v>
      </c>
      <c r="D78">
        <v>84704.74</v>
      </c>
      <c r="E78">
        <v>116816.63</v>
      </c>
      <c r="F78">
        <v>88389.95</v>
      </c>
      <c r="G78">
        <v>96032.14</v>
      </c>
      <c r="H78">
        <v>85317.95</v>
      </c>
      <c r="I78">
        <v>85317.95</v>
      </c>
      <c r="J78">
        <v>85317.95</v>
      </c>
      <c r="K78">
        <v>85387.13</v>
      </c>
      <c r="L78">
        <v>86047.51</v>
      </c>
      <c r="M78">
        <v>71526.64</v>
      </c>
      <c r="N78">
        <v>71526.64</v>
      </c>
      <c r="O78" s="328">
        <v>71526.64</v>
      </c>
      <c r="P78">
        <v>1032090.53614795</v>
      </c>
      <c r="Q78">
        <v>85567.2931066692</v>
      </c>
      <c r="R78">
        <v>85567.2931066692</v>
      </c>
      <c r="S78">
        <v>85567.2931066692</v>
      </c>
      <c r="T78">
        <v>85567.2931066692</v>
      </c>
      <c r="U78">
        <v>86227.6704651597</v>
      </c>
      <c r="V78">
        <v>86227.6704651597</v>
      </c>
      <c r="W78">
        <v>86227.6704651597</v>
      </c>
      <c r="X78">
        <v>86227.6704651597</v>
      </c>
      <c r="Y78">
        <v>86227.6704651597</v>
      </c>
      <c r="Z78">
        <v>86227.6704651597</v>
      </c>
      <c r="AA78">
        <v>86227.6704651597</v>
      </c>
      <c r="AB78">
        <v>86227.6704651597</v>
      </c>
    </row>
    <row r="79" spans="1:28">
      <c r="A79" t="s">
        <v>12</v>
      </c>
      <c r="B79" s="328" t="s">
        <v>13</v>
      </c>
      <c r="C79">
        <v>132574.13</v>
      </c>
      <c r="D79">
        <v>7883.33</v>
      </c>
      <c r="E79">
        <v>39382.01</v>
      </c>
      <c r="F79">
        <v>7883.33</v>
      </c>
      <c r="G79">
        <v>5025</v>
      </c>
      <c r="H79">
        <v>10625.32</v>
      </c>
      <c r="I79">
        <v>7883.33</v>
      </c>
      <c r="J79">
        <v>0</v>
      </c>
      <c r="K79">
        <v>0</v>
      </c>
      <c r="L79">
        <v>31533.32</v>
      </c>
      <c r="M79">
        <v>7452.83</v>
      </c>
      <c r="N79">
        <v>7452.83</v>
      </c>
      <c r="O79" s="328">
        <v>7452.83</v>
      </c>
      <c r="P79" s="327">
        <v>89433.9622641509</v>
      </c>
      <c r="Q79">
        <v>7452.83018867925</v>
      </c>
      <c r="R79">
        <v>7452.83018867925</v>
      </c>
      <c r="S79">
        <v>7452.83018867925</v>
      </c>
      <c r="T79">
        <v>7452.83018867925</v>
      </c>
      <c r="U79">
        <v>7452.83018867925</v>
      </c>
      <c r="V79">
        <v>7452.83018867925</v>
      </c>
      <c r="W79">
        <v>7452.83018867925</v>
      </c>
      <c r="X79">
        <v>7452.83018867925</v>
      </c>
      <c r="Y79">
        <v>7452.83018867925</v>
      </c>
      <c r="Z79">
        <v>7452.83018867925</v>
      </c>
      <c r="AA79">
        <v>7452.83018867925</v>
      </c>
      <c r="AB79">
        <v>7452.83018867925</v>
      </c>
    </row>
    <row r="80" spans="1:28">
      <c r="A80" t="s">
        <v>16</v>
      </c>
      <c r="B80" s="328" t="s">
        <v>17</v>
      </c>
      <c r="C80">
        <v>0</v>
      </c>
      <c r="D80">
        <v>0</v>
      </c>
      <c r="E80">
        <v>0</v>
      </c>
      <c r="F80">
        <v>0</v>
      </c>
      <c r="G80">
        <v>0</v>
      </c>
      <c r="H80">
        <v>0</v>
      </c>
      <c r="I80">
        <v>0</v>
      </c>
      <c r="J80">
        <v>0</v>
      </c>
      <c r="K80">
        <v>0</v>
      </c>
      <c r="L80">
        <v>0</v>
      </c>
      <c r="M80">
        <v>0</v>
      </c>
      <c r="N80">
        <v>0</v>
      </c>
      <c r="O80" s="328">
        <v>0</v>
      </c>
      <c r="P80" s="327">
        <v>0</v>
      </c>
      <c r="Q80">
        <v>0</v>
      </c>
      <c r="R80">
        <v>0</v>
      </c>
      <c r="S80">
        <v>0</v>
      </c>
      <c r="T80">
        <v>0</v>
      </c>
      <c r="U80">
        <v>0</v>
      </c>
      <c r="V80">
        <v>0</v>
      </c>
      <c r="W80">
        <v>0</v>
      </c>
      <c r="X80">
        <v>0</v>
      </c>
      <c r="Y80">
        <v>0</v>
      </c>
      <c r="Z80">
        <v>0</v>
      </c>
      <c r="AA80">
        <v>0</v>
      </c>
      <c r="AB80">
        <v>0</v>
      </c>
    </row>
    <row r="81" spans="1:28">
      <c r="A81" t="s">
        <v>20</v>
      </c>
      <c r="B81" s="328" t="s">
        <v>21</v>
      </c>
      <c r="C81">
        <v>0</v>
      </c>
      <c r="D81">
        <v>0</v>
      </c>
      <c r="E81">
        <v>0</v>
      </c>
      <c r="F81">
        <v>0</v>
      </c>
      <c r="G81">
        <v>0</v>
      </c>
      <c r="H81">
        <v>0</v>
      </c>
      <c r="I81">
        <v>0</v>
      </c>
      <c r="J81">
        <v>0</v>
      </c>
      <c r="K81">
        <v>0</v>
      </c>
      <c r="L81">
        <v>0</v>
      </c>
      <c r="M81">
        <v>0</v>
      </c>
      <c r="N81">
        <v>0</v>
      </c>
      <c r="O81" s="327">
        <v>0</v>
      </c>
      <c r="P81" s="327">
        <v>0</v>
      </c>
      <c r="Q81">
        <v>0</v>
      </c>
      <c r="R81">
        <v>0</v>
      </c>
      <c r="S81">
        <v>0</v>
      </c>
      <c r="T81">
        <v>0</v>
      </c>
      <c r="U81">
        <v>0</v>
      </c>
      <c r="V81">
        <v>0</v>
      </c>
      <c r="W81">
        <v>0</v>
      </c>
      <c r="X81">
        <v>0</v>
      </c>
      <c r="Y81">
        <v>0</v>
      </c>
      <c r="Z81">
        <v>0</v>
      </c>
      <c r="AA81">
        <v>0</v>
      </c>
      <c r="AB81">
        <v>0</v>
      </c>
    </row>
    <row r="82" spans="1:28">
      <c r="A82" t="s">
        <v>26</v>
      </c>
      <c r="B82" t="s">
        <v>27</v>
      </c>
      <c r="C82">
        <v>331058.37</v>
      </c>
      <c r="D82">
        <v>30693.07</v>
      </c>
      <c r="E82">
        <v>30693.07</v>
      </c>
      <c r="F82">
        <v>30693.07</v>
      </c>
      <c r="G82">
        <v>30693.07</v>
      </c>
      <c r="H82">
        <v>30693.07</v>
      </c>
      <c r="I82">
        <v>30693.07</v>
      </c>
      <c r="J82">
        <v>30693.07</v>
      </c>
      <c r="K82">
        <v>30693.07</v>
      </c>
      <c r="L82">
        <v>30693.07</v>
      </c>
      <c r="M82">
        <v>18273.58</v>
      </c>
      <c r="N82">
        <v>18273.58</v>
      </c>
      <c r="O82" s="327">
        <v>18273.58</v>
      </c>
      <c r="P82" s="327">
        <v>219283.018867924</v>
      </c>
      <c r="Q82">
        <v>18273.5849056604</v>
      </c>
      <c r="R82">
        <v>18273.5849056604</v>
      </c>
      <c r="S82">
        <v>18273.5849056604</v>
      </c>
      <c r="T82">
        <v>18273.5849056604</v>
      </c>
      <c r="U82">
        <v>18273.5849056604</v>
      </c>
      <c r="V82">
        <v>18273.5849056604</v>
      </c>
      <c r="W82">
        <v>18273.5849056604</v>
      </c>
      <c r="X82">
        <v>18273.5849056604</v>
      </c>
      <c r="Y82">
        <v>18273.5849056604</v>
      </c>
      <c r="Z82">
        <v>18273.5849056604</v>
      </c>
      <c r="AA82">
        <v>18273.5849056604</v>
      </c>
      <c r="AB82">
        <v>18273.5849056604</v>
      </c>
    </row>
    <row r="83" spans="1:28">
      <c r="A83" t="s">
        <v>30</v>
      </c>
      <c r="B83" t="s">
        <v>31</v>
      </c>
      <c r="C83">
        <v>99406.63</v>
      </c>
      <c r="D83">
        <v>5943.4</v>
      </c>
      <c r="E83">
        <v>6556.61</v>
      </c>
      <c r="F83">
        <v>9628.61</v>
      </c>
      <c r="G83">
        <v>9503.81</v>
      </c>
      <c r="H83">
        <v>6556.61</v>
      </c>
      <c r="I83">
        <v>6556.61</v>
      </c>
      <c r="J83">
        <v>6556.61</v>
      </c>
      <c r="K83">
        <v>6625.79</v>
      </c>
      <c r="L83">
        <v>7286.17</v>
      </c>
      <c r="M83">
        <v>11397.47</v>
      </c>
      <c r="N83">
        <v>11397.47</v>
      </c>
      <c r="O83" s="327">
        <v>11397.47</v>
      </c>
      <c r="P83" s="327">
        <v>112150.943396226</v>
      </c>
      <c r="Q83">
        <v>8905.66037735849</v>
      </c>
      <c r="R83">
        <v>8905.66037735849</v>
      </c>
      <c r="S83">
        <v>8905.66037735849</v>
      </c>
      <c r="T83">
        <v>8905.66037735849</v>
      </c>
      <c r="U83">
        <v>9566.03773584906</v>
      </c>
      <c r="V83">
        <v>9566.03773584906</v>
      </c>
      <c r="W83">
        <v>9566.03773584906</v>
      </c>
      <c r="X83">
        <v>9566.03773584906</v>
      </c>
      <c r="Y83">
        <v>9566.03773584906</v>
      </c>
      <c r="Z83">
        <v>9566.03773584906</v>
      </c>
      <c r="AA83">
        <v>9566.03773584906</v>
      </c>
      <c r="AB83">
        <v>9566.03773584906</v>
      </c>
    </row>
    <row r="84" spans="1:28">
      <c r="A84" t="s">
        <v>34</v>
      </c>
      <c r="B84" t="s">
        <v>35</v>
      </c>
      <c r="C84">
        <v>134905.65</v>
      </c>
      <c r="D84">
        <v>0</v>
      </c>
      <c r="E84">
        <v>12264.15</v>
      </c>
      <c r="F84">
        <v>12264.15</v>
      </c>
      <c r="G84">
        <v>12264.15</v>
      </c>
      <c r="H84">
        <v>12264.15</v>
      </c>
      <c r="I84">
        <v>12264.15</v>
      </c>
      <c r="J84">
        <v>0</v>
      </c>
      <c r="K84">
        <v>0</v>
      </c>
      <c r="L84">
        <v>36792.45</v>
      </c>
      <c r="M84">
        <v>12264.15</v>
      </c>
      <c r="N84">
        <v>12264.15</v>
      </c>
      <c r="O84" s="327">
        <v>12264.15</v>
      </c>
      <c r="P84" s="327">
        <v>20400</v>
      </c>
      <c r="Q84">
        <v>1700</v>
      </c>
      <c r="R84">
        <v>1700</v>
      </c>
      <c r="S84">
        <v>1700</v>
      </c>
      <c r="T84">
        <v>1700</v>
      </c>
      <c r="U84">
        <v>1700</v>
      </c>
      <c r="V84">
        <v>1700</v>
      </c>
      <c r="W84">
        <v>1700</v>
      </c>
      <c r="X84">
        <v>1700</v>
      </c>
      <c r="Y84">
        <v>1700</v>
      </c>
      <c r="Z84">
        <v>1700</v>
      </c>
      <c r="AA84">
        <v>1700</v>
      </c>
      <c r="AB84">
        <v>1700</v>
      </c>
    </row>
    <row r="85" spans="1:28">
      <c r="A85" t="s">
        <v>44</v>
      </c>
      <c r="B85" t="s">
        <v>45</v>
      </c>
      <c r="C85">
        <v>0</v>
      </c>
      <c r="D85">
        <v>0</v>
      </c>
      <c r="E85">
        <v>0</v>
      </c>
      <c r="F85">
        <v>0</v>
      </c>
      <c r="G85">
        <v>0</v>
      </c>
      <c r="H85">
        <v>0</v>
      </c>
      <c r="I85">
        <v>0</v>
      </c>
      <c r="J85">
        <v>0</v>
      </c>
      <c r="K85">
        <v>0</v>
      </c>
      <c r="L85">
        <v>0</v>
      </c>
      <c r="M85">
        <v>0</v>
      </c>
      <c r="N85">
        <v>0</v>
      </c>
      <c r="O85" s="327">
        <v>0</v>
      </c>
      <c r="P85" s="327">
        <v>30000</v>
      </c>
      <c r="Q85">
        <v>2500</v>
      </c>
      <c r="R85">
        <v>2500</v>
      </c>
      <c r="S85">
        <v>2500</v>
      </c>
      <c r="T85">
        <v>2500</v>
      </c>
      <c r="U85">
        <v>2500</v>
      </c>
      <c r="V85">
        <v>2500</v>
      </c>
      <c r="W85">
        <v>2500</v>
      </c>
      <c r="X85">
        <v>2500</v>
      </c>
      <c r="Y85">
        <v>2500</v>
      </c>
      <c r="Z85">
        <v>2500</v>
      </c>
      <c r="AA85">
        <v>2500</v>
      </c>
      <c r="AB85">
        <v>2500</v>
      </c>
    </row>
    <row r="86" spans="1:28">
      <c r="A86" t="s">
        <v>48</v>
      </c>
      <c r="B86" t="s">
        <v>49</v>
      </c>
      <c r="C86">
        <v>0</v>
      </c>
      <c r="D86">
        <v>0</v>
      </c>
      <c r="E86">
        <v>0</v>
      </c>
      <c r="F86">
        <v>0</v>
      </c>
      <c r="G86">
        <v>0</v>
      </c>
      <c r="H86">
        <v>0</v>
      </c>
      <c r="I86">
        <v>0</v>
      </c>
      <c r="J86">
        <v>0</v>
      </c>
      <c r="K86">
        <v>0</v>
      </c>
      <c r="L86">
        <v>0</v>
      </c>
      <c r="M86">
        <v>0</v>
      </c>
      <c r="N86">
        <v>0</v>
      </c>
      <c r="O86" s="327">
        <v>0</v>
      </c>
      <c r="P86" s="327">
        <v>0</v>
      </c>
      <c r="Q86">
        <v>0</v>
      </c>
      <c r="R86">
        <v>0</v>
      </c>
      <c r="S86">
        <v>0</v>
      </c>
      <c r="T86">
        <v>0</v>
      </c>
      <c r="U86">
        <v>0</v>
      </c>
      <c r="V86">
        <v>0</v>
      </c>
      <c r="W86">
        <v>0</v>
      </c>
      <c r="X86">
        <v>0</v>
      </c>
      <c r="Y86">
        <v>0</v>
      </c>
      <c r="Z86">
        <v>0</v>
      </c>
      <c r="AA86">
        <v>0</v>
      </c>
      <c r="AB86">
        <v>0</v>
      </c>
    </row>
    <row r="87" spans="1:28">
      <c r="A87" t="s">
        <v>54</v>
      </c>
      <c r="B87" t="s">
        <v>55</v>
      </c>
      <c r="C87">
        <v>317702.94</v>
      </c>
      <c r="D87">
        <v>27920.79</v>
      </c>
      <c r="E87">
        <v>27920.79</v>
      </c>
      <c r="F87">
        <v>27920.79</v>
      </c>
      <c r="G87">
        <v>27920.79</v>
      </c>
      <c r="H87">
        <v>27920.79</v>
      </c>
      <c r="I87">
        <v>27920.79</v>
      </c>
      <c r="J87">
        <v>27920.79</v>
      </c>
      <c r="K87">
        <v>27920.79</v>
      </c>
      <c r="L87">
        <v>27920.79</v>
      </c>
      <c r="M87">
        <v>22138.61</v>
      </c>
      <c r="N87">
        <v>22138.61</v>
      </c>
      <c r="O87" s="327">
        <v>22138.61</v>
      </c>
      <c r="P87" s="327">
        <v>265663.366336634</v>
      </c>
      <c r="Q87">
        <v>22138.6138613861</v>
      </c>
      <c r="R87">
        <v>22138.6138613861</v>
      </c>
      <c r="S87">
        <v>22138.6138613861</v>
      </c>
      <c r="T87">
        <v>22138.6138613861</v>
      </c>
      <c r="U87">
        <v>22138.6138613861</v>
      </c>
      <c r="V87">
        <v>22138.6138613861</v>
      </c>
      <c r="W87">
        <v>22138.6138613861</v>
      </c>
      <c r="X87">
        <v>22138.6138613861</v>
      </c>
      <c r="Y87">
        <v>22138.6138613861</v>
      </c>
      <c r="Z87">
        <v>22138.6138613861</v>
      </c>
      <c r="AA87">
        <v>22138.6138613861</v>
      </c>
      <c r="AB87">
        <v>22138.6138613861</v>
      </c>
    </row>
    <row r="88" spans="1:28">
      <c r="A88" t="s">
        <v>62</v>
      </c>
      <c r="B88" t="s">
        <v>63</v>
      </c>
      <c r="C88">
        <v>0</v>
      </c>
      <c r="D88">
        <v>0</v>
      </c>
      <c r="E88">
        <v>0</v>
      </c>
      <c r="F88">
        <v>0</v>
      </c>
      <c r="G88">
        <v>10625.32</v>
      </c>
      <c r="H88">
        <v>-2741.99</v>
      </c>
      <c r="I88">
        <v>0</v>
      </c>
      <c r="J88">
        <v>20147.48</v>
      </c>
      <c r="K88">
        <v>20147.48</v>
      </c>
      <c r="L88">
        <v>-48178.29</v>
      </c>
      <c r="M88">
        <v>0</v>
      </c>
      <c r="N88">
        <v>0</v>
      </c>
      <c r="O88" s="327">
        <v>0</v>
      </c>
      <c r="P88" s="327">
        <v>153649.811320755</v>
      </c>
      <c r="Q88">
        <v>12804.1509433962</v>
      </c>
      <c r="R88">
        <v>12804.1509433962</v>
      </c>
      <c r="S88">
        <v>12804.1509433962</v>
      </c>
      <c r="T88">
        <v>12804.1509433962</v>
      </c>
      <c r="U88">
        <v>12804.1509433962</v>
      </c>
      <c r="V88">
        <v>12804.1509433962</v>
      </c>
      <c r="W88">
        <v>12804.1509433962</v>
      </c>
      <c r="X88">
        <v>12804.1509433962</v>
      </c>
      <c r="Y88">
        <v>12804.1509433962</v>
      </c>
      <c r="Z88">
        <v>12804.1509433962</v>
      </c>
      <c r="AA88">
        <v>12804.1509433962</v>
      </c>
      <c r="AB88">
        <v>12804.1509433962</v>
      </c>
    </row>
    <row r="89" spans="1:28">
      <c r="A89" t="s">
        <v>65</v>
      </c>
      <c r="B89" t="s">
        <v>66</v>
      </c>
      <c r="C89">
        <v>0</v>
      </c>
      <c r="O89" s="327"/>
      <c r="P89" s="327">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7"/>
      <c r="P91">
        <v>0</v>
      </c>
    </row>
    <row r="92" spans="1:16">
      <c r="A92" t="s">
        <v>391</v>
      </c>
      <c r="B92" t="s">
        <v>392</v>
      </c>
      <c r="C92">
        <v>0</v>
      </c>
      <c r="O92" s="327"/>
      <c r="P92">
        <v>0</v>
      </c>
    </row>
    <row r="93" spans="1:28">
      <c r="A93" t="s">
        <v>393</v>
      </c>
      <c r="B93" t="s">
        <v>394</v>
      </c>
      <c r="C93">
        <v>12264.15</v>
      </c>
      <c r="D93">
        <v>12264.15</v>
      </c>
      <c r="E93">
        <v>0</v>
      </c>
      <c r="F93">
        <v>0</v>
      </c>
      <c r="G93">
        <v>0</v>
      </c>
      <c r="H93">
        <v>0</v>
      </c>
      <c r="I93">
        <v>0</v>
      </c>
      <c r="J93">
        <v>0</v>
      </c>
      <c r="K93">
        <v>0</v>
      </c>
      <c r="L93">
        <v>0</v>
      </c>
      <c r="M93">
        <v>0</v>
      </c>
      <c r="O93" s="328"/>
      <c r="P93" s="327">
        <v>141509.433962264</v>
      </c>
      <c r="Q93">
        <v>11792.4528301887</v>
      </c>
      <c r="R93">
        <v>11792.4528301887</v>
      </c>
      <c r="S93">
        <v>11792.4528301887</v>
      </c>
      <c r="T93">
        <v>11792.4528301887</v>
      </c>
      <c r="U93">
        <v>11792.4528301887</v>
      </c>
      <c r="V93">
        <v>11792.4528301887</v>
      </c>
      <c r="W93">
        <v>11792.4528301887</v>
      </c>
      <c r="X93">
        <v>11792.4528301887</v>
      </c>
      <c r="Y93">
        <v>11792.4528301887</v>
      </c>
      <c r="Z93">
        <v>11792.4528301887</v>
      </c>
      <c r="AA93">
        <v>11792.4528301887</v>
      </c>
      <c r="AB93">
        <v>11792.4528301887</v>
      </c>
    </row>
    <row r="94" spans="1:28">
      <c r="A94" t="s">
        <v>395</v>
      </c>
      <c r="B94" t="s">
        <v>396</v>
      </c>
      <c r="C94">
        <v>13000</v>
      </c>
      <c r="D94">
        <v>0</v>
      </c>
      <c r="E94">
        <v>13000</v>
      </c>
      <c r="F94">
        <v>0</v>
      </c>
      <c r="G94">
        <v>0</v>
      </c>
      <c r="H94">
        <v>0</v>
      </c>
      <c r="I94">
        <v>0</v>
      </c>
      <c r="J94">
        <v>0</v>
      </c>
      <c r="K94">
        <v>0</v>
      </c>
      <c r="L94">
        <v>0</v>
      </c>
      <c r="M94">
        <v>0</v>
      </c>
      <c r="O94" s="327"/>
      <c r="P94" s="327">
        <v>192000</v>
      </c>
      <c r="Q94">
        <v>16000</v>
      </c>
      <c r="R94">
        <v>16000</v>
      </c>
      <c r="S94">
        <v>16000</v>
      </c>
      <c r="T94">
        <v>16000</v>
      </c>
      <c r="U94">
        <v>16000</v>
      </c>
      <c r="V94">
        <v>16000</v>
      </c>
      <c r="W94">
        <v>16000</v>
      </c>
      <c r="X94">
        <v>16000</v>
      </c>
      <c r="Y94">
        <v>16000</v>
      </c>
      <c r="Z94">
        <v>16000</v>
      </c>
      <c r="AA94">
        <v>16000</v>
      </c>
      <c r="AB94">
        <v>16000</v>
      </c>
    </row>
    <row r="95" spans="1:16">
      <c r="A95" t="s">
        <v>397</v>
      </c>
      <c r="B95" t="s">
        <v>398</v>
      </c>
      <c r="C95">
        <v>0</v>
      </c>
      <c r="O95" s="328"/>
      <c r="P95" s="327">
        <v>0</v>
      </c>
    </row>
    <row r="96" spans="1:28">
      <c r="A96" t="s">
        <v>399</v>
      </c>
      <c r="B96" t="s">
        <v>400</v>
      </c>
      <c r="C96">
        <v>0</v>
      </c>
      <c r="O96" s="328"/>
      <c r="P96">
        <v>0</v>
      </c>
      <c r="Q96">
        <v>0</v>
      </c>
      <c r="R96">
        <v>0</v>
      </c>
      <c r="S96">
        <v>0</v>
      </c>
      <c r="T96">
        <v>0</v>
      </c>
      <c r="U96">
        <v>0</v>
      </c>
      <c r="V96">
        <v>0</v>
      </c>
      <c r="W96">
        <v>0</v>
      </c>
      <c r="X96">
        <v>0</v>
      </c>
      <c r="Y96">
        <v>0</v>
      </c>
      <c r="Z96">
        <v>0</v>
      </c>
      <c r="AA96">
        <v>0</v>
      </c>
      <c r="AB96">
        <v>0</v>
      </c>
    </row>
    <row r="97" spans="1:16">
      <c r="A97" t="s">
        <v>401</v>
      </c>
      <c r="B97" t="s">
        <v>402</v>
      </c>
      <c r="C97">
        <v>0</v>
      </c>
      <c r="O97" s="328"/>
      <c r="P97">
        <v>0</v>
      </c>
    </row>
    <row r="98" spans="1:16">
      <c r="A98" t="s">
        <v>76</v>
      </c>
      <c r="B98" t="s">
        <v>77</v>
      </c>
      <c r="C98">
        <v>0</v>
      </c>
      <c r="O98" s="328"/>
      <c r="P98" s="327">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8" t="s">
        <v>83</v>
      </c>
      <c r="C100">
        <v>0</v>
      </c>
      <c r="O100" s="327"/>
      <c r="P100" s="327">
        <v>0</v>
      </c>
      <c r="Q100">
        <v>0</v>
      </c>
      <c r="R100">
        <v>0</v>
      </c>
      <c r="S100">
        <v>0</v>
      </c>
      <c r="T100">
        <v>0</v>
      </c>
      <c r="U100">
        <v>0</v>
      </c>
      <c r="V100">
        <v>0</v>
      </c>
      <c r="W100">
        <v>0</v>
      </c>
      <c r="X100">
        <v>0</v>
      </c>
      <c r="Y100">
        <v>0</v>
      </c>
      <c r="Z100">
        <v>0</v>
      </c>
      <c r="AA100">
        <v>0</v>
      </c>
      <c r="AB100">
        <v>0</v>
      </c>
    </row>
    <row r="101" spans="1:28">
      <c r="A101" t="s">
        <v>86</v>
      </c>
      <c r="B101" s="328" t="s">
        <v>87</v>
      </c>
      <c r="C101">
        <v>0</v>
      </c>
      <c r="P101" s="327">
        <v>0</v>
      </c>
      <c r="Q101">
        <v>0</v>
      </c>
      <c r="R101">
        <v>0</v>
      </c>
      <c r="S101">
        <v>0</v>
      </c>
      <c r="T101">
        <v>0</v>
      </c>
      <c r="U101">
        <v>0</v>
      </c>
      <c r="V101">
        <v>0</v>
      </c>
      <c r="W101">
        <v>0</v>
      </c>
      <c r="X101">
        <v>0</v>
      </c>
      <c r="Y101">
        <v>0</v>
      </c>
      <c r="Z101">
        <v>0</v>
      </c>
      <c r="AA101">
        <v>0</v>
      </c>
      <c r="AB101">
        <v>0</v>
      </c>
    </row>
    <row r="102" spans="1:28">
      <c r="A102" t="s">
        <v>90</v>
      </c>
      <c r="B102" t="s">
        <v>91</v>
      </c>
      <c r="C102">
        <v>0</v>
      </c>
      <c r="O102" s="327"/>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7"/>
      <c r="P105">
        <v>0</v>
      </c>
      <c r="Q105">
        <v>0</v>
      </c>
      <c r="R105">
        <v>0</v>
      </c>
      <c r="S105">
        <v>0</v>
      </c>
      <c r="T105">
        <v>0</v>
      </c>
      <c r="U105">
        <v>0</v>
      </c>
      <c r="V105">
        <v>0</v>
      </c>
      <c r="W105">
        <v>0</v>
      </c>
      <c r="X105">
        <v>0</v>
      </c>
      <c r="Y105">
        <v>0</v>
      </c>
      <c r="Z105">
        <v>0</v>
      </c>
      <c r="AA105">
        <v>0</v>
      </c>
      <c r="AB105">
        <v>0</v>
      </c>
    </row>
    <row r="106" spans="1:28">
      <c r="A106" t="s">
        <v>104</v>
      </c>
      <c r="B106" t="s">
        <v>105</v>
      </c>
      <c r="C106">
        <v>43526807.61</v>
      </c>
      <c r="D106">
        <v>3610744.05</v>
      </c>
      <c r="E106">
        <v>3695044.35</v>
      </c>
      <c r="F106">
        <v>4412975.74</v>
      </c>
      <c r="G106">
        <v>3755424.74</v>
      </c>
      <c r="H106">
        <v>3505071.35</v>
      </c>
      <c r="I106">
        <v>3484425.53</v>
      </c>
      <c r="J106">
        <v>3514494.75</v>
      </c>
      <c r="K106">
        <v>3555030.57</v>
      </c>
      <c r="L106">
        <v>3565075.1</v>
      </c>
      <c r="M106">
        <v>3476173.81</v>
      </c>
      <c r="N106">
        <v>3476173.81</v>
      </c>
      <c r="O106">
        <v>3476173.81</v>
      </c>
      <c r="P106" s="327">
        <v>42602742.22</v>
      </c>
      <c r="Q106">
        <v>3485611.69</v>
      </c>
      <c r="R106">
        <v>3485611.69</v>
      </c>
      <c r="S106">
        <v>3485611.69</v>
      </c>
      <c r="T106">
        <v>3485611.69</v>
      </c>
      <c r="U106">
        <v>3485611.69</v>
      </c>
      <c r="V106">
        <v>3485611.69</v>
      </c>
      <c r="W106">
        <v>3485611.69</v>
      </c>
      <c r="X106">
        <v>3485611.69</v>
      </c>
      <c r="Y106">
        <v>3485611.69</v>
      </c>
      <c r="Z106">
        <v>3485611.69</v>
      </c>
      <c r="AA106">
        <v>3485611.69</v>
      </c>
      <c r="AB106">
        <v>4261013.63</v>
      </c>
    </row>
    <row r="107" spans="1:28">
      <c r="A107" t="s">
        <v>106</v>
      </c>
      <c r="B107" t="s">
        <v>107</v>
      </c>
      <c r="C107">
        <v>37640945.64</v>
      </c>
      <c r="D107">
        <v>3137390.09</v>
      </c>
      <c r="E107">
        <v>3362252.25</v>
      </c>
      <c r="F107">
        <v>3252902.2</v>
      </c>
      <c r="G107">
        <v>3273193.85</v>
      </c>
      <c r="H107">
        <v>3165210.04</v>
      </c>
      <c r="I107">
        <v>3021563.65</v>
      </c>
      <c r="J107">
        <v>3078319.1</v>
      </c>
      <c r="K107">
        <v>3097191.09</v>
      </c>
      <c r="L107">
        <v>3124325.1</v>
      </c>
      <c r="M107">
        <v>3042866.09</v>
      </c>
      <c r="N107">
        <v>3042866.09</v>
      </c>
      <c r="O107" s="327">
        <v>3042866.09</v>
      </c>
      <c r="P107" s="327">
        <v>37233327.96</v>
      </c>
      <c r="Q107">
        <v>3102777.33</v>
      </c>
      <c r="R107">
        <v>3102777.33</v>
      </c>
      <c r="S107">
        <v>3102777.33</v>
      </c>
      <c r="T107">
        <v>3102777.33</v>
      </c>
      <c r="U107">
        <v>3102777.33</v>
      </c>
      <c r="V107">
        <v>3102777.33</v>
      </c>
      <c r="W107">
        <v>3102777.33</v>
      </c>
      <c r="X107">
        <v>3102777.33</v>
      </c>
      <c r="Y107">
        <v>3102777.33</v>
      </c>
      <c r="Z107">
        <v>3102777.33</v>
      </c>
      <c r="AA107">
        <v>3102777.33</v>
      </c>
      <c r="AB107">
        <v>3102777.33</v>
      </c>
    </row>
    <row r="108" spans="1:28">
      <c r="A108" t="s">
        <v>110</v>
      </c>
      <c r="B108" t="s">
        <v>111</v>
      </c>
      <c r="C108">
        <v>1313439.48</v>
      </c>
      <c r="D108">
        <v>74709.55</v>
      </c>
      <c r="E108">
        <v>-50444.37</v>
      </c>
      <c r="F108">
        <v>733607.13</v>
      </c>
      <c r="G108">
        <v>62768.13</v>
      </c>
      <c r="H108">
        <v>42576.13</v>
      </c>
      <c r="I108">
        <v>68546.13</v>
      </c>
      <c r="J108">
        <v>60201.13</v>
      </c>
      <c r="K108">
        <v>71134.13</v>
      </c>
      <c r="L108">
        <v>61233.13</v>
      </c>
      <c r="M108">
        <v>63036.13</v>
      </c>
      <c r="N108">
        <v>63036.13</v>
      </c>
      <c r="O108">
        <v>63036.13</v>
      </c>
      <c r="P108" s="327">
        <v>775401.94</v>
      </c>
      <c r="Q108">
        <v>0</v>
      </c>
      <c r="R108">
        <v>0</v>
      </c>
      <c r="S108">
        <v>0</v>
      </c>
      <c r="T108">
        <v>0</v>
      </c>
      <c r="U108">
        <v>0</v>
      </c>
      <c r="V108">
        <v>0</v>
      </c>
      <c r="W108">
        <v>0</v>
      </c>
      <c r="X108">
        <v>0</v>
      </c>
      <c r="Y108">
        <v>0</v>
      </c>
      <c r="Z108">
        <v>0</v>
      </c>
      <c r="AA108">
        <v>0</v>
      </c>
      <c r="AB108">
        <v>775401.94</v>
      </c>
    </row>
    <row r="109" spans="1:28">
      <c r="A109" t="s">
        <v>113</v>
      </c>
      <c r="B109" t="s">
        <v>114</v>
      </c>
      <c r="C109">
        <v>90664.53</v>
      </c>
      <c r="D109">
        <v>9000</v>
      </c>
      <c r="E109">
        <v>4500</v>
      </c>
      <c r="F109">
        <v>48164.7</v>
      </c>
      <c r="G109">
        <v>4500</v>
      </c>
      <c r="H109">
        <v>8499.83</v>
      </c>
      <c r="I109">
        <v>4500</v>
      </c>
      <c r="J109">
        <v>4500</v>
      </c>
      <c r="K109">
        <v>7000</v>
      </c>
      <c r="L109">
        <v>0</v>
      </c>
      <c r="M109">
        <v>0</v>
      </c>
      <c r="N109">
        <v>0</v>
      </c>
      <c r="O109">
        <v>0</v>
      </c>
      <c r="P109" s="327">
        <v>0</v>
      </c>
      <c r="Q109">
        <v>0</v>
      </c>
      <c r="R109">
        <v>0</v>
      </c>
      <c r="S109">
        <v>0</v>
      </c>
      <c r="T109">
        <v>0</v>
      </c>
      <c r="U109">
        <v>0</v>
      </c>
      <c r="V109">
        <v>0</v>
      </c>
      <c r="W109">
        <v>0</v>
      </c>
      <c r="X109">
        <v>0</v>
      </c>
      <c r="Y109">
        <v>0</v>
      </c>
      <c r="Z109">
        <v>0</v>
      </c>
      <c r="AA109">
        <v>0</v>
      </c>
      <c r="AB109">
        <v>0</v>
      </c>
    </row>
    <row r="110" spans="1:28">
      <c r="A110" t="s">
        <v>116</v>
      </c>
      <c r="B110" t="s">
        <v>117</v>
      </c>
      <c r="C110">
        <v>3743689.7</v>
      </c>
      <c r="D110">
        <v>298240.02</v>
      </c>
      <c r="E110">
        <v>315050.79</v>
      </c>
      <c r="F110">
        <v>316404.59</v>
      </c>
      <c r="G110">
        <v>354181.72</v>
      </c>
      <c r="H110">
        <v>227151.27</v>
      </c>
      <c r="I110">
        <v>326955.51</v>
      </c>
      <c r="J110">
        <v>315250.44</v>
      </c>
      <c r="K110">
        <v>321435.67</v>
      </c>
      <c r="L110">
        <v>321596.92</v>
      </c>
      <c r="M110">
        <v>315807.59</v>
      </c>
      <c r="N110">
        <v>315807.59</v>
      </c>
      <c r="O110">
        <v>315807.59</v>
      </c>
      <c r="P110" s="327">
        <v>3864621.84</v>
      </c>
      <c r="Q110">
        <v>322051.82</v>
      </c>
      <c r="R110">
        <v>322051.82</v>
      </c>
      <c r="S110">
        <v>322051.82</v>
      </c>
      <c r="T110">
        <v>322051.82</v>
      </c>
      <c r="U110">
        <v>322051.82</v>
      </c>
      <c r="V110">
        <v>322051.82</v>
      </c>
      <c r="W110">
        <v>322051.82</v>
      </c>
      <c r="X110">
        <v>322051.82</v>
      </c>
      <c r="Y110">
        <v>322051.82</v>
      </c>
      <c r="Z110">
        <v>322051.82</v>
      </c>
      <c r="AA110">
        <v>322051.82</v>
      </c>
      <c r="AB110">
        <v>322051.82</v>
      </c>
    </row>
    <row r="111" spans="1:28">
      <c r="A111" t="s">
        <v>119</v>
      </c>
      <c r="B111" t="s">
        <v>120</v>
      </c>
      <c r="C111">
        <v>693124.8</v>
      </c>
      <c r="D111">
        <v>52368.48</v>
      </c>
      <c r="E111">
        <v>63685.68</v>
      </c>
      <c r="F111">
        <v>61897.12</v>
      </c>
      <c r="G111">
        <v>60781.04</v>
      </c>
      <c r="H111">
        <v>61634.08</v>
      </c>
      <c r="I111">
        <v>59610.24</v>
      </c>
      <c r="J111">
        <v>56224.08</v>
      </c>
      <c r="K111">
        <v>58269.68</v>
      </c>
      <c r="L111">
        <v>57638.4</v>
      </c>
      <c r="M111">
        <v>53672</v>
      </c>
      <c r="N111">
        <v>53672</v>
      </c>
      <c r="O111">
        <v>53672</v>
      </c>
      <c r="P111" s="327">
        <v>727605.6</v>
      </c>
      <c r="Q111">
        <v>60633.8</v>
      </c>
      <c r="R111">
        <v>60633.8</v>
      </c>
      <c r="S111">
        <v>60633.8</v>
      </c>
      <c r="T111">
        <v>60633.8</v>
      </c>
      <c r="U111">
        <v>60633.8</v>
      </c>
      <c r="V111">
        <v>60633.8</v>
      </c>
      <c r="W111">
        <v>60633.8</v>
      </c>
      <c r="X111">
        <v>60633.8</v>
      </c>
      <c r="Y111">
        <v>60633.8</v>
      </c>
      <c r="Z111">
        <v>60633.8</v>
      </c>
      <c r="AA111">
        <v>60633.8</v>
      </c>
      <c r="AB111">
        <v>60633.8</v>
      </c>
    </row>
    <row r="112" spans="1:28">
      <c r="A112" t="s">
        <v>122</v>
      </c>
      <c r="B112" t="s">
        <v>123</v>
      </c>
      <c r="C112">
        <v>0</v>
      </c>
      <c r="D112">
        <v>0</v>
      </c>
      <c r="E112">
        <v>0</v>
      </c>
      <c r="F112">
        <v>0</v>
      </c>
      <c r="G112">
        <v>0</v>
      </c>
      <c r="H112">
        <v>0</v>
      </c>
      <c r="I112">
        <v>0</v>
      </c>
      <c r="J112">
        <v>0</v>
      </c>
      <c r="K112">
        <v>0</v>
      </c>
      <c r="L112">
        <v>0</v>
      </c>
      <c r="M112">
        <v>0</v>
      </c>
      <c r="N112">
        <v>0</v>
      </c>
      <c r="O112">
        <v>0</v>
      </c>
      <c r="P112" s="327">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N113">
        <v>0</v>
      </c>
      <c r="O113">
        <v>0</v>
      </c>
      <c r="P113" s="327">
        <v>0</v>
      </c>
      <c r="Q113">
        <v>0</v>
      </c>
      <c r="R113">
        <v>0</v>
      </c>
      <c r="S113">
        <v>0</v>
      </c>
      <c r="T113">
        <v>0</v>
      </c>
      <c r="U113">
        <v>0</v>
      </c>
      <c r="V113">
        <v>0</v>
      </c>
      <c r="W113">
        <v>0</v>
      </c>
      <c r="X113">
        <v>0</v>
      </c>
      <c r="Y113">
        <v>0</v>
      </c>
      <c r="Z113">
        <v>0</v>
      </c>
      <c r="AA113">
        <v>0</v>
      </c>
      <c r="AB113">
        <v>0</v>
      </c>
    </row>
    <row r="114" spans="1:28">
      <c r="A114" t="s">
        <v>128</v>
      </c>
      <c r="B114" t="s">
        <v>129</v>
      </c>
      <c r="C114">
        <v>44943.46</v>
      </c>
      <c r="D114">
        <v>39035.91</v>
      </c>
      <c r="E114">
        <v>0</v>
      </c>
      <c r="F114">
        <v>0</v>
      </c>
      <c r="G114">
        <v>0</v>
      </c>
      <c r="H114">
        <v>0</v>
      </c>
      <c r="I114">
        <v>3250</v>
      </c>
      <c r="J114">
        <v>0</v>
      </c>
      <c r="K114">
        <v>0</v>
      </c>
      <c r="L114">
        <v>281.55</v>
      </c>
      <c r="M114">
        <v>792</v>
      </c>
      <c r="N114">
        <v>792</v>
      </c>
      <c r="O114">
        <v>792</v>
      </c>
      <c r="P114" s="327">
        <v>1784.88</v>
      </c>
      <c r="Q114">
        <v>148.74</v>
      </c>
      <c r="R114">
        <v>148.74</v>
      </c>
      <c r="S114">
        <v>148.74</v>
      </c>
      <c r="T114">
        <v>148.74</v>
      </c>
      <c r="U114">
        <v>148.74</v>
      </c>
      <c r="V114">
        <v>148.74</v>
      </c>
      <c r="W114">
        <v>148.74</v>
      </c>
      <c r="X114">
        <v>148.74</v>
      </c>
      <c r="Y114">
        <v>148.74</v>
      </c>
      <c r="Z114">
        <v>148.74</v>
      </c>
      <c r="AA114">
        <v>148.74</v>
      </c>
      <c r="AB114">
        <v>148.74</v>
      </c>
    </row>
    <row r="115" spans="1:28">
      <c r="A115" t="s">
        <v>131</v>
      </c>
      <c r="B115" t="s">
        <v>132</v>
      </c>
      <c r="C115">
        <v>231713.49</v>
      </c>
      <c r="D115">
        <v>10000</v>
      </c>
      <c r="E115">
        <v>1681</v>
      </c>
      <c r="F115">
        <v>0</v>
      </c>
      <c r="G115">
        <v>6755.5</v>
      </c>
      <c r="H115">
        <v>0</v>
      </c>
      <c r="I115">
        <v>90000</v>
      </c>
      <c r="J115">
        <v>25652.21</v>
      </c>
      <c r="K115">
        <v>18000</v>
      </c>
      <c r="L115">
        <v>18000</v>
      </c>
      <c r="M115">
        <v>25624.78</v>
      </c>
      <c r="N115">
        <v>18000</v>
      </c>
      <c r="O115">
        <v>18000</v>
      </c>
      <c r="P115">
        <v>69600</v>
      </c>
      <c r="Q115">
        <v>5800</v>
      </c>
      <c r="R115">
        <v>5800</v>
      </c>
      <c r="S115">
        <v>5800</v>
      </c>
      <c r="T115">
        <v>5800</v>
      </c>
      <c r="U115">
        <v>5800</v>
      </c>
      <c r="V115">
        <v>5800</v>
      </c>
      <c r="W115">
        <v>5800</v>
      </c>
      <c r="X115">
        <v>5800</v>
      </c>
      <c r="Y115">
        <v>5800</v>
      </c>
      <c r="Z115">
        <v>5800</v>
      </c>
      <c r="AA115">
        <v>5800</v>
      </c>
      <c r="AB115">
        <v>5800</v>
      </c>
    </row>
    <row r="116" spans="1:28">
      <c r="A116" t="s">
        <v>133</v>
      </c>
      <c r="B116" t="s">
        <v>134</v>
      </c>
      <c r="C116">
        <v>26088.71</v>
      </c>
      <c r="D116">
        <v>10000</v>
      </c>
      <c r="E116">
        <v>1681</v>
      </c>
      <c r="F116">
        <v>0</v>
      </c>
      <c r="G116">
        <v>6755.5</v>
      </c>
      <c r="H116">
        <v>0</v>
      </c>
      <c r="I116">
        <v>0</v>
      </c>
      <c r="J116">
        <v>7652.21</v>
      </c>
      <c r="K116">
        <v>0</v>
      </c>
      <c r="L116">
        <v>0</v>
      </c>
      <c r="M116">
        <v>0</v>
      </c>
      <c r="P116" s="327">
        <v>60000</v>
      </c>
      <c r="Q116">
        <v>5000</v>
      </c>
      <c r="R116">
        <v>5000</v>
      </c>
      <c r="S116">
        <v>5000</v>
      </c>
      <c r="T116">
        <v>5000</v>
      </c>
      <c r="U116">
        <v>5000</v>
      </c>
      <c r="V116">
        <v>5000</v>
      </c>
      <c r="W116">
        <v>5000</v>
      </c>
      <c r="X116">
        <v>5000</v>
      </c>
      <c r="Y116">
        <v>5000</v>
      </c>
      <c r="Z116">
        <v>5000</v>
      </c>
      <c r="AA116">
        <v>5000</v>
      </c>
      <c r="AB116">
        <v>5000</v>
      </c>
    </row>
    <row r="117" spans="1:28">
      <c r="A117" t="s">
        <v>139</v>
      </c>
      <c r="B117" t="s">
        <v>140</v>
      </c>
      <c r="C117">
        <v>205624.78</v>
      </c>
      <c r="D117">
        <v>0</v>
      </c>
      <c r="E117">
        <v>0</v>
      </c>
      <c r="F117">
        <v>0</v>
      </c>
      <c r="G117">
        <v>0</v>
      </c>
      <c r="H117">
        <v>0</v>
      </c>
      <c r="I117">
        <v>90000</v>
      </c>
      <c r="J117">
        <v>18000</v>
      </c>
      <c r="K117">
        <v>18000</v>
      </c>
      <c r="L117">
        <v>18000</v>
      </c>
      <c r="M117">
        <v>25624.78</v>
      </c>
      <c r="N117">
        <v>18000</v>
      </c>
      <c r="O117">
        <v>18000</v>
      </c>
      <c r="P117" s="327">
        <v>9600</v>
      </c>
      <c r="Q117">
        <v>800</v>
      </c>
      <c r="R117">
        <v>800</v>
      </c>
      <c r="S117">
        <v>800</v>
      </c>
      <c r="T117">
        <v>800</v>
      </c>
      <c r="U117">
        <v>800</v>
      </c>
      <c r="V117">
        <v>800</v>
      </c>
      <c r="W117">
        <v>800</v>
      </c>
      <c r="X117">
        <v>800</v>
      </c>
      <c r="Y117">
        <v>800</v>
      </c>
      <c r="Z117">
        <v>800</v>
      </c>
      <c r="AA117">
        <v>800</v>
      </c>
      <c r="AB117">
        <v>800</v>
      </c>
    </row>
    <row r="118" spans="1:28">
      <c r="A118" t="s">
        <v>405</v>
      </c>
      <c r="B118" t="s">
        <v>406</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0</v>
      </c>
      <c r="D119">
        <v>0</v>
      </c>
      <c r="E119">
        <v>0</v>
      </c>
      <c r="F119">
        <v>0</v>
      </c>
      <c r="G119">
        <v>0</v>
      </c>
      <c r="H119">
        <v>0</v>
      </c>
      <c r="I119">
        <v>0</v>
      </c>
      <c r="J119">
        <v>0</v>
      </c>
      <c r="K119">
        <v>0</v>
      </c>
      <c r="L119">
        <v>0</v>
      </c>
      <c r="M119">
        <v>0</v>
      </c>
      <c r="P119" s="327">
        <v>0</v>
      </c>
      <c r="Q119">
        <v>0</v>
      </c>
      <c r="R119">
        <v>0</v>
      </c>
      <c r="S119">
        <v>0</v>
      </c>
      <c r="T119">
        <v>0</v>
      </c>
      <c r="U119">
        <v>0</v>
      </c>
      <c r="V119">
        <v>0</v>
      </c>
      <c r="W119">
        <v>0</v>
      </c>
      <c r="X119">
        <v>0</v>
      </c>
      <c r="Y119">
        <v>0</v>
      </c>
      <c r="Z119">
        <v>0</v>
      </c>
      <c r="AA119">
        <v>0</v>
      </c>
      <c r="AB119">
        <v>0</v>
      </c>
    </row>
    <row r="120" spans="1:28">
      <c r="A120" t="s">
        <v>407</v>
      </c>
      <c r="B120" t="s">
        <v>408</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413</v>
      </c>
      <c r="B123" t="s">
        <v>414</v>
      </c>
      <c r="C123">
        <v>0</v>
      </c>
      <c r="D123">
        <v>0</v>
      </c>
      <c r="E123">
        <v>0</v>
      </c>
      <c r="F123">
        <v>0</v>
      </c>
      <c r="G123">
        <v>0</v>
      </c>
      <c r="H123">
        <v>0</v>
      </c>
      <c r="I123">
        <v>0</v>
      </c>
      <c r="J123">
        <v>0</v>
      </c>
      <c r="K123">
        <v>0</v>
      </c>
      <c r="L123">
        <v>0</v>
      </c>
      <c r="M123">
        <v>0</v>
      </c>
      <c r="P123" s="327">
        <v>0</v>
      </c>
      <c r="Q123">
        <v>0</v>
      </c>
      <c r="R123">
        <v>0</v>
      </c>
      <c r="S123">
        <v>0</v>
      </c>
      <c r="T123">
        <v>0</v>
      </c>
      <c r="U123">
        <v>0</v>
      </c>
      <c r="V123">
        <v>0</v>
      </c>
      <c r="W123">
        <v>0</v>
      </c>
      <c r="X123">
        <v>0</v>
      </c>
      <c r="Y123">
        <v>0</v>
      </c>
      <c r="Z123">
        <v>0</v>
      </c>
      <c r="AA123">
        <v>0</v>
      </c>
      <c r="AB123">
        <v>0</v>
      </c>
    </row>
    <row r="124" spans="1:28">
      <c r="A124" t="s">
        <v>149</v>
      </c>
      <c r="B124" t="s">
        <v>150</v>
      </c>
      <c r="C124">
        <v>74465.68</v>
      </c>
      <c r="D124">
        <v>0</v>
      </c>
      <c r="E124">
        <v>7116.77</v>
      </c>
      <c r="F124">
        <v>2723.02</v>
      </c>
      <c r="G124">
        <v>-1434.81</v>
      </c>
      <c r="H124">
        <v>16002.63</v>
      </c>
      <c r="I124">
        <v>4437.71</v>
      </c>
      <c r="J124">
        <v>15452.85</v>
      </c>
      <c r="K124">
        <v>0</v>
      </c>
      <c r="L124">
        <v>30167.51</v>
      </c>
      <c r="M124">
        <v>0</v>
      </c>
      <c r="N124">
        <v>0</v>
      </c>
      <c r="O124">
        <v>0</v>
      </c>
      <c r="P124">
        <v>120000</v>
      </c>
      <c r="Q124">
        <v>10000</v>
      </c>
      <c r="R124">
        <v>10000</v>
      </c>
      <c r="S124">
        <v>10000</v>
      </c>
      <c r="T124">
        <v>10000</v>
      </c>
      <c r="U124">
        <v>10000</v>
      </c>
      <c r="V124">
        <v>10000</v>
      </c>
      <c r="W124">
        <v>10000</v>
      </c>
      <c r="X124">
        <v>10000</v>
      </c>
      <c r="Y124">
        <v>10000</v>
      </c>
      <c r="Z124">
        <v>10000</v>
      </c>
      <c r="AA124">
        <v>10000</v>
      </c>
      <c r="AB124">
        <v>10000</v>
      </c>
    </row>
    <row r="125" spans="1:28">
      <c r="A125" t="s">
        <v>151</v>
      </c>
      <c r="B125" t="s">
        <v>152</v>
      </c>
      <c r="C125">
        <v>0</v>
      </c>
      <c r="D125">
        <v>0</v>
      </c>
      <c r="E125">
        <v>0</v>
      </c>
      <c r="F125">
        <v>0</v>
      </c>
      <c r="G125">
        <v>0</v>
      </c>
      <c r="H125">
        <v>0</v>
      </c>
      <c r="I125">
        <v>0</v>
      </c>
      <c r="J125">
        <v>0</v>
      </c>
      <c r="K125">
        <v>0</v>
      </c>
      <c r="L125">
        <v>0</v>
      </c>
      <c r="M125">
        <v>0</v>
      </c>
      <c r="P125" s="327">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39920.48</v>
      </c>
      <c r="D127">
        <v>0</v>
      </c>
      <c r="E127">
        <v>7116.77</v>
      </c>
      <c r="F127">
        <v>2723.02</v>
      </c>
      <c r="G127">
        <v>12255.19</v>
      </c>
      <c r="H127">
        <v>3655.63</v>
      </c>
      <c r="I127">
        <v>4437.71</v>
      </c>
      <c r="J127">
        <v>5683.75</v>
      </c>
      <c r="K127">
        <v>0</v>
      </c>
      <c r="L127">
        <v>4048.41</v>
      </c>
      <c r="M127">
        <v>0</v>
      </c>
      <c r="P127" s="327">
        <v>60000</v>
      </c>
      <c r="Q127">
        <v>5000</v>
      </c>
      <c r="R127">
        <v>5000</v>
      </c>
      <c r="S127">
        <v>5000</v>
      </c>
      <c r="T127">
        <v>5000</v>
      </c>
      <c r="U127">
        <v>5000</v>
      </c>
      <c r="V127">
        <v>5000</v>
      </c>
      <c r="W127">
        <v>5000</v>
      </c>
      <c r="X127">
        <v>5000</v>
      </c>
      <c r="Y127">
        <v>5000</v>
      </c>
      <c r="Z127">
        <v>5000</v>
      </c>
      <c r="AA127">
        <v>5000</v>
      </c>
      <c r="AB127">
        <v>5000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34545.2</v>
      </c>
      <c r="D132">
        <v>0</v>
      </c>
      <c r="E132">
        <v>0</v>
      </c>
      <c r="F132">
        <v>0</v>
      </c>
      <c r="G132">
        <v>-13690</v>
      </c>
      <c r="H132">
        <v>12347</v>
      </c>
      <c r="I132">
        <v>0</v>
      </c>
      <c r="J132">
        <v>9769.1</v>
      </c>
      <c r="K132">
        <v>0</v>
      </c>
      <c r="L132">
        <v>26119.1</v>
      </c>
      <c r="M132">
        <v>0</v>
      </c>
      <c r="P132" s="327">
        <v>60000</v>
      </c>
      <c r="Q132">
        <v>5000</v>
      </c>
      <c r="R132">
        <v>5000</v>
      </c>
      <c r="S132">
        <v>5000</v>
      </c>
      <c r="T132">
        <v>5000</v>
      </c>
      <c r="U132">
        <v>5000</v>
      </c>
      <c r="V132">
        <v>5000</v>
      </c>
      <c r="W132">
        <v>5000</v>
      </c>
      <c r="X132">
        <v>5000</v>
      </c>
      <c r="Y132">
        <v>5000</v>
      </c>
      <c r="Z132">
        <v>5000</v>
      </c>
      <c r="AA132">
        <v>5000</v>
      </c>
      <c r="AB132">
        <v>5000</v>
      </c>
    </row>
    <row r="133" spans="1:28">
      <c r="A133" t="s">
        <v>417</v>
      </c>
      <c r="B133" t="s">
        <v>418</v>
      </c>
      <c r="C133">
        <v>11811.47</v>
      </c>
      <c r="D133">
        <v>369.02</v>
      </c>
      <c r="E133">
        <v>369.02</v>
      </c>
      <c r="F133">
        <v>369.02</v>
      </c>
      <c r="G133">
        <v>369.02</v>
      </c>
      <c r="H133">
        <v>369</v>
      </c>
      <c r="I133">
        <v>284.94</v>
      </c>
      <c r="J133">
        <v>284.94</v>
      </c>
      <c r="K133">
        <v>473.65</v>
      </c>
      <c r="L133">
        <v>84.07</v>
      </c>
      <c r="M133">
        <v>8838.79</v>
      </c>
      <c r="N133">
        <v>0</v>
      </c>
      <c r="O133">
        <v>0</v>
      </c>
      <c r="P133">
        <v>19992</v>
      </c>
      <c r="Q133">
        <v>1666</v>
      </c>
      <c r="R133">
        <v>1666</v>
      </c>
      <c r="S133">
        <v>1666</v>
      </c>
      <c r="T133">
        <v>1666</v>
      </c>
      <c r="U133">
        <v>1666</v>
      </c>
      <c r="V133">
        <v>1666</v>
      </c>
      <c r="W133">
        <v>1666</v>
      </c>
      <c r="X133">
        <v>1666</v>
      </c>
      <c r="Y133">
        <v>1666</v>
      </c>
      <c r="Z133">
        <v>1666</v>
      </c>
      <c r="AA133">
        <v>1666</v>
      </c>
      <c r="AB133">
        <v>1666</v>
      </c>
    </row>
    <row r="134" spans="1:28">
      <c r="A134" t="s">
        <v>419</v>
      </c>
      <c r="B134" t="s">
        <v>420</v>
      </c>
      <c r="C134">
        <v>2868.07</v>
      </c>
      <c r="D134">
        <v>369.02</v>
      </c>
      <c r="E134">
        <v>369.02</v>
      </c>
      <c r="F134">
        <v>369.02</v>
      </c>
      <c r="G134">
        <v>369.02</v>
      </c>
      <c r="H134">
        <v>369</v>
      </c>
      <c r="I134">
        <v>284.94</v>
      </c>
      <c r="J134">
        <v>284.94</v>
      </c>
      <c r="K134">
        <v>284.97</v>
      </c>
      <c r="L134">
        <v>84.07</v>
      </c>
      <c r="M134">
        <v>84.07</v>
      </c>
      <c r="P134" s="327">
        <v>0</v>
      </c>
      <c r="Q134">
        <v>0</v>
      </c>
      <c r="R134">
        <v>0</v>
      </c>
      <c r="S134">
        <v>0</v>
      </c>
      <c r="T134">
        <v>0</v>
      </c>
      <c r="U134">
        <v>0</v>
      </c>
      <c r="V134">
        <v>0</v>
      </c>
      <c r="W134">
        <v>0</v>
      </c>
      <c r="X134">
        <v>0</v>
      </c>
      <c r="Y134">
        <v>0</v>
      </c>
      <c r="Z134">
        <v>0</v>
      </c>
      <c r="AA134">
        <v>0</v>
      </c>
      <c r="AB134">
        <v>0</v>
      </c>
    </row>
    <row r="135" spans="1:28">
      <c r="A135" t="s">
        <v>421</v>
      </c>
      <c r="B135" t="s">
        <v>422</v>
      </c>
      <c r="C135">
        <v>0</v>
      </c>
      <c r="D135">
        <v>0</v>
      </c>
      <c r="E135">
        <v>0</v>
      </c>
      <c r="F135">
        <v>0</v>
      </c>
      <c r="G135">
        <v>0</v>
      </c>
      <c r="H135">
        <v>0</v>
      </c>
      <c r="I135">
        <v>0</v>
      </c>
      <c r="J135">
        <v>0</v>
      </c>
      <c r="K135">
        <v>0</v>
      </c>
      <c r="L135">
        <v>0</v>
      </c>
      <c r="M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M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P139">
        <v>0</v>
      </c>
      <c r="Q139">
        <v>0</v>
      </c>
      <c r="R139">
        <v>0</v>
      </c>
      <c r="S139">
        <v>0</v>
      </c>
      <c r="T139">
        <v>0</v>
      </c>
      <c r="U139">
        <v>0</v>
      </c>
      <c r="V139">
        <v>0</v>
      </c>
      <c r="W139">
        <v>0</v>
      </c>
      <c r="X139">
        <v>0</v>
      </c>
      <c r="Y139">
        <v>0</v>
      </c>
      <c r="Z139">
        <v>0</v>
      </c>
      <c r="AA139">
        <v>0</v>
      </c>
      <c r="AB139">
        <v>0</v>
      </c>
    </row>
    <row r="140" spans="1:28">
      <c r="A140" t="s">
        <v>431</v>
      </c>
      <c r="B140" t="s">
        <v>432</v>
      </c>
      <c r="C140">
        <v>8943.4</v>
      </c>
      <c r="D140">
        <v>0</v>
      </c>
      <c r="E140">
        <v>0</v>
      </c>
      <c r="F140">
        <v>0</v>
      </c>
      <c r="G140">
        <v>0</v>
      </c>
      <c r="H140">
        <v>0</v>
      </c>
      <c r="I140">
        <v>0</v>
      </c>
      <c r="J140">
        <v>0</v>
      </c>
      <c r="K140">
        <v>188.68</v>
      </c>
      <c r="L140">
        <v>0</v>
      </c>
      <c r="M140">
        <v>8754.72</v>
      </c>
      <c r="P140" s="327">
        <v>19992</v>
      </c>
      <c r="Q140">
        <v>1666</v>
      </c>
      <c r="R140">
        <v>1666</v>
      </c>
      <c r="S140">
        <v>1666</v>
      </c>
      <c r="T140">
        <v>1666</v>
      </c>
      <c r="U140">
        <v>1666</v>
      </c>
      <c r="V140">
        <v>1666</v>
      </c>
      <c r="W140">
        <v>1666</v>
      </c>
      <c r="X140">
        <v>1666</v>
      </c>
      <c r="Y140">
        <v>1666</v>
      </c>
      <c r="Z140">
        <v>1666</v>
      </c>
      <c r="AA140">
        <v>1666</v>
      </c>
      <c r="AB140">
        <v>1666</v>
      </c>
    </row>
    <row r="141" spans="1:28">
      <c r="A141" t="s">
        <v>433</v>
      </c>
      <c r="B141" t="s">
        <v>434</v>
      </c>
      <c r="C141">
        <v>0</v>
      </c>
      <c r="D141">
        <v>0</v>
      </c>
      <c r="E141">
        <v>0</v>
      </c>
      <c r="F141">
        <v>0</v>
      </c>
      <c r="G141">
        <v>0</v>
      </c>
      <c r="H141">
        <v>0</v>
      </c>
      <c r="I141">
        <v>0</v>
      </c>
      <c r="J141">
        <v>0</v>
      </c>
      <c r="K141">
        <v>0</v>
      </c>
      <c r="L141">
        <v>0</v>
      </c>
      <c r="M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303402.95</v>
      </c>
      <c r="D332">
        <v>25867.87</v>
      </c>
      <c r="E332">
        <v>21842.17</v>
      </c>
      <c r="F332">
        <v>25066.61</v>
      </c>
      <c r="G332">
        <v>25022.86</v>
      </c>
      <c r="H332">
        <v>25357.27</v>
      </c>
      <c r="I332">
        <v>25363.8</v>
      </c>
      <c r="J332">
        <v>25444.15</v>
      </c>
      <c r="K332">
        <v>25325.09</v>
      </c>
      <c r="L332">
        <v>25913.09</v>
      </c>
      <c r="M332">
        <v>26066.68</v>
      </c>
      <c r="N332">
        <v>26066.68</v>
      </c>
      <c r="O332">
        <v>26066.68</v>
      </c>
      <c r="P332">
        <v>306726.272797634</v>
      </c>
      <c r="Q332">
        <v>25563.6925444569</v>
      </c>
      <c r="R332">
        <v>25563.6925444569</v>
      </c>
      <c r="S332">
        <v>25563.6925444569</v>
      </c>
      <c r="T332">
        <v>25563.6925444569</v>
      </c>
      <c r="U332">
        <v>25558.9378274758</v>
      </c>
      <c r="V332">
        <v>25558.9378274758</v>
      </c>
      <c r="W332">
        <v>25558.9378274758</v>
      </c>
      <c r="X332">
        <v>25558.9378274758</v>
      </c>
      <c r="Y332">
        <v>25558.9378274758</v>
      </c>
      <c r="Z332">
        <v>25558.9378274758</v>
      </c>
      <c r="AA332">
        <v>25558.9378274758</v>
      </c>
      <c r="AB332">
        <v>25558.9378274758</v>
      </c>
    </row>
    <row r="333" spans="1:28">
      <c r="A333">
        <v>6404</v>
      </c>
      <c r="B333" t="s">
        <v>674</v>
      </c>
      <c r="C333">
        <v>-2748412.86</v>
      </c>
      <c r="D333">
        <v>-118259.43</v>
      </c>
      <c r="E333">
        <v>-381818.21</v>
      </c>
      <c r="F333">
        <v>-904719.589999999</v>
      </c>
      <c r="G333">
        <v>-422433.88</v>
      </c>
      <c r="H333">
        <v>-35135.3300000001</v>
      </c>
      <c r="I333">
        <v>-385788.56</v>
      </c>
      <c r="J333">
        <v>-119393.98</v>
      </c>
      <c r="K333">
        <v>-139337.84</v>
      </c>
      <c r="L333">
        <v>-157497.609999999</v>
      </c>
      <c r="M333">
        <v>-38985.1899999993</v>
      </c>
      <c r="N333">
        <v>-22521.6199999995</v>
      </c>
      <c r="O333">
        <v>-22521.6199999995</v>
      </c>
      <c r="P333">
        <v>-1754601.16611125</v>
      </c>
      <c r="Q333">
        <v>-81162.8537482651</v>
      </c>
      <c r="R333">
        <v>-81162.8537482651</v>
      </c>
      <c r="S333">
        <v>-81162.8537482651</v>
      </c>
      <c r="T333">
        <v>-81162.8537482651</v>
      </c>
      <c r="U333">
        <v>-81818.4763897741</v>
      </c>
      <c r="V333">
        <v>-81818.4763897741</v>
      </c>
      <c r="W333">
        <v>-81818.4763897741</v>
      </c>
      <c r="X333">
        <v>-81818.4763897741</v>
      </c>
      <c r="Y333">
        <v>-81818.4763897741</v>
      </c>
      <c r="Z333">
        <v>-81818.4763897741</v>
      </c>
      <c r="AA333">
        <v>-81818.4763897741</v>
      </c>
      <c r="AB333">
        <v>-857220.416389775</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109256.81</v>
      </c>
      <c r="D343">
        <v>39070.07</v>
      </c>
      <c r="E343">
        <v>37717.65</v>
      </c>
      <c r="F343">
        <v>-58117.17</v>
      </c>
      <c r="G343">
        <v>-43.26</v>
      </c>
      <c r="H343">
        <v>38551.09</v>
      </c>
      <c r="I343">
        <v>-38510.22</v>
      </c>
      <c r="J343">
        <v>38389.7</v>
      </c>
      <c r="K343">
        <v>-38487.39</v>
      </c>
      <c r="L343">
        <v>38364.12</v>
      </c>
      <c r="M343">
        <v>0</v>
      </c>
      <c r="N343">
        <v>18364.12</v>
      </c>
      <c r="O343">
        <v>33958.1</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0</v>
      </c>
      <c r="D345">
        <v>0</v>
      </c>
      <c r="E345">
        <v>0</v>
      </c>
      <c r="F345">
        <v>0</v>
      </c>
      <c r="G345">
        <v>0</v>
      </c>
      <c r="H345">
        <v>0</v>
      </c>
      <c r="I345">
        <v>0</v>
      </c>
      <c r="J345">
        <v>0</v>
      </c>
      <c r="K345">
        <v>0</v>
      </c>
      <c r="L345">
        <v>0</v>
      </c>
      <c r="M345">
        <v>0</v>
      </c>
      <c r="P345">
        <v>0</v>
      </c>
    </row>
    <row r="346" spans="1:16">
      <c r="A346">
        <v>6112</v>
      </c>
      <c r="B346" t="s">
        <v>687</v>
      </c>
      <c r="C346">
        <v>21622.22</v>
      </c>
      <c r="D346">
        <v>108.93</v>
      </c>
      <c r="E346">
        <v>-108.92</v>
      </c>
      <c r="F346">
        <v>0</v>
      </c>
      <c r="G346">
        <v>0</v>
      </c>
      <c r="H346">
        <v>0</v>
      </c>
      <c r="I346">
        <v>0</v>
      </c>
      <c r="J346">
        <v>0</v>
      </c>
      <c r="K346">
        <v>0</v>
      </c>
      <c r="L346">
        <v>21622.21</v>
      </c>
      <c r="M346">
        <v>0</v>
      </c>
      <c r="P346">
        <v>0</v>
      </c>
    </row>
    <row r="347" spans="1:28">
      <c r="A347">
        <v>6113</v>
      </c>
      <c r="B347" t="s">
        <v>688</v>
      </c>
      <c r="C347">
        <v>-2836047.45</v>
      </c>
      <c r="D347">
        <v>-157220.57</v>
      </c>
      <c r="E347">
        <v>-419644.78</v>
      </c>
      <c r="F347">
        <v>-846602.419999999</v>
      </c>
      <c r="G347">
        <v>-422390.62</v>
      </c>
      <c r="H347">
        <v>-73686.42</v>
      </c>
      <c r="I347">
        <v>-347278.34</v>
      </c>
      <c r="J347">
        <v>-157783.68</v>
      </c>
      <c r="K347">
        <v>-100850.45</v>
      </c>
      <c r="L347">
        <v>-174239.519999999</v>
      </c>
      <c r="M347">
        <v>-38985.1899999993</v>
      </c>
      <c r="N347">
        <v>-40885.7399999995</v>
      </c>
      <c r="O347">
        <v>-56479.7199999995</v>
      </c>
      <c r="P347">
        <v>-1754601.16611125</v>
      </c>
      <c r="Q347">
        <v>-81162.8537482651</v>
      </c>
      <c r="R347">
        <v>-81162.8537482651</v>
      </c>
      <c r="S347">
        <v>-81162.8537482651</v>
      </c>
      <c r="T347">
        <v>-81162.8537482651</v>
      </c>
      <c r="U347">
        <v>-81818.4763897741</v>
      </c>
      <c r="V347">
        <v>-81818.4763897741</v>
      </c>
      <c r="W347">
        <v>-81818.4763897741</v>
      </c>
      <c r="X347">
        <v>-81818.4763897741</v>
      </c>
      <c r="Y347">
        <v>-81818.4763897741</v>
      </c>
      <c r="Z347">
        <v>-81818.4763897741</v>
      </c>
      <c r="AA347">
        <v>-81818.4763897741</v>
      </c>
      <c r="AB347">
        <v>-857220.416389775</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-2836047.45</v>
      </c>
      <c r="D351">
        <v>-157220.57</v>
      </c>
      <c r="E351">
        <v>-419644.78</v>
      </c>
      <c r="F351">
        <v>-846602.419999999</v>
      </c>
      <c r="G351">
        <v>-422390.62</v>
      </c>
      <c r="H351">
        <v>-73686.42</v>
      </c>
      <c r="I351">
        <v>-347278.34</v>
      </c>
      <c r="J351">
        <v>-157783.68</v>
      </c>
      <c r="K351">
        <v>-100850.45</v>
      </c>
      <c r="L351">
        <v>-174239.519999999</v>
      </c>
      <c r="M351">
        <v>-38985.1899999993</v>
      </c>
      <c r="N351">
        <v>-40885.7399999995</v>
      </c>
      <c r="O351">
        <v>-56479.7199999995</v>
      </c>
      <c r="P351">
        <v>-1754601.16611125</v>
      </c>
      <c r="Q351">
        <v>-81162.8537482651</v>
      </c>
      <c r="R351">
        <v>-81162.8537482651</v>
      </c>
      <c r="S351">
        <v>-81162.8537482651</v>
      </c>
      <c r="T351">
        <v>-81162.8537482651</v>
      </c>
      <c r="U351">
        <v>-81818.4763897741</v>
      </c>
      <c r="V351">
        <v>-81818.4763897741</v>
      </c>
      <c r="W351">
        <v>-81818.4763897741</v>
      </c>
      <c r="X351">
        <v>-81818.4763897741</v>
      </c>
      <c r="Y351">
        <v>-81818.4763897741</v>
      </c>
      <c r="Z351">
        <v>-81818.4763897741</v>
      </c>
      <c r="AA351">
        <v>-81818.4763897741</v>
      </c>
      <c r="AB351">
        <v>-857220.416389775</v>
      </c>
    </row>
    <row r="352" spans="1:28">
      <c r="A352">
        <v>6714</v>
      </c>
      <c r="B352" t="s">
        <v>693</v>
      </c>
      <c r="C352">
        <v>-2836047.45</v>
      </c>
      <c r="D352">
        <v>-157220.57</v>
      </c>
      <c r="E352">
        <v>-419644.78</v>
      </c>
      <c r="F352">
        <v>-846602.419999999</v>
      </c>
      <c r="G352">
        <v>-422390.62</v>
      </c>
      <c r="H352">
        <v>-73686.42</v>
      </c>
      <c r="I352">
        <v>-347278.34</v>
      </c>
      <c r="J352">
        <v>-157783.68</v>
      </c>
      <c r="K352">
        <v>-100850.45</v>
      </c>
      <c r="L352">
        <v>-174239.519999999</v>
      </c>
      <c r="M352">
        <v>-38985.1899999993</v>
      </c>
      <c r="N352">
        <v>-40885.7399999995</v>
      </c>
      <c r="O352">
        <v>-56479.7199999995</v>
      </c>
      <c r="P352">
        <v>-1754601.16611125</v>
      </c>
      <c r="Q352">
        <v>-81162.8537482651</v>
      </c>
      <c r="R352">
        <v>-81162.8537482651</v>
      </c>
      <c r="S352">
        <v>-81162.8537482651</v>
      </c>
      <c r="T352">
        <v>-81162.8537482651</v>
      </c>
      <c r="U352">
        <v>-81818.4763897741</v>
      </c>
      <c r="V352">
        <v>-81818.4763897741</v>
      </c>
      <c r="W352">
        <v>-81818.4763897741</v>
      </c>
      <c r="X352">
        <v>-81818.4763897741</v>
      </c>
      <c r="Y352">
        <v>-81818.4763897741</v>
      </c>
      <c r="Z352">
        <v>-81818.4763897741</v>
      </c>
      <c r="AA352">
        <v>-81818.4763897741</v>
      </c>
      <c r="AB352">
        <v>-857220.416389775</v>
      </c>
    </row>
    <row r="353" spans="1:16">
      <c r="A353">
        <v>6801</v>
      </c>
      <c r="B353" t="s">
        <v>694</v>
      </c>
      <c r="C353">
        <v>-14233.65</v>
      </c>
      <c r="D353">
        <v>-9767.52</v>
      </c>
      <c r="E353">
        <v>-9429.41</v>
      </c>
      <c r="F353">
        <v>14529.29</v>
      </c>
      <c r="G353">
        <v>10.82</v>
      </c>
      <c r="H353">
        <v>-9637.77</v>
      </c>
      <c r="I353">
        <v>9627.55</v>
      </c>
      <c r="J353">
        <v>-9597.43</v>
      </c>
      <c r="K353">
        <v>9621.85</v>
      </c>
      <c r="L353">
        <v>-9591.03</v>
      </c>
      <c r="M353">
        <v>0</v>
      </c>
      <c r="P353">
        <v>0</v>
      </c>
    </row>
    <row r="354" spans="1:28">
      <c r="A354">
        <v>6715</v>
      </c>
      <c r="B354" t="s">
        <v>695</v>
      </c>
      <c r="C354">
        <v>-2821813.8</v>
      </c>
      <c r="D354">
        <v>-147453.05</v>
      </c>
      <c r="E354">
        <v>-410215.37</v>
      </c>
      <c r="F354">
        <v>-861131.709999999</v>
      </c>
      <c r="G354">
        <v>-422401.44</v>
      </c>
      <c r="H354">
        <v>-64048.65</v>
      </c>
      <c r="I354">
        <v>-356905.89</v>
      </c>
      <c r="J354">
        <v>-148186.25</v>
      </c>
      <c r="K354">
        <v>-110472.3</v>
      </c>
      <c r="L354">
        <v>-164648.489999999</v>
      </c>
      <c r="M354">
        <v>-38985.1899999993</v>
      </c>
      <c r="N354">
        <v>-40885.7399999995</v>
      </c>
      <c r="O354">
        <v>-56479.7199999995</v>
      </c>
      <c r="P354">
        <v>-1754601.16611125</v>
      </c>
      <c r="Q354">
        <v>-81162.8537482651</v>
      </c>
      <c r="R354">
        <v>-81162.8537482651</v>
      </c>
      <c r="S354">
        <v>-81162.8537482651</v>
      </c>
      <c r="T354">
        <v>-81162.8537482651</v>
      </c>
      <c r="U354">
        <v>-81818.4763897741</v>
      </c>
      <c r="V354">
        <v>-81818.4763897741</v>
      </c>
      <c r="W354">
        <v>-81818.4763897741</v>
      </c>
      <c r="X354">
        <v>-81818.4763897741</v>
      </c>
      <c r="Y354">
        <v>-81818.4763897741</v>
      </c>
      <c r="Z354">
        <v>-81818.4763897741</v>
      </c>
      <c r="AA354">
        <v>-81818.4763897741</v>
      </c>
      <c r="AB354">
        <v>-857220.416389775</v>
      </c>
    </row>
    <row r="355" spans="1:16">
      <c r="A355">
        <v>6716</v>
      </c>
      <c r="B355" t="s">
        <v>696</v>
      </c>
      <c r="C355">
        <v>-2821813.8</v>
      </c>
      <c r="D355">
        <v>-147453.05</v>
      </c>
      <c r="E355">
        <v>-410215.37</v>
      </c>
      <c r="F355">
        <v>-861131.709999999</v>
      </c>
      <c r="G355">
        <v>-422401.44</v>
      </c>
      <c r="H355">
        <v>-64048.65</v>
      </c>
      <c r="I355">
        <v>-356905.89</v>
      </c>
      <c r="J355">
        <v>-148186.25</v>
      </c>
      <c r="K355">
        <v>-110472.3</v>
      </c>
      <c r="L355">
        <v>-164648.489999999</v>
      </c>
      <c r="M355">
        <v>-38985.1899999993</v>
      </c>
      <c r="N355">
        <v>-40885.7399999995</v>
      </c>
      <c r="O355">
        <v>-56479.7199999995</v>
      </c>
      <c r="P355">
        <v>0</v>
      </c>
    </row>
    <row r="356" spans="1:28">
      <c r="A356" t="s">
        <v>697</v>
      </c>
      <c r="B356" t="s">
        <v>698</v>
      </c>
      <c r="C356">
        <v>-0.0561160054428182</v>
      </c>
      <c r="D356">
        <v>-0.0254460086854886</v>
      </c>
      <c r="E356">
        <v>-0.0991427511388246</v>
      </c>
      <c r="F356">
        <v>-0.242269503505471</v>
      </c>
      <c r="G356">
        <v>-0.109452900964427</v>
      </c>
      <c r="H356">
        <v>-0.00269302303897921</v>
      </c>
      <c r="I356">
        <v>-0.0992663352954008</v>
      </c>
      <c r="J356">
        <v>-0.0258751794014537</v>
      </c>
      <c r="K356">
        <v>-0.0314008057311343</v>
      </c>
      <c r="L356">
        <v>-0.0362403323290117</v>
      </c>
      <c r="M356">
        <v>-0.00355794964024369</v>
      </c>
      <c r="N356">
        <v>0.000976362208307679</v>
      </c>
      <c r="O356">
        <v>0.000976362208307679</v>
      </c>
      <c r="P356">
        <v>-0.0332305218948027</v>
      </c>
      <c r="Q356">
        <v>-0.0153128352642738</v>
      </c>
      <c r="R356">
        <v>-0.0153128352642738</v>
      </c>
      <c r="S356">
        <v>-0.0153128352642738</v>
      </c>
      <c r="T356">
        <v>-0.0153128352642738</v>
      </c>
      <c r="U356">
        <v>-0.0154947130027841</v>
      </c>
      <c r="V356">
        <v>-0.0154947130027841</v>
      </c>
      <c r="W356">
        <v>-0.0154947130027841</v>
      </c>
      <c r="X356">
        <v>-0.0154947130027841</v>
      </c>
      <c r="Y356">
        <v>-0.0154947130027841</v>
      </c>
      <c r="Z356">
        <v>-0.0154947130027841</v>
      </c>
      <c r="AA356">
        <v>-0.0154947130027841</v>
      </c>
      <c r="AB356">
        <v>-0.229051930661044</v>
      </c>
    </row>
    <row r="357" spans="2:28">
      <c r="B357" t="s">
        <v>697</v>
      </c>
      <c r="C357">
        <v>-0.0650908012639878</v>
      </c>
      <c r="D357">
        <v>-0.0433008814848182</v>
      </c>
      <c r="E357">
        <v>-0.115576408891677</v>
      </c>
      <c r="F357">
        <v>-0.233166888106182</v>
      </c>
      <c r="G357">
        <v>-0.116332654034513</v>
      </c>
      <c r="H357">
        <v>-0.020294335146225</v>
      </c>
      <c r="I357">
        <v>-0.0956456158541111</v>
      </c>
      <c r="J357">
        <v>-0.0434559703473819</v>
      </c>
      <c r="K357">
        <v>-0.0277757127018467</v>
      </c>
      <c r="L357">
        <v>-0.0479881532390549</v>
      </c>
      <c r="M357">
        <v>-0.0107371006977846</v>
      </c>
      <c r="N357">
        <v>-0.0112605404124859</v>
      </c>
      <c r="O357">
        <v>-0.0155553542517731</v>
      </c>
      <c r="P357">
        <v>-0.0402702697148546</v>
      </c>
      <c r="Q357">
        <v>-0.0223534560974709</v>
      </c>
      <c r="R357">
        <v>-0.0223534560974709</v>
      </c>
      <c r="S357">
        <v>-0.0223534560974709</v>
      </c>
      <c r="T357">
        <v>-0.0223534560974709</v>
      </c>
      <c r="U357">
        <v>-0.0225340243162639</v>
      </c>
      <c r="V357">
        <v>-0.0225340243162639</v>
      </c>
      <c r="W357">
        <v>-0.0225340243162639</v>
      </c>
      <c r="X357">
        <v>-0.0225340243162639</v>
      </c>
      <c r="Y357">
        <v>-0.0225340243162639</v>
      </c>
      <c r="Z357">
        <v>-0.0225340243162639</v>
      </c>
      <c r="AA357">
        <v>-0.0225340243162639</v>
      </c>
      <c r="AB357">
        <v>-0.236091241974524</v>
      </c>
    </row>
    <row r="358" spans="2:28">
      <c r="B358" t="s">
        <v>699</v>
      </c>
      <c r="C358">
        <v>-0.0647641213689066</v>
      </c>
      <c r="D358">
        <v>-0.0406107613184774</v>
      </c>
      <c r="E358">
        <v>-0.112979409244101</v>
      </c>
      <c r="F358">
        <v>-0.23716847049676</v>
      </c>
      <c r="G358">
        <v>-0.116335634023312</v>
      </c>
      <c r="H358">
        <v>-0.0176399500581419</v>
      </c>
      <c r="I358">
        <v>-0.0982971862023115</v>
      </c>
      <c r="J358">
        <v>-0.0408126954948048</v>
      </c>
      <c r="K358">
        <v>-0.0304257131853375</v>
      </c>
      <c r="L358">
        <v>-0.0453466410415903</v>
      </c>
      <c r="M358">
        <v>-0.0107371006977846</v>
      </c>
      <c r="N358">
        <v>-0.0112605404124859</v>
      </c>
      <c r="O358">
        <v>-0.0155553542517731</v>
      </c>
      <c r="P358">
        <v>-0.0402702697148546</v>
      </c>
      <c r="Q358">
        <v>-0.0223534560974709</v>
      </c>
      <c r="R358">
        <v>-0.0223534560974709</v>
      </c>
      <c r="S358">
        <v>-0.0223534560974709</v>
      </c>
      <c r="T358">
        <v>-0.0223534560974709</v>
      </c>
      <c r="U358">
        <v>-0.0225340243162639</v>
      </c>
      <c r="V358">
        <v>-0.0225340243162639</v>
      </c>
      <c r="W358">
        <v>-0.0225340243162639</v>
      </c>
      <c r="X358">
        <v>-0.0225340243162639</v>
      </c>
      <c r="Y358">
        <v>-0.0225340243162639</v>
      </c>
      <c r="Z358">
        <v>-0.0225340243162639</v>
      </c>
      <c r="AA358">
        <v>-0.0225340243162639</v>
      </c>
      <c r="AB358">
        <v>-0.236091241974524</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F10" workbookViewId="0">
      <selection activeCell="M29" sqref="M29"/>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6</v>
      </c>
      <c r="E9">
        <v>6</v>
      </c>
      <c r="F9">
        <v>6</v>
      </c>
      <c r="G9">
        <v>6</v>
      </c>
      <c r="H9">
        <v>6</v>
      </c>
      <c r="I9">
        <v>6</v>
      </c>
      <c r="J9">
        <v>6</v>
      </c>
      <c r="K9">
        <v>6</v>
      </c>
      <c r="L9">
        <v>6</v>
      </c>
      <c r="M9">
        <v>6</v>
      </c>
      <c r="N9">
        <v>6</v>
      </c>
      <c r="O9">
        <v>6</v>
      </c>
      <c r="P9">
        <v>6</v>
      </c>
    </row>
    <row r="10" customHeight="1" spans="2:16">
      <c r="B10" t="s">
        <v>195</v>
      </c>
      <c r="C10" t="s">
        <v>733</v>
      </c>
      <c r="D10">
        <v>25</v>
      </c>
      <c r="E10">
        <v>25</v>
      </c>
      <c r="F10">
        <v>25</v>
      </c>
      <c r="G10">
        <v>25</v>
      </c>
      <c r="H10">
        <v>25</v>
      </c>
      <c r="I10">
        <v>25</v>
      </c>
      <c r="J10">
        <v>25</v>
      </c>
      <c r="K10">
        <v>25</v>
      </c>
      <c r="L10">
        <v>25</v>
      </c>
      <c r="M10">
        <v>25</v>
      </c>
      <c r="N10">
        <v>25</v>
      </c>
      <c r="O10">
        <v>25</v>
      </c>
      <c r="P10">
        <v>25</v>
      </c>
    </row>
    <row r="11" customHeight="1" spans="2:16">
      <c r="B11" t="s">
        <v>734</v>
      </c>
      <c r="C11" t="s">
        <v>735</v>
      </c>
      <c r="D11">
        <v>160</v>
      </c>
      <c r="E11">
        <v>160</v>
      </c>
      <c r="F11">
        <v>160</v>
      </c>
      <c r="G11">
        <v>160</v>
      </c>
      <c r="H11">
        <v>160</v>
      </c>
      <c r="I11">
        <v>160</v>
      </c>
      <c r="J11">
        <v>160</v>
      </c>
      <c r="K11">
        <v>160</v>
      </c>
      <c r="L11">
        <v>160</v>
      </c>
      <c r="M11">
        <v>160</v>
      </c>
      <c r="N11">
        <v>160</v>
      </c>
      <c r="O11">
        <v>160</v>
      </c>
      <c r="P11">
        <v>160</v>
      </c>
    </row>
    <row r="12" customHeight="1" spans="2:16">
      <c r="B12" t="s">
        <v>736</v>
      </c>
      <c r="C12" t="s">
        <v>737</v>
      </c>
      <c r="D12">
        <v>138</v>
      </c>
      <c r="E12">
        <v>138</v>
      </c>
      <c r="F12">
        <v>138</v>
      </c>
      <c r="G12">
        <v>138</v>
      </c>
      <c r="H12">
        <v>138</v>
      </c>
      <c r="I12">
        <v>138</v>
      </c>
      <c r="J12">
        <v>138</v>
      </c>
      <c r="K12">
        <v>138</v>
      </c>
      <c r="L12">
        <v>138</v>
      </c>
      <c r="M12">
        <v>138</v>
      </c>
      <c r="N12">
        <v>138</v>
      </c>
      <c r="O12">
        <v>138</v>
      </c>
      <c r="P12">
        <v>138</v>
      </c>
    </row>
    <row r="13" customHeight="1" spans="2:16">
      <c r="B13" t="s">
        <v>203</v>
      </c>
      <c r="C13" t="s">
        <v>738</v>
      </c>
      <c r="D13">
        <v>24</v>
      </c>
      <c r="E13">
        <v>24</v>
      </c>
      <c r="F13">
        <v>24</v>
      </c>
      <c r="G13">
        <v>24</v>
      </c>
      <c r="H13">
        <v>24</v>
      </c>
      <c r="I13">
        <v>24</v>
      </c>
      <c r="J13">
        <v>24</v>
      </c>
      <c r="K13">
        <v>24</v>
      </c>
      <c r="L13">
        <v>24</v>
      </c>
      <c r="M13">
        <v>24</v>
      </c>
      <c r="N13">
        <v>24</v>
      </c>
      <c r="O13">
        <v>24</v>
      </c>
      <c r="P13">
        <v>24</v>
      </c>
    </row>
    <row r="14" customHeight="1" spans="2:16">
      <c r="B14" t="s">
        <v>739</v>
      </c>
      <c r="C14" t="s">
        <v>740</v>
      </c>
      <c r="D14">
        <v>233</v>
      </c>
      <c r="E14">
        <v>233</v>
      </c>
      <c r="F14">
        <v>233</v>
      </c>
      <c r="G14">
        <v>233</v>
      </c>
      <c r="H14">
        <v>233</v>
      </c>
      <c r="I14">
        <v>233</v>
      </c>
      <c r="J14">
        <v>233</v>
      </c>
      <c r="K14">
        <v>233</v>
      </c>
      <c r="L14">
        <v>233</v>
      </c>
      <c r="M14">
        <v>233</v>
      </c>
      <c r="N14">
        <v>233</v>
      </c>
      <c r="O14">
        <v>233</v>
      </c>
      <c r="P14">
        <v>233</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586</v>
      </c>
      <c r="E20">
        <v>586</v>
      </c>
      <c r="F20">
        <v>586</v>
      </c>
      <c r="G20">
        <v>586</v>
      </c>
      <c r="H20">
        <v>586</v>
      </c>
      <c r="I20">
        <v>586</v>
      </c>
      <c r="J20">
        <v>586</v>
      </c>
      <c r="K20">
        <v>586</v>
      </c>
      <c r="L20">
        <v>586</v>
      </c>
      <c r="M20">
        <v>586</v>
      </c>
      <c r="N20">
        <v>586</v>
      </c>
      <c r="O20">
        <v>586</v>
      </c>
      <c r="P20">
        <v>586</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7" customFormat="1" spans="2:16">
      <c r="B24" s="327" t="s">
        <v>731</v>
      </c>
      <c r="C24" s="327" t="s">
        <v>732</v>
      </c>
      <c r="D24" s="327">
        <v>1138723.46</v>
      </c>
      <c r="E24" s="327">
        <v>79629.96</v>
      </c>
      <c r="F24" s="327">
        <v>79629.96</v>
      </c>
      <c r="G24" s="327">
        <v>79629.96</v>
      </c>
      <c r="H24" s="327">
        <v>79629.96</v>
      </c>
      <c r="I24" s="327">
        <v>79629.96</v>
      </c>
      <c r="J24" s="327">
        <v>79629.96</v>
      </c>
      <c r="K24" s="327">
        <v>79629.96</v>
      </c>
      <c r="L24" s="327">
        <v>79629.96</v>
      </c>
      <c r="M24" s="327">
        <v>79629.96</v>
      </c>
      <c r="N24" s="327">
        <v>79629.96</v>
      </c>
      <c r="O24" s="327">
        <v>79629.96</v>
      </c>
      <c r="P24" s="327">
        <v>262793.9</v>
      </c>
    </row>
    <row r="25" s="327" customFormat="1" spans="2:16">
      <c r="B25" s="327" t="s">
        <v>195</v>
      </c>
      <c r="C25" s="327" t="s">
        <v>733</v>
      </c>
      <c r="D25" s="327">
        <v>1996299.5</v>
      </c>
      <c r="E25" s="327">
        <v>164231</v>
      </c>
      <c r="F25" s="327">
        <v>164231</v>
      </c>
      <c r="G25" s="327">
        <v>164231</v>
      </c>
      <c r="H25" s="327">
        <v>164231</v>
      </c>
      <c r="I25" s="327">
        <v>164231</v>
      </c>
      <c r="J25" s="327">
        <v>164231</v>
      </c>
      <c r="K25" s="327">
        <v>164231</v>
      </c>
      <c r="L25" s="327">
        <v>164231</v>
      </c>
      <c r="M25" s="327">
        <v>164231</v>
      </c>
      <c r="N25" s="327">
        <v>164231</v>
      </c>
      <c r="O25" s="327">
        <v>164231</v>
      </c>
      <c r="P25" s="327">
        <v>189758.5</v>
      </c>
    </row>
    <row r="26" s="327" customFormat="1" spans="2:16">
      <c r="B26" s="327" t="s">
        <v>734</v>
      </c>
      <c r="C26" s="327" t="s">
        <v>735</v>
      </c>
      <c r="D26" s="327">
        <v>11925468.8</v>
      </c>
      <c r="E26" s="327">
        <v>980174.4</v>
      </c>
      <c r="F26" s="327">
        <v>980174.4</v>
      </c>
      <c r="G26" s="327">
        <v>980174.4</v>
      </c>
      <c r="H26" s="327">
        <v>980174.4</v>
      </c>
      <c r="I26" s="327">
        <v>980174.4</v>
      </c>
      <c r="J26" s="327">
        <v>980174.4</v>
      </c>
      <c r="K26" s="327">
        <v>980174.4</v>
      </c>
      <c r="L26" s="327">
        <v>980174.4</v>
      </c>
      <c r="M26" s="327">
        <v>980174.4</v>
      </c>
      <c r="N26" s="327">
        <v>980174.4</v>
      </c>
      <c r="O26" s="327">
        <v>980174.4</v>
      </c>
      <c r="P26" s="327">
        <v>1143550.4</v>
      </c>
    </row>
    <row r="27" s="328" customFormat="1" spans="2:16">
      <c r="B27" s="328" t="s">
        <v>736</v>
      </c>
      <c r="C27" s="328" t="s">
        <v>737</v>
      </c>
      <c r="D27" s="328">
        <v>7991805.48</v>
      </c>
      <c r="E27" s="328">
        <v>654241.14</v>
      </c>
      <c r="F27" s="328">
        <v>654241.14</v>
      </c>
      <c r="G27" s="328">
        <v>654241.14</v>
      </c>
      <c r="H27" s="328">
        <v>654241.14</v>
      </c>
      <c r="I27" s="328">
        <v>654241.14</v>
      </c>
      <c r="J27" s="328">
        <v>654241.14</v>
      </c>
      <c r="K27" s="328">
        <v>654241.14</v>
      </c>
      <c r="L27" s="328">
        <v>654241.14</v>
      </c>
      <c r="M27" s="328">
        <v>654241.14</v>
      </c>
      <c r="N27" s="328">
        <v>654241.14</v>
      </c>
      <c r="O27" s="328">
        <v>654241.14</v>
      </c>
      <c r="P27" s="328">
        <v>795152.94</v>
      </c>
    </row>
    <row r="28" s="327" customFormat="1" spans="2:16">
      <c r="B28" s="327" t="s">
        <v>203</v>
      </c>
      <c r="C28" s="327" t="s">
        <v>738</v>
      </c>
      <c r="D28" s="327">
        <v>1882068.96</v>
      </c>
      <c r="E28" s="327">
        <v>154796.88</v>
      </c>
      <c r="F28" s="327">
        <v>154796.88</v>
      </c>
      <c r="G28" s="327">
        <v>154796.88</v>
      </c>
      <c r="H28" s="327">
        <v>154796.88</v>
      </c>
      <c r="I28" s="327">
        <v>154796.88</v>
      </c>
      <c r="J28" s="327">
        <v>154796.88</v>
      </c>
      <c r="K28" s="327">
        <v>154796.88</v>
      </c>
      <c r="L28" s="327">
        <v>154796.88</v>
      </c>
      <c r="M28" s="327">
        <v>154796.88</v>
      </c>
      <c r="N28" s="327">
        <v>154796.88</v>
      </c>
      <c r="O28" s="327">
        <v>154796.88</v>
      </c>
      <c r="P28" s="327">
        <v>179303.28</v>
      </c>
    </row>
    <row r="29" s="327" customFormat="1" spans="2:16">
      <c r="B29" s="327" t="s">
        <v>739</v>
      </c>
      <c r="C29" s="327" t="s">
        <v>740</v>
      </c>
      <c r="D29" s="327">
        <v>17668376.02</v>
      </c>
      <c r="E29" s="327">
        <v>1452538.31</v>
      </c>
      <c r="F29" s="327">
        <v>1452538.31</v>
      </c>
      <c r="G29" s="327">
        <v>1452538.31</v>
      </c>
      <c r="H29" s="327">
        <v>1452538.31</v>
      </c>
      <c r="I29" s="327">
        <v>1452538.31</v>
      </c>
      <c r="J29" s="327">
        <v>1452538.31</v>
      </c>
      <c r="K29" s="327">
        <v>1452538.31</v>
      </c>
      <c r="L29" s="327">
        <v>1452538.31</v>
      </c>
      <c r="M29" s="327">
        <v>1452538.31</v>
      </c>
      <c r="N29" s="327">
        <v>1452538.31</v>
      </c>
      <c r="O29" s="327">
        <v>1452538.31</v>
      </c>
      <c r="P29" s="327">
        <v>1690454.61</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42602742.22</v>
      </c>
      <c r="E35">
        <v>3485611.69</v>
      </c>
      <c r="F35">
        <v>3485611.69</v>
      </c>
      <c r="G35">
        <v>3485611.69</v>
      </c>
      <c r="H35">
        <v>3485611.69</v>
      </c>
      <c r="I35">
        <v>3485611.69</v>
      </c>
      <c r="J35">
        <v>3485611.69</v>
      </c>
      <c r="K35">
        <v>3485611.69</v>
      </c>
      <c r="L35">
        <v>3485611.69</v>
      </c>
      <c r="M35">
        <v>3485611.69</v>
      </c>
      <c r="N35">
        <v>3485611.69</v>
      </c>
      <c r="O35">
        <v>3485611.69</v>
      </c>
      <c r="P35">
        <v>4261013.63</v>
      </c>
    </row>
    <row r="37" customHeight="1" spans="2:17">
      <c r="B37" t="s">
        <v>747</v>
      </c>
      <c r="Q37">
        <v>4261013.63</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765000</v>
      </c>
      <c r="E39">
        <v>63750</v>
      </c>
      <c r="F39">
        <v>63750</v>
      </c>
      <c r="G39">
        <v>63750</v>
      </c>
      <c r="H39">
        <v>63750</v>
      </c>
      <c r="I39">
        <v>63750</v>
      </c>
      <c r="J39">
        <v>63750</v>
      </c>
      <c r="K39">
        <v>63750</v>
      </c>
      <c r="L39">
        <v>63750</v>
      </c>
      <c r="M39">
        <v>63750</v>
      </c>
      <c r="N39">
        <v>63750</v>
      </c>
      <c r="O39">
        <v>63750</v>
      </c>
      <c r="P39">
        <v>63750</v>
      </c>
    </row>
    <row r="40" customHeight="1" spans="2:16">
      <c r="B40" t="s">
        <v>195</v>
      </c>
      <c r="C40" t="s">
        <v>733</v>
      </c>
      <c r="D40">
        <v>1780968</v>
      </c>
      <c r="E40">
        <v>148414</v>
      </c>
      <c r="F40">
        <v>148414</v>
      </c>
      <c r="G40">
        <v>148414</v>
      </c>
      <c r="H40">
        <v>148414</v>
      </c>
      <c r="I40">
        <v>148414</v>
      </c>
      <c r="J40">
        <v>148414</v>
      </c>
      <c r="K40">
        <v>148414</v>
      </c>
      <c r="L40">
        <v>148414</v>
      </c>
      <c r="M40">
        <v>148414</v>
      </c>
      <c r="N40">
        <v>148414</v>
      </c>
      <c r="O40">
        <v>148414</v>
      </c>
      <c r="P40">
        <v>148414</v>
      </c>
    </row>
    <row r="41" customHeight="1" spans="2:16">
      <c r="B41" t="s">
        <v>734</v>
      </c>
      <c r="C41" t="s">
        <v>735</v>
      </c>
      <c r="D41">
        <v>10547347.2</v>
      </c>
      <c r="E41">
        <v>878945.6</v>
      </c>
      <c r="F41">
        <v>878945.6</v>
      </c>
      <c r="G41">
        <v>878945.6</v>
      </c>
      <c r="H41">
        <v>878945.6</v>
      </c>
      <c r="I41">
        <v>878945.6</v>
      </c>
      <c r="J41">
        <v>878945.6</v>
      </c>
      <c r="K41">
        <v>878945.6</v>
      </c>
      <c r="L41">
        <v>878945.6</v>
      </c>
      <c r="M41">
        <v>878945.6</v>
      </c>
      <c r="N41">
        <v>878945.6</v>
      </c>
      <c r="O41">
        <v>878945.6</v>
      </c>
      <c r="P41">
        <v>878945.6</v>
      </c>
    </row>
    <row r="42" customHeight="1" spans="2:16">
      <c r="B42" t="s">
        <v>736</v>
      </c>
      <c r="C42" t="s">
        <v>737</v>
      </c>
      <c r="D42">
        <v>6803175.6</v>
      </c>
      <c r="E42">
        <v>566931.3</v>
      </c>
      <c r="F42">
        <v>566931.3</v>
      </c>
      <c r="G42">
        <v>566931.3</v>
      </c>
      <c r="H42">
        <v>566931.3</v>
      </c>
      <c r="I42">
        <v>566931.3</v>
      </c>
      <c r="J42">
        <v>566931.3</v>
      </c>
      <c r="K42">
        <v>566931.3</v>
      </c>
      <c r="L42">
        <v>566931.3</v>
      </c>
      <c r="M42">
        <v>566931.3</v>
      </c>
      <c r="N42">
        <v>566931.3</v>
      </c>
      <c r="O42">
        <v>566931.3</v>
      </c>
      <c r="P42">
        <v>566931.3</v>
      </c>
    </row>
    <row r="43" customHeight="1" spans="2:16">
      <c r="B43" t="s">
        <v>203</v>
      </c>
      <c r="C43" t="s">
        <v>738</v>
      </c>
      <c r="D43">
        <v>1675350.72</v>
      </c>
      <c r="E43">
        <v>139612.56</v>
      </c>
      <c r="F43">
        <v>139612.56</v>
      </c>
      <c r="G43">
        <v>139612.56</v>
      </c>
      <c r="H43">
        <v>139612.56</v>
      </c>
      <c r="I43">
        <v>139612.56</v>
      </c>
      <c r="J43">
        <v>139612.56</v>
      </c>
      <c r="K43">
        <v>139612.56</v>
      </c>
      <c r="L43">
        <v>139612.56</v>
      </c>
      <c r="M43">
        <v>139612.56</v>
      </c>
      <c r="N43">
        <v>139612.56</v>
      </c>
      <c r="O43">
        <v>139612.56</v>
      </c>
      <c r="P43">
        <v>139612.56</v>
      </c>
    </row>
    <row r="44" customHeight="1" spans="2:16">
      <c r="B44" t="s">
        <v>739</v>
      </c>
      <c r="C44" t="s">
        <v>740</v>
      </c>
      <c r="D44">
        <v>15661486.44</v>
      </c>
      <c r="E44">
        <v>1305123.87</v>
      </c>
      <c r="F44">
        <v>1305123.87</v>
      </c>
      <c r="G44">
        <v>1305123.87</v>
      </c>
      <c r="H44">
        <v>1305123.87</v>
      </c>
      <c r="I44">
        <v>1305123.87</v>
      </c>
      <c r="J44">
        <v>1305123.87</v>
      </c>
      <c r="K44">
        <v>1305123.87</v>
      </c>
      <c r="L44">
        <v>1305123.87</v>
      </c>
      <c r="M44">
        <v>1305123.87</v>
      </c>
      <c r="N44">
        <v>1305123.87</v>
      </c>
      <c r="O44">
        <v>1305123.87</v>
      </c>
      <c r="P44">
        <v>1305123.87</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37233327.96</v>
      </c>
      <c r="E50">
        <v>3102777.33</v>
      </c>
      <c r="F50">
        <v>3102777.33</v>
      </c>
      <c r="G50">
        <v>3102777.33</v>
      </c>
      <c r="H50">
        <v>3102777.33</v>
      </c>
      <c r="I50">
        <v>3102777.33</v>
      </c>
      <c r="J50">
        <v>3102777.33</v>
      </c>
      <c r="K50">
        <v>3102777.33</v>
      </c>
      <c r="L50">
        <v>3102777.33</v>
      </c>
      <c r="M50">
        <v>3102777.33</v>
      </c>
      <c r="N50">
        <v>3102777.33</v>
      </c>
      <c r="O50">
        <v>3102777.33</v>
      </c>
      <c r="P50">
        <v>3102777.33</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731</v>
      </c>
      <c r="C54" t="s">
        <v>732</v>
      </c>
      <c r="D54">
        <v>183163.94</v>
      </c>
      <c r="P54">
        <v>183163.94</v>
      </c>
    </row>
    <row r="55" customHeight="1" spans="2:16">
      <c r="B55" t="s">
        <v>195</v>
      </c>
      <c r="C55" t="s">
        <v>733</v>
      </c>
      <c r="D55">
        <v>25527.5</v>
      </c>
      <c r="P55">
        <v>25527.5</v>
      </c>
    </row>
    <row r="56" customHeight="1" spans="2:16">
      <c r="B56" t="s">
        <v>734</v>
      </c>
      <c r="C56" t="s">
        <v>735</v>
      </c>
      <c r="D56">
        <v>163376</v>
      </c>
      <c r="P56">
        <v>163376</v>
      </c>
    </row>
    <row r="57" customHeight="1" spans="2:16">
      <c r="B57" t="s">
        <v>736</v>
      </c>
      <c r="C57" t="s">
        <v>737</v>
      </c>
      <c r="D57">
        <v>140911.8</v>
      </c>
      <c r="P57">
        <v>140911.8</v>
      </c>
    </row>
    <row r="58" customHeight="1" spans="2:16">
      <c r="B58" t="s">
        <v>203</v>
      </c>
      <c r="C58" t="s">
        <v>738</v>
      </c>
      <c r="D58">
        <v>24506.4</v>
      </c>
      <c r="P58">
        <v>24506.4</v>
      </c>
    </row>
    <row r="59" customHeight="1" spans="2:16">
      <c r="B59" t="s">
        <v>739</v>
      </c>
      <c r="C59" t="s">
        <v>740</v>
      </c>
      <c r="D59">
        <v>237916.3</v>
      </c>
      <c r="P59">
        <v>237916.3</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775401.94</v>
      </c>
      <c r="E65">
        <v>0</v>
      </c>
      <c r="F65">
        <v>0</v>
      </c>
      <c r="G65">
        <v>0</v>
      </c>
      <c r="H65">
        <v>0</v>
      </c>
      <c r="I65">
        <v>0</v>
      </c>
      <c r="J65">
        <v>0</v>
      </c>
      <c r="K65">
        <v>0</v>
      </c>
      <c r="L65">
        <v>0</v>
      </c>
      <c r="M65">
        <v>0</v>
      </c>
      <c r="N65">
        <v>0</v>
      </c>
      <c r="O65">
        <v>0</v>
      </c>
      <c r="P65">
        <v>775401.94</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117984.24</v>
      </c>
      <c r="E69">
        <v>9832.02</v>
      </c>
      <c r="F69">
        <v>9832.02</v>
      </c>
      <c r="G69">
        <v>9832.02</v>
      </c>
      <c r="H69">
        <v>9832.02</v>
      </c>
      <c r="I69">
        <v>9832.02</v>
      </c>
      <c r="J69">
        <v>9832.02</v>
      </c>
      <c r="K69">
        <v>9832.02</v>
      </c>
      <c r="L69">
        <v>9832.02</v>
      </c>
      <c r="M69">
        <v>9832.02</v>
      </c>
      <c r="N69">
        <v>9832.02</v>
      </c>
      <c r="O69">
        <v>9832.02</v>
      </c>
      <c r="P69">
        <v>9832.02</v>
      </c>
    </row>
    <row r="70" customHeight="1" spans="2:16">
      <c r="B70" t="s">
        <v>195</v>
      </c>
      <c r="C70" t="s">
        <v>733</v>
      </c>
      <c r="D70">
        <v>161493</v>
      </c>
      <c r="E70">
        <v>13457.75</v>
      </c>
      <c r="F70">
        <v>13457.75</v>
      </c>
      <c r="G70">
        <v>13457.75</v>
      </c>
      <c r="H70">
        <v>13457.75</v>
      </c>
      <c r="I70">
        <v>13457.75</v>
      </c>
      <c r="J70">
        <v>13457.75</v>
      </c>
      <c r="K70">
        <v>13457.75</v>
      </c>
      <c r="L70">
        <v>13457.75</v>
      </c>
      <c r="M70">
        <v>13457.75</v>
      </c>
      <c r="N70">
        <v>13457.75</v>
      </c>
      <c r="O70">
        <v>13457.75</v>
      </c>
      <c r="P70">
        <v>13457.75</v>
      </c>
    </row>
    <row r="71" customHeight="1" spans="2:16">
      <c r="B71" t="s">
        <v>734</v>
      </c>
      <c r="C71" t="s">
        <v>735</v>
      </c>
      <c r="D71">
        <v>1033555.2</v>
      </c>
      <c r="E71">
        <v>86129.6</v>
      </c>
      <c r="F71">
        <v>86129.6</v>
      </c>
      <c r="G71">
        <v>86129.6</v>
      </c>
      <c r="H71">
        <v>86129.6</v>
      </c>
      <c r="I71">
        <v>86129.6</v>
      </c>
      <c r="J71">
        <v>86129.6</v>
      </c>
      <c r="K71">
        <v>86129.6</v>
      </c>
      <c r="L71">
        <v>86129.6</v>
      </c>
      <c r="M71">
        <v>86129.6</v>
      </c>
      <c r="N71">
        <v>86129.6</v>
      </c>
      <c r="O71">
        <v>86129.6</v>
      </c>
      <c r="P71">
        <v>86129.6</v>
      </c>
    </row>
    <row r="72" customHeight="1" spans="2:16">
      <c r="B72" t="s">
        <v>736</v>
      </c>
      <c r="C72" t="s">
        <v>737</v>
      </c>
      <c r="D72">
        <v>891441.36</v>
      </c>
      <c r="E72">
        <v>74286.78</v>
      </c>
      <c r="F72">
        <v>74286.78</v>
      </c>
      <c r="G72">
        <v>74286.78</v>
      </c>
      <c r="H72">
        <v>74286.78</v>
      </c>
      <c r="I72">
        <v>74286.78</v>
      </c>
      <c r="J72">
        <v>74286.78</v>
      </c>
      <c r="K72">
        <v>74286.78</v>
      </c>
      <c r="L72">
        <v>74286.78</v>
      </c>
      <c r="M72">
        <v>74286.78</v>
      </c>
      <c r="N72">
        <v>74286.78</v>
      </c>
      <c r="O72">
        <v>74286.78</v>
      </c>
      <c r="P72">
        <v>74286.78</v>
      </c>
    </row>
    <row r="73" customHeight="1" spans="2:16">
      <c r="B73" t="s">
        <v>203</v>
      </c>
      <c r="C73" t="s">
        <v>738</v>
      </c>
      <c r="D73">
        <v>155033.28</v>
      </c>
      <c r="E73">
        <v>12919.44</v>
      </c>
      <c r="F73">
        <v>12919.44</v>
      </c>
      <c r="G73">
        <v>12919.44</v>
      </c>
      <c r="H73">
        <v>12919.44</v>
      </c>
      <c r="I73">
        <v>12919.44</v>
      </c>
      <c r="J73">
        <v>12919.44</v>
      </c>
      <c r="K73">
        <v>12919.44</v>
      </c>
      <c r="L73">
        <v>12919.44</v>
      </c>
      <c r="M73">
        <v>12919.44</v>
      </c>
      <c r="N73">
        <v>12919.44</v>
      </c>
      <c r="O73">
        <v>12919.44</v>
      </c>
      <c r="P73">
        <v>12919.44</v>
      </c>
    </row>
    <row r="74" customHeight="1" spans="2:16">
      <c r="B74" t="s">
        <v>739</v>
      </c>
      <c r="C74" t="s">
        <v>740</v>
      </c>
      <c r="D74">
        <v>1505114.76</v>
      </c>
      <c r="E74">
        <v>125426.23</v>
      </c>
      <c r="F74">
        <v>125426.23</v>
      </c>
      <c r="G74">
        <v>125426.23</v>
      </c>
      <c r="H74">
        <v>125426.23</v>
      </c>
      <c r="I74">
        <v>125426.23</v>
      </c>
      <c r="J74">
        <v>125426.23</v>
      </c>
      <c r="K74">
        <v>125426.23</v>
      </c>
      <c r="L74">
        <v>125426.23</v>
      </c>
      <c r="M74">
        <v>125426.23</v>
      </c>
      <c r="N74">
        <v>125426.23</v>
      </c>
      <c r="O74">
        <v>125426.23</v>
      </c>
      <c r="P74">
        <v>125426.23</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3864621.84</v>
      </c>
      <c r="E80">
        <v>322051.82</v>
      </c>
      <c r="F80">
        <v>322051.82</v>
      </c>
      <c r="G80">
        <v>322051.82</v>
      </c>
      <c r="H80">
        <v>322051.82</v>
      </c>
      <c r="I80">
        <v>322051.82</v>
      </c>
      <c r="J80">
        <v>322051.82</v>
      </c>
      <c r="K80">
        <v>322051.82</v>
      </c>
      <c r="L80">
        <v>322051.82</v>
      </c>
      <c r="M80">
        <v>322051.82</v>
      </c>
      <c r="N80">
        <v>322051.82</v>
      </c>
      <c r="O80">
        <v>322051.82</v>
      </c>
      <c r="P80">
        <v>322051.82</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70790.4</v>
      </c>
      <c r="E84">
        <v>5899.2</v>
      </c>
      <c r="F84">
        <v>5899.2</v>
      </c>
      <c r="G84">
        <v>5899.2</v>
      </c>
      <c r="H84">
        <v>5899.2</v>
      </c>
      <c r="I84">
        <v>5899.2</v>
      </c>
      <c r="J84">
        <v>5899.2</v>
      </c>
      <c r="K84">
        <v>5899.2</v>
      </c>
      <c r="L84">
        <v>5899.2</v>
      </c>
      <c r="M84">
        <v>5899.2</v>
      </c>
      <c r="N84">
        <v>5899.2</v>
      </c>
      <c r="O84">
        <v>5899.2</v>
      </c>
      <c r="P84">
        <v>5899.2</v>
      </c>
    </row>
    <row r="85" customHeight="1" spans="2:16">
      <c r="B85" t="s">
        <v>195</v>
      </c>
      <c r="C85" t="s">
        <v>733</v>
      </c>
      <c r="D85">
        <v>28311</v>
      </c>
      <c r="E85">
        <v>2359.25</v>
      </c>
      <c r="F85">
        <v>2359.25</v>
      </c>
      <c r="G85">
        <v>2359.25</v>
      </c>
      <c r="H85">
        <v>2359.25</v>
      </c>
      <c r="I85">
        <v>2359.25</v>
      </c>
      <c r="J85">
        <v>2359.25</v>
      </c>
      <c r="K85">
        <v>2359.25</v>
      </c>
      <c r="L85">
        <v>2359.25</v>
      </c>
      <c r="M85">
        <v>2359.25</v>
      </c>
      <c r="N85">
        <v>2359.25</v>
      </c>
      <c r="O85">
        <v>2359.25</v>
      </c>
      <c r="P85">
        <v>2359.25</v>
      </c>
    </row>
    <row r="86" customHeight="1" spans="2:16">
      <c r="B86" t="s">
        <v>734</v>
      </c>
      <c r="C86" t="s">
        <v>735</v>
      </c>
      <c r="D86">
        <v>181190.4</v>
      </c>
      <c r="E86">
        <v>15099.2</v>
      </c>
      <c r="F86">
        <v>15099.2</v>
      </c>
      <c r="G86">
        <v>15099.2</v>
      </c>
      <c r="H86">
        <v>15099.2</v>
      </c>
      <c r="I86">
        <v>15099.2</v>
      </c>
      <c r="J86">
        <v>15099.2</v>
      </c>
      <c r="K86">
        <v>15099.2</v>
      </c>
      <c r="L86">
        <v>15099.2</v>
      </c>
      <c r="M86">
        <v>15099.2</v>
      </c>
      <c r="N86">
        <v>15099.2</v>
      </c>
      <c r="O86">
        <v>15099.2</v>
      </c>
      <c r="P86">
        <v>15099.2</v>
      </c>
    </row>
    <row r="87" customHeight="1" spans="2:16">
      <c r="B87" t="s">
        <v>736</v>
      </c>
      <c r="C87" t="s">
        <v>737</v>
      </c>
      <c r="D87">
        <v>156276.72</v>
      </c>
      <c r="E87">
        <v>13023.06</v>
      </c>
      <c r="F87">
        <v>13023.06</v>
      </c>
      <c r="G87">
        <v>13023.06</v>
      </c>
      <c r="H87">
        <v>13023.06</v>
      </c>
      <c r="I87">
        <v>13023.06</v>
      </c>
      <c r="J87">
        <v>13023.06</v>
      </c>
      <c r="K87">
        <v>13023.06</v>
      </c>
      <c r="L87">
        <v>13023.06</v>
      </c>
      <c r="M87">
        <v>13023.06</v>
      </c>
      <c r="N87">
        <v>13023.06</v>
      </c>
      <c r="O87">
        <v>13023.06</v>
      </c>
      <c r="P87">
        <v>13023.06</v>
      </c>
    </row>
    <row r="88" customHeight="1" spans="2:16">
      <c r="B88" t="s">
        <v>203</v>
      </c>
      <c r="C88" t="s">
        <v>738</v>
      </c>
      <c r="D88">
        <v>27178.56</v>
      </c>
      <c r="E88">
        <v>2264.88</v>
      </c>
      <c r="F88">
        <v>2264.88</v>
      </c>
      <c r="G88">
        <v>2264.88</v>
      </c>
      <c r="H88">
        <v>2264.88</v>
      </c>
      <c r="I88">
        <v>2264.88</v>
      </c>
      <c r="J88">
        <v>2264.88</v>
      </c>
      <c r="K88">
        <v>2264.88</v>
      </c>
      <c r="L88">
        <v>2264.88</v>
      </c>
      <c r="M88">
        <v>2264.88</v>
      </c>
      <c r="N88">
        <v>2264.88</v>
      </c>
      <c r="O88">
        <v>2264.88</v>
      </c>
      <c r="P88">
        <v>2264.88</v>
      </c>
    </row>
    <row r="89" customHeight="1" spans="2:16">
      <c r="B89" t="s">
        <v>739</v>
      </c>
      <c r="C89" t="s">
        <v>740</v>
      </c>
      <c r="D89">
        <v>263858.52</v>
      </c>
      <c r="E89">
        <v>21988.21</v>
      </c>
      <c r="F89">
        <v>21988.21</v>
      </c>
      <c r="G89">
        <v>21988.21</v>
      </c>
      <c r="H89">
        <v>21988.21</v>
      </c>
      <c r="I89">
        <v>21988.21</v>
      </c>
      <c r="J89">
        <v>21988.21</v>
      </c>
      <c r="K89">
        <v>21988.21</v>
      </c>
      <c r="L89">
        <v>21988.21</v>
      </c>
      <c r="M89">
        <v>21988.21</v>
      </c>
      <c r="N89">
        <v>21988.21</v>
      </c>
      <c r="O89">
        <v>21988.21</v>
      </c>
      <c r="P89">
        <v>21988.21</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727605.6</v>
      </c>
      <c r="E95">
        <v>60633.8</v>
      </c>
      <c r="F95">
        <v>60633.8</v>
      </c>
      <c r="G95">
        <v>60633.8</v>
      </c>
      <c r="H95">
        <v>60633.8</v>
      </c>
      <c r="I95">
        <v>60633.8</v>
      </c>
      <c r="J95">
        <v>60633.8</v>
      </c>
      <c r="K95">
        <v>60633.8</v>
      </c>
      <c r="L95">
        <v>60633.8</v>
      </c>
      <c r="M95">
        <v>60633.8</v>
      </c>
      <c r="N95">
        <v>60633.8</v>
      </c>
      <c r="O95">
        <v>60633.8</v>
      </c>
      <c r="P95">
        <v>60633.8</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4">
      <c r="B100" t="s">
        <v>195</v>
      </c>
      <c r="C100" t="s">
        <v>733</v>
      </c>
      <c r="D100">
        <v>0</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0</v>
      </c>
      <c r="E110">
        <v>0</v>
      </c>
      <c r="F110">
        <v>0</v>
      </c>
      <c r="G110">
        <v>0</v>
      </c>
      <c r="H110">
        <v>0</v>
      </c>
      <c r="I110">
        <v>0</v>
      </c>
      <c r="J110">
        <v>0</v>
      </c>
      <c r="K110">
        <v>0</v>
      </c>
      <c r="L110">
        <v>0</v>
      </c>
      <c r="M110">
        <v>0</v>
      </c>
      <c r="N110">
        <v>0</v>
      </c>
      <c r="O110">
        <v>0</v>
      </c>
      <c r="P110">
        <v>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731</v>
      </c>
      <c r="C114" t="s">
        <v>732</v>
      </c>
      <c r="D114">
        <v>1784.88</v>
      </c>
      <c r="E114">
        <v>148.74</v>
      </c>
      <c r="F114">
        <v>148.74</v>
      </c>
      <c r="G114">
        <v>148.74</v>
      </c>
      <c r="H114">
        <v>148.74</v>
      </c>
      <c r="I114">
        <v>148.74</v>
      </c>
      <c r="J114">
        <v>148.74</v>
      </c>
      <c r="K114">
        <v>148.74</v>
      </c>
      <c r="L114">
        <v>148.74</v>
      </c>
      <c r="M114">
        <v>148.74</v>
      </c>
      <c r="N114">
        <v>148.74</v>
      </c>
      <c r="O114">
        <v>148.74</v>
      </c>
      <c r="P114">
        <v>148.74</v>
      </c>
    </row>
    <row r="115" customHeight="1" spans="2:4">
      <c r="B115" t="s">
        <v>195</v>
      </c>
      <c r="C115" t="s">
        <v>733</v>
      </c>
      <c r="D115">
        <v>0</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1784.88</v>
      </c>
      <c r="E125">
        <v>148.74</v>
      </c>
      <c r="F125">
        <v>148.74</v>
      </c>
      <c r="G125">
        <v>148.74</v>
      </c>
      <c r="H125">
        <v>148.74</v>
      </c>
      <c r="I125">
        <v>148.74</v>
      </c>
      <c r="J125">
        <v>148.74</v>
      </c>
      <c r="K125">
        <v>148.74</v>
      </c>
      <c r="L125">
        <v>148.74</v>
      </c>
      <c r="M125">
        <v>148.74</v>
      </c>
      <c r="N125">
        <v>148.74</v>
      </c>
      <c r="O125">
        <v>148.74</v>
      </c>
      <c r="P125">
        <v>148.74</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85" zoomScaleNormal="85" zoomScaleSheetLayoutView="40" topLeftCell="G1" workbookViewId="0">
      <pane xSplit="27420" topLeftCell="AO1" activePane="topLeft"/>
      <selection activeCell="T10" sqref="T10"/>
      <selection pane="topRight"/>
    </sheetView>
  </sheetViews>
  <sheetFormatPr defaultColWidth="8.75833333333333" defaultRowHeight="16.5"/>
  <cols>
    <col min="1" max="1" width="8.75833333333333" style="264"/>
    <col min="2" max="2" width="10.5" style="122" customWidth="1"/>
    <col min="3" max="3" width="12.875" style="124" customWidth="1"/>
    <col min="4" max="4" width="25.125" style="122" customWidth="1"/>
    <col min="5" max="6" width="32.875" style="122" customWidth="1"/>
    <col min="7" max="7" width="16.375" style="123" customWidth="1"/>
    <col min="8" max="8" width="16.875" style="265" customWidth="1"/>
    <col min="9" max="9" width="13.125" style="265" customWidth="1" outlineLevel="1"/>
    <col min="10" max="13" width="12.375" style="123" customWidth="1" outlineLevel="1"/>
    <col min="14" max="14" width="15.5" style="123" customWidth="1"/>
    <col min="15" max="26" width="7.125" style="123" customWidth="1" outlineLevel="1"/>
    <col min="27" max="27" width="11.2583333333333" style="123" customWidth="1"/>
    <col min="28" max="28" width="18" style="123" customWidth="1"/>
    <col min="29" max="29" width="17.625"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762</v>
      </c>
      <c r="B1" s="270" t="s">
        <v>763</v>
      </c>
      <c r="C1" s="271" t="s">
        <v>764</v>
      </c>
      <c r="D1" s="271"/>
      <c r="E1" s="271"/>
      <c r="F1" s="271"/>
      <c r="G1" s="271"/>
      <c r="H1" s="272" t="s">
        <v>719</v>
      </c>
      <c r="I1" s="272"/>
      <c r="J1" s="272"/>
      <c r="K1" s="272"/>
      <c r="L1" s="272"/>
      <c r="M1" s="272"/>
      <c r="N1" s="272"/>
      <c r="O1" s="272" t="s">
        <v>765</v>
      </c>
      <c r="P1" s="272"/>
      <c r="Q1" s="272"/>
      <c r="R1" s="272"/>
      <c r="S1" s="272"/>
      <c r="T1" s="272"/>
      <c r="U1" s="272"/>
      <c r="V1" s="272"/>
      <c r="W1" s="272"/>
      <c r="X1" s="272"/>
      <c r="Y1" s="272"/>
      <c r="Z1" s="272"/>
      <c r="AA1" s="291"/>
      <c r="AB1" s="269" t="s">
        <v>719</v>
      </c>
      <c r="AC1" s="260" t="s">
        <v>719</v>
      </c>
      <c r="AF1" s="260" t="s">
        <v>719</v>
      </c>
      <c r="AI1" s="260" t="s">
        <v>719</v>
      </c>
      <c r="AL1" s="260" t="s">
        <v>719</v>
      </c>
      <c r="AO1" s="260" t="s">
        <v>719</v>
      </c>
      <c r="AR1" s="260" t="s">
        <v>719</v>
      </c>
      <c r="AU1" s="260" t="s">
        <v>719</v>
      </c>
      <c r="AX1" s="260" t="s">
        <v>719</v>
      </c>
      <c r="BA1" s="260" t="s">
        <v>719</v>
      </c>
      <c r="BD1" s="260" t="s">
        <v>719</v>
      </c>
      <c r="BG1" s="260" t="s">
        <v>719</v>
      </c>
      <c r="BJ1" s="260" t="s">
        <v>719</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766</v>
      </c>
      <c r="AD2" s="294"/>
      <c r="AE2" s="295"/>
      <c r="AF2" s="296" t="s">
        <v>767</v>
      </c>
      <c r="AG2" s="299"/>
      <c r="AH2" s="300"/>
      <c r="AI2" s="296" t="s">
        <v>768</v>
      </c>
      <c r="AJ2" s="299"/>
      <c r="AK2" s="300"/>
      <c r="AL2" s="296" t="s">
        <v>769</v>
      </c>
      <c r="AM2" s="299" t="s">
        <v>769</v>
      </c>
      <c r="AN2" s="300" t="s">
        <v>769</v>
      </c>
      <c r="AO2" s="296" t="s">
        <v>770</v>
      </c>
      <c r="AP2" s="299" t="s">
        <v>770</v>
      </c>
      <c r="AQ2" s="300" t="s">
        <v>770</v>
      </c>
      <c r="AR2" s="296" t="s">
        <v>771</v>
      </c>
      <c r="AS2" s="299" t="s">
        <v>771</v>
      </c>
      <c r="AT2" s="300" t="s">
        <v>771</v>
      </c>
      <c r="AU2" s="296" t="s">
        <v>772</v>
      </c>
      <c r="AV2" s="299" t="s">
        <v>772</v>
      </c>
      <c r="AW2" s="300" t="s">
        <v>772</v>
      </c>
      <c r="AX2" s="296" t="s">
        <v>773</v>
      </c>
      <c r="AY2" s="299" t="s">
        <v>773</v>
      </c>
      <c r="AZ2" s="300" t="s">
        <v>773</v>
      </c>
      <c r="BA2" s="296" t="s">
        <v>774</v>
      </c>
      <c r="BB2" s="299" t="s">
        <v>774</v>
      </c>
      <c r="BC2" s="300" t="s">
        <v>774</v>
      </c>
      <c r="BD2" s="296" t="s">
        <v>775</v>
      </c>
      <c r="BE2" s="299" t="s">
        <v>775</v>
      </c>
      <c r="BF2" s="300" t="s">
        <v>775</v>
      </c>
      <c r="BG2" s="296" t="s">
        <v>776</v>
      </c>
      <c r="BH2" s="299" t="s">
        <v>776</v>
      </c>
      <c r="BI2" s="300" t="s">
        <v>776</v>
      </c>
      <c r="BJ2" s="296" t="s">
        <v>777</v>
      </c>
      <c r="BK2" s="299" t="s">
        <v>777</v>
      </c>
      <c r="BL2" s="299" t="s">
        <v>777</v>
      </c>
      <c r="BM2" s="308"/>
      <c r="BN2" s="300"/>
    </row>
    <row r="3" s="261" customFormat="1" ht="53.1" customHeight="1" spans="1:66">
      <c r="A3" s="276"/>
      <c r="B3" s="277"/>
      <c r="C3" s="278" t="s">
        <v>778</v>
      </c>
      <c r="D3" s="279" t="s">
        <v>3</v>
      </c>
      <c r="E3" s="279" t="s">
        <v>779</v>
      </c>
      <c r="F3" s="279" t="s">
        <v>780</v>
      </c>
      <c r="G3" s="279" t="s">
        <v>781</v>
      </c>
      <c r="H3" s="261" t="s">
        <v>782</v>
      </c>
      <c r="I3" s="261" t="s">
        <v>783</v>
      </c>
      <c r="J3" s="261" t="s">
        <v>784</v>
      </c>
      <c r="K3" s="261" t="s">
        <v>785</v>
      </c>
      <c r="L3" s="261" t="s">
        <v>786</v>
      </c>
      <c r="M3" s="261" t="s">
        <v>787</v>
      </c>
      <c r="N3" s="261" t="s">
        <v>788</v>
      </c>
      <c r="O3" s="284" t="s">
        <v>766</v>
      </c>
      <c r="P3" s="284" t="s">
        <v>767</v>
      </c>
      <c r="Q3" s="284" t="s">
        <v>768</v>
      </c>
      <c r="R3" s="284" t="s">
        <v>769</v>
      </c>
      <c r="S3" s="284" t="s">
        <v>770</v>
      </c>
      <c r="T3" s="284" t="s">
        <v>771</v>
      </c>
      <c r="U3" s="284" t="s">
        <v>772</v>
      </c>
      <c r="V3" s="284" t="s">
        <v>773</v>
      </c>
      <c r="W3" s="284" t="s">
        <v>774</v>
      </c>
      <c r="X3" s="284" t="s">
        <v>775</v>
      </c>
      <c r="Y3" s="284" t="s">
        <v>776</v>
      </c>
      <c r="Z3" s="284" t="s">
        <v>777</v>
      </c>
      <c r="AA3" s="297" t="s">
        <v>789</v>
      </c>
      <c r="AB3" s="261" t="s">
        <v>790</v>
      </c>
      <c r="AC3" s="261" t="s">
        <v>791</v>
      </c>
      <c r="AD3" s="261" t="s">
        <v>792</v>
      </c>
      <c r="AE3" s="261" t="s">
        <v>793</v>
      </c>
      <c r="AF3" s="261" t="s">
        <v>791</v>
      </c>
      <c r="AG3" s="261" t="s">
        <v>792</v>
      </c>
      <c r="AH3" s="261" t="s">
        <v>793</v>
      </c>
      <c r="AI3" s="261" t="s">
        <v>791</v>
      </c>
      <c r="AJ3" s="261" t="s">
        <v>792</v>
      </c>
      <c r="AK3" s="261" t="s">
        <v>793</v>
      </c>
      <c r="AL3" s="261" t="s">
        <v>791</v>
      </c>
      <c r="AM3" s="261" t="s">
        <v>792</v>
      </c>
      <c r="AN3" s="261" t="s">
        <v>793</v>
      </c>
      <c r="AO3" s="261" t="s">
        <v>791</v>
      </c>
      <c r="AP3" s="261" t="s">
        <v>792</v>
      </c>
      <c r="AQ3" s="261" t="s">
        <v>793</v>
      </c>
      <c r="AR3" s="261" t="s">
        <v>791</v>
      </c>
      <c r="AS3" s="261" t="s">
        <v>792</v>
      </c>
      <c r="AT3" s="261" t="s">
        <v>793</v>
      </c>
      <c r="AU3" s="261" t="s">
        <v>791</v>
      </c>
      <c r="AV3" s="261" t="s">
        <v>792</v>
      </c>
      <c r="AW3" s="261" t="s">
        <v>793</v>
      </c>
      <c r="AX3" s="261" t="s">
        <v>791</v>
      </c>
      <c r="AY3" s="261" t="s">
        <v>792</v>
      </c>
      <c r="AZ3" s="261" t="s">
        <v>793</v>
      </c>
      <c r="BA3" s="261" t="s">
        <v>791</v>
      </c>
      <c r="BB3" s="261" t="s">
        <v>792</v>
      </c>
      <c r="BC3" s="261" t="s">
        <v>793</v>
      </c>
      <c r="BD3" s="261" t="s">
        <v>791</v>
      </c>
      <c r="BE3" s="261" t="s">
        <v>792</v>
      </c>
      <c r="BF3" s="261" t="s">
        <v>793</v>
      </c>
      <c r="BG3" s="261" t="s">
        <v>791</v>
      </c>
      <c r="BH3" s="261" t="s">
        <v>792</v>
      </c>
      <c r="BI3" s="261" t="s">
        <v>793</v>
      </c>
      <c r="BJ3" s="261" t="s">
        <v>791</v>
      </c>
      <c r="BK3" s="261" t="s">
        <v>792</v>
      </c>
      <c r="BL3" s="301" t="s">
        <v>793</v>
      </c>
      <c r="BM3" s="309"/>
      <c r="BN3" s="310"/>
    </row>
    <row r="4" s="262" customFormat="1" ht="33.95" customHeight="1" spans="2:66">
      <c r="B4" s="280" t="s">
        <v>794</v>
      </c>
      <c r="C4" s="281">
        <v>1</v>
      </c>
      <c r="D4" s="262" t="s">
        <v>795</v>
      </c>
      <c r="E4" s="262" t="s">
        <v>796</v>
      </c>
      <c r="G4" s="282"/>
      <c r="H4" s="262">
        <f>H5+H381+H582+H652+H658+H668</f>
        <v>45018508.4782193</v>
      </c>
      <c r="P4" s="285"/>
      <c r="Q4" s="285"/>
      <c r="R4" s="285"/>
      <c r="S4" s="285"/>
      <c r="T4" s="285"/>
      <c r="U4" s="285"/>
      <c r="V4" s="285"/>
      <c r="W4" s="285"/>
      <c r="X4" s="285"/>
      <c r="Y4" s="285"/>
      <c r="Z4" s="285"/>
      <c r="AA4" s="285"/>
      <c r="AB4" s="262">
        <f t="shared" ref="AB4:AF4" si="0">AB5+AB381+AB582+AB652+AB658+AB668</f>
        <v>45018508.4782192</v>
      </c>
      <c r="AC4" s="262">
        <f t="shared" si="0"/>
        <v>5228436.69035764</v>
      </c>
      <c r="AF4" s="262">
        <f t="shared" si="0"/>
        <v>3546788.16798743</v>
      </c>
      <c r="AI4" s="262">
        <f>AI5+AI381+AI582+AI652+AI658+AI668</f>
        <v>3546788.16798743</v>
      </c>
      <c r="AL4" s="262">
        <f>AL5+AL381+AL582+AL652+AL658+AL668</f>
        <v>3546788.16798743</v>
      </c>
      <c r="AO4" s="262">
        <f>AO5+AO381+AO582+AO652+AO658+AO668</f>
        <v>3546788.16798743</v>
      </c>
      <c r="AR4" s="262">
        <f>AR5+AR381+AR582+AR652+AR658+AR668</f>
        <v>3546788.16798743</v>
      </c>
      <c r="AU4" s="262">
        <f>AU5+AU381+AU582+AU652+AU658+AU668</f>
        <v>3546788.16798743</v>
      </c>
      <c r="AX4" s="262">
        <f>AX5+AX381+AX582+AX652+AX658+AX668</f>
        <v>3546788.16798743</v>
      </c>
      <c r="BA4" s="262">
        <f>BA5+BA381+BA582+BA652+BA658+BA668</f>
        <v>3546788.16798743</v>
      </c>
      <c r="BD4" s="262">
        <f>BD5+BD381+BD582+BD652+BD658+BD668</f>
        <v>3546788.16798743</v>
      </c>
      <c r="BG4" s="262">
        <f>BG5+BG381+BG582+BG652+BG658+BG668</f>
        <v>3546788.16798743</v>
      </c>
      <c r="BJ4" s="262">
        <f>BJ5+BJ381+BJ582+BJ652+BJ658+BJ668</f>
        <v>4322190.10798742</v>
      </c>
      <c r="BL4" s="302"/>
      <c r="BM4" s="308"/>
      <c r="BN4" s="285"/>
    </row>
    <row r="5" s="108" customFormat="1" ht="33.95" customHeight="1" outlineLevel="1" spans="2:66">
      <c r="B5" s="109" t="s">
        <v>794</v>
      </c>
      <c r="C5" s="110">
        <v>1.1</v>
      </c>
      <c r="D5" s="108" t="s">
        <v>214</v>
      </c>
      <c r="E5" s="109"/>
      <c r="F5" s="109"/>
      <c r="H5" s="108">
        <f>H6+H208+H308</f>
        <v>43339265.5108649</v>
      </c>
      <c r="P5" s="286"/>
      <c r="Q5" s="286"/>
      <c r="R5" s="286"/>
      <c r="S5" s="286"/>
      <c r="T5" s="286"/>
      <c r="U5" s="286"/>
      <c r="V5" s="286"/>
      <c r="W5" s="286"/>
      <c r="X5" s="286"/>
      <c r="Y5" s="286"/>
      <c r="Z5" s="286"/>
      <c r="AA5" s="286"/>
      <c r="AB5" s="108">
        <f t="shared" ref="AB5:AF5" si="1">AB6+AB208+AB308</f>
        <v>43339265.5108649</v>
      </c>
      <c r="AC5" s="108">
        <f t="shared" si="1"/>
        <v>3808839.38338066</v>
      </c>
      <c r="AF5" s="108">
        <f t="shared" si="1"/>
        <v>3523184.01704403</v>
      </c>
      <c r="AI5" s="108">
        <f>AI6+AI208+AI308</f>
        <v>3523184.01704403</v>
      </c>
      <c r="AL5" s="108">
        <f>AL6+AL208+AL308</f>
        <v>3523184.01704403</v>
      </c>
      <c r="AO5" s="108">
        <f>AO6+AO208+AO308</f>
        <v>3523184.01704403</v>
      </c>
      <c r="AR5" s="108">
        <f>AR6+AR208+AR308</f>
        <v>3523184.01704403</v>
      </c>
      <c r="AU5" s="108">
        <f>AU6+AU208+AU308</f>
        <v>3523184.01704403</v>
      </c>
      <c r="AX5" s="108">
        <f>AX6+AX208+AX308</f>
        <v>3523184.01704403</v>
      </c>
      <c r="BA5" s="108">
        <f>BA6+BA208+BA308</f>
        <v>3523184.01704403</v>
      </c>
      <c r="BD5" s="108">
        <f>BD6+BD208+BD308</f>
        <v>3523184.01704403</v>
      </c>
      <c r="BG5" s="108">
        <f>BG6+BG208+BG308</f>
        <v>3523184.01704403</v>
      </c>
      <c r="BJ5" s="108">
        <f>BJ6+BJ208+BJ308</f>
        <v>4298585.95704402</v>
      </c>
      <c r="BL5" s="303"/>
      <c r="BM5" s="311"/>
      <c r="BN5" s="286"/>
    </row>
    <row r="6" s="22" customFormat="1" ht="33.95" customHeight="1" outlineLevel="2" spans="2:66">
      <c r="B6" s="112" t="s">
        <v>794</v>
      </c>
      <c r="C6" s="113" t="s">
        <v>218</v>
      </c>
      <c r="D6" s="22" t="s">
        <v>219</v>
      </c>
      <c r="E6" s="112"/>
      <c r="F6" s="112"/>
      <c r="G6" s="112"/>
      <c r="H6" s="112">
        <f>H7+H29+H57+H111+H143+H159+H176+H189</f>
        <v>42692176.1822641</v>
      </c>
      <c r="I6" s="112"/>
      <c r="J6" s="112"/>
      <c r="K6" s="112"/>
      <c r="L6" s="112"/>
      <c r="M6" s="112"/>
      <c r="N6" s="112"/>
      <c r="O6" s="112"/>
      <c r="P6" s="287"/>
      <c r="Q6" s="287"/>
      <c r="R6" s="287"/>
      <c r="S6" s="287"/>
      <c r="T6" s="287"/>
      <c r="U6" s="287"/>
      <c r="V6" s="287"/>
      <c r="W6" s="287"/>
      <c r="X6" s="287"/>
      <c r="Y6" s="287"/>
      <c r="Z6" s="287"/>
      <c r="AA6" s="287"/>
      <c r="AB6" s="112">
        <f t="shared" ref="AB6:AF6" si="2">AB7+AB29+AB57+AB111+AB143+AB159+AB176+AB189</f>
        <v>42692176.1822641</v>
      </c>
      <c r="AC6" s="112">
        <f t="shared" si="2"/>
        <v>3493064.52018868</v>
      </c>
      <c r="AD6" s="112"/>
      <c r="AE6" s="112"/>
      <c r="AF6" s="112">
        <f t="shared" si="2"/>
        <v>3493064.52018868</v>
      </c>
      <c r="AG6" s="112"/>
      <c r="AH6" s="112"/>
      <c r="AI6" s="112">
        <f>AI7+AI29+AI57+AI111+AI143+AI159+AI176+AI189</f>
        <v>3493064.52018868</v>
      </c>
      <c r="AJ6" s="112"/>
      <c r="AK6" s="112"/>
      <c r="AL6" s="112">
        <f>AL7+AL29+AL57+AL111+AL143+AL159+AL176+AL189</f>
        <v>3493064.52018868</v>
      </c>
      <c r="AM6" s="112"/>
      <c r="AN6" s="112"/>
      <c r="AO6" s="112">
        <f>AO7+AO29+AO57+AO111+AO143+AO159+AO176+AO189</f>
        <v>3493064.52018868</v>
      </c>
      <c r="AP6" s="112"/>
      <c r="AQ6" s="112"/>
      <c r="AR6" s="112">
        <f>AR7+AR29+AR57+AR111+AR143+AR159+AR176+AR189</f>
        <v>3493064.52018868</v>
      </c>
      <c r="AS6" s="112"/>
      <c r="AT6" s="112"/>
      <c r="AU6" s="112">
        <f>AU7+AU29+AU57+AU111+AU143+AU159+AU176+AU189</f>
        <v>3493064.52018868</v>
      </c>
      <c r="AV6" s="112"/>
      <c r="AW6" s="112"/>
      <c r="AX6" s="112">
        <f>AX7+AX29+AX57+AX111+AX143+AX159+AX176+AX189</f>
        <v>3493064.52018868</v>
      </c>
      <c r="AY6" s="112"/>
      <c r="AZ6" s="112"/>
      <c r="BA6" s="112">
        <f>BA7+BA29+BA57+BA111+BA143+BA159+BA176+BA189</f>
        <v>3493064.52018868</v>
      </c>
      <c r="BB6" s="112"/>
      <c r="BC6" s="112"/>
      <c r="BD6" s="112">
        <f>BD7+BD29+BD57+BD111+BD143+BD159+BD176+BD189</f>
        <v>3493064.52018868</v>
      </c>
      <c r="BE6" s="112"/>
      <c r="BF6" s="112"/>
      <c r="BG6" s="112">
        <f>BG7+BG29+BG57+BG111+BG143+BG159+BG176+BG189</f>
        <v>3493064.52018868</v>
      </c>
      <c r="BH6" s="112"/>
      <c r="BI6" s="112"/>
      <c r="BJ6" s="112">
        <f>BJ7+BJ29+BJ57+BJ111+BJ143+BJ159+BJ176+BJ189</f>
        <v>4268466.46018868</v>
      </c>
      <c r="BK6" s="112"/>
      <c r="BL6" s="304"/>
      <c r="BM6" s="311"/>
      <c r="BN6" s="312"/>
    </row>
    <row r="7" s="47" customFormat="1" ht="33.95" customHeight="1" outlineLevel="3" spans="2:66">
      <c r="B7" s="115" t="s">
        <v>794</v>
      </c>
      <c r="C7" s="116" t="s">
        <v>797</v>
      </c>
      <c r="D7" s="47" t="s">
        <v>798</v>
      </c>
      <c r="E7" s="115"/>
      <c r="F7" s="115"/>
      <c r="G7" s="115"/>
      <c r="H7" s="115">
        <f>H8+H15+H22</f>
        <v>11925468.8</v>
      </c>
      <c r="I7" s="115"/>
      <c r="J7" s="115"/>
      <c r="K7" s="115"/>
      <c r="L7" s="115"/>
      <c r="M7" s="115"/>
      <c r="N7" s="115"/>
      <c r="O7" s="115"/>
      <c r="P7" s="288"/>
      <c r="Q7" s="288"/>
      <c r="R7" s="288"/>
      <c r="S7" s="288"/>
      <c r="T7" s="288"/>
      <c r="U7" s="288"/>
      <c r="V7" s="288"/>
      <c r="W7" s="288"/>
      <c r="X7" s="288"/>
      <c r="Y7" s="288"/>
      <c r="Z7" s="288"/>
      <c r="AA7" s="288"/>
      <c r="AB7" s="115">
        <f t="shared" ref="AB7:AF7" si="3">AB8+AB15+AB22</f>
        <v>11925468.8</v>
      </c>
      <c r="AC7" s="115">
        <f t="shared" si="3"/>
        <v>980174.4</v>
      </c>
      <c r="AD7" s="115"/>
      <c r="AE7" s="115"/>
      <c r="AF7" s="115">
        <f t="shared" si="3"/>
        <v>980174.4</v>
      </c>
      <c r="AG7" s="115"/>
      <c r="AH7" s="115"/>
      <c r="AI7" s="115">
        <f>AI8+AI15+AI22</f>
        <v>980174.4</v>
      </c>
      <c r="AJ7" s="115"/>
      <c r="AK7" s="115"/>
      <c r="AL7" s="115">
        <f>AL8+AL15+AL22</f>
        <v>980174.4</v>
      </c>
      <c r="AM7" s="115"/>
      <c r="AN7" s="115"/>
      <c r="AO7" s="115">
        <f>AO8+AO15+AO22</f>
        <v>980174.4</v>
      </c>
      <c r="AP7" s="115"/>
      <c r="AQ7" s="115"/>
      <c r="AR7" s="115">
        <f>AR8+AR15+AR22</f>
        <v>980174.4</v>
      </c>
      <c r="AS7" s="115"/>
      <c r="AT7" s="115"/>
      <c r="AU7" s="115">
        <f>AU8+AU15+AU22</f>
        <v>980174.4</v>
      </c>
      <c r="AV7" s="115"/>
      <c r="AW7" s="115"/>
      <c r="AX7" s="115">
        <f>AX8+AX15+AX22</f>
        <v>980174.4</v>
      </c>
      <c r="AY7" s="115"/>
      <c r="AZ7" s="115"/>
      <c r="BA7" s="115">
        <f>BA8+BA15+BA22</f>
        <v>980174.4</v>
      </c>
      <c r="BB7" s="115"/>
      <c r="BC7" s="115"/>
      <c r="BD7" s="115">
        <f>BD8+BD15+BD22</f>
        <v>980174.4</v>
      </c>
      <c r="BE7" s="115"/>
      <c r="BF7" s="115"/>
      <c r="BG7" s="115">
        <f>BG8+BG15+BG22</f>
        <v>980174.4</v>
      </c>
      <c r="BH7" s="115"/>
      <c r="BI7" s="115"/>
      <c r="BJ7" s="115">
        <f>BJ8+BJ15+BJ22</f>
        <v>1143550.4</v>
      </c>
      <c r="BK7" s="115"/>
      <c r="BL7" s="305"/>
      <c r="BM7" s="311"/>
      <c r="BN7" s="313"/>
    </row>
    <row r="8" s="118" customFormat="1" ht="33.95" customHeight="1" outlineLevel="4" spans="2:66">
      <c r="B8" s="119" t="s">
        <v>794</v>
      </c>
      <c r="C8" s="120" t="s">
        <v>108</v>
      </c>
      <c r="D8" s="118" t="s">
        <v>109</v>
      </c>
      <c r="E8" s="119"/>
      <c r="F8" s="119"/>
      <c r="G8" s="119"/>
      <c r="H8" s="119">
        <f>SUM(H9:H14)</f>
        <v>11925468.8</v>
      </c>
      <c r="I8" s="119"/>
      <c r="J8" s="119"/>
      <c r="K8" s="119"/>
      <c r="L8" s="119"/>
      <c r="M8" s="119"/>
      <c r="N8" s="119"/>
      <c r="O8" s="119"/>
      <c r="P8" s="289"/>
      <c r="Q8" s="289"/>
      <c r="R8" s="289"/>
      <c r="S8" s="289"/>
      <c r="T8" s="289"/>
      <c r="U8" s="289"/>
      <c r="V8" s="289"/>
      <c r="W8" s="289"/>
      <c r="X8" s="289"/>
      <c r="Y8" s="289"/>
      <c r="Z8" s="289"/>
      <c r="AA8" s="289"/>
      <c r="AB8" s="119">
        <f>SUM(AB9:AB14)</f>
        <v>11925468.8</v>
      </c>
      <c r="AC8" s="119">
        <f t="shared" ref="AC8:AF8" si="4">SUM(AC9:AC14)</f>
        <v>980174.4</v>
      </c>
      <c r="AD8" s="119"/>
      <c r="AE8" s="119"/>
      <c r="AF8" s="119">
        <f t="shared" si="4"/>
        <v>980174.4</v>
      </c>
      <c r="AG8" s="119"/>
      <c r="AH8" s="119"/>
      <c r="AI8" s="119">
        <f>SUM(AI9:AI14)</f>
        <v>980174.4</v>
      </c>
      <c r="AJ8" s="119"/>
      <c r="AK8" s="119"/>
      <c r="AL8" s="119">
        <f>SUM(AL9:AL14)</f>
        <v>980174.4</v>
      </c>
      <c r="AM8" s="119"/>
      <c r="AN8" s="119"/>
      <c r="AO8" s="119">
        <f>SUM(AO9:AO14)</f>
        <v>980174.4</v>
      </c>
      <c r="AP8" s="119"/>
      <c r="AQ8" s="119"/>
      <c r="AR8" s="119">
        <f>SUM(AR9:AR14)</f>
        <v>980174.4</v>
      </c>
      <c r="AS8" s="119"/>
      <c r="AT8" s="119"/>
      <c r="AU8" s="119">
        <f>SUM(AU9:AU14)</f>
        <v>980174.4</v>
      </c>
      <c r="AV8" s="119"/>
      <c r="AW8" s="119"/>
      <c r="AX8" s="119">
        <f>SUM(AX9:AX14)</f>
        <v>980174.4</v>
      </c>
      <c r="AY8" s="119"/>
      <c r="AZ8" s="119"/>
      <c r="BA8" s="119">
        <f>SUM(BA9:BA14)</f>
        <v>980174.4</v>
      </c>
      <c r="BB8" s="119"/>
      <c r="BC8" s="119"/>
      <c r="BD8" s="119">
        <f>SUM(BD9:BD14)</f>
        <v>980174.4</v>
      </c>
      <c r="BE8" s="119"/>
      <c r="BF8" s="119"/>
      <c r="BG8" s="119">
        <f>SUM(BG9:BG14)</f>
        <v>980174.4</v>
      </c>
      <c r="BH8" s="119"/>
      <c r="BI8" s="119"/>
      <c r="BJ8" s="119">
        <f>SUM(BJ9:BJ14)</f>
        <v>1143550.4</v>
      </c>
      <c r="BK8" s="119"/>
      <c r="BL8" s="306"/>
      <c r="BM8" s="311"/>
      <c r="BN8" s="314"/>
    </row>
    <row r="9" s="263" customFormat="1" ht="33.95" customHeight="1" outlineLevel="5" spans="2:66">
      <c r="B9" s="175" t="s">
        <v>799</v>
      </c>
      <c r="C9" s="283" t="s">
        <v>800</v>
      </c>
      <c r="D9" s="263" t="s">
        <v>801</v>
      </c>
      <c r="E9" s="175" t="s">
        <v>802</v>
      </c>
      <c r="F9" s="175"/>
      <c r="G9" s="175" t="s">
        <v>803</v>
      </c>
      <c r="H9" s="175">
        <f t="shared" ref="H9:H14" si="5">AB9</f>
        <v>11925468.8</v>
      </c>
      <c r="I9" s="175" t="s">
        <v>804</v>
      </c>
      <c r="J9" s="175">
        <f t="shared" ref="J9:J14" si="6">SUM(AD9,AG9,AJ9,AM9,AP9,AS9,AV9,AY9,BB9,BE9,BH9,BK9)/N9</f>
        <v>160</v>
      </c>
      <c r="K9" s="175" t="s">
        <v>805</v>
      </c>
      <c r="L9" s="175">
        <f t="shared" ref="L9:L14" si="7">H9/N9/J9</f>
        <v>6211.18166666667</v>
      </c>
      <c r="M9" s="175" t="s">
        <v>806</v>
      </c>
      <c r="N9" s="175">
        <f t="shared" ref="N9:N14" si="8">COUNTIF(AD9,"&gt;0")+COUNTIF(AG9,"&gt;0")+COUNTIF(AJ9,"&gt;0")+COUNTIF(AM9,"&gt;0")+COUNTIF(AP9,"&gt;0")+COUNTIF(AS9,"&gt;0")+COUNTIF(AV9,"&gt;0")+COUNTIF(AY9,"&gt;0")+COUNTIF(BB9,"&gt;0")+COUNTIF(BE9,"&gt;0")+COUNTIF(BH9,"&gt;0")+COUNTIF(BK9,"&gt;0")</f>
        <v>12</v>
      </c>
      <c r="O9" s="175"/>
      <c r="P9" s="290"/>
      <c r="Q9" s="290"/>
      <c r="R9" s="290"/>
      <c r="S9" s="290"/>
      <c r="T9" s="290"/>
      <c r="U9" s="290"/>
      <c r="V9" s="290"/>
      <c r="W9" s="290"/>
      <c r="X9" s="290"/>
      <c r="Y9" s="290"/>
      <c r="Z9" s="290"/>
      <c r="AA9" s="290"/>
      <c r="AB9" s="175">
        <f>SUM(AC9,AF9,AI9,AL9,AO9,AR9,AU9,AX9,BA9,BD9,BG9,BJ9)</f>
        <v>11925468.8</v>
      </c>
      <c r="AC9" s="175">
        <f>AD9*AE9</f>
        <v>980174.4</v>
      </c>
      <c r="AD9" s="175">
        <f>'1-2 人员岗位信息'!F11</f>
        <v>160</v>
      </c>
      <c r="AE9" s="298">
        <f>IFERROR(自有人工预算!E26/AD9,0)</f>
        <v>6126.09</v>
      </c>
      <c r="AF9" s="175">
        <f t="shared" ref="AF9:AF14" si="9">AG9*AH9</f>
        <v>980174.4</v>
      </c>
      <c r="AG9" s="175">
        <f>SUMIFS('1-2 人员岗位信息'!G:G,'1-2 人员岗位信息'!$C:$C,"自有人员",'1-2 人员岗位信息'!$B:$B,$D9)</f>
        <v>160</v>
      </c>
      <c r="AH9" s="298">
        <f>IFERROR(自有人工预算!F26/AG9,0)</f>
        <v>6126.09</v>
      </c>
      <c r="AI9" s="175">
        <f t="shared" ref="AI9:AI14" si="10">AJ9*AK9</f>
        <v>980174.4</v>
      </c>
      <c r="AJ9" s="175">
        <f>SUMIFS('1-2 人员岗位信息'!H:H,'1-2 人员岗位信息'!$C:$C,"自有人员",'1-2 人员岗位信息'!$B:$B,$D9)</f>
        <v>160</v>
      </c>
      <c r="AK9" s="298">
        <f>IFERROR(自有人工预算!G26/AJ9,0)</f>
        <v>6126.09</v>
      </c>
      <c r="AL9" s="175">
        <f>AM9*AN9</f>
        <v>980174.4</v>
      </c>
      <c r="AM9" s="175">
        <f>SUMIFS('1-2 人员岗位信息'!I:I,'1-2 人员岗位信息'!$C:$C,"自有人员",'1-2 人员岗位信息'!$B:$B,$D9)</f>
        <v>160</v>
      </c>
      <c r="AN9" s="298">
        <f>IFERROR(自有人工预算!H26/AM9,0)</f>
        <v>6126.09</v>
      </c>
      <c r="AO9" s="175">
        <f t="shared" ref="AO9:AO14" si="11">AP9*AQ9</f>
        <v>980174.4</v>
      </c>
      <c r="AP9" s="175">
        <f>SUMIFS('1-2 人员岗位信息'!J:J,'1-2 人员岗位信息'!$C:$C,"自有人员",'1-2 人员岗位信息'!$B:$B,$D9)</f>
        <v>160</v>
      </c>
      <c r="AQ9" s="298">
        <f>IFERROR(自有人工预算!I26/AP9,0)</f>
        <v>6126.09</v>
      </c>
      <c r="AR9" s="175">
        <f>AS9*AT9</f>
        <v>980174.4</v>
      </c>
      <c r="AS9" s="175">
        <f>SUMIFS('1-2 人员岗位信息'!K:K,'1-2 人员岗位信息'!$C:$C,"自有人员",'1-2 人员岗位信息'!$B:$B,$D9)</f>
        <v>160</v>
      </c>
      <c r="AT9" s="298">
        <f>IFERROR(自有人工预算!J26/AS9,0)</f>
        <v>6126.09</v>
      </c>
      <c r="AU9" s="175">
        <f t="shared" ref="AU9:AU14" si="12">AV9*AW9</f>
        <v>980174.4</v>
      </c>
      <c r="AV9" s="175">
        <f>SUMIFS('1-2 人员岗位信息'!L:L,'1-2 人员岗位信息'!$C:$C,"自有人员",'1-2 人员岗位信息'!$B:$B,$D9)</f>
        <v>160</v>
      </c>
      <c r="AW9" s="298">
        <f>IFERROR(自有人工预算!K26/AV9,0)</f>
        <v>6126.09</v>
      </c>
      <c r="AX9" s="175">
        <f t="shared" ref="AX9:AX14" si="13">AY9*AZ9</f>
        <v>980174.4</v>
      </c>
      <c r="AY9" s="175">
        <f>SUMIFS('1-2 人员岗位信息'!M:M,'1-2 人员岗位信息'!$C:$C,"自有人员",'1-2 人员岗位信息'!$B:$B,$D9)</f>
        <v>160</v>
      </c>
      <c r="AZ9" s="298">
        <f>IFERROR(自有人工预算!L26/AY9,0)</f>
        <v>6126.09</v>
      </c>
      <c r="BA9" s="175">
        <f t="shared" ref="BA9:BA14" si="14">BB9*BC9</f>
        <v>980174.4</v>
      </c>
      <c r="BB9" s="175">
        <f>SUMIFS('1-2 人员岗位信息'!N:N,'1-2 人员岗位信息'!$C:$C,"自有人员",'1-2 人员岗位信息'!$B:$B,$D9)</f>
        <v>160</v>
      </c>
      <c r="BC9" s="298">
        <f>IFERROR(自有人工预算!M26/BB9,0)</f>
        <v>6126.09</v>
      </c>
      <c r="BD9" s="175">
        <f t="shared" ref="BD9:BD14" si="15">BE9*BF9</f>
        <v>980174.4</v>
      </c>
      <c r="BE9" s="175">
        <f>SUMIFS('1-2 人员岗位信息'!O:O,'1-2 人员岗位信息'!$C:$C,"自有人员",'1-2 人员岗位信息'!$B:$B,$D9)</f>
        <v>160</v>
      </c>
      <c r="BF9" s="298">
        <f>IFERROR(自有人工预算!N26/BE9,0)</f>
        <v>6126.09</v>
      </c>
      <c r="BG9" s="175">
        <f t="shared" ref="BG9:BG14" si="16">BH9*BI9</f>
        <v>980174.4</v>
      </c>
      <c r="BH9" s="175">
        <f>SUMIFS('1-2 人员岗位信息'!P:P,'1-2 人员岗位信息'!$C:$C,"自有人员",'1-2 人员岗位信息'!$B:$B,$D9)</f>
        <v>160</v>
      </c>
      <c r="BI9" s="298">
        <f>IFERROR(自有人工预算!O26/BH9,0)</f>
        <v>6126.09</v>
      </c>
      <c r="BJ9" s="175">
        <f t="shared" ref="BJ9:BJ14" si="17">BK9*BL9</f>
        <v>1143550.4</v>
      </c>
      <c r="BK9" s="175">
        <f>SUMIFS('1-2 人员岗位信息'!Q:Q,'1-2 人员岗位信息'!$C:$C,"自有人员",'1-2 人员岗位信息'!$B:$B,$D9)</f>
        <v>160</v>
      </c>
      <c r="BL9" s="298">
        <f>IFERROR(自有人工预算!P26/BK9,0)</f>
        <v>7147.19</v>
      </c>
      <c r="BM9" s="311"/>
      <c r="BN9" s="315"/>
    </row>
    <row r="10" s="263" customFormat="1" ht="33.95" customHeight="1" outlineLevel="5" spans="2:66">
      <c r="B10" s="175" t="s">
        <v>799</v>
      </c>
      <c r="C10" s="283" t="s">
        <v>807</v>
      </c>
      <c r="D10" s="263" t="s">
        <v>808</v>
      </c>
      <c r="E10" s="175" t="s">
        <v>809</v>
      </c>
      <c r="F10" s="175"/>
      <c r="G10" s="175" t="s">
        <v>803</v>
      </c>
      <c r="H10" s="175">
        <f t="shared" si="5"/>
        <v>0</v>
      </c>
      <c r="I10" s="175" t="s">
        <v>804</v>
      </c>
      <c r="J10" s="175" t="e">
        <f t="shared" si="6"/>
        <v>#DIV/0!</v>
      </c>
      <c r="K10" s="175" t="s">
        <v>805</v>
      </c>
      <c r="L10" s="175" t="e">
        <f t="shared" si="7"/>
        <v>#DIV/0!</v>
      </c>
      <c r="M10" s="175" t="s">
        <v>806</v>
      </c>
      <c r="N10" s="175">
        <f t="shared" si="8"/>
        <v>0</v>
      </c>
      <c r="O10" s="175"/>
      <c r="P10" s="290"/>
      <c r="Q10" s="290"/>
      <c r="R10" s="290"/>
      <c r="S10" s="290"/>
      <c r="T10" s="290"/>
      <c r="U10" s="290"/>
      <c r="V10" s="290"/>
      <c r="W10" s="290"/>
      <c r="X10" s="290"/>
      <c r="Y10" s="290"/>
      <c r="Z10" s="290"/>
      <c r="AA10" s="290"/>
      <c r="AB10" s="175">
        <f t="shared" ref="AB10:AB14" si="18">SUM(AC10,AF10,AI10,AL10,AO10,AR10,AU10,AX10,BA10,BD10,BG10,BJ10)</f>
        <v>0</v>
      </c>
      <c r="AC10" s="175">
        <f t="shared" ref="AC10:AC14" si="19">AD10*AE10</f>
        <v>0</v>
      </c>
      <c r="AD10" s="175">
        <f>'1-2 人员岗位信息'!F15</f>
        <v>0</v>
      </c>
      <c r="AE10" s="298"/>
      <c r="AF10" s="175">
        <f t="shared" si="9"/>
        <v>0</v>
      </c>
      <c r="AG10" s="175">
        <f>SUMIFS('1-2 人员岗位信息'!G:G,'1-2 人员岗位信息'!$C:$C,"自有人员",'1-2 人员岗位信息'!$B:$B,$D10)</f>
        <v>0</v>
      </c>
      <c r="AH10" s="298"/>
      <c r="AI10" s="175">
        <f t="shared" si="10"/>
        <v>0</v>
      </c>
      <c r="AJ10" s="175">
        <f>SUMIFS('1-2 人员岗位信息'!H:H,'1-2 人员岗位信息'!$C:$C,"自有人员",'1-2 人员岗位信息'!$B:$B,$D10)</f>
        <v>0</v>
      </c>
      <c r="AK10" s="298"/>
      <c r="AL10" s="175">
        <f t="shared" ref="AL10:AL14" si="20">AM10*AN10</f>
        <v>0</v>
      </c>
      <c r="AM10" s="175">
        <f>SUMIFS('1-2 人员岗位信息'!I:I,'1-2 人员岗位信息'!$C:$C,"自有人员",'1-2 人员岗位信息'!$B:$B,$D10)</f>
        <v>0</v>
      </c>
      <c r="AN10" s="298"/>
      <c r="AO10" s="175">
        <f t="shared" si="11"/>
        <v>0</v>
      </c>
      <c r="AP10" s="175">
        <f>SUMIFS('1-2 人员岗位信息'!J:J,'1-2 人员岗位信息'!$C:$C,"自有人员",'1-2 人员岗位信息'!$B:$B,$D10)</f>
        <v>0</v>
      </c>
      <c r="AQ10" s="298"/>
      <c r="AR10" s="175">
        <f t="shared" ref="AR10:AR14" si="21">AS10*AT10</f>
        <v>0</v>
      </c>
      <c r="AS10" s="175">
        <f>SUMIFS('1-2 人员岗位信息'!K:K,'1-2 人员岗位信息'!$C:$C,"自有人员",'1-2 人员岗位信息'!$B:$B,$D10)</f>
        <v>0</v>
      </c>
      <c r="AT10" s="298"/>
      <c r="AU10" s="175">
        <f t="shared" si="12"/>
        <v>0</v>
      </c>
      <c r="AV10" s="175">
        <f>SUMIFS('1-2 人员岗位信息'!L:L,'1-2 人员岗位信息'!$C:$C,"自有人员",'1-2 人员岗位信息'!$B:$B,$D10)</f>
        <v>0</v>
      </c>
      <c r="AW10" s="298"/>
      <c r="AX10" s="175">
        <f t="shared" si="13"/>
        <v>0</v>
      </c>
      <c r="AY10" s="175">
        <f>SUMIFS('1-2 人员岗位信息'!M:M,'1-2 人员岗位信息'!$C:$C,"自有人员",'1-2 人员岗位信息'!$B:$B,$D10)</f>
        <v>0</v>
      </c>
      <c r="AZ10" s="298"/>
      <c r="BA10" s="175">
        <f t="shared" si="14"/>
        <v>0</v>
      </c>
      <c r="BB10" s="175">
        <f>SUMIFS('1-2 人员岗位信息'!N:N,'1-2 人员岗位信息'!$C:$C,"自有人员",'1-2 人员岗位信息'!$B:$B,$D10)</f>
        <v>0</v>
      </c>
      <c r="BC10" s="298"/>
      <c r="BD10" s="175">
        <f t="shared" si="15"/>
        <v>0</v>
      </c>
      <c r="BE10" s="175">
        <f>SUMIFS('1-2 人员岗位信息'!O:O,'1-2 人员岗位信息'!$C:$C,"自有人员",'1-2 人员岗位信息'!$B:$B,$D10)</f>
        <v>0</v>
      </c>
      <c r="BF10" s="298"/>
      <c r="BG10" s="175">
        <f t="shared" si="16"/>
        <v>0</v>
      </c>
      <c r="BH10" s="175">
        <f>SUMIFS('1-2 人员岗位信息'!P:P,'1-2 人员岗位信息'!$C:$C,"自有人员",'1-2 人员岗位信息'!$B:$B,$D10)</f>
        <v>0</v>
      </c>
      <c r="BI10" s="298"/>
      <c r="BJ10" s="175">
        <f t="shared" si="17"/>
        <v>0</v>
      </c>
      <c r="BK10" s="175">
        <f>SUMIFS('1-2 人员岗位信息'!Q:Q,'1-2 人员岗位信息'!$C:$C,"自有人员",'1-2 人员岗位信息'!$B:$B,$D10)</f>
        <v>0</v>
      </c>
      <c r="BL10" s="307"/>
      <c r="BM10" s="311"/>
      <c r="BN10" s="315"/>
    </row>
    <row r="11" s="263" customFormat="1" ht="33.95" customHeight="1" outlineLevel="5" spans="2:66">
      <c r="B11" s="175" t="s">
        <v>799</v>
      </c>
      <c r="C11" s="283" t="s">
        <v>810</v>
      </c>
      <c r="D11" s="263" t="s">
        <v>811</v>
      </c>
      <c r="E11" s="175" t="s">
        <v>812</v>
      </c>
      <c r="F11" s="175"/>
      <c r="G11" s="175" t="s">
        <v>803</v>
      </c>
      <c r="H11" s="175">
        <f t="shared" si="5"/>
        <v>0</v>
      </c>
      <c r="I11" s="175" t="s">
        <v>804</v>
      </c>
      <c r="J11" s="175" t="e">
        <f t="shared" si="6"/>
        <v>#DIV/0!</v>
      </c>
      <c r="K11" s="175" t="s">
        <v>805</v>
      </c>
      <c r="L11" s="175" t="e">
        <f t="shared" si="7"/>
        <v>#DIV/0!</v>
      </c>
      <c r="M11" s="175" t="s">
        <v>806</v>
      </c>
      <c r="N11" s="175">
        <f t="shared" si="8"/>
        <v>0</v>
      </c>
      <c r="O11" s="175"/>
      <c r="P11" s="290"/>
      <c r="Q11" s="290"/>
      <c r="R11" s="290"/>
      <c r="S11" s="290"/>
      <c r="T11" s="290"/>
      <c r="U11" s="290"/>
      <c r="V11" s="290"/>
      <c r="W11" s="290"/>
      <c r="X11" s="290"/>
      <c r="Y11" s="290"/>
      <c r="Z11" s="290"/>
      <c r="AA11" s="290"/>
      <c r="AB11" s="175">
        <f t="shared" si="18"/>
        <v>0</v>
      </c>
      <c r="AC11" s="175">
        <f t="shared" si="19"/>
        <v>0</v>
      </c>
      <c r="AD11" s="175">
        <f>'1-2 人员岗位信息'!F19</f>
        <v>0</v>
      </c>
      <c r="AE11" s="298"/>
      <c r="AF11" s="175">
        <f t="shared" si="9"/>
        <v>0</v>
      </c>
      <c r="AG11" s="175">
        <f>SUMIFS('1-2 人员岗位信息'!G:G,'1-2 人员岗位信息'!$C:$C,"自有人员",'1-2 人员岗位信息'!$B:$B,$D11)</f>
        <v>0</v>
      </c>
      <c r="AH11" s="298"/>
      <c r="AI11" s="175">
        <f t="shared" si="10"/>
        <v>0</v>
      </c>
      <c r="AJ11" s="175">
        <f>SUMIFS('1-2 人员岗位信息'!H:H,'1-2 人员岗位信息'!$C:$C,"自有人员",'1-2 人员岗位信息'!$B:$B,$D11)</f>
        <v>0</v>
      </c>
      <c r="AK11" s="298"/>
      <c r="AL11" s="175">
        <f t="shared" si="20"/>
        <v>0</v>
      </c>
      <c r="AM11" s="175">
        <f>SUMIFS('1-2 人员岗位信息'!I:I,'1-2 人员岗位信息'!$C:$C,"自有人员",'1-2 人员岗位信息'!$B:$B,$D11)</f>
        <v>0</v>
      </c>
      <c r="AN11" s="298"/>
      <c r="AO11" s="175">
        <f t="shared" si="11"/>
        <v>0</v>
      </c>
      <c r="AP11" s="175">
        <f>SUMIFS('1-2 人员岗位信息'!J:J,'1-2 人员岗位信息'!$C:$C,"自有人员",'1-2 人员岗位信息'!$B:$B,$D11)</f>
        <v>0</v>
      </c>
      <c r="AQ11" s="298"/>
      <c r="AR11" s="175">
        <f t="shared" si="21"/>
        <v>0</v>
      </c>
      <c r="AS11" s="175">
        <f>SUMIFS('1-2 人员岗位信息'!K:K,'1-2 人员岗位信息'!$C:$C,"自有人员",'1-2 人员岗位信息'!$B:$B,$D11)</f>
        <v>0</v>
      </c>
      <c r="AT11" s="298"/>
      <c r="AU11" s="175">
        <f t="shared" si="12"/>
        <v>0</v>
      </c>
      <c r="AV11" s="175">
        <f>SUMIFS('1-2 人员岗位信息'!L:L,'1-2 人员岗位信息'!$C:$C,"自有人员",'1-2 人员岗位信息'!$B:$B,$D11)</f>
        <v>0</v>
      </c>
      <c r="AW11" s="298"/>
      <c r="AX11" s="175">
        <f t="shared" si="13"/>
        <v>0</v>
      </c>
      <c r="AY11" s="175">
        <f>SUMIFS('1-2 人员岗位信息'!M:M,'1-2 人员岗位信息'!$C:$C,"自有人员",'1-2 人员岗位信息'!$B:$B,$D11)</f>
        <v>0</v>
      </c>
      <c r="AZ11" s="298"/>
      <c r="BA11" s="175">
        <f t="shared" si="14"/>
        <v>0</v>
      </c>
      <c r="BB11" s="175">
        <f>SUMIFS('1-2 人员岗位信息'!N:N,'1-2 人员岗位信息'!$C:$C,"自有人员",'1-2 人员岗位信息'!$B:$B,$D11)</f>
        <v>0</v>
      </c>
      <c r="BC11" s="298"/>
      <c r="BD11" s="175">
        <f t="shared" si="15"/>
        <v>0</v>
      </c>
      <c r="BE11" s="175">
        <f>SUMIFS('1-2 人员岗位信息'!O:O,'1-2 人员岗位信息'!$C:$C,"自有人员",'1-2 人员岗位信息'!$B:$B,$D11)</f>
        <v>0</v>
      </c>
      <c r="BF11" s="298"/>
      <c r="BG11" s="175">
        <f t="shared" si="16"/>
        <v>0</v>
      </c>
      <c r="BH11" s="175">
        <f>SUMIFS('1-2 人员岗位信息'!P:P,'1-2 人员岗位信息'!$C:$C,"自有人员",'1-2 人员岗位信息'!$B:$B,$D11)</f>
        <v>0</v>
      </c>
      <c r="BI11" s="298"/>
      <c r="BJ11" s="175">
        <f t="shared" si="17"/>
        <v>0</v>
      </c>
      <c r="BK11" s="175">
        <f>SUMIFS('1-2 人员岗位信息'!Q:Q,'1-2 人员岗位信息'!$C:$C,"自有人员",'1-2 人员岗位信息'!$B:$B,$D11)</f>
        <v>0</v>
      </c>
      <c r="BL11" s="307"/>
      <c r="BM11" s="311"/>
      <c r="BN11" s="315"/>
    </row>
    <row r="12" s="263" customFormat="1" ht="33.95" customHeight="1" outlineLevel="5" spans="2:66">
      <c r="B12" s="175" t="s">
        <v>799</v>
      </c>
      <c r="C12" s="283" t="s">
        <v>813</v>
      </c>
      <c r="D12" s="263" t="s">
        <v>814</v>
      </c>
      <c r="E12" s="175" t="s">
        <v>815</v>
      </c>
      <c r="F12" s="175"/>
      <c r="G12" s="175" t="s">
        <v>803</v>
      </c>
      <c r="H12" s="175">
        <f t="shared" si="5"/>
        <v>0</v>
      </c>
      <c r="I12" s="175" t="s">
        <v>804</v>
      </c>
      <c r="J12" s="175" t="e">
        <f t="shared" si="6"/>
        <v>#DIV/0!</v>
      </c>
      <c r="K12" s="175" t="s">
        <v>805</v>
      </c>
      <c r="L12" s="175" t="e">
        <f t="shared" si="7"/>
        <v>#DIV/0!</v>
      </c>
      <c r="M12" s="175" t="s">
        <v>806</v>
      </c>
      <c r="N12" s="175">
        <f t="shared" si="8"/>
        <v>0</v>
      </c>
      <c r="O12" s="175"/>
      <c r="P12" s="290"/>
      <c r="Q12" s="290"/>
      <c r="R12" s="290"/>
      <c r="S12" s="290"/>
      <c r="T12" s="290"/>
      <c r="U12" s="290"/>
      <c r="V12" s="290"/>
      <c r="W12" s="290"/>
      <c r="X12" s="290"/>
      <c r="Y12" s="290"/>
      <c r="Z12" s="290"/>
      <c r="AA12" s="290"/>
      <c r="AB12" s="175">
        <f t="shared" si="18"/>
        <v>0</v>
      </c>
      <c r="AC12" s="175">
        <f t="shared" si="19"/>
        <v>0</v>
      </c>
      <c r="AD12" s="175">
        <f>'1-2 人员岗位信息'!F23</f>
        <v>0</v>
      </c>
      <c r="AE12" s="298"/>
      <c r="AF12" s="175">
        <f t="shared" si="9"/>
        <v>0</v>
      </c>
      <c r="AG12" s="175">
        <f>SUMIFS('1-2 人员岗位信息'!G:G,'1-2 人员岗位信息'!$C:$C,"自有人员",'1-2 人员岗位信息'!$B:$B,$D12)</f>
        <v>0</v>
      </c>
      <c r="AH12" s="298"/>
      <c r="AI12" s="175">
        <f t="shared" si="10"/>
        <v>0</v>
      </c>
      <c r="AJ12" s="175">
        <f>SUMIFS('1-2 人员岗位信息'!H:H,'1-2 人员岗位信息'!$C:$C,"自有人员",'1-2 人员岗位信息'!$B:$B,$D12)</f>
        <v>0</v>
      </c>
      <c r="AK12" s="298"/>
      <c r="AL12" s="175">
        <f t="shared" si="20"/>
        <v>0</v>
      </c>
      <c r="AM12" s="175">
        <f>SUMIFS('1-2 人员岗位信息'!I:I,'1-2 人员岗位信息'!$C:$C,"自有人员",'1-2 人员岗位信息'!$B:$B,$D12)</f>
        <v>0</v>
      </c>
      <c r="AN12" s="298"/>
      <c r="AO12" s="175">
        <f t="shared" si="11"/>
        <v>0</v>
      </c>
      <c r="AP12" s="175">
        <f>SUMIFS('1-2 人员岗位信息'!J:J,'1-2 人员岗位信息'!$C:$C,"自有人员",'1-2 人员岗位信息'!$B:$B,$D12)</f>
        <v>0</v>
      </c>
      <c r="AQ12" s="298"/>
      <c r="AR12" s="175">
        <f t="shared" si="21"/>
        <v>0</v>
      </c>
      <c r="AS12" s="175">
        <f>SUMIFS('1-2 人员岗位信息'!K:K,'1-2 人员岗位信息'!$C:$C,"自有人员",'1-2 人员岗位信息'!$B:$B,$D12)</f>
        <v>0</v>
      </c>
      <c r="AT12" s="298"/>
      <c r="AU12" s="175">
        <f t="shared" si="12"/>
        <v>0</v>
      </c>
      <c r="AV12" s="175">
        <f>SUMIFS('1-2 人员岗位信息'!L:L,'1-2 人员岗位信息'!$C:$C,"自有人员",'1-2 人员岗位信息'!$B:$B,$D12)</f>
        <v>0</v>
      </c>
      <c r="AW12" s="298"/>
      <c r="AX12" s="175">
        <f t="shared" si="13"/>
        <v>0</v>
      </c>
      <c r="AY12" s="175">
        <f>SUMIFS('1-2 人员岗位信息'!M:M,'1-2 人员岗位信息'!$C:$C,"自有人员",'1-2 人员岗位信息'!$B:$B,$D12)</f>
        <v>0</v>
      </c>
      <c r="AZ12" s="298"/>
      <c r="BA12" s="175">
        <f t="shared" si="14"/>
        <v>0</v>
      </c>
      <c r="BB12" s="175">
        <f>SUMIFS('1-2 人员岗位信息'!N:N,'1-2 人员岗位信息'!$C:$C,"自有人员",'1-2 人员岗位信息'!$B:$B,$D12)</f>
        <v>0</v>
      </c>
      <c r="BC12" s="298"/>
      <c r="BD12" s="175">
        <f t="shared" si="15"/>
        <v>0</v>
      </c>
      <c r="BE12" s="175">
        <f>SUMIFS('1-2 人员岗位信息'!O:O,'1-2 人员岗位信息'!$C:$C,"自有人员",'1-2 人员岗位信息'!$B:$B,$D12)</f>
        <v>0</v>
      </c>
      <c r="BF12" s="298"/>
      <c r="BG12" s="175">
        <f t="shared" si="16"/>
        <v>0</v>
      </c>
      <c r="BH12" s="175">
        <f>SUMIFS('1-2 人员岗位信息'!P:P,'1-2 人员岗位信息'!$C:$C,"自有人员",'1-2 人员岗位信息'!$B:$B,$D12)</f>
        <v>0</v>
      </c>
      <c r="BI12" s="298"/>
      <c r="BJ12" s="175">
        <f t="shared" si="17"/>
        <v>0</v>
      </c>
      <c r="BK12" s="175">
        <f>SUMIFS('1-2 人员岗位信息'!Q:Q,'1-2 人员岗位信息'!$C:$C,"自有人员",'1-2 人员岗位信息'!$B:$B,$D12)</f>
        <v>0</v>
      </c>
      <c r="BL12" s="307"/>
      <c r="BM12" s="311"/>
      <c r="BN12" s="315"/>
    </row>
    <row r="13" s="263" customFormat="1" ht="33.95" customHeight="1" outlineLevel="5" spans="2:66">
      <c r="B13" s="175" t="s">
        <v>799</v>
      </c>
      <c r="C13" s="283" t="s">
        <v>816</v>
      </c>
      <c r="D13" s="263" t="s">
        <v>817</v>
      </c>
      <c r="E13" s="175" t="s">
        <v>818</v>
      </c>
      <c r="F13" s="175"/>
      <c r="G13" s="175" t="s">
        <v>803</v>
      </c>
      <c r="H13" s="175">
        <f t="shared" si="5"/>
        <v>0</v>
      </c>
      <c r="I13" s="175" t="s">
        <v>804</v>
      </c>
      <c r="J13" s="175" t="e">
        <f t="shared" si="6"/>
        <v>#DIV/0!</v>
      </c>
      <c r="K13" s="175" t="s">
        <v>805</v>
      </c>
      <c r="L13" s="175" t="e">
        <f t="shared" si="7"/>
        <v>#DIV/0!</v>
      </c>
      <c r="M13" s="175" t="s">
        <v>806</v>
      </c>
      <c r="N13" s="175">
        <f t="shared" si="8"/>
        <v>0</v>
      </c>
      <c r="O13" s="175"/>
      <c r="P13" s="290"/>
      <c r="Q13" s="290"/>
      <c r="R13" s="290"/>
      <c r="S13" s="290"/>
      <c r="T13" s="290"/>
      <c r="U13" s="290"/>
      <c r="V13" s="290"/>
      <c r="W13" s="290"/>
      <c r="X13" s="290"/>
      <c r="Y13" s="290"/>
      <c r="Z13" s="290"/>
      <c r="AA13" s="290"/>
      <c r="AB13" s="175">
        <f t="shared" si="18"/>
        <v>0</v>
      </c>
      <c r="AC13" s="175">
        <f t="shared" si="19"/>
        <v>0</v>
      </c>
      <c r="AD13" s="175">
        <f>'1-2 人员岗位信息'!F27</f>
        <v>0</v>
      </c>
      <c r="AE13" s="298"/>
      <c r="AF13" s="175">
        <f t="shared" si="9"/>
        <v>0</v>
      </c>
      <c r="AG13" s="175">
        <f>SUMIFS('1-2 人员岗位信息'!G:G,'1-2 人员岗位信息'!$C:$C,"自有人员",'1-2 人员岗位信息'!$B:$B,$D13)</f>
        <v>0</v>
      </c>
      <c r="AH13" s="298"/>
      <c r="AI13" s="175">
        <f t="shared" si="10"/>
        <v>0</v>
      </c>
      <c r="AJ13" s="175">
        <f>SUMIFS('1-2 人员岗位信息'!H:H,'1-2 人员岗位信息'!$C:$C,"自有人员",'1-2 人员岗位信息'!$B:$B,$D13)</f>
        <v>0</v>
      </c>
      <c r="AK13" s="298"/>
      <c r="AL13" s="175">
        <f t="shared" si="20"/>
        <v>0</v>
      </c>
      <c r="AM13" s="175">
        <f>SUMIFS('1-2 人员岗位信息'!I:I,'1-2 人员岗位信息'!$C:$C,"自有人员",'1-2 人员岗位信息'!$B:$B,$D13)</f>
        <v>0</v>
      </c>
      <c r="AN13" s="298"/>
      <c r="AO13" s="175">
        <f t="shared" si="11"/>
        <v>0</v>
      </c>
      <c r="AP13" s="175">
        <f>SUMIFS('1-2 人员岗位信息'!J:J,'1-2 人员岗位信息'!$C:$C,"自有人员",'1-2 人员岗位信息'!$B:$B,$D13)</f>
        <v>0</v>
      </c>
      <c r="AQ13" s="298"/>
      <c r="AR13" s="175">
        <f t="shared" si="21"/>
        <v>0</v>
      </c>
      <c r="AS13" s="175">
        <f>SUMIFS('1-2 人员岗位信息'!K:K,'1-2 人员岗位信息'!$C:$C,"自有人员",'1-2 人员岗位信息'!$B:$B,$D13)</f>
        <v>0</v>
      </c>
      <c r="AT13" s="298"/>
      <c r="AU13" s="175">
        <f t="shared" si="12"/>
        <v>0</v>
      </c>
      <c r="AV13" s="175">
        <f>SUMIFS('1-2 人员岗位信息'!L:L,'1-2 人员岗位信息'!$C:$C,"自有人员",'1-2 人员岗位信息'!$B:$B,$D13)</f>
        <v>0</v>
      </c>
      <c r="AW13" s="298"/>
      <c r="AX13" s="175">
        <f t="shared" si="13"/>
        <v>0</v>
      </c>
      <c r="AY13" s="175">
        <f>SUMIFS('1-2 人员岗位信息'!M:M,'1-2 人员岗位信息'!$C:$C,"自有人员",'1-2 人员岗位信息'!$B:$B,$D13)</f>
        <v>0</v>
      </c>
      <c r="AZ13" s="298"/>
      <c r="BA13" s="175">
        <f t="shared" si="14"/>
        <v>0</v>
      </c>
      <c r="BB13" s="175">
        <f>SUMIFS('1-2 人员岗位信息'!N:N,'1-2 人员岗位信息'!$C:$C,"自有人员",'1-2 人员岗位信息'!$B:$B,$D13)</f>
        <v>0</v>
      </c>
      <c r="BC13" s="298"/>
      <c r="BD13" s="175">
        <f t="shared" si="15"/>
        <v>0</v>
      </c>
      <c r="BE13" s="175">
        <f>SUMIFS('1-2 人员岗位信息'!O:O,'1-2 人员岗位信息'!$C:$C,"自有人员",'1-2 人员岗位信息'!$B:$B,$D13)</f>
        <v>0</v>
      </c>
      <c r="BF13" s="298"/>
      <c r="BG13" s="175">
        <f t="shared" si="16"/>
        <v>0</v>
      </c>
      <c r="BH13" s="175">
        <f>SUMIFS('1-2 人员岗位信息'!P:P,'1-2 人员岗位信息'!$C:$C,"自有人员",'1-2 人员岗位信息'!$B:$B,$D13)</f>
        <v>0</v>
      </c>
      <c r="BI13" s="298"/>
      <c r="BJ13" s="175">
        <f t="shared" si="17"/>
        <v>0</v>
      </c>
      <c r="BK13" s="175">
        <f>SUMIFS('1-2 人员岗位信息'!Q:Q,'1-2 人员岗位信息'!$C:$C,"自有人员",'1-2 人员岗位信息'!$B:$B,$D13)</f>
        <v>0</v>
      </c>
      <c r="BL13" s="307"/>
      <c r="BM13" s="311"/>
      <c r="BN13" s="315"/>
    </row>
    <row r="14" s="263" customFormat="1" ht="33.95" customHeight="1" outlineLevel="5" spans="2:66">
      <c r="B14" s="175" t="s">
        <v>799</v>
      </c>
      <c r="C14" s="283" t="s">
        <v>819</v>
      </c>
      <c r="D14" s="263" t="s">
        <v>820</v>
      </c>
      <c r="E14" s="175" t="s">
        <v>821</v>
      </c>
      <c r="F14" s="175"/>
      <c r="G14" s="175" t="s">
        <v>803</v>
      </c>
      <c r="H14" s="175">
        <f t="shared" si="5"/>
        <v>0</v>
      </c>
      <c r="I14" s="175" t="s">
        <v>804</v>
      </c>
      <c r="J14" s="175" t="e">
        <f t="shared" si="6"/>
        <v>#DIV/0!</v>
      </c>
      <c r="K14" s="175" t="s">
        <v>805</v>
      </c>
      <c r="L14" s="175" t="e">
        <f t="shared" si="7"/>
        <v>#DIV/0!</v>
      </c>
      <c r="M14" s="175" t="s">
        <v>806</v>
      </c>
      <c r="N14" s="175">
        <f t="shared" si="8"/>
        <v>0</v>
      </c>
      <c r="O14" s="175"/>
      <c r="P14" s="290"/>
      <c r="Q14" s="290"/>
      <c r="R14" s="290"/>
      <c r="S14" s="290"/>
      <c r="T14" s="290"/>
      <c r="U14" s="290"/>
      <c r="V14" s="290"/>
      <c r="W14" s="290"/>
      <c r="X14" s="290"/>
      <c r="Y14" s="290"/>
      <c r="Z14" s="290"/>
      <c r="AA14" s="290"/>
      <c r="AB14" s="175">
        <f t="shared" si="18"/>
        <v>0</v>
      </c>
      <c r="AC14" s="175">
        <f t="shared" si="19"/>
        <v>0</v>
      </c>
      <c r="AD14" s="175">
        <f>'1-2 人员岗位信息'!F31</f>
        <v>0</v>
      </c>
      <c r="AE14" s="298"/>
      <c r="AF14" s="175">
        <f t="shared" si="9"/>
        <v>0</v>
      </c>
      <c r="AG14" s="175">
        <f>SUMIFS('1-2 人员岗位信息'!G:G,'1-2 人员岗位信息'!$C:$C,"自有人员",'1-2 人员岗位信息'!$B:$B,$D14)</f>
        <v>0</v>
      </c>
      <c r="AH14" s="298"/>
      <c r="AI14" s="175">
        <f t="shared" si="10"/>
        <v>0</v>
      </c>
      <c r="AJ14" s="175">
        <f>SUMIFS('1-2 人员岗位信息'!H:H,'1-2 人员岗位信息'!$C:$C,"自有人员",'1-2 人员岗位信息'!$B:$B,$D14)</f>
        <v>0</v>
      </c>
      <c r="AK14" s="298"/>
      <c r="AL14" s="175">
        <f t="shared" si="20"/>
        <v>0</v>
      </c>
      <c r="AM14" s="175">
        <f>SUMIFS('1-2 人员岗位信息'!I:I,'1-2 人员岗位信息'!$C:$C,"自有人员",'1-2 人员岗位信息'!$B:$B,$D14)</f>
        <v>0</v>
      </c>
      <c r="AN14" s="298"/>
      <c r="AO14" s="175">
        <f t="shared" si="11"/>
        <v>0</v>
      </c>
      <c r="AP14" s="175">
        <f>SUMIFS('1-2 人员岗位信息'!J:J,'1-2 人员岗位信息'!$C:$C,"自有人员",'1-2 人员岗位信息'!$B:$B,$D14)</f>
        <v>0</v>
      </c>
      <c r="AQ14" s="298"/>
      <c r="AR14" s="175">
        <f t="shared" si="21"/>
        <v>0</v>
      </c>
      <c r="AS14" s="175">
        <f>SUMIFS('1-2 人员岗位信息'!K:K,'1-2 人员岗位信息'!$C:$C,"自有人员",'1-2 人员岗位信息'!$B:$B,$D14)</f>
        <v>0</v>
      </c>
      <c r="AT14" s="298"/>
      <c r="AU14" s="175">
        <f t="shared" si="12"/>
        <v>0</v>
      </c>
      <c r="AV14" s="175">
        <f>SUMIFS('1-2 人员岗位信息'!L:L,'1-2 人员岗位信息'!$C:$C,"自有人员",'1-2 人员岗位信息'!$B:$B,$D14)</f>
        <v>0</v>
      </c>
      <c r="AW14" s="298"/>
      <c r="AX14" s="175">
        <f t="shared" si="13"/>
        <v>0</v>
      </c>
      <c r="AY14" s="175">
        <f>SUMIFS('1-2 人员岗位信息'!M:M,'1-2 人员岗位信息'!$C:$C,"自有人员",'1-2 人员岗位信息'!$B:$B,$D14)</f>
        <v>0</v>
      </c>
      <c r="AZ14" s="298"/>
      <c r="BA14" s="175">
        <f t="shared" si="14"/>
        <v>0</v>
      </c>
      <c r="BB14" s="175">
        <f>SUMIFS('1-2 人员岗位信息'!N:N,'1-2 人员岗位信息'!$C:$C,"自有人员",'1-2 人员岗位信息'!$B:$B,$D14)</f>
        <v>0</v>
      </c>
      <c r="BC14" s="298"/>
      <c r="BD14" s="175">
        <f t="shared" si="15"/>
        <v>0</v>
      </c>
      <c r="BE14" s="175">
        <f>SUMIFS('1-2 人员岗位信息'!O:O,'1-2 人员岗位信息'!$C:$C,"自有人员",'1-2 人员岗位信息'!$B:$B,$D14)</f>
        <v>0</v>
      </c>
      <c r="BF14" s="298"/>
      <c r="BG14" s="175">
        <f t="shared" si="16"/>
        <v>0</v>
      </c>
      <c r="BH14" s="175">
        <f>SUMIFS('1-2 人员岗位信息'!P:P,'1-2 人员岗位信息'!$C:$C,"自有人员",'1-2 人员岗位信息'!$B:$B,$D14)</f>
        <v>0</v>
      </c>
      <c r="BI14" s="298"/>
      <c r="BJ14" s="175">
        <f t="shared" si="17"/>
        <v>0</v>
      </c>
      <c r="BK14" s="175">
        <f>SUMIFS('1-2 人员岗位信息'!Q:Q,'1-2 人员岗位信息'!$C:$C,"自有人员",'1-2 人员岗位信息'!$B:$B,$D14)</f>
        <v>0</v>
      </c>
      <c r="BL14" s="307"/>
      <c r="BM14" s="311"/>
      <c r="BN14" s="315"/>
    </row>
    <row r="15" s="118" customFormat="1" ht="33.95" customHeight="1" outlineLevel="4" spans="2:66">
      <c r="B15" s="119" t="s">
        <v>794</v>
      </c>
      <c r="C15" s="120" t="s">
        <v>67</v>
      </c>
      <c r="D15" s="118" t="s">
        <v>68</v>
      </c>
      <c r="E15" s="119"/>
      <c r="F15" s="119"/>
      <c r="G15" s="119"/>
      <c r="H15" s="119">
        <f>SUM(H16:H21)</f>
        <v>0</v>
      </c>
      <c r="I15" s="119"/>
      <c r="J15" s="119"/>
      <c r="K15" s="119"/>
      <c r="L15" s="119"/>
      <c r="M15" s="119"/>
      <c r="N15" s="119"/>
      <c r="O15" s="119"/>
      <c r="P15" s="289"/>
      <c r="Q15" s="289"/>
      <c r="R15" s="289"/>
      <c r="S15" s="289"/>
      <c r="T15" s="289"/>
      <c r="U15" s="289"/>
      <c r="V15" s="289"/>
      <c r="W15" s="289"/>
      <c r="X15" s="289"/>
      <c r="Y15" s="289"/>
      <c r="Z15" s="289"/>
      <c r="AA15" s="289"/>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6"/>
      <c r="BM15" s="311"/>
      <c r="BN15" s="314"/>
    </row>
    <row r="16" s="263" customFormat="1" ht="33.95" customHeight="1" outlineLevel="5" spans="2:66">
      <c r="B16" s="175" t="s">
        <v>799</v>
      </c>
      <c r="C16" s="283" t="s">
        <v>822</v>
      </c>
      <c r="D16" s="263" t="s">
        <v>801</v>
      </c>
      <c r="E16" s="175" t="s">
        <v>823</v>
      </c>
      <c r="F16" s="175"/>
      <c r="G16" s="175" t="s">
        <v>803</v>
      </c>
      <c r="H16" s="175">
        <f t="shared" ref="H16:H21" si="23">AB16</f>
        <v>0</v>
      </c>
      <c r="I16" s="175" t="s">
        <v>804</v>
      </c>
      <c r="J16" s="175" t="e">
        <f t="shared" ref="J16:J21" si="24">SUM(AD16,AG16,AJ16,AM16,AP16,AS16,AV16,AY16,BB16,BE16,BH16,BK16)/N16</f>
        <v>#DIV/0!</v>
      </c>
      <c r="K16" s="175" t="s">
        <v>805</v>
      </c>
      <c r="L16" s="175" t="e">
        <f t="shared" ref="L16:L21" si="25">H16/N16/J16</f>
        <v>#DIV/0!</v>
      </c>
      <c r="M16" s="175" t="s">
        <v>806</v>
      </c>
      <c r="N16" s="175">
        <f t="shared" ref="N16:N21" si="26">COUNTIF(AD16,"&gt;0")+COUNTIF(AG16,"&gt;0")+COUNTIF(AJ16,"&gt;0")+COUNTIF(AM16,"&gt;0")+COUNTIF(AP16,"&gt;0")+COUNTIF(AS16,"&gt;0")+COUNTIF(AV16,"&gt;0")+COUNTIF(AY16,"&gt;0")+COUNTIF(BB16,"&gt;0")+COUNTIF(BE16,"&gt;0")+COUNTIF(BH16,"&gt;0")+COUNTIF(BK16,"&gt;0")</f>
        <v>0</v>
      </c>
      <c r="O16" s="175"/>
      <c r="P16" s="290"/>
      <c r="Q16" s="290"/>
      <c r="R16" s="290"/>
      <c r="S16" s="290"/>
      <c r="T16" s="290"/>
      <c r="U16" s="290"/>
      <c r="V16" s="290"/>
      <c r="W16" s="290"/>
      <c r="X16" s="290"/>
      <c r="Y16" s="290"/>
      <c r="Z16" s="290"/>
      <c r="AA16" s="290"/>
      <c r="AB16" s="175">
        <f t="shared" ref="AB16:AB21" si="27">SUM(AC16,AF16,AI16,AL16,AO16,AR16,AU16,AX16,BA16,BD16,BG16,BJ16)</f>
        <v>0</v>
      </c>
      <c r="AC16" s="175">
        <f t="shared" ref="AC16:AC21" si="28">AD16*AE16</f>
        <v>0</v>
      </c>
      <c r="AD16" s="175">
        <f>'1-2 人员岗位信息'!F12</f>
        <v>0</v>
      </c>
      <c r="AE16" s="298"/>
      <c r="AF16" s="175">
        <f t="shared" ref="AF16:AF21" si="29">AG16*AH16</f>
        <v>0</v>
      </c>
      <c r="AG16" s="175">
        <f>SUMIFS('1-2 人员岗位信息'!G:G,'1-2 人员岗位信息'!$C:$C,"劳务派遣",'1-2 人员岗位信息'!$B:$B,$D16)</f>
        <v>0</v>
      </c>
      <c r="AH16" s="298"/>
      <c r="AI16" s="175">
        <f t="shared" ref="AI16:AI21" si="30">AJ16*AK16</f>
        <v>0</v>
      </c>
      <c r="AJ16" s="175">
        <f>SUMIFS('1-2 人员岗位信息'!H:H,'1-2 人员岗位信息'!$C:$C,"劳务派遣",'1-2 人员岗位信息'!$B:$B,$D16)</f>
        <v>0</v>
      </c>
      <c r="AK16" s="298"/>
      <c r="AL16" s="175">
        <f t="shared" ref="AL16:AL21" si="31">AM16*AN16</f>
        <v>0</v>
      </c>
      <c r="AM16" s="175">
        <f>SUMIFS('1-2 人员岗位信息'!I:I,'1-2 人员岗位信息'!$C:$C,"劳务派遣",'1-2 人员岗位信息'!$B:$B,$D16)</f>
        <v>0</v>
      </c>
      <c r="AN16" s="298"/>
      <c r="AO16" s="175">
        <f t="shared" ref="AO16:AO21" si="32">AP16*AQ16</f>
        <v>0</v>
      </c>
      <c r="AP16" s="175">
        <f>SUMIFS('1-2 人员岗位信息'!J:J,'1-2 人员岗位信息'!$C:$C,"劳务派遣",'1-2 人员岗位信息'!$B:$B,$D16)</f>
        <v>0</v>
      </c>
      <c r="AQ16" s="298"/>
      <c r="AR16" s="175">
        <f t="shared" ref="AR16:AR21" si="33">AS16*AT16</f>
        <v>0</v>
      </c>
      <c r="AS16" s="175">
        <f>SUMIFS('1-2 人员岗位信息'!K:K,'1-2 人员岗位信息'!$C:$C,"劳务派遣",'1-2 人员岗位信息'!$B:$B,$D16)</f>
        <v>0</v>
      </c>
      <c r="AT16" s="298"/>
      <c r="AU16" s="175">
        <f t="shared" ref="AU16:AU21" si="34">AV16*AW16</f>
        <v>0</v>
      </c>
      <c r="AV16" s="175">
        <f>SUMIFS('1-2 人员岗位信息'!L:L,'1-2 人员岗位信息'!$C:$C,"劳务派遣",'1-2 人员岗位信息'!$B:$B,$D16)</f>
        <v>0</v>
      </c>
      <c r="AW16" s="298"/>
      <c r="AX16" s="175">
        <f t="shared" ref="AX16:AX21" si="35">AY16*AZ16</f>
        <v>0</v>
      </c>
      <c r="AY16" s="175">
        <f>SUMIFS('1-2 人员岗位信息'!M:M,'1-2 人员岗位信息'!$C:$C,"劳务派遣",'1-2 人员岗位信息'!$B:$B,$D16)</f>
        <v>0</v>
      </c>
      <c r="AZ16" s="298"/>
      <c r="BA16" s="175">
        <f t="shared" ref="BA16:BA21" si="36">BB16*BC16</f>
        <v>0</v>
      </c>
      <c r="BB16" s="175">
        <f>SUMIFS('1-2 人员岗位信息'!N:N,'1-2 人员岗位信息'!$C:$C,"劳务派遣",'1-2 人员岗位信息'!$B:$B,$D16)</f>
        <v>0</v>
      </c>
      <c r="BC16" s="298"/>
      <c r="BD16" s="175">
        <f t="shared" ref="BD16:BD21" si="37">BE16*BF16</f>
        <v>0</v>
      </c>
      <c r="BE16" s="175">
        <f>SUMIFS('1-2 人员岗位信息'!O:O,'1-2 人员岗位信息'!$C:$C,"劳务派遣",'1-2 人员岗位信息'!$B:$B,$D16)</f>
        <v>0</v>
      </c>
      <c r="BF16" s="298"/>
      <c r="BG16" s="175">
        <f t="shared" ref="BG16:BG21" si="38">BH16*BI16</f>
        <v>0</v>
      </c>
      <c r="BH16" s="175">
        <f>SUMIFS('1-2 人员岗位信息'!P:P,'1-2 人员岗位信息'!$C:$C,"劳务派遣",'1-2 人员岗位信息'!$B:$B,$D16)</f>
        <v>0</v>
      </c>
      <c r="BI16" s="298"/>
      <c r="BJ16" s="175">
        <f t="shared" ref="BJ16:BJ20" si="39">BK16*BL16</f>
        <v>0</v>
      </c>
      <c r="BK16" s="175">
        <f>SUMIFS('1-2 人员岗位信息'!Q:Q,'1-2 人员岗位信息'!$C:$C,"劳务派遣",'1-2 人员岗位信息'!$B:$B,$D16)</f>
        <v>0</v>
      </c>
      <c r="BL16" s="307"/>
      <c r="BM16" s="311"/>
      <c r="BN16" s="315"/>
    </row>
    <row r="17" s="263" customFormat="1" ht="33.95" customHeight="1" outlineLevel="5" spans="2:66">
      <c r="B17" s="175" t="s">
        <v>799</v>
      </c>
      <c r="C17" s="283" t="s">
        <v>824</v>
      </c>
      <c r="D17" s="263" t="s">
        <v>808</v>
      </c>
      <c r="E17" s="175" t="s">
        <v>825</v>
      </c>
      <c r="F17" s="175"/>
      <c r="G17" s="175" t="s">
        <v>803</v>
      </c>
      <c r="H17" s="175">
        <f t="shared" si="23"/>
        <v>0</v>
      </c>
      <c r="I17" s="175" t="s">
        <v>804</v>
      </c>
      <c r="J17" s="175" t="e">
        <f t="shared" si="24"/>
        <v>#DIV/0!</v>
      </c>
      <c r="K17" s="175" t="s">
        <v>805</v>
      </c>
      <c r="L17" s="175" t="e">
        <f t="shared" si="25"/>
        <v>#DIV/0!</v>
      </c>
      <c r="M17" s="175" t="s">
        <v>806</v>
      </c>
      <c r="N17" s="175">
        <f t="shared" si="26"/>
        <v>0</v>
      </c>
      <c r="O17" s="175"/>
      <c r="P17" s="290"/>
      <c r="Q17" s="290"/>
      <c r="R17" s="290"/>
      <c r="S17" s="290"/>
      <c r="T17" s="290"/>
      <c r="U17" s="290"/>
      <c r="V17" s="290"/>
      <c r="W17" s="290"/>
      <c r="X17" s="290"/>
      <c r="Y17" s="290"/>
      <c r="Z17" s="290"/>
      <c r="AA17" s="290"/>
      <c r="AB17" s="175">
        <f t="shared" si="27"/>
        <v>0</v>
      </c>
      <c r="AC17" s="175">
        <f t="shared" si="28"/>
        <v>0</v>
      </c>
      <c r="AD17" s="175">
        <f>'1-2 人员岗位信息'!F16</f>
        <v>0</v>
      </c>
      <c r="AE17" s="298"/>
      <c r="AF17" s="175">
        <f t="shared" si="29"/>
        <v>0</v>
      </c>
      <c r="AG17" s="175">
        <f>SUMIFS('1-2 人员岗位信息'!G:G,'1-2 人员岗位信息'!$C:$C,"劳务派遣",'1-2 人员岗位信息'!$B:$B,$D17)</f>
        <v>0</v>
      </c>
      <c r="AH17" s="298"/>
      <c r="AI17" s="175">
        <f t="shared" si="30"/>
        <v>0</v>
      </c>
      <c r="AJ17" s="175">
        <f>SUMIFS('1-2 人员岗位信息'!H:H,'1-2 人员岗位信息'!$C:$C,"劳务派遣",'1-2 人员岗位信息'!$B:$B,$D17)</f>
        <v>0</v>
      </c>
      <c r="AK17" s="298"/>
      <c r="AL17" s="175">
        <f t="shared" si="31"/>
        <v>0</v>
      </c>
      <c r="AM17" s="175">
        <f>SUMIFS('1-2 人员岗位信息'!I:I,'1-2 人员岗位信息'!$C:$C,"劳务派遣",'1-2 人员岗位信息'!$B:$B,$D17)</f>
        <v>0</v>
      </c>
      <c r="AN17" s="298"/>
      <c r="AO17" s="175">
        <f t="shared" si="32"/>
        <v>0</v>
      </c>
      <c r="AP17" s="175">
        <f>SUMIFS('1-2 人员岗位信息'!J:J,'1-2 人员岗位信息'!$C:$C,"劳务派遣",'1-2 人员岗位信息'!$B:$B,$D17)</f>
        <v>0</v>
      </c>
      <c r="AQ17" s="298"/>
      <c r="AR17" s="175">
        <f t="shared" si="33"/>
        <v>0</v>
      </c>
      <c r="AS17" s="175">
        <f>SUMIFS('1-2 人员岗位信息'!K:K,'1-2 人员岗位信息'!$C:$C,"劳务派遣",'1-2 人员岗位信息'!$B:$B,$D17)</f>
        <v>0</v>
      </c>
      <c r="AT17" s="298"/>
      <c r="AU17" s="175">
        <f t="shared" si="34"/>
        <v>0</v>
      </c>
      <c r="AV17" s="175">
        <f>SUMIFS('1-2 人员岗位信息'!L:L,'1-2 人员岗位信息'!$C:$C,"劳务派遣",'1-2 人员岗位信息'!$B:$B,$D17)</f>
        <v>0</v>
      </c>
      <c r="AW17" s="298"/>
      <c r="AX17" s="175">
        <f t="shared" si="35"/>
        <v>0</v>
      </c>
      <c r="AY17" s="175">
        <f>SUMIFS('1-2 人员岗位信息'!M:M,'1-2 人员岗位信息'!$C:$C,"劳务派遣",'1-2 人员岗位信息'!$B:$B,$D17)</f>
        <v>0</v>
      </c>
      <c r="AZ17" s="298"/>
      <c r="BA17" s="175">
        <f t="shared" si="36"/>
        <v>0</v>
      </c>
      <c r="BB17" s="175">
        <f>SUMIFS('1-2 人员岗位信息'!N:N,'1-2 人员岗位信息'!$C:$C,"劳务派遣",'1-2 人员岗位信息'!$B:$B,$D17)</f>
        <v>0</v>
      </c>
      <c r="BC17" s="298"/>
      <c r="BD17" s="175">
        <f t="shared" si="37"/>
        <v>0</v>
      </c>
      <c r="BE17" s="175">
        <f>SUMIFS('1-2 人员岗位信息'!O:O,'1-2 人员岗位信息'!$C:$C,"劳务派遣",'1-2 人员岗位信息'!$B:$B,$D17)</f>
        <v>0</v>
      </c>
      <c r="BF17" s="298"/>
      <c r="BG17" s="175">
        <f t="shared" si="38"/>
        <v>0</v>
      </c>
      <c r="BH17" s="175">
        <f>SUMIFS('1-2 人员岗位信息'!P:P,'1-2 人员岗位信息'!$C:$C,"劳务派遣",'1-2 人员岗位信息'!$B:$B,$D17)</f>
        <v>0</v>
      </c>
      <c r="BI17" s="298"/>
      <c r="BJ17" s="175">
        <f t="shared" si="39"/>
        <v>0</v>
      </c>
      <c r="BK17" s="175">
        <f>SUMIFS('1-2 人员岗位信息'!Q:Q,'1-2 人员岗位信息'!$C:$C,"劳务派遣",'1-2 人员岗位信息'!$B:$B,$D17)</f>
        <v>0</v>
      </c>
      <c r="BL17" s="307"/>
      <c r="BM17" s="311"/>
      <c r="BN17" s="315"/>
    </row>
    <row r="18" s="263" customFormat="1" ht="33.95" customHeight="1" outlineLevel="5" spans="2:66">
      <c r="B18" s="175" t="s">
        <v>799</v>
      </c>
      <c r="C18" s="283" t="s">
        <v>826</v>
      </c>
      <c r="D18" s="263" t="s">
        <v>811</v>
      </c>
      <c r="E18" s="175" t="s">
        <v>812</v>
      </c>
      <c r="F18" s="175"/>
      <c r="G18" s="175" t="s">
        <v>803</v>
      </c>
      <c r="H18" s="175">
        <f t="shared" si="23"/>
        <v>0</v>
      </c>
      <c r="I18" s="175" t="s">
        <v>804</v>
      </c>
      <c r="J18" s="175" t="e">
        <f t="shared" si="24"/>
        <v>#DIV/0!</v>
      </c>
      <c r="K18" s="175" t="s">
        <v>805</v>
      </c>
      <c r="L18" s="175" t="e">
        <f t="shared" si="25"/>
        <v>#DIV/0!</v>
      </c>
      <c r="M18" s="175" t="s">
        <v>806</v>
      </c>
      <c r="N18" s="175">
        <f t="shared" si="26"/>
        <v>0</v>
      </c>
      <c r="O18" s="175"/>
      <c r="P18" s="290"/>
      <c r="Q18" s="290"/>
      <c r="R18" s="290"/>
      <c r="S18" s="290"/>
      <c r="T18" s="290"/>
      <c r="U18" s="290"/>
      <c r="V18" s="290"/>
      <c r="W18" s="290"/>
      <c r="X18" s="290"/>
      <c r="Y18" s="290"/>
      <c r="Z18" s="290"/>
      <c r="AA18" s="290"/>
      <c r="AB18" s="175">
        <f t="shared" si="27"/>
        <v>0</v>
      </c>
      <c r="AC18" s="175">
        <f t="shared" si="28"/>
        <v>0</v>
      </c>
      <c r="AD18" s="175">
        <f>'1-2 人员岗位信息'!F20</f>
        <v>0</v>
      </c>
      <c r="AE18" s="298"/>
      <c r="AF18" s="175">
        <f t="shared" si="29"/>
        <v>0</v>
      </c>
      <c r="AG18" s="175">
        <f>SUMIFS('1-2 人员岗位信息'!G:G,'1-2 人员岗位信息'!$C:$C,"劳务派遣",'1-2 人员岗位信息'!$B:$B,$D18)</f>
        <v>0</v>
      </c>
      <c r="AH18" s="298"/>
      <c r="AI18" s="175">
        <f t="shared" si="30"/>
        <v>0</v>
      </c>
      <c r="AJ18" s="175">
        <f>SUMIFS('1-2 人员岗位信息'!H:H,'1-2 人员岗位信息'!$C:$C,"劳务派遣",'1-2 人员岗位信息'!$B:$B,$D18)</f>
        <v>0</v>
      </c>
      <c r="AK18" s="298"/>
      <c r="AL18" s="175">
        <f t="shared" si="31"/>
        <v>0</v>
      </c>
      <c r="AM18" s="175">
        <f>SUMIFS('1-2 人员岗位信息'!I:I,'1-2 人员岗位信息'!$C:$C,"劳务派遣",'1-2 人员岗位信息'!$B:$B,$D18)</f>
        <v>0</v>
      </c>
      <c r="AN18" s="298"/>
      <c r="AO18" s="175">
        <f t="shared" si="32"/>
        <v>0</v>
      </c>
      <c r="AP18" s="175">
        <f>SUMIFS('1-2 人员岗位信息'!J:J,'1-2 人员岗位信息'!$C:$C,"劳务派遣",'1-2 人员岗位信息'!$B:$B,$D18)</f>
        <v>0</v>
      </c>
      <c r="AQ18" s="298"/>
      <c r="AR18" s="175">
        <f t="shared" si="33"/>
        <v>0</v>
      </c>
      <c r="AS18" s="175">
        <f>SUMIFS('1-2 人员岗位信息'!K:K,'1-2 人员岗位信息'!$C:$C,"劳务派遣",'1-2 人员岗位信息'!$B:$B,$D18)</f>
        <v>0</v>
      </c>
      <c r="AT18" s="298"/>
      <c r="AU18" s="175">
        <f t="shared" si="34"/>
        <v>0</v>
      </c>
      <c r="AV18" s="175">
        <f>SUMIFS('1-2 人员岗位信息'!L:L,'1-2 人员岗位信息'!$C:$C,"劳务派遣",'1-2 人员岗位信息'!$B:$B,$D18)</f>
        <v>0</v>
      </c>
      <c r="AW18" s="298"/>
      <c r="AX18" s="175">
        <f t="shared" si="35"/>
        <v>0</v>
      </c>
      <c r="AY18" s="175">
        <f>SUMIFS('1-2 人员岗位信息'!M:M,'1-2 人员岗位信息'!$C:$C,"劳务派遣",'1-2 人员岗位信息'!$B:$B,$D18)</f>
        <v>0</v>
      </c>
      <c r="AZ18" s="298"/>
      <c r="BA18" s="175">
        <f t="shared" si="36"/>
        <v>0</v>
      </c>
      <c r="BB18" s="175">
        <f>SUMIFS('1-2 人员岗位信息'!N:N,'1-2 人员岗位信息'!$C:$C,"劳务派遣",'1-2 人员岗位信息'!$B:$B,$D18)</f>
        <v>0</v>
      </c>
      <c r="BC18" s="298"/>
      <c r="BD18" s="175">
        <f t="shared" si="37"/>
        <v>0</v>
      </c>
      <c r="BE18" s="175">
        <f>SUMIFS('1-2 人员岗位信息'!O:O,'1-2 人员岗位信息'!$C:$C,"劳务派遣",'1-2 人员岗位信息'!$B:$B,$D18)</f>
        <v>0</v>
      </c>
      <c r="BF18" s="298"/>
      <c r="BG18" s="175">
        <f t="shared" si="38"/>
        <v>0</v>
      </c>
      <c r="BH18" s="175">
        <f>SUMIFS('1-2 人员岗位信息'!P:P,'1-2 人员岗位信息'!$C:$C,"劳务派遣",'1-2 人员岗位信息'!$B:$B,$D18)</f>
        <v>0</v>
      </c>
      <c r="BI18" s="298"/>
      <c r="BJ18" s="175">
        <f t="shared" si="39"/>
        <v>0</v>
      </c>
      <c r="BK18" s="175">
        <f>SUMIFS('1-2 人员岗位信息'!Q:Q,'1-2 人员岗位信息'!$C:$C,"劳务派遣",'1-2 人员岗位信息'!$B:$B,$D18)</f>
        <v>0</v>
      </c>
      <c r="BL18" s="298"/>
      <c r="BM18" s="311"/>
      <c r="BN18" s="315"/>
    </row>
    <row r="19" s="263" customFormat="1" ht="33.95" customHeight="1" outlineLevel="5" spans="2:66">
      <c r="B19" s="175" t="s">
        <v>799</v>
      </c>
      <c r="C19" s="283" t="s">
        <v>827</v>
      </c>
      <c r="D19" s="263" t="s">
        <v>814</v>
      </c>
      <c r="E19" s="175" t="s">
        <v>815</v>
      </c>
      <c r="F19" s="175"/>
      <c r="G19" s="175" t="s">
        <v>803</v>
      </c>
      <c r="H19" s="175">
        <f t="shared" si="23"/>
        <v>0</v>
      </c>
      <c r="I19" s="175" t="s">
        <v>804</v>
      </c>
      <c r="J19" s="175" t="e">
        <f t="shared" si="24"/>
        <v>#DIV/0!</v>
      </c>
      <c r="K19" s="175" t="s">
        <v>805</v>
      </c>
      <c r="L19" s="175" t="e">
        <f t="shared" si="25"/>
        <v>#DIV/0!</v>
      </c>
      <c r="M19" s="175" t="s">
        <v>806</v>
      </c>
      <c r="N19" s="175">
        <f t="shared" si="26"/>
        <v>0</v>
      </c>
      <c r="O19" s="175"/>
      <c r="P19" s="290"/>
      <c r="Q19" s="290"/>
      <c r="R19" s="290"/>
      <c r="S19" s="290"/>
      <c r="T19" s="290"/>
      <c r="U19" s="290"/>
      <c r="V19" s="290"/>
      <c r="W19" s="290"/>
      <c r="X19" s="290"/>
      <c r="Y19" s="290"/>
      <c r="Z19" s="290"/>
      <c r="AA19" s="290"/>
      <c r="AB19" s="175">
        <f t="shared" si="27"/>
        <v>0</v>
      </c>
      <c r="AC19" s="175">
        <f t="shared" si="28"/>
        <v>0</v>
      </c>
      <c r="AD19" s="175">
        <f>'1-2 人员岗位信息'!F24</f>
        <v>0</v>
      </c>
      <c r="AE19" s="298"/>
      <c r="AF19" s="175">
        <f t="shared" si="29"/>
        <v>0</v>
      </c>
      <c r="AG19" s="175">
        <f>SUMIFS('1-2 人员岗位信息'!G:G,'1-2 人员岗位信息'!$C:$C,"劳务派遣",'1-2 人员岗位信息'!$B:$B,$D19)</f>
        <v>0</v>
      </c>
      <c r="AH19" s="298"/>
      <c r="AI19" s="175">
        <f t="shared" si="30"/>
        <v>0</v>
      </c>
      <c r="AJ19" s="175">
        <f>SUMIFS('1-2 人员岗位信息'!H:H,'1-2 人员岗位信息'!$C:$C,"劳务派遣",'1-2 人员岗位信息'!$B:$B,$D19)</f>
        <v>0</v>
      </c>
      <c r="AK19" s="298"/>
      <c r="AL19" s="175">
        <f t="shared" si="31"/>
        <v>0</v>
      </c>
      <c r="AM19" s="175">
        <f>SUMIFS('1-2 人员岗位信息'!I:I,'1-2 人员岗位信息'!$C:$C,"劳务派遣",'1-2 人员岗位信息'!$B:$B,$D19)</f>
        <v>0</v>
      </c>
      <c r="AN19" s="298"/>
      <c r="AO19" s="175">
        <f t="shared" si="32"/>
        <v>0</v>
      </c>
      <c r="AP19" s="175">
        <f>SUMIFS('1-2 人员岗位信息'!J:J,'1-2 人员岗位信息'!$C:$C,"劳务派遣",'1-2 人员岗位信息'!$B:$B,$D19)</f>
        <v>0</v>
      </c>
      <c r="AQ19" s="298"/>
      <c r="AR19" s="175">
        <f t="shared" si="33"/>
        <v>0</v>
      </c>
      <c r="AS19" s="175">
        <f>SUMIFS('1-2 人员岗位信息'!K:K,'1-2 人员岗位信息'!$C:$C,"劳务派遣",'1-2 人员岗位信息'!$B:$B,$D19)</f>
        <v>0</v>
      </c>
      <c r="AT19" s="298"/>
      <c r="AU19" s="175">
        <f t="shared" si="34"/>
        <v>0</v>
      </c>
      <c r="AV19" s="175">
        <f>SUMIFS('1-2 人员岗位信息'!L:L,'1-2 人员岗位信息'!$C:$C,"劳务派遣",'1-2 人员岗位信息'!$B:$B,$D19)</f>
        <v>0</v>
      </c>
      <c r="AW19" s="298"/>
      <c r="AX19" s="175">
        <f t="shared" si="35"/>
        <v>0</v>
      </c>
      <c r="AY19" s="175">
        <f>SUMIFS('1-2 人员岗位信息'!M:M,'1-2 人员岗位信息'!$C:$C,"劳务派遣",'1-2 人员岗位信息'!$B:$B,$D19)</f>
        <v>0</v>
      </c>
      <c r="AZ19" s="298"/>
      <c r="BA19" s="175">
        <f t="shared" si="36"/>
        <v>0</v>
      </c>
      <c r="BB19" s="175">
        <f>SUMIFS('1-2 人员岗位信息'!N:N,'1-2 人员岗位信息'!$C:$C,"劳务派遣",'1-2 人员岗位信息'!$B:$B,$D19)</f>
        <v>0</v>
      </c>
      <c r="BC19" s="298"/>
      <c r="BD19" s="175">
        <f t="shared" si="37"/>
        <v>0</v>
      </c>
      <c r="BE19" s="175">
        <f>SUMIFS('1-2 人员岗位信息'!O:O,'1-2 人员岗位信息'!$C:$C,"劳务派遣",'1-2 人员岗位信息'!$B:$B,$D19)</f>
        <v>0</v>
      </c>
      <c r="BF19" s="298"/>
      <c r="BG19" s="175">
        <f t="shared" si="38"/>
        <v>0</v>
      </c>
      <c r="BH19" s="175">
        <f>SUMIFS('1-2 人员岗位信息'!P:P,'1-2 人员岗位信息'!$C:$C,"劳务派遣",'1-2 人员岗位信息'!$B:$B,$D19)</f>
        <v>0</v>
      </c>
      <c r="BI19" s="298"/>
      <c r="BJ19" s="175">
        <f t="shared" si="39"/>
        <v>0</v>
      </c>
      <c r="BK19" s="175">
        <f>SUMIFS('1-2 人员岗位信息'!Q:Q,'1-2 人员岗位信息'!$C:$C,"劳务派遣",'1-2 人员岗位信息'!$B:$B,$D19)</f>
        <v>0</v>
      </c>
      <c r="BL19" s="307"/>
      <c r="BM19" s="311"/>
      <c r="BN19" s="315"/>
    </row>
    <row r="20" s="263" customFormat="1" ht="33.95" customHeight="1" outlineLevel="5" spans="2:66">
      <c r="B20" s="175" t="s">
        <v>799</v>
      </c>
      <c r="C20" s="283" t="s">
        <v>828</v>
      </c>
      <c r="D20" s="263" t="s">
        <v>817</v>
      </c>
      <c r="E20" s="175" t="s">
        <v>818</v>
      </c>
      <c r="F20" s="175"/>
      <c r="G20" s="175" t="s">
        <v>803</v>
      </c>
      <c r="H20" s="175">
        <f t="shared" si="23"/>
        <v>0</v>
      </c>
      <c r="I20" s="175" t="s">
        <v>804</v>
      </c>
      <c r="J20" s="175" t="e">
        <f t="shared" si="24"/>
        <v>#DIV/0!</v>
      </c>
      <c r="K20" s="175" t="s">
        <v>805</v>
      </c>
      <c r="L20" s="175" t="e">
        <f t="shared" si="25"/>
        <v>#DIV/0!</v>
      </c>
      <c r="M20" s="175" t="s">
        <v>806</v>
      </c>
      <c r="N20" s="175">
        <f t="shared" si="26"/>
        <v>0</v>
      </c>
      <c r="O20" s="175"/>
      <c r="P20" s="290"/>
      <c r="Q20" s="290"/>
      <c r="R20" s="290"/>
      <c r="S20" s="290"/>
      <c r="T20" s="290"/>
      <c r="U20" s="290"/>
      <c r="V20" s="290"/>
      <c r="W20" s="290"/>
      <c r="X20" s="290"/>
      <c r="Y20" s="290"/>
      <c r="Z20" s="290"/>
      <c r="AA20" s="290"/>
      <c r="AB20" s="175">
        <f t="shared" si="27"/>
        <v>0</v>
      </c>
      <c r="AC20" s="175">
        <f t="shared" si="28"/>
        <v>0</v>
      </c>
      <c r="AD20" s="175">
        <f>'1-2 人员岗位信息'!F28</f>
        <v>0</v>
      </c>
      <c r="AE20" s="298"/>
      <c r="AF20" s="175">
        <f t="shared" si="29"/>
        <v>0</v>
      </c>
      <c r="AG20" s="175">
        <f>SUMIFS('1-2 人员岗位信息'!G:G,'1-2 人员岗位信息'!$C:$C,"劳务派遣",'1-2 人员岗位信息'!$B:$B,$D20)</f>
        <v>0</v>
      </c>
      <c r="AH20" s="298"/>
      <c r="AI20" s="175">
        <f t="shared" si="30"/>
        <v>0</v>
      </c>
      <c r="AJ20" s="175">
        <f>SUMIFS('1-2 人员岗位信息'!H:H,'1-2 人员岗位信息'!$C:$C,"劳务派遣",'1-2 人员岗位信息'!$B:$B,$D20)</f>
        <v>0</v>
      </c>
      <c r="AK20" s="298"/>
      <c r="AL20" s="175">
        <f t="shared" si="31"/>
        <v>0</v>
      </c>
      <c r="AM20" s="175">
        <f>SUMIFS('1-2 人员岗位信息'!I:I,'1-2 人员岗位信息'!$C:$C,"劳务派遣",'1-2 人员岗位信息'!$B:$B,$D20)</f>
        <v>0</v>
      </c>
      <c r="AN20" s="298"/>
      <c r="AO20" s="175">
        <f t="shared" si="32"/>
        <v>0</v>
      </c>
      <c r="AP20" s="175">
        <f>SUMIFS('1-2 人员岗位信息'!J:J,'1-2 人员岗位信息'!$C:$C,"劳务派遣",'1-2 人员岗位信息'!$B:$B,$D20)</f>
        <v>0</v>
      </c>
      <c r="AQ20" s="298"/>
      <c r="AR20" s="175">
        <f t="shared" si="33"/>
        <v>0</v>
      </c>
      <c r="AS20" s="175">
        <f>SUMIFS('1-2 人员岗位信息'!K:K,'1-2 人员岗位信息'!$C:$C,"劳务派遣",'1-2 人员岗位信息'!$B:$B,$D20)</f>
        <v>0</v>
      </c>
      <c r="AT20" s="298"/>
      <c r="AU20" s="175">
        <f t="shared" si="34"/>
        <v>0</v>
      </c>
      <c r="AV20" s="175">
        <f>SUMIFS('1-2 人员岗位信息'!L:L,'1-2 人员岗位信息'!$C:$C,"劳务派遣",'1-2 人员岗位信息'!$B:$B,$D20)</f>
        <v>0</v>
      </c>
      <c r="AW20" s="298"/>
      <c r="AX20" s="175">
        <f t="shared" si="35"/>
        <v>0</v>
      </c>
      <c r="AY20" s="175">
        <f>SUMIFS('1-2 人员岗位信息'!M:M,'1-2 人员岗位信息'!$C:$C,"劳务派遣",'1-2 人员岗位信息'!$B:$B,$D20)</f>
        <v>0</v>
      </c>
      <c r="AZ20" s="298"/>
      <c r="BA20" s="175">
        <f t="shared" si="36"/>
        <v>0</v>
      </c>
      <c r="BB20" s="175">
        <f>SUMIFS('1-2 人员岗位信息'!N:N,'1-2 人员岗位信息'!$C:$C,"劳务派遣",'1-2 人员岗位信息'!$B:$B,$D20)</f>
        <v>0</v>
      </c>
      <c r="BC20" s="298"/>
      <c r="BD20" s="175">
        <f t="shared" si="37"/>
        <v>0</v>
      </c>
      <c r="BE20" s="175">
        <f>SUMIFS('1-2 人员岗位信息'!O:O,'1-2 人员岗位信息'!$C:$C,"劳务派遣",'1-2 人员岗位信息'!$B:$B,$D20)</f>
        <v>0</v>
      </c>
      <c r="BF20" s="298"/>
      <c r="BG20" s="175">
        <f t="shared" si="38"/>
        <v>0</v>
      </c>
      <c r="BH20" s="175">
        <f>SUMIFS('1-2 人员岗位信息'!P:P,'1-2 人员岗位信息'!$C:$C,"劳务派遣",'1-2 人员岗位信息'!$B:$B,$D20)</f>
        <v>0</v>
      </c>
      <c r="BI20" s="298"/>
      <c r="BJ20" s="175">
        <f t="shared" si="39"/>
        <v>0</v>
      </c>
      <c r="BK20" s="175">
        <f>SUMIFS('1-2 人员岗位信息'!Q:Q,'1-2 人员岗位信息'!$C:$C,"劳务派遣",'1-2 人员岗位信息'!$B:$B,$D20)</f>
        <v>0</v>
      </c>
      <c r="BL20" s="307"/>
      <c r="BM20" s="311"/>
      <c r="BN20" s="315"/>
    </row>
    <row r="21" s="263" customFormat="1" ht="33.95" customHeight="1" outlineLevel="5" spans="2:66">
      <c r="B21" s="175" t="s">
        <v>799</v>
      </c>
      <c r="C21" s="283" t="s">
        <v>829</v>
      </c>
      <c r="D21" s="263" t="s">
        <v>820</v>
      </c>
      <c r="E21" s="175" t="s">
        <v>821</v>
      </c>
      <c r="F21" s="175"/>
      <c r="G21" s="175" t="s">
        <v>803</v>
      </c>
      <c r="H21" s="175">
        <f t="shared" si="23"/>
        <v>0</v>
      </c>
      <c r="I21" s="175" t="s">
        <v>804</v>
      </c>
      <c r="J21" s="175" t="e">
        <f t="shared" si="24"/>
        <v>#DIV/0!</v>
      </c>
      <c r="K21" s="175" t="s">
        <v>805</v>
      </c>
      <c r="L21" s="175" t="e">
        <f t="shared" si="25"/>
        <v>#DIV/0!</v>
      </c>
      <c r="M21" s="175" t="s">
        <v>806</v>
      </c>
      <c r="N21" s="175">
        <f t="shared" si="26"/>
        <v>0</v>
      </c>
      <c r="O21" s="175"/>
      <c r="P21" s="290"/>
      <c r="Q21" s="290"/>
      <c r="R21" s="290"/>
      <c r="S21" s="290"/>
      <c r="T21" s="290"/>
      <c r="U21" s="290"/>
      <c r="V21" s="290"/>
      <c r="W21" s="290"/>
      <c r="X21" s="290"/>
      <c r="Y21" s="290"/>
      <c r="Z21" s="290"/>
      <c r="AA21" s="290"/>
      <c r="AB21" s="175">
        <f t="shared" si="27"/>
        <v>0</v>
      </c>
      <c r="AC21" s="175">
        <f t="shared" si="28"/>
        <v>0</v>
      </c>
      <c r="AD21" s="175">
        <f>'1-2 人员岗位信息'!F32</f>
        <v>0</v>
      </c>
      <c r="AE21" s="298"/>
      <c r="AF21" s="175">
        <f t="shared" si="29"/>
        <v>0</v>
      </c>
      <c r="AG21" s="175">
        <f>SUMIFS('1-2 人员岗位信息'!G:G,'1-2 人员岗位信息'!$C:$C,"劳务派遣",'1-2 人员岗位信息'!$B:$B,$D21)</f>
        <v>0</v>
      </c>
      <c r="AH21" s="298"/>
      <c r="AI21" s="175">
        <f t="shared" si="30"/>
        <v>0</v>
      </c>
      <c r="AJ21" s="175">
        <f>SUMIFS('1-2 人员岗位信息'!H:H,'1-2 人员岗位信息'!$C:$C,"劳务派遣",'1-2 人员岗位信息'!$B:$B,$D21)</f>
        <v>0</v>
      </c>
      <c r="AK21" s="298"/>
      <c r="AL21" s="175">
        <f t="shared" si="31"/>
        <v>0</v>
      </c>
      <c r="AM21" s="175">
        <f>SUMIFS('1-2 人员岗位信息'!I:I,'1-2 人员岗位信息'!$C:$C,"劳务派遣",'1-2 人员岗位信息'!$B:$B,$D21)</f>
        <v>0</v>
      </c>
      <c r="AN21" s="298"/>
      <c r="AO21" s="175">
        <f t="shared" si="32"/>
        <v>0</v>
      </c>
      <c r="AP21" s="175">
        <f>SUMIFS('1-2 人员岗位信息'!J:J,'1-2 人员岗位信息'!$C:$C,"劳务派遣",'1-2 人员岗位信息'!$B:$B,$D21)</f>
        <v>0</v>
      </c>
      <c r="AQ21" s="298"/>
      <c r="AR21" s="175">
        <f t="shared" si="33"/>
        <v>0</v>
      </c>
      <c r="AS21" s="175">
        <f>SUMIFS('1-2 人员岗位信息'!K:K,'1-2 人员岗位信息'!$C:$C,"劳务派遣",'1-2 人员岗位信息'!$B:$B,$D21)</f>
        <v>0</v>
      </c>
      <c r="AT21" s="298"/>
      <c r="AU21" s="175">
        <f t="shared" si="34"/>
        <v>0</v>
      </c>
      <c r="AV21" s="175">
        <f>SUMIFS('1-2 人员岗位信息'!L:L,'1-2 人员岗位信息'!$C:$C,"劳务派遣",'1-2 人员岗位信息'!$B:$B,$D21)</f>
        <v>0</v>
      </c>
      <c r="AW21" s="298"/>
      <c r="AX21" s="175">
        <f t="shared" si="35"/>
        <v>0</v>
      </c>
      <c r="AY21" s="175">
        <f>SUMIFS('1-2 人员岗位信息'!M:M,'1-2 人员岗位信息'!$C:$C,"劳务派遣",'1-2 人员岗位信息'!$B:$B,$D21)</f>
        <v>0</v>
      </c>
      <c r="AZ21" s="298"/>
      <c r="BA21" s="175">
        <f t="shared" si="36"/>
        <v>0</v>
      </c>
      <c r="BB21" s="175">
        <f>SUMIFS('1-2 人员岗位信息'!N:N,'1-2 人员岗位信息'!$C:$C,"劳务派遣",'1-2 人员岗位信息'!$B:$B,$D21)</f>
        <v>0</v>
      </c>
      <c r="BC21" s="298"/>
      <c r="BD21" s="175">
        <f t="shared" si="37"/>
        <v>0</v>
      </c>
      <c r="BE21" s="175">
        <f>SUMIFS('1-2 人员岗位信息'!O:O,'1-2 人员岗位信息'!$C:$C,"劳务派遣",'1-2 人员岗位信息'!$B:$B,$D21)</f>
        <v>0</v>
      </c>
      <c r="BF21" s="298"/>
      <c r="BG21" s="175">
        <f t="shared" si="38"/>
        <v>0</v>
      </c>
      <c r="BH21" s="175">
        <f>SUMIFS('1-2 人员岗位信息'!P:P,'1-2 人员岗位信息'!$C:$C,"劳务派遣",'1-2 人员岗位信息'!$B:$B,$D21)</f>
        <v>0</v>
      </c>
      <c r="BI21" s="298"/>
      <c r="BJ21" s="175">
        <f>BK20*BL21</f>
        <v>0</v>
      </c>
      <c r="BK21" s="175">
        <f>SUMIFS('1-2 人员岗位信息'!Q:Q,'1-2 人员岗位信息'!$C:$C,"劳务派遣",'1-2 人员岗位信息'!$B:$B,$D21)</f>
        <v>0</v>
      </c>
      <c r="BL21" s="307"/>
      <c r="BM21" s="311"/>
      <c r="BN21" s="315"/>
    </row>
    <row r="22" s="118" customFormat="1" ht="33.95" customHeight="1" outlineLevel="4" spans="2:66">
      <c r="B22" s="119" t="s">
        <v>794</v>
      </c>
      <c r="C22" s="120" t="s">
        <v>18</v>
      </c>
      <c r="D22" s="118" t="s">
        <v>19</v>
      </c>
      <c r="E22" s="119"/>
      <c r="F22" s="119"/>
      <c r="G22" s="119"/>
      <c r="H22" s="119">
        <f>SUM(H23:H28)</f>
        <v>0</v>
      </c>
      <c r="I22" s="119"/>
      <c r="J22" s="119"/>
      <c r="K22" s="119"/>
      <c r="L22" s="119"/>
      <c r="M22" s="119"/>
      <c r="N22" s="119"/>
      <c r="O22" s="119"/>
      <c r="P22" s="289"/>
      <c r="Q22" s="289"/>
      <c r="R22" s="289"/>
      <c r="S22" s="289"/>
      <c r="T22" s="289"/>
      <c r="U22" s="289"/>
      <c r="V22" s="289"/>
      <c r="W22" s="289"/>
      <c r="X22" s="289"/>
      <c r="Y22" s="289"/>
      <c r="Z22" s="289"/>
      <c r="AA22" s="289"/>
      <c r="AB22" s="119">
        <f>SUM(AB23:AB28)</f>
        <v>0</v>
      </c>
      <c r="AC22" s="119">
        <f>SUM(AC23:AC28)</f>
        <v>0</v>
      </c>
      <c r="AD22" s="119"/>
      <c r="AE22" s="119"/>
      <c r="AF22" s="119">
        <f>SUM(AF23:AF28)</f>
        <v>0</v>
      </c>
      <c r="AG22" s="119"/>
      <c r="AH22" s="119"/>
      <c r="AI22" s="119">
        <f>SUM(AI23:AI28)</f>
        <v>0</v>
      </c>
      <c r="AJ22" s="119"/>
      <c r="AK22" s="119"/>
      <c r="AL22" s="119">
        <f>SUM(AL23:AL28)</f>
        <v>0</v>
      </c>
      <c r="AM22" s="119"/>
      <c r="AN22" s="119"/>
      <c r="AO22" s="119">
        <f>SUM(AO23:AO28)</f>
        <v>0</v>
      </c>
      <c r="AP22" s="119"/>
      <c r="AQ22" s="119"/>
      <c r="AR22" s="119">
        <f>SUM(AR23:AR28)</f>
        <v>0</v>
      </c>
      <c r="AS22" s="119"/>
      <c r="AT22" s="119"/>
      <c r="AU22" s="119">
        <f>SUM(AU23:AU28)</f>
        <v>0</v>
      </c>
      <c r="AV22" s="119"/>
      <c r="AW22" s="119"/>
      <c r="AX22" s="119">
        <f>SUM(AX23:AX28)</f>
        <v>0</v>
      </c>
      <c r="AY22" s="119"/>
      <c r="AZ22" s="119"/>
      <c r="BA22" s="119">
        <f>SUM(BA23:BA28)</f>
        <v>0</v>
      </c>
      <c r="BB22" s="119"/>
      <c r="BC22" s="119"/>
      <c r="BD22" s="119">
        <f>SUM(BD23:BD28)</f>
        <v>0</v>
      </c>
      <c r="BE22" s="119"/>
      <c r="BF22" s="119"/>
      <c r="BG22" s="119">
        <f>SUM(BG23:BG28)</f>
        <v>0</v>
      </c>
      <c r="BH22" s="119"/>
      <c r="BI22" s="119"/>
      <c r="BJ22" s="119">
        <f>SUM(BJ23:BJ28)</f>
        <v>0</v>
      </c>
      <c r="BK22" s="119"/>
      <c r="BL22" s="306"/>
      <c r="BM22" s="311"/>
      <c r="BN22" s="314"/>
    </row>
    <row r="23" s="263" customFormat="1" ht="33.95" customHeight="1" outlineLevel="5" spans="2:66">
      <c r="B23" s="175" t="s">
        <v>799</v>
      </c>
      <c r="C23" s="283" t="s">
        <v>830</v>
      </c>
      <c r="D23" s="263" t="s">
        <v>801</v>
      </c>
      <c r="E23" s="175" t="s">
        <v>831</v>
      </c>
      <c r="F23" s="175"/>
      <c r="G23" s="175" t="s">
        <v>803</v>
      </c>
      <c r="H23" s="175">
        <f t="shared" ref="H23:H28" si="40">AB23</f>
        <v>0</v>
      </c>
      <c r="I23" s="175" t="s">
        <v>804</v>
      </c>
      <c r="J23" s="175" t="e">
        <f t="shared" ref="J23:J28" si="41">SUM(AD23,AG23,AJ23,AM23,AP23,AS23,AV23,AY23,BB23,BE23,BH23,BK23)/N23</f>
        <v>#DIV/0!</v>
      </c>
      <c r="K23" s="175" t="s">
        <v>805</v>
      </c>
      <c r="L23" s="175" t="e">
        <f t="shared" ref="L23:L28" si="42">H23/N23/J23</f>
        <v>#DIV/0!</v>
      </c>
      <c r="M23" s="175" t="s">
        <v>806</v>
      </c>
      <c r="N23" s="175">
        <f t="shared" ref="N23:N28" si="43">COUNTIF(AD23,"&gt;0")+COUNTIF(AG23,"&gt;0")+COUNTIF(AJ23,"&gt;0")+COUNTIF(AM23,"&gt;0")+COUNTIF(AP23,"&gt;0")+COUNTIF(AS23,"&gt;0")+COUNTIF(AV23,"&gt;0")+COUNTIF(AY23,"&gt;0")+COUNTIF(BB23,"&gt;0")+COUNTIF(BE23,"&gt;0")+COUNTIF(BH23,"&gt;0")+COUNTIF(BK23,"&gt;0")</f>
        <v>0</v>
      </c>
      <c r="O23" s="175"/>
      <c r="P23" s="290"/>
      <c r="Q23" s="290"/>
      <c r="R23" s="290"/>
      <c r="S23" s="290"/>
      <c r="T23" s="290"/>
      <c r="U23" s="290"/>
      <c r="V23" s="290"/>
      <c r="W23" s="290"/>
      <c r="X23" s="290"/>
      <c r="Y23" s="290"/>
      <c r="Z23" s="290"/>
      <c r="AA23" s="290"/>
      <c r="AB23" s="175">
        <f t="shared" ref="AB23:AB28" si="44">SUM(AC23,AF23,AI23,AL23,AO23,AR23,AU23,AX23,BA23,BD23,BG23,BJ23)</f>
        <v>0</v>
      </c>
      <c r="AC23" s="175">
        <f t="shared" ref="AC23:AC28" si="45">AD23*AE23</f>
        <v>0</v>
      </c>
      <c r="AD23" s="175">
        <f>'1-2 人员岗位信息'!F13</f>
        <v>0</v>
      </c>
      <c r="AE23" s="298">
        <f>IFERROR(预算主表!P80/(12*AD23),0)</f>
        <v>0</v>
      </c>
      <c r="AF23" s="175">
        <f t="shared" ref="AF23:AF28" si="46">AG23*AH23</f>
        <v>0</v>
      </c>
      <c r="AG23" s="175">
        <f>SUMIFS('1-2 人员岗位信息'!G:G,'1-2 人员岗位信息'!$C:$C,"专业外包",'1-2 人员岗位信息'!$B:$B,$D23)</f>
        <v>0</v>
      </c>
      <c r="AH23" s="298">
        <f>AE23</f>
        <v>0</v>
      </c>
      <c r="AI23" s="175">
        <f t="shared" ref="AI23:AI28" si="47">AJ23*AK23</f>
        <v>0</v>
      </c>
      <c r="AJ23" s="175">
        <f>SUMIFS('1-2 人员岗位信息'!H:H,'1-2 人员岗位信息'!$C:$C,"专业外包",'1-2 人员岗位信息'!$B:$B,$D23)</f>
        <v>0</v>
      </c>
      <c r="AK23" s="298">
        <f>AE23</f>
        <v>0</v>
      </c>
      <c r="AL23" s="175">
        <f t="shared" ref="AL23:AL28" si="48">AM23*AN23</f>
        <v>0</v>
      </c>
      <c r="AM23" s="175">
        <f>SUMIFS('1-2 人员岗位信息'!I:I,'1-2 人员岗位信息'!$C:$C,"专业外包",'1-2 人员岗位信息'!$B:$B,$D23)</f>
        <v>0</v>
      </c>
      <c r="AN23" s="298">
        <f>AE23</f>
        <v>0</v>
      </c>
      <c r="AO23" s="175">
        <f t="shared" ref="AO23:AO28" si="49">AP23*AQ23</f>
        <v>0</v>
      </c>
      <c r="AP23" s="175">
        <f>SUMIFS('1-2 人员岗位信息'!J:J,'1-2 人员岗位信息'!$C:$C,"专业外包",'1-2 人员岗位信息'!$B:$B,$D23)</f>
        <v>0</v>
      </c>
      <c r="AQ23" s="298">
        <f>AE23</f>
        <v>0</v>
      </c>
      <c r="AR23" s="175">
        <f t="shared" ref="AR23:AR28" si="50">AS23*AT23</f>
        <v>0</v>
      </c>
      <c r="AS23" s="175">
        <f>SUMIFS('1-2 人员岗位信息'!K:K,'1-2 人员岗位信息'!$C:$C,"专业外包",'1-2 人员岗位信息'!$B:$B,$D23)</f>
        <v>0</v>
      </c>
      <c r="AT23" s="298">
        <f>AE23</f>
        <v>0</v>
      </c>
      <c r="AU23" s="175">
        <f t="shared" ref="AU23:AU28" si="51">AV23*AW23</f>
        <v>0</v>
      </c>
      <c r="AV23" s="175">
        <f>SUMIFS('1-2 人员岗位信息'!L:L,'1-2 人员岗位信息'!$C:$C,"专业外包",'1-2 人员岗位信息'!$B:$B,$D23)</f>
        <v>0</v>
      </c>
      <c r="AW23" s="298">
        <f>AE23</f>
        <v>0</v>
      </c>
      <c r="AX23" s="175">
        <f t="shared" ref="AX23:AX28" si="52">AY23*AZ23</f>
        <v>0</v>
      </c>
      <c r="AY23" s="175">
        <f>SUMIFS('1-2 人员岗位信息'!M:M,'1-2 人员岗位信息'!$C:$C,"专业外包",'1-2 人员岗位信息'!$B:$B,$D23)</f>
        <v>0</v>
      </c>
      <c r="AZ23" s="298">
        <f>AE23</f>
        <v>0</v>
      </c>
      <c r="BA23" s="175">
        <f t="shared" ref="BA23:BA28" si="53">BB23*BC23</f>
        <v>0</v>
      </c>
      <c r="BB23" s="175">
        <f>SUMIFS('1-2 人员岗位信息'!N:N,'1-2 人员岗位信息'!$C:$C,"专业外包",'1-2 人员岗位信息'!$B:$B,$D23)</f>
        <v>0</v>
      </c>
      <c r="BC23" s="298">
        <f>AE23</f>
        <v>0</v>
      </c>
      <c r="BD23" s="175">
        <f t="shared" ref="BD23:BD28" si="54">BE23*BF23</f>
        <v>0</v>
      </c>
      <c r="BE23" s="175">
        <f>SUMIFS('1-2 人员岗位信息'!O:O,'1-2 人员岗位信息'!$C:$C,"专业外包",'1-2 人员岗位信息'!$B:$B,$D23)</f>
        <v>0</v>
      </c>
      <c r="BF23" s="298">
        <f>AE23</f>
        <v>0</v>
      </c>
      <c r="BG23" s="175">
        <f t="shared" ref="BG23:BG28" si="55">BH23*BI23</f>
        <v>0</v>
      </c>
      <c r="BH23" s="175">
        <f>SUMIFS('1-2 人员岗位信息'!P:P,'1-2 人员岗位信息'!$C:$C,"专业外包",'1-2 人员岗位信息'!$B:$B,$D23)</f>
        <v>0</v>
      </c>
      <c r="BI23" s="298">
        <f>AE23</f>
        <v>0</v>
      </c>
      <c r="BJ23" s="175">
        <f t="shared" ref="BJ23:BJ28" si="56">BK23*BL23</f>
        <v>0</v>
      </c>
      <c r="BK23" s="175">
        <f>SUMIFS('1-2 人员岗位信息'!Q:Q,'1-2 人员岗位信息'!$C:$C,"专业外包",'1-2 人员岗位信息'!$B:$B,$D23)</f>
        <v>0</v>
      </c>
      <c r="BL23" s="307">
        <f>AE23</f>
        <v>0</v>
      </c>
      <c r="BM23" s="311"/>
      <c r="BN23" s="315"/>
    </row>
    <row r="24" s="263" customFormat="1" ht="33.95" customHeight="1" outlineLevel="5" spans="2:66">
      <c r="B24" s="175" t="s">
        <v>799</v>
      </c>
      <c r="C24" s="283" t="s">
        <v>832</v>
      </c>
      <c r="D24" s="263" t="s">
        <v>808</v>
      </c>
      <c r="E24" s="175" t="s">
        <v>833</v>
      </c>
      <c r="F24" s="175"/>
      <c r="G24" s="175" t="s">
        <v>803</v>
      </c>
      <c r="H24" s="175">
        <f t="shared" si="40"/>
        <v>0</v>
      </c>
      <c r="I24" s="175" t="s">
        <v>804</v>
      </c>
      <c r="J24" s="175" t="e">
        <f t="shared" si="41"/>
        <v>#DIV/0!</v>
      </c>
      <c r="K24" s="175" t="s">
        <v>805</v>
      </c>
      <c r="L24" s="175" t="e">
        <f t="shared" si="42"/>
        <v>#DIV/0!</v>
      </c>
      <c r="M24" s="175" t="s">
        <v>806</v>
      </c>
      <c r="N24" s="175">
        <f t="shared" si="43"/>
        <v>0</v>
      </c>
      <c r="O24" s="175"/>
      <c r="P24" s="290"/>
      <c r="Q24" s="290"/>
      <c r="R24" s="290"/>
      <c r="S24" s="290"/>
      <c r="T24" s="290"/>
      <c r="U24" s="290"/>
      <c r="V24" s="290"/>
      <c r="W24" s="290"/>
      <c r="X24" s="290"/>
      <c r="Y24" s="290"/>
      <c r="Z24" s="290"/>
      <c r="AA24" s="290"/>
      <c r="AB24" s="175">
        <f t="shared" si="44"/>
        <v>0</v>
      </c>
      <c r="AC24" s="175">
        <f t="shared" si="45"/>
        <v>0</v>
      </c>
      <c r="AD24" s="175">
        <f>'1-2 人员岗位信息'!F17</f>
        <v>0</v>
      </c>
      <c r="AE24" s="298"/>
      <c r="AF24" s="175">
        <f t="shared" si="46"/>
        <v>0</v>
      </c>
      <c r="AG24" s="175">
        <f>SUMIFS('1-2 人员岗位信息'!G:G,'1-2 人员岗位信息'!$C:$C,"专业外包",'1-2 人员岗位信息'!$B:$B,$D24)</f>
        <v>0</v>
      </c>
      <c r="AH24" s="298"/>
      <c r="AI24" s="175">
        <f t="shared" si="47"/>
        <v>0</v>
      </c>
      <c r="AJ24" s="175">
        <f>SUMIFS('1-2 人员岗位信息'!H:H,'1-2 人员岗位信息'!$C:$C,"专业外包",'1-2 人员岗位信息'!$B:$B,$D24)</f>
        <v>0</v>
      </c>
      <c r="AK24" s="298"/>
      <c r="AL24" s="175">
        <f t="shared" si="48"/>
        <v>0</v>
      </c>
      <c r="AM24" s="175">
        <f>SUMIFS('1-2 人员岗位信息'!I:I,'1-2 人员岗位信息'!$C:$C,"专业外包",'1-2 人员岗位信息'!$B:$B,$D24)</f>
        <v>0</v>
      </c>
      <c r="AN24" s="298"/>
      <c r="AO24" s="175">
        <f t="shared" si="49"/>
        <v>0</v>
      </c>
      <c r="AP24" s="175">
        <f>SUMIFS('1-2 人员岗位信息'!J:J,'1-2 人员岗位信息'!$C:$C,"专业外包",'1-2 人员岗位信息'!$B:$B,$D24)</f>
        <v>0</v>
      </c>
      <c r="AQ24" s="298"/>
      <c r="AR24" s="175">
        <f t="shared" si="50"/>
        <v>0</v>
      </c>
      <c r="AS24" s="175">
        <f>SUMIFS('1-2 人员岗位信息'!K:K,'1-2 人员岗位信息'!$C:$C,"专业外包",'1-2 人员岗位信息'!$B:$B,$D24)</f>
        <v>0</v>
      </c>
      <c r="AT24" s="298"/>
      <c r="AU24" s="175">
        <f t="shared" si="51"/>
        <v>0</v>
      </c>
      <c r="AV24" s="175">
        <f>SUMIFS('1-2 人员岗位信息'!L:L,'1-2 人员岗位信息'!$C:$C,"专业外包",'1-2 人员岗位信息'!$B:$B,$D24)</f>
        <v>0</v>
      </c>
      <c r="AW24" s="298"/>
      <c r="AX24" s="175">
        <f t="shared" si="52"/>
        <v>0</v>
      </c>
      <c r="AY24" s="175">
        <f>SUMIFS('1-2 人员岗位信息'!M:M,'1-2 人员岗位信息'!$C:$C,"专业外包",'1-2 人员岗位信息'!$B:$B,$D24)</f>
        <v>0</v>
      </c>
      <c r="AZ24" s="298"/>
      <c r="BA24" s="175">
        <f t="shared" si="53"/>
        <v>0</v>
      </c>
      <c r="BB24" s="175">
        <f>SUMIFS('1-2 人员岗位信息'!N:N,'1-2 人员岗位信息'!$C:$C,"专业外包",'1-2 人员岗位信息'!$B:$B,$D24)</f>
        <v>0</v>
      </c>
      <c r="BC24" s="298"/>
      <c r="BD24" s="175">
        <f t="shared" si="54"/>
        <v>0</v>
      </c>
      <c r="BE24" s="175">
        <f>SUMIFS('1-2 人员岗位信息'!O:O,'1-2 人员岗位信息'!$C:$C,"专业外包",'1-2 人员岗位信息'!$B:$B,$D24)</f>
        <v>0</v>
      </c>
      <c r="BF24" s="298"/>
      <c r="BG24" s="175">
        <f t="shared" si="55"/>
        <v>0</v>
      </c>
      <c r="BH24" s="175">
        <f>SUMIFS('1-2 人员岗位信息'!P:P,'1-2 人员岗位信息'!$C:$C,"专业外包",'1-2 人员岗位信息'!$B:$B,$D24)</f>
        <v>0</v>
      </c>
      <c r="BI24" s="298"/>
      <c r="BJ24" s="175">
        <f t="shared" si="56"/>
        <v>0</v>
      </c>
      <c r="BK24" s="175">
        <f>SUMIFS('1-2 人员岗位信息'!Q:Q,'1-2 人员岗位信息'!$C:$C,"专业外包",'1-2 人员岗位信息'!$B:$B,$D24)</f>
        <v>0</v>
      </c>
      <c r="BL24" s="307"/>
      <c r="BM24" s="311"/>
      <c r="BN24" s="315"/>
    </row>
    <row r="25" s="263" customFormat="1" ht="33.95" customHeight="1" outlineLevel="5" spans="2:66">
      <c r="B25" s="175" t="s">
        <v>799</v>
      </c>
      <c r="C25" s="283" t="s">
        <v>834</v>
      </c>
      <c r="D25" s="263" t="s">
        <v>811</v>
      </c>
      <c r="E25" s="175" t="s">
        <v>812</v>
      </c>
      <c r="F25" s="175"/>
      <c r="G25" s="175" t="s">
        <v>803</v>
      </c>
      <c r="H25" s="175">
        <f t="shared" si="40"/>
        <v>0</v>
      </c>
      <c r="I25" s="175" t="s">
        <v>804</v>
      </c>
      <c r="J25" s="175" t="e">
        <f t="shared" si="41"/>
        <v>#DIV/0!</v>
      </c>
      <c r="K25" s="175" t="s">
        <v>805</v>
      </c>
      <c r="L25" s="175" t="e">
        <f t="shared" si="42"/>
        <v>#DIV/0!</v>
      </c>
      <c r="M25" s="175" t="s">
        <v>806</v>
      </c>
      <c r="N25" s="175">
        <f t="shared" si="43"/>
        <v>0</v>
      </c>
      <c r="O25" s="175"/>
      <c r="P25" s="290"/>
      <c r="Q25" s="290"/>
      <c r="R25" s="290"/>
      <c r="S25" s="290"/>
      <c r="T25" s="290"/>
      <c r="U25" s="290"/>
      <c r="V25" s="290"/>
      <c r="W25" s="290"/>
      <c r="X25" s="290"/>
      <c r="Y25" s="290"/>
      <c r="Z25" s="290"/>
      <c r="AA25" s="290"/>
      <c r="AB25" s="175">
        <f t="shared" si="44"/>
        <v>0</v>
      </c>
      <c r="AC25" s="175">
        <f t="shared" si="45"/>
        <v>0</v>
      </c>
      <c r="AD25" s="175">
        <f>'1-2 人员岗位信息'!F21</f>
        <v>0</v>
      </c>
      <c r="AE25" s="298"/>
      <c r="AF25" s="175">
        <f t="shared" si="46"/>
        <v>0</v>
      </c>
      <c r="AG25" s="175">
        <f>SUMIFS('1-2 人员岗位信息'!G:G,'1-2 人员岗位信息'!$C:$C,"专业外包",'1-2 人员岗位信息'!$B:$B,$D25)</f>
        <v>0</v>
      </c>
      <c r="AH25" s="298"/>
      <c r="AI25" s="175">
        <f t="shared" si="47"/>
        <v>0</v>
      </c>
      <c r="AJ25" s="175">
        <f>SUMIFS('1-2 人员岗位信息'!H:H,'1-2 人员岗位信息'!$C:$C,"专业外包",'1-2 人员岗位信息'!$B:$B,$D25)</f>
        <v>0</v>
      </c>
      <c r="AK25" s="298"/>
      <c r="AL25" s="175">
        <f t="shared" si="48"/>
        <v>0</v>
      </c>
      <c r="AM25" s="175">
        <f>SUMIFS('1-2 人员岗位信息'!I:I,'1-2 人员岗位信息'!$C:$C,"专业外包",'1-2 人员岗位信息'!$B:$B,$D25)</f>
        <v>0</v>
      </c>
      <c r="AN25" s="298"/>
      <c r="AO25" s="175">
        <f t="shared" si="49"/>
        <v>0</v>
      </c>
      <c r="AP25" s="175">
        <f>SUMIFS('1-2 人员岗位信息'!J:J,'1-2 人员岗位信息'!$C:$C,"专业外包",'1-2 人员岗位信息'!$B:$B,$D25)</f>
        <v>0</v>
      </c>
      <c r="AQ25" s="298"/>
      <c r="AR25" s="175">
        <f t="shared" si="50"/>
        <v>0</v>
      </c>
      <c r="AS25" s="175">
        <f>SUMIFS('1-2 人员岗位信息'!K:K,'1-2 人员岗位信息'!$C:$C,"专业外包",'1-2 人员岗位信息'!$B:$B,$D25)</f>
        <v>0</v>
      </c>
      <c r="AT25" s="298"/>
      <c r="AU25" s="175">
        <f t="shared" si="51"/>
        <v>0</v>
      </c>
      <c r="AV25" s="175">
        <f>SUMIFS('1-2 人员岗位信息'!L:L,'1-2 人员岗位信息'!$C:$C,"专业外包",'1-2 人员岗位信息'!$B:$B,$D25)</f>
        <v>0</v>
      </c>
      <c r="AW25" s="298"/>
      <c r="AX25" s="175">
        <f t="shared" si="52"/>
        <v>0</v>
      </c>
      <c r="AY25" s="175">
        <f>SUMIFS('1-2 人员岗位信息'!M:M,'1-2 人员岗位信息'!$C:$C,"专业外包",'1-2 人员岗位信息'!$B:$B,$D25)</f>
        <v>0</v>
      </c>
      <c r="AZ25" s="298"/>
      <c r="BA25" s="175">
        <f t="shared" si="53"/>
        <v>0</v>
      </c>
      <c r="BB25" s="175">
        <f>SUMIFS('1-2 人员岗位信息'!N:N,'1-2 人员岗位信息'!$C:$C,"专业外包",'1-2 人员岗位信息'!$B:$B,$D25)</f>
        <v>0</v>
      </c>
      <c r="BC25" s="298"/>
      <c r="BD25" s="175">
        <f t="shared" si="54"/>
        <v>0</v>
      </c>
      <c r="BE25" s="175">
        <f>SUMIFS('1-2 人员岗位信息'!O:O,'1-2 人员岗位信息'!$C:$C,"专业外包",'1-2 人员岗位信息'!$B:$B,$D25)</f>
        <v>0</v>
      </c>
      <c r="BF25" s="298"/>
      <c r="BG25" s="175">
        <f t="shared" si="55"/>
        <v>0</v>
      </c>
      <c r="BH25" s="175">
        <f>SUMIFS('1-2 人员岗位信息'!P:P,'1-2 人员岗位信息'!$C:$C,"专业外包",'1-2 人员岗位信息'!$B:$B,$D25)</f>
        <v>0</v>
      </c>
      <c r="BI25" s="298"/>
      <c r="BJ25" s="175">
        <f t="shared" si="56"/>
        <v>0</v>
      </c>
      <c r="BK25" s="175">
        <f>SUMIFS('1-2 人员岗位信息'!Q:Q,'1-2 人员岗位信息'!$C:$C,"专业外包",'1-2 人员岗位信息'!$B:$B,$D25)</f>
        <v>0</v>
      </c>
      <c r="BL25" s="307"/>
      <c r="BM25" s="311"/>
      <c r="BN25" s="315"/>
    </row>
    <row r="26" s="263" customFormat="1" ht="33.95" customHeight="1" outlineLevel="5" spans="2:66">
      <c r="B26" s="175" t="s">
        <v>799</v>
      </c>
      <c r="C26" s="283" t="s">
        <v>835</v>
      </c>
      <c r="D26" s="263" t="s">
        <v>814</v>
      </c>
      <c r="E26" s="175" t="s">
        <v>815</v>
      </c>
      <c r="F26" s="175"/>
      <c r="G26" s="175" t="s">
        <v>803</v>
      </c>
      <c r="H26" s="175">
        <f t="shared" si="40"/>
        <v>0</v>
      </c>
      <c r="I26" s="175" t="s">
        <v>804</v>
      </c>
      <c r="J26" s="175" t="e">
        <f t="shared" si="41"/>
        <v>#DIV/0!</v>
      </c>
      <c r="K26" s="175" t="s">
        <v>805</v>
      </c>
      <c r="L26" s="175" t="e">
        <f t="shared" si="42"/>
        <v>#DIV/0!</v>
      </c>
      <c r="M26" s="175" t="s">
        <v>806</v>
      </c>
      <c r="N26" s="175">
        <f t="shared" si="43"/>
        <v>0</v>
      </c>
      <c r="O26" s="175"/>
      <c r="P26" s="290"/>
      <c r="Q26" s="290"/>
      <c r="R26" s="290"/>
      <c r="S26" s="290"/>
      <c r="T26" s="290"/>
      <c r="U26" s="290"/>
      <c r="V26" s="290"/>
      <c r="W26" s="290"/>
      <c r="X26" s="290"/>
      <c r="Y26" s="290"/>
      <c r="Z26" s="290"/>
      <c r="AA26" s="290"/>
      <c r="AB26" s="175">
        <f t="shared" si="44"/>
        <v>0</v>
      </c>
      <c r="AC26" s="175">
        <f t="shared" si="45"/>
        <v>0</v>
      </c>
      <c r="AD26" s="175">
        <f>'1-2 人员岗位信息'!F25</f>
        <v>0</v>
      </c>
      <c r="AE26" s="298"/>
      <c r="AF26" s="175">
        <f t="shared" si="46"/>
        <v>0</v>
      </c>
      <c r="AG26" s="175">
        <f>SUMIFS('1-2 人员岗位信息'!G:G,'1-2 人员岗位信息'!$C:$C,"专业外包",'1-2 人员岗位信息'!$B:$B,$D26)</f>
        <v>0</v>
      </c>
      <c r="AH26" s="298"/>
      <c r="AI26" s="175">
        <f t="shared" si="47"/>
        <v>0</v>
      </c>
      <c r="AJ26" s="175">
        <f>SUMIFS('1-2 人员岗位信息'!H:H,'1-2 人员岗位信息'!$C:$C,"专业外包",'1-2 人员岗位信息'!$B:$B,$D26)</f>
        <v>0</v>
      </c>
      <c r="AK26" s="298"/>
      <c r="AL26" s="175">
        <f t="shared" si="48"/>
        <v>0</v>
      </c>
      <c r="AM26" s="175">
        <f>SUMIFS('1-2 人员岗位信息'!I:I,'1-2 人员岗位信息'!$C:$C,"专业外包",'1-2 人员岗位信息'!$B:$B,$D26)</f>
        <v>0</v>
      </c>
      <c r="AN26" s="298"/>
      <c r="AO26" s="175">
        <f t="shared" si="49"/>
        <v>0</v>
      </c>
      <c r="AP26" s="175">
        <f>SUMIFS('1-2 人员岗位信息'!J:J,'1-2 人员岗位信息'!$C:$C,"专业外包",'1-2 人员岗位信息'!$B:$B,$D26)</f>
        <v>0</v>
      </c>
      <c r="AQ26" s="298"/>
      <c r="AR26" s="175">
        <f t="shared" si="50"/>
        <v>0</v>
      </c>
      <c r="AS26" s="175">
        <f>SUMIFS('1-2 人员岗位信息'!K:K,'1-2 人员岗位信息'!$C:$C,"专业外包",'1-2 人员岗位信息'!$B:$B,$D26)</f>
        <v>0</v>
      </c>
      <c r="AT26" s="298"/>
      <c r="AU26" s="175">
        <f t="shared" si="51"/>
        <v>0</v>
      </c>
      <c r="AV26" s="175">
        <f>SUMIFS('1-2 人员岗位信息'!L:L,'1-2 人员岗位信息'!$C:$C,"专业外包",'1-2 人员岗位信息'!$B:$B,$D26)</f>
        <v>0</v>
      </c>
      <c r="AW26" s="298"/>
      <c r="AX26" s="175">
        <f t="shared" si="52"/>
        <v>0</v>
      </c>
      <c r="AY26" s="175">
        <f>SUMIFS('1-2 人员岗位信息'!M:M,'1-2 人员岗位信息'!$C:$C,"专业外包",'1-2 人员岗位信息'!$B:$B,$D26)</f>
        <v>0</v>
      </c>
      <c r="AZ26" s="298"/>
      <c r="BA26" s="175">
        <f t="shared" si="53"/>
        <v>0</v>
      </c>
      <c r="BB26" s="175">
        <f>SUMIFS('1-2 人员岗位信息'!N:N,'1-2 人员岗位信息'!$C:$C,"专业外包",'1-2 人员岗位信息'!$B:$B,$D26)</f>
        <v>0</v>
      </c>
      <c r="BC26" s="298"/>
      <c r="BD26" s="175">
        <f t="shared" si="54"/>
        <v>0</v>
      </c>
      <c r="BE26" s="175">
        <f>SUMIFS('1-2 人员岗位信息'!O:O,'1-2 人员岗位信息'!$C:$C,"专业外包",'1-2 人员岗位信息'!$B:$B,$D26)</f>
        <v>0</v>
      </c>
      <c r="BF26" s="298"/>
      <c r="BG26" s="175">
        <f t="shared" si="55"/>
        <v>0</v>
      </c>
      <c r="BH26" s="175">
        <f>SUMIFS('1-2 人员岗位信息'!P:P,'1-2 人员岗位信息'!$C:$C,"专业外包",'1-2 人员岗位信息'!$B:$B,$D26)</f>
        <v>0</v>
      </c>
      <c r="BI26" s="298"/>
      <c r="BJ26" s="175">
        <f t="shared" si="56"/>
        <v>0</v>
      </c>
      <c r="BK26" s="175">
        <f>SUMIFS('1-2 人员岗位信息'!Q:Q,'1-2 人员岗位信息'!$C:$C,"专业外包",'1-2 人员岗位信息'!$B:$B,$D26)</f>
        <v>0</v>
      </c>
      <c r="BL26" s="307"/>
      <c r="BM26" s="311"/>
      <c r="BN26" s="315"/>
    </row>
    <row r="27" s="263" customFormat="1" ht="33.95" customHeight="1" outlineLevel="5" spans="2:66">
      <c r="B27" s="175" t="s">
        <v>799</v>
      </c>
      <c r="C27" s="283" t="s">
        <v>836</v>
      </c>
      <c r="D27" s="263" t="s">
        <v>817</v>
      </c>
      <c r="E27" s="175" t="s">
        <v>818</v>
      </c>
      <c r="F27" s="175"/>
      <c r="G27" s="175" t="s">
        <v>803</v>
      </c>
      <c r="H27" s="175">
        <f t="shared" si="40"/>
        <v>0</v>
      </c>
      <c r="I27" s="175" t="s">
        <v>804</v>
      </c>
      <c r="J27" s="175" t="e">
        <f t="shared" si="41"/>
        <v>#DIV/0!</v>
      </c>
      <c r="K27" s="175" t="s">
        <v>805</v>
      </c>
      <c r="L27" s="175" t="e">
        <f t="shared" si="42"/>
        <v>#DIV/0!</v>
      </c>
      <c r="M27" s="175" t="s">
        <v>806</v>
      </c>
      <c r="N27" s="175">
        <f t="shared" si="43"/>
        <v>0</v>
      </c>
      <c r="O27" s="175"/>
      <c r="P27" s="290"/>
      <c r="Q27" s="290"/>
      <c r="R27" s="290"/>
      <c r="S27" s="290"/>
      <c r="T27" s="290"/>
      <c r="U27" s="290"/>
      <c r="V27" s="290"/>
      <c r="W27" s="290"/>
      <c r="X27" s="290"/>
      <c r="Y27" s="290"/>
      <c r="Z27" s="290"/>
      <c r="AA27" s="290"/>
      <c r="AB27" s="175">
        <f t="shared" si="44"/>
        <v>0</v>
      </c>
      <c r="AC27" s="175">
        <f t="shared" si="45"/>
        <v>0</v>
      </c>
      <c r="AD27" s="175">
        <f>'1-2 人员岗位信息'!F29</f>
        <v>0</v>
      </c>
      <c r="AE27" s="298"/>
      <c r="AF27" s="175">
        <f t="shared" si="46"/>
        <v>0</v>
      </c>
      <c r="AG27" s="175">
        <f>SUMIFS('1-2 人员岗位信息'!G:G,'1-2 人员岗位信息'!$C:$C,"专业外包",'1-2 人员岗位信息'!$B:$B,$D27)</f>
        <v>0</v>
      </c>
      <c r="AH27" s="298"/>
      <c r="AI27" s="175">
        <f t="shared" si="47"/>
        <v>0</v>
      </c>
      <c r="AJ27" s="175">
        <f>SUMIFS('1-2 人员岗位信息'!H:H,'1-2 人员岗位信息'!$C:$C,"专业外包",'1-2 人员岗位信息'!$B:$B,$D27)</f>
        <v>0</v>
      </c>
      <c r="AK27" s="298"/>
      <c r="AL27" s="175">
        <f t="shared" si="48"/>
        <v>0</v>
      </c>
      <c r="AM27" s="175">
        <f>SUMIFS('1-2 人员岗位信息'!I:I,'1-2 人员岗位信息'!$C:$C,"专业外包",'1-2 人员岗位信息'!$B:$B,$D27)</f>
        <v>0</v>
      </c>
      <c r="AN27" s="298"/>
      <c r="AO27" s="175">
        <f t="shared" si="49"/>
        <v>0</v>
      </c>
      <c r="AP27" s="175">
        <f>SUMIFS('1-2 人员岗位信息'!J:J,'1-2 人员岗位信息'!$C:$C,"专业外包",'1-2 人员岗位信息'!$B:$B,$D27)</f>
        <v>0</v>
      </c>
      <c r="AQ27" s="298"/>
      <c r="AR27" s="175">
        <f t="shared" si="50"/>
        <v>0</v>
      </c>
      <c r="AS27" s="175">
        <f>SUMIFS('1-2 人员岗位信息'!K:K,'1-2 人员岗位信息'!$C:$C,"专业外包",'1-2 人员岗位信息'!$B:$B,$D27)</f>
        <v>0</v>
      </c>
      <c r="AT27" s="298"/>
      <c r="AU27" s="175">
        <f t="shared" si="51"/>
        <v>0</v>
      </c>
      <c r="AV27" s="175">
        <f>SUMIFS('1-2 人员岗位信息'!L:L,'1-2 人员岗位信息'!$C:$C,"专业外包",'1-2 人员岗位信息'!$B:$B,$D27)</f>
        <v>0</v>
      </c>
      <c r="AW27" s="298"/>
      <c r="AX27" s="175">
        <f t="shared" si="52"/>
        <v>0</v>
      </c>
      <c r="AY27" s="175">
        <f>SUMIFS('1-2 人员岗位信息'!M:M,'1-2 人员岗位信息'!$C:$C,"专业外包",'1-2 人员岗位信息'!$B:$B,$D27)</f>
        <v>0</v>
      </c>
      <c r="AZ27" s="298"/>
      <c r="BA27" s="175">
        <f t="shared" si="53"/>
        <v>0</v>
      </c>
      <c r="BB27" s="175">
        <f>SUMIFS('1-2 人员岗位信息'!N:N,'1-2 人员岗位信息'!$C:$C,"专业外包",'1-2 人员岗位信息'!$B:$B,$D27)</f>
        <v>0</v>
      </c>
      <c r="BC27" s="298"/>
      <c r="BD27" s="175">
        <f t="shared" si="54"/>
        <v>0</v>
      </c>
      <c r="BE27" s="175">
        <f>SUMIFS('1-2 人员岗位信息'!O:O,'1-2 人员岗位信息'!$C:$C,"专业外包",'1-2 人员岗位信息'!$B:$B,$D27)</f>
        <v>0</v>
      </c>
      <c r="BF27" s="298"/>
      <c r="BG27" s="175">
        <f t="shared" si="55"/>
        <v>0</v>
      </c>
      <c r="BH27" s="175">
        <f>SUMIFS('1-2 人员岗位信息'!P:P,'1-2 人员岗位信息'!$C:$C,"专业外包",'1-2 人员岗位信息'!$B:$B,$D27)</f>
        <v>0</v>
      </c>
      <c r="BI27" s="298"/>
      <c r="BJ27" s="175">
        <f t="shared" si="56"/>
        <v>0</v>
      </c>
      <c r="BK27" s="175">
        <f>SUMIFS('1-2 人员岗位信息'!Q:Q,'1-2 人员岗位信息'!$C:$C,"专业外包",'1-2 人员岗位信息'!$B:$B,$D27)</f>
        <v>0</v>
      </c>
      <c r="BL27" s="307"/>
      <c r="BM27" s="311"/>
      <c r="BN27" s="315"/>
    </row>
    <row r="28" s="263" customFormat="1" ht="33.95" customHeight="1" outlineLevel="5" spans="2:66">
      <c r="B28" s="175" t="s">
        <v>799</v>
      </c>
      <c r="C28" s="283" t="s">
        <v>837</v>
      </c>
      <c r="D28" s="263" t="s">
        <v>820</v>
      </c>
      <c r="E28" s="175" t="s">
        <v>821</v>
      </c>
      <c r="F28" s="175"/>
      <c r="G28" s="175" t="s">
        <v>803</v>
      </c>
      <c r="H28" s="175">
        <f t="shared" si="40"/>
        <v>0</v>
      </c>
      <c r="I28" s="175" t="s">
        <v>804</v>
      </c>
      <c r="J28" s="175" t="e">
        <f t="shared" si="41"/>
        <v>#DIV/0!</v>
      </c>
      <c r="K28" s="175" t="s">
        <v>805</v>
      </c>
      <c r="L28" s="175" t="e">
        <f t="shared" si="42"/>
        <v>#DIV/0!</v>
      </c>
      <c r="M28" s="175" t="s">
        <v>806</v>
      </c>
      <c r="N28" s="175">
        <f t="shared" si="43"/>
        <v>0</v>
      </c>
      <c r="O28" s="175"/>
      <c r="P28" s="290"/>
      <c r="Q28" s="290"/>
      <c r="R28" s="290"/>
      <c r="S28" s="290"/>
      <c r="T28" s="290"/>
      <c r="U28" s="290"/>
      <c r="V28" s="290"/>
      <c r="W28" s="290"/>
      <c r="X28" s="290"/>
      <c r="Y28" s="290"/>
      <c r="Z28" s="290"/>
      <c r="AA28" s="290"/>
      <c r="AB28" s="175">
        <f t="shared" si="44"/>
        <v>0</v>
      </c>
      <c r="AC28" s="175">
        <f t="shared" si="45"/>
        <v>0</v>
      </c>
      <c r="AD28" s="175">
        <f>'1-2 人员岗位信息'!F33</f>
        <v>0</v>
      </c>
      <c r="AE28" s="298"/>
      <c r="AF28" s="175">
        <f t="shared" si="46"/>
        <v>0</v>
      </c>
      <c r="AG28" s="175">
        <f>SUMIFS('1-2 人员岗位信息'!G:G,'1-2 人员岗位信息'!$C:$C,"专业外包",'1-2 人员岗位信息'!$B:$B,$D28)</f>
        <v>0</v>
      </c>
      <c r="AH28" s="298"/>
      <c r="AI28" s="175">
        <f t="shared" si="47"/>
        <v>0</v>
      </c>
      <c r="AJ28" s="175">
        <f>SUMIFS('1-2 人员岗位信息'!H:H,'1-2 人员岗位信息'!$C:$C,"专业外包",'1-2 人员岗位信息'!$B:$B,$D28)</f>
        <v>0</v>
      </c>
      <c r="AK28" s="298"/>
      <c r="AL28" s="175">
        <f t="shared" si="48"/>
        <v>0</v>
      </c>
      <c r="AM28" s="175">
        <f>SUMIFS('1-2 人员岗位信息'!I:I,'1-2 人员岗位信息'!$C:$C,"专业外包",'1-2 人员岗位信息'!$B:$B,$D28)</f>
        <v>0</v>
      </c>
      <c r="AN28" s="298"/>
      <c r="AO28" s="175">
        <f t="shared" si="49"/>
        <v>0</v>
      </c>
      <c r="AP28" s="175">
        <f>SUMIFS('1-2 人员岗位信息'!J:J,'1-2 人员岗位信息'!$C:$C,"专业外包",'1-2 人员岗位信息'!$B:$B,$D28)</f>
        <v>0</v>
      </c>
      <c r="AQ28" s="298"/>
      <c r="AR28" s="175">
        <f t="shared" si="50"/>
        <v>0</v>
      </c>
      <c r="AS28" s="175">
        <f>SUMIFS('1-2 人员岗位信息'!K:K,'1-2 人员岗位信息'!$C:$C,"专业外包",'1-2 人员岗位信息'!$B:$B,$D28)</f>
        <v>0</v>
      </c>
      <c r="AT28" s="298"/>
      <c r="AU28" s="175">
        <f t="shared" si="51"/>
        <v>0</v>
      </c>
      <c r="AV28" s="175">
        <f>SUMIFS('1-2 人员岗位信息'!L:L,'1-2 人员岗位信息'!$C:$C,"专业外包",'1-2 人员岗位信息'!$B:$B,$D28)</f>
        <v>0</v>
      </c>
      <c r="AW28" s="298"/>
      <c r="AX28" s="175">
        <f t="shared" si="52"/>
        <v>0</v>
      </c>
      <c r="AY28" s="175">
        <f>SUMIFS('1-2 人员岗位信息'!M:M,'1-2 人员岗位信息'!$C:$C,"专业外包",'1-2 人员岗位信息'!$B:$B,$D28)</f>
        <v>0</v>
      </c>
      <c r="AZ28" s="298"/>
      <c r="BA28" s="175">
        <f t="shared" si="53"/>
        <v>0</v>
      </c>
      <c r="BB28" s="175">
        <f>SUMIFS('1-2 人员岗位信息'!N:N,'1-2 人员岗位信息'!$C:$C,"专业外包",'1-2 人员岗位信息'!$B:$B,$D28)</f>
        <v>0</v>
      </c>
      <c r="BC28" s="298"/>
      <c r="BD28" s="175">
        <f t="shared" si="54"/>
        <v>0</v>
      </c>
      <c r="BE28" s="175">
        <f>SUMIFS('1-2 人员岗位信息'!O:O,'1-2 人员岗位信息'!$C:$C,"专业外包",'1-2 人员岗位信息'!$B:$B,$D28)</f>
        <v>0</v>
      </c>
      <c r="BF28" s="298"/>
      <c r="BG28" s="175">
        <f t="shared" si="55"/>
        <v>0</v>
      </c>
      <c r="BH28" s="175">
        <f>SUMIFS('1-2 人员岗位信息'!P:P,'1-2 人员岗位信息'!$C:$C,"专业外包",'1-2 人员岗位信息'!$B:$B,$D28)</f>
        <v>0</v>
      </c>
      <c r="BI28" s="298"/>
      <c r="BJ28" s="175">
        <f t="shared" si="56"/>
        <v>0</v>
      </c>
      <c r="BK28" s="175">
        <f>SUMIFS('1-2 人员岗位信息'!Q:Q,'1-2 人员岗位信息'!$C:$C,"专业外包",'1-2 人员岗位信息'!$B:$B,$D28)</f>
        <v>0</v>
      </c>
      <c r="BL28" s="307"/>
      <c r="BM28" s="311"/>
      <c r="BN28" s="315"/>
    </row>
    <row r="29" s="47" customFormat="1" ht="33.95" customHeight="1" outlineLevel="3" spans="2:66">
      <c r="B29" s="115" t="s">
        <v>794</v>
      </c>
      <c r="C29" s="116" t="s">
        <v>838</v>
      </c>
      <c r="D29" s="47" t="s">
        <v>839</v>
      </c>
      <c r="E29" s="115"/>
      <c r="F29" s="115"/>
      <c r="G29" s="115"/>
      <c r="H29" s="115">
        <f>H30+H39+H48</f>
        <v>1882068.96</v>
      </c>
      <c r="I29" s="115"/>
      <c r="J29" s="115"/>
      <c r="K29" s="115"/>
      <c r="L29" s="115"/>
      <c r="M29" s="115"/>
      <c r="N29" s="115"/>
      <c r="O29" s="115"/>
      <c r="P29" s="288"/>
      <c r="Q29" s="288"/>
      <c r="R29" s="288"/>
      <c r="S29" s="288"/>
      <c r="T29" s="288"/>
      <c r="U29" s="288"/>
      <c r="V29" s="288"/>
      <c r="W29" s="288"/>
      <c r="X29" s="288"/>
      <c r="Y29" s="288"/>
      <c r="Z29" s="288"/>
      <c r="AA29" s="288"/>
      <c r="AB29" s="115">
        <f t="shared" ref="AB29:AF29" si="57">AB30+AB39+AB48</f>
        <v>1882068.96</v>
      </c>
      <c r="AC29" s="115">
        <f t="shared" si="57"/>
        <v>154796.88</v>
      </c>
      <c r="AD29" s="115"/>
      <c r="AE29" s="115"/>
      <c r="AF29" s="115">
        <f t="shared" si="57"/>
        <v>154796.88</v>
      </c>
      <c r="AG29" s="115"/>
      <c r="AH29" s="115"/>
      <c r="AI29" s="115">
        <f>AI30+AI39+AI48</f>
        <v>154796.88</v>
      </c>
      <c r="AJ29" s="115"/>
      <c r="AK29" s="115"/>
      <c r="AL29" s="115">
        <f>AL30+AL39+AL48</f>
        <v>154796.88</v>
      </c>
      <c r="AM29" s="115"/>
      <c r="AN29" s="115"/>
      <c r="AO29" s="115">
        <f>AO30+AO39+AO48</f>
        <v>154796.88</v>
      </c>
      <c r="AP29" s="115"/>
      <c r="AQ29" s="115"/>
      <c r="AR29" s="115">
        <f>AR30+AR39+AR48</f>
        <v>154796.88</v>
      </c>
      <c r="AS29" s="115"/>
      <c r="AT29" s="115"/>
      <c r="AU29" s="115">
        <f>AU30+AU39+AU48</f>
        <v>154796.88</v>
      </c>
      <c r="AV29" s="115"/>
      <c r="AW29" s="115"/>
      <c r="AX29" s="115">
        <f>AX30+AX39+AX48</f>
        <v>154796.88</v>
      </c>
      <c r="AY29" s="115"/>
      <c r="AZ29" s="115"/>
      <c r="BA29" s="115">
        <f>BA30+BA39+BA48</f>
        <v>154796.88</v>
      </c>
      <c r="BB29" s="115"/>
      <c r="BC29" s="115"/>
      <c r="BD29" s="115">
        <f>BD30+BD39+BD48</f>
        <v>154796.88</v>
      </c>
      <c r="BE29" s="115"/>
      <c r="BF29" s="115"/>
      <c r="BG29" s="115">
        <f>BG30+BG39+BG48</f>
        <v>154796.88</v>
      </c>
      <c r="BH29" s="115"/>
      <c r="BI29" s="115"/>
      <c r="BJ29" s="115">
        <f>BJ30+BJ39+BJ48</f>
        <v>179303.28</v>
      </c>
      <c r="BK29" s="115"/>
      <c r="BL29" s="305"/>
      <c r="BM29" s="311"/>
      <c r="BN29" s="313"/>
    </row>
    <row r="30" s="118" customFormat="1" ht="33.95" customHeight="1" outlineLevel="4" spans="2:66">
      <c r="B30" s="119" t="s">
        <v>794</v>
      </c>
      <c r="C30" s="120" t="s">
        <v>112</v>
      </c>
      <c r="D30" s="118" t="s">
        <v>109</v>
      </c>
      <c r="E30" s="119"/>
      <c r="F30" s="119"/>
      <c r="G30" s="119"/>
      <c r="H30" s="119">
        <f>SUM(H31:H38)</f>
        <v>1882068.96</v>
      </c>
      <c r="I30" s="119"/>
      <c r="J30" s="119"/>
      <c r="K30" s="119"/>
      <c r="L30" s="119"/>
      <c r="M30" s="119"/>
      <c r="N30" s="119"/>
      <c r="O30" s="119"/>
      <c r="P30" s="289"/>
      <c r="Q30" s="289"/>
      <c r="R30" s="289"/>
      <c r="S30" s="289"/>
      <c r="T30" s="289"/>
      <c r="U30" s="289"/>
      <c r="V30" s="289"/>
      <c r="W30" s="289"/>
      <c r="X30" s="289"/>
      <c r="Y30" s="289"/>
      <c r="Z30" s="289"/>
      <c r="AA30" s="289"/>
      <c r="AB30" s="119">
        <f t="shared" ref="AB30:AF30" si="58">SUM(AB31:AB38)</f>
        <v>1882068.96</v>
      </c>
      <c r="AC30" s="119">
        <f t="shared" si="58"/>
        <v>154796.88</v>
      </c>
      <c r="AD30" s="119"/>
      <c r="AE30" s="119"/>
      <c r="AF30" s="119">
        <f t="shared" si="58"/>
        <v>154796.88</v>
      </c>
      <c r="AG30" s="119"/>
      <c r="AH30" s="119"/>
      <c r="AI30" s="119">
        <f>SUM(AI31:AI38)</f>
        <v>154796.88</v>
      </c>
      <c r="AJ30" s="119"/>
      <c r="AK30" s="119"/>
      <c r="AL30" s="119">
        <f>SUM(AL31:AL38)</f>
        <v>154796.88</v>
      </c>
      <c r="AM30" s="119"/>
      <c r="AN30" s="119"/>
      <c r="AO30" s="119">
        <f>SUM(AO31:AO38)</f>
        <v>154796.88</v>
      </c>
      <c r="AP30" s="119"/>
      <c r="AQ30" s="119"/>
      <c r="AR30" s="119">
        <f>SUM(AR31:AR38)</f>
        <v>154796.88</v>
      </c>
      <c r="AS30" s="119"/>
      <c r="AT30" s="119"/>
      <c r="AU30" s="119">
        <f>SUM(AU31:AU38)</f>
        <v>154796.88</v>
      </c>
      <c r="AV30" s="119"/>
      <c r="AW30" s="119"/>
      <c r="AX30" s="119">
        <f>SUM(AX31:AX38)</f>
        <v>154796.88</v>
      </c>
      <c r="AY30" s="119"/>
      <c r="AZ30" s="119"/>
      <c r="BA30" s="119">
        <f>SUM(BA31:BA38)</f>
        <v>154796.88</v>
      </c>
      <c r="BB30" s="119"/>
      <c r="BC30" s="119"/>
      <c r="BD30" s="119">
        <f>SUM(BD31:BD38)</f>
        <v>154796.88</v>
      </c>
      <c r="BE30" s="119"/>
      <c r="BF30" s="119"/>
      <c r="BG30" s="119">
        <f>SUM(BG31:BG38)</f>
        <v>154796.88</v>
      </c>
      <c r="BH30" s="119"/>
      <c r="BI30" s="119"/>
      <c r="BJ30" s="119">
        <f>SUM(BJ31:BJ38)</f>
        <v>179303.28</v>
      </c>
      <c r="BK30" s="119"/>
      <c r="BL30" s="306"/>
      <c r="BM30" s="311"/>
      <c r="BN30" s="314"/>
    </row>
    <row r="31" s="263" customFormat="1" ht="33.95" customHeight="1" outlineLevel="5" spans="2:66">
      <c r="B31" s="175" t="s">
        <v>799</v>
      </c>
      <c r="C31" s="283" t="s">
        <v>840</v>
      </c>
      <c r="D31" s="263" t="s">
        <v>841</v>
      </c>
      <c r="E31" s="175" t="s">
        <v>842</v>
      </c>
      <c r="F31" s="175"/>
      <c r="G31" s="175" t="s">
        <v>803</v>
      </c>
      <c r="H31" s="175">
        <f t="shared" ref="H31:H38" si="59">AB31</f>
        <v>1882068.96</v>
      </c>
      <c r="I31" s="175" t="s">
        <v>804</v>
      </c>
      <c r="J31" s="175">
        <f t="shared" ref="J31:J38" si="60">SUM(AD31,AG31,AJ31,AM31,AP31,AS31,AV31,AY31,BB31,BE31,BH31,BK31)/N31</f>
        <v>24</v>
      </c>
      <c r="K31" s="175" t="s">
        <v>805</v>
      </c>
      <c r="L31" s="175">
        <f t="shared" ref="L31:L38" si="61">H31/N31/J31</f>
        <v>6534.96166666667</v>
      </c>
      <c r="M31" s="175" t="s">
        <v>806</v>
      </c>
      <c r="N31" s="175">
        <f t="shared" ref="N31:N38" si="62">COUNTIF(AD31,"&gt;0")+COUNTIF(AG31,"&gt;0")+COUNTIF(AJ31,"&gt;0")+COUNTIF(AM31,"&gt;0")+COUNTIF(AP31,"&gt;0")+COUNTIF(AS31,"&gt;0")+COUNTIF(AV31,"&gt;0")+COUNTIF(AY31,"&gt;0")+COUNTIF(BB31,"&gt;0")+COUNTIF(BE31,"&gt;0")+COUNTIF(BH31,"&gt;0")+COUNTIF(BK31,"&gt;0")</f>
        <v>12</v>
      </c>
      <c r="O31" s="175"/>
      <c r="P31" s="290"/>
      <c r="Q31" s="290"/>
      <c r="R31" s="290"/>
      <c r="S31" s="290"/>
      <c r="T31" s="290"/>
      <c r="U31" s="290"/>
      <c r="V31" s="290"/>
      <c r="W31" s="290"/>
      <c r="X31" s="290"/>
      <c r="Y31" s="290"/>
      <c r="Z31" s="290"/>
      <c r="AA31" s="290"/>
      <c r="AB31" s="175">
        <f t="shared" ref="AB31:AB38" si="63">SUM(AC31,AF31,AI31,AL31,AO31,AR31,AU31,AX31,BA31,BD31,BG31,BJ31)</f>
        <v>1882068.96</v>
      </c>
      <c r="AC31" s="175">
        <f t="shared" ref="AC31:AC38" si="64">AD31*AE31</f>
        <v>154796.88</v>
      </c>
      <c r="AD31" s="175">
        <f>SUMIFS('1-2 人员岗位信息'!F:F,'1-2 人员岗位信息'!$C:$C,"自有人员",'1-2 人员岗位信息'!$B:$B,$D31)</f>
        <v>24</v>
      </c>
      <c r="AE31" s="298">
        <f>自有人工预算!E28/AD31</f>
        <v>6449.87</v>
      </c>
      <c r="AF31" s="175">
        <f t="shared" ref="AF31:AF38" si="65">AG31*AH31</f>
        <v>154796.88</v>
      </c>
      <c r="AG31" s="175">
        <f>SUMIFS('1-2 人员岗位信息'!G:G,'1-2 人员岗位信息'!$C:$C,"自有人员",'1-2 人员岗位信息'!$B:$B,$D31)</f>
        <v>24</v>
      </c>
      <c r="AH31" s="298">
        <f>自有人工预算!F28/AG31</f>
        <v>6449.87</v>
      </c>
      <c r="AI31" s="175">
        <f t="shared" ref="AI31:AI38" si="66">AJ31*AK31</f>
        <v>154796.88</v>
      </c>
      <c r="AJ31" s="175">
        <f>SUMIFS('1-2 人员岗位信息'!H:H,'1-2 人员岗位信息'!$C:$C,"自有人员",'1-2 人员岗位信息'!$B:$B,$D31)</f>
        <v>24</v>
      </c>
      <c r="AK31" s="298">
        <f>自有人工预算!G28/AJ31</f>
        <v>6449.87</v>
      </c>
      <c r="AL31" s="175">
        <f t="shared" ref="AL31:AL38" si="67">AM31*AN31</f>
        <v>154796.88</v>
      </c>
      <c r="AM31" s="175">
        <f>SUMIFS('1-2 人员岗位信息'!I:I,'1-2 人员岗位信息'!$C:$C,"自有人员",'1-2 人员岗位信息'!$B:$B,$D31)</f>
        <v>24</v>
      </c>
      <c r="AN31" s="298">
        <f>自有人工预算!H28/AM31</f>
        <v>6449.87</v>
      </c>
      <c r="AO31" s="175">
        <f t="shared" ref="AO31:AO38" si="68">AP31*AQ31</f>
        <v>154796.88</v>
      </c>
      <c r="AP31" s="175">
        <f>SUMIFS('1-2 人员岗位信息'!J:J,'1-2 人员岗位信息'!$C:$C,"自有人员",'1-2 人员岗位信息'!$B:$B,$D31)</f>
        <v>24</v>
      </c>
      <c r="AQ31" s="298">
        <f>自有人工预算!I28/AP31</f>
        <v>6449.87</v>
      </c>
      <c r="AR31" s="175">
        <f t="shared" ref="AR31:AR38" si="69">AS31*AT31</f>
        <v>154796.88</v>
      </c>
      <c r="AS31" s="175">
        <f>SUMIFS('1-2 人员岗位信息'!K:K,'1-2 人员岗位信息'!$C:$C,"自有人员",'1-2 人员岗位信息'!$B:$B,$D31)</f>
        <v>24</v>
      </c>
      <c r="AT31" s="298">
        <f>自有人工预算!J28/AS31</f>
        <v>6449.87</v>
      </c>
      <c r="AU31" s="175">
        <f t="shared" ref="AU31:AU38" si="70">AV31*AW31</f>
        <v>154796.88</v>
      </c>
      <c r="AV31" s="175">
        <f>SUMIFS('1-2 人员岗位信息'!L:L,'1-2 人员岗位信息'!$C:$C,"自有人员",'1-2 人员岗位信息'!$B:$B,$D31)</f>
        <v>24</v>
      </c>
      <c r="AW31" s="298">
        <f>自有人工预算!K28/AV31</f>
        <v>6449.87</v>
      </c>
      <c r="AX31" s="175">
        <f t="shared" ref="AX31:AX38" si="71">AY31*AZ31</f>
        <v>154796.88</v>
      </c>
      <c r="AY31" s="175">
        <f>SUMIFS('1-2 人员岗位信息'!M:M,'1-2 人员岗位信息'!$C:$C,"自有人员",'1-2 人员岗位信息'!$B:$B,$D31)</f>
        <v>24</v>
      </c>
      <c r="AZ31" s="298">
        <f>自有人工预算!L28/AY31</f>
        <v>6449.87</v>
      </c>
      <c r="BA31" s="175">
        <f t="shared" ref="BA31:BA38" si="72">BB31*BC31</f>
        <v>154796.88</v>
      </c>
      <c r="BB31" s="175">
        <f>SUMIFS('1-2 人员岗位信息'!N:N,'1-2 人员岗位信息'!$C:$C,"自有人员",'1-2 人员岗位信息'!$B:$B,$D31)</f>
        <v>24</v>
      </c>
      <c r="BC31" s="298">
        <f>自有人工预算!M28/BB31</f>
        <v>6449.87</v>
      </c>
      <c r="BD31" s="175">
        <f t="shared" ref="BD31:BD38" si="73">BE31*BF31</f>
        <v>154796.88</v>
      </c>
      <c r="BE31" s="175">
        <f>SUMIFS('1-2 人员岗位信息'!O:O,'1-2 人员岗位信息'!$C:$C,"自有人员",'1-2 人员岗位信息'!$B:$B,$D31)</f>
        <v>24</v>
      </c>
      <c r="BF31" s="298">
        <f>自有人工预算!N28/BE31</f>
        <v>6449.87</v>
      </c>
      <c r="BG31" s="175">
        <f t="shared" ref="BG31:BG38" si="74">BH31*BI31</f>
        <v>154796.88</v>
      </c>
      <c r="BH31" s="175">
        <f>SUMIFS('1-2 人员岗位信息'!P:P,'1-2 人员岗位信息'!$C:$C,"自有人员",'1-2 人员岗位信息'!$B:$B,$D31)</f>
        <v>24</v>
      </c>
      <c r="BI31" s="298">
        <f>自有人工预算!O28/BH31</f>
        <v>6449.87</v>
      </c>
      <c r="BJ31" s="175">
        <f t="shared" ref="BJ31:BJ38" si="75">BK31*BL31</f>
        <v>179303.28</v>
      </c>
      <c r="BK31" s="175">
        <f>SUMIFS('1-2 人员岗位信息'!Q:Q,'1-2 人员岗位信息'!$C:$C,"自有人员",'1-2 人员岗位信息'!$B:$B,$D31)</f>
        <v>24</v>
      </c>
      <c r="BL31" s="298">
        <f>自有人工预算!P28/BK31</f>
        <v>7470.97</v>
      </c>
      <c r="BM31" s="311"/>
      <c r="BN31" s="315"/>
    </row>
    <row r="32" s="263" customFormat="1" ht="33.95" customHeight="1" outlineLevel="5" spans="2:66">
      <c r="B32" s="175" t="s">
        <v>799</v>
      </c>
      <c r="C32" s="283" t="s">
        <v>843</v>
      </c>
      <c r="D32" s="263" t="s">
        <v>844</v>
      </c>
      <c r="E32" s="175" t="s">
        <v>842</v>
      </c>
      <c r="F32" s="175"/>
      <c r="G32" s="175" t="s">
        <v>803</v>
      </c>
      <c r="H32" s="175">
        <f t="shared" si="59"/>
        <v>0</v>
      </c>
      <c r="I32" s="175" t="s">
        <v>804</v>
      </c>
      <c r="J32" s="175" t="e">
        <f t="shared" si="60"/>
        <v>#DIV/0!</v>
      </c>
      <c r="K32" s="175" t="s">
        <v>805</v>
      </c>
      <c r="L32" s="175" t="e">
        <f t="shared" si="61"/>
        <v>#DIV/0!</v>
      </c>
      <c r="M32" s="175" t="s">
        <v>806</v>
      </c>
      <c r="N32" s="175">
        <f t="shared" si="62"/>
        <v>0</v>
      </c>
      <c r="O32" s="175"/>
      <c r="P32" s="290"/>
      <c r="Q32" s="290"/>
      <c r="R32" s="290"/>
      <c r="S32" s="290"/>
      <c r="T32" s="290"/>
      <c r="U32" s="290"/>
      <c r="V32" s="290"/>
      <c r="W32" s="290"/>
      <c r="X32" s="290"/>
      <c r="Y32" s="290"/>
      <c r="Z32" s="290"/>
      <c r="AA32" s="290"/>
      <c r="AB32" s="175">
        <f t="shared" si="63"/>
        <v>0</v>
      </c>
      <c r="AC32" s="175">
        <f t="shared" si="64"/>
        <v>0</v>
      </c>
      <c r="AD32" s="175">
        <f>SUMIFS('1-2 人员岗位信息'!F:F,'1-2 人员岗位信息'!$C:$C,"自有人员",'1-2 人员岗位信息'!$B:$B,$D32)</f>
        <v>0</v>
      </c>
      <c r="AE32" s="298"/>
      <c r="AF32" s="175">
        <f t="shared" si="65"/>
        <v>0</v>
      </c>
      <c r="AG32" s="175">
        <f>SUMIFS('1-2 人员岗位信息'!G:G,'1-2 人员岗位信息'!$C:$C,"自有人员",'1-2 人员岗位信息'!$B:$B,$D32)</f>
        <v>0</v>
      </c>
      <c r="AH32" s="298"/>
      <c r="AI32" s="175">
        <f t="shared" si="66"/>
        <v>0</v>
      </c>
      <c r="AJ32" s="175">
        <f>SUMIFS('1-2 人员岗位信息'!H:H,'1-2 人员岗位信息'!$C:$C,"自有人员",'1-2 人员岗位信息'!$B:$B,$D32)</f>
        <v>0</v>
      </c>
      <c r="AK32" s="298"/>
      <c r="AL32" s="175">
        <f t="shared" si="67"/>
        <v>0</v>
      </c>
      <c r="AM32" s="175">
        <f>SUMIFS('1-2 人员岗位信息'!I:I,'1-2 人员岗位信息'!$C:$C,"自有人员",'1-2 人员岗位信息'!$B:$B,$D32)</f>
        <v>0</v>
      </c>
      <c r="AN32" s="298"/>
      <c r="AO32" s="175">
        <f t="shared" si="68"/>
        <v>0</v>
      </c>
      <c r="AP32" s="175">
        <f>SUMIFS('1-2 人员岗位信息'!J:J,'1-2 人员岗位信息'!$C:$C,"自有人员",'1-2 人员岗位信息'!$B:$B,$D32)</f>
        <v>0</v>
      </c>
      <c r="AQ32" s="298"/>
      <c r="AR32" s="175">
        <f t="shared" si="69"/>
        <v>0</v>
      </c>
      <c r="AS32" s="175">
        <f>SUMIFS('1-2 人员岗位信息'!K:K,'1-2 人员岗位信息'!$C:$C,"自有人员",'1-2 人员岗位信息'!$B:$B,$D32)</f>
        <v>0</v>
      </c>
      <c r="AT32" s="298"/>
      <c r="AU32" s="175">
        <f t="shared" si="70"/>
        <v>0</v>
      </c>
      <c r="AV32" s="175">
        <f>SUMIFS('1-2 人员岗位信息'!L:L,'1-2 人员岗位信息'!$C:$C,"自有人员",'1-2 人员岗位信息'!$B:$B,$D32)</f>
        <v>0</v>
      </c>
      <c r="AW32" s="298"/>
      <c r="AX32" s="175">
        <f t="shared" si="71"/>
        <v>0</v>
      </c>
      <c r="AY32" s="175">
        <f>SUMIFS('1-2 人员岗位信息'!M:M,'1-2 人员岗位信息'!$C:$C,"自有人员",'1-2 人员岗位信息'!$B:$B,$D32)</f>
        <v>0</v>
      </c>
      <c r="AZ32" s="298"/>
      <c r="BA32" s="175">
        <f t="shared" si="72"/>
        <v>0</v>
      </c>
      <c r="BB32" s="175">
        <f>SUMIFS('1-2 人员岗位信息'!N:N,'1-2 人员岗位信息'!$C:$C,"自有人员",'1-2 人员岗位信息'!$B:$B,$D32)</f>
        <v>0</v>
      </c>
      <c r="BC32" s="298"/>
      <c r="BD32" s="175">
        <f t="shared" si="73"/>
        <v>0</v>
      </c>
      <c r="BE32" s="175">
        <f>SUMIFS('1-2 人员岗位信息'!O:O,'1-2 人员岗位信息'!$C:$C,"自有人员",'1-2 人员岗位信息'!$B:$B,$D32)</f>
        <v>0</v>
      </c>
      <c r="BF32" s="298"/>
      <c r="BG32" s="175">
        <f t="shared" si="74"/>
        <v>0</v>
      </c>
      <c r="BH32" s="175">
        <f>SUMIFS('1-2 人员岗位信息'!P:P,'1-2 人员岗位信息'!$C:$C,"自有人员",'1-2 人员岗位信息'!$B:$B,$D32)</f>
        <v>0</v>
      </c>
      <c r="BI32" s="298"/>
      <c r="BJ32" s="175">
        <f t="shared" si="75"/>
        <v>0</v>
      </c>
      <c r="BK32" s="175">
        <f>SUMIFS('1-2 人员岗位信息'!Q:Q,'1-2 人员岗位信息'!$C:$C,"自有人员",'1-2 人员岗位信息'!$B:$B,$D32)</f>
        <v>0</v>
      </c>
      <c r="BL32" s="307"/>
      <c r="BM32" s="311"/>
      <c r="BN32" s="315"/>
    </row>
    <row r="33" s="263" customFormat="1" ht="33.95" customHeight="1" outlineLevel="5" spans="2:66">
      <c r="B33" s="175" t="s">
        <v>799</v>
      </c>
      <c r="C33" s="283" t="s">
        <v>845</v>
      </c>
      <c r="D33" s="263" t="s">
        <v>846</v>
      </c>
      <c r="E33" s="175" t="s">
        <v>847</v>
      </c>
      <c r="F33" s="175"/>
      <c r="G33" s="175" t="s">
        <v>803</v>
      </c>
      <c r="H33" s="175">
        <f t="shared" si="59"/>
        <v>0</v>
      </c>
      <c r="I33" s="175" t="s">
        <v>804</v>
      </c>
      <c r="J33" s="175" t="e">
        <f t="shared" si="60"/>
        <v>#DIV/0!</v>
      </c>
      <c r="K33" s="175" t="s">
        <v>805</v>
      </c>
      <c r="L33" s="175" t="e">
        <f t="shared" si="61"/>
        <v>#DIV/0!</v>
      </c>
      <c r="M33" s="175" t="s">
        <v>806</v>
      </c>
      <c r="N33" s="175">
        <f t="shared" si="62"/>
        <v>0</v>
      </c>
      <c r="O33" s="175"/>
      <c r="P33" s="290"/>
      <c r="Q33" s="290"/>
      <c r="R33" s="290"/>
      <c r="S33" s="290"/>
      <c r="T33" s="290"/>
      <c r="U33" s="290"/>
      <c r="V33" s="290"/>
      <c r="W33" s="290"/>
      <c r="X33" s="290"/>
      <c r="Y33" s="290"/>
      <c r="Z33" s="290"/>
      <c r="AA33" s="290"/>
      <c r="AB33" s="175">
        <f t="shared" si="63"/>
        <v>0</v>
      </c>
      <c r="AC33" s="175">
        <f t="shared" si="64"/>
        <v>0</v>
      </c>
      <c r="AD33" s="175">
        <f>SUMIFS('1-2 人员岗位信息'!F:F,'1-2 人员岗位信息'!$C:$C,"自有人员",'1-2 人员岗位信息'!$B:$B,$D33)</f>
        <v>0</v>
      </c>
      <c r="AE33" s="298"/>
      <c r="AF33" s="175">
        <f t="shared" si="65"/>
        <v>0</v>
      </c>
      <c r="AG33" s="175">
        <f>SUMIFS('1-2 人员岗位信息'!G:G,'1-2 人员岗位信息'!$C:$C,"自有人员",'1-2 人员岗位信息'!$B:$B,$D33)</f>
        <v>0</v>
      </c>
      <c r="AH33" s="298"/>
      <c r="AI33" s="175">
        <f t="shared" si="66"/>
        <v>0</v>
      </c>
      <c r="AJ33" s="175">
        <f>SUMIFS('1-2 人员岗位信息'!H:H,'1-2 人员岗位信息'!$C:$C,"自有人员",'1-2 人员岗位信息'!$B:$B,$D33)</f>
        <v>0</v>
      </c>
      <c r="AK33" s="298"/>
      <c r="AL33" s="175">
        <f t="shared" si="67"/>
        <v>0</v>
      </c>
      <c r="AM33" s="175">
        <f>SUMIFS('1-2 人员岗位信息'!I:I,'1-2 人员岗位信息'!$C:$C,"自有人员",'1-2 人员岗位信息'!$B:$B,$D33)</f>
        <v>0</v>
      </c>
      <c r="AN33" s="298"/>
      <c r="AO33" s="175">
        <f t="shared" si="68"/>
        <v>0</v>
      </c>
      <c r="AP33" s="175">
        <f>SUMIFS('1-2 人员岗位信息'!J:J,'1-2 人员岗位信息'!$C:$C,"自有人员",'1-2 人员岗位信息'!$B:$B,$D33)</f>
        <v>0</v>
      </c>
      <c r="AQ33" s="298"/>
      <c r="AR33" s="175">
        <f t="shared" si="69"/>
        <v>0</v>
      </c>
      <c r="AS33" s="175">
        <f>SUMIFS('1-2 人员岗位信息'!K:K,'1-2 人员岗位信息'!$C:$C,"自有人员",'1-2 人员岗位信息'!$B:$B,$D33)</f>
        <v>0</v>
      </c>
      <c r="AT33" s="298"/>
      <c r="AU33" s="175">
        <f t="shared" si="70"/>
        <v>0</v>
      </c>
      <c r="AV33" s="175">
        <f>SUMIFS('1-2 人员岗位信息'!L:L,'1-2 人员岗位信息'!$C:$C,"自有人员",'1-2 人员岗位信息'!$B:$B,$D33)</f>
        <v>0</v>
      </c>
      <c r="AW33" s="298"/>
      <c r="AX33" s="175">
        <f t="shared" si="71"/>
        <v>0</v>
      </c>
      <c r="AY33" s="175">
        <f>SUMIFS('1-2 人员岗位信息'!M:M,'1-2 人员岗位信息'!$C:$C,"自有人员",'1-2 人员岗位信息'!$B:$B,$D33)</f>
        <v>0</v>
      </c>
      <c r="AZ33" s="298"/>
      <c r="BA33" s="175">
        <f t="shared" si="72"/>
        <v>0</v>
      </c>
      <c r="BB33" s="175">
        <f>SUMIFS('1-2 人员岗位信息'!N:N,'1-2 人员岗位信息'!$C:$C,"自有人员",'1-2 人员岗位信息'!$B:$B,$D33)</f>
        <v>0</v>
      </c>
      <c r="BC33" s="298"/>
      <c r="BD33" s="175">
        <f t="shared" si="73"/>
        <v>0</v>
      </c>
      <c r="BE33" s="175">
        <f>SUMIFS('1-2 人员岗位信息'!O:O,'1-2 人员岗位信息'!$C:$C,"自有人员",'1-2 人员岗位信息'!$B:$B,$D33)</f>
        <v>0</v>
      </c>
      <c r="BF33" s="298"/>
      <c r="BG33" s="175">
        <f t="shared" si="74"/>
        <v>0</v>
      </c>
      <c r="BH33" s="175">
        <f>SUMIFS('1-2 人员岗位信息'!P:P,'1-2 人员岗位信息'!$C:$C,"自有人员",'1-2 人员岗位信息'!$B:$B,$D33)</f>
        <v>0</v>
      </c>
      <c r="BI33" s="298"/>
      <c r="BJ33" s="175">
        <f t="shared" si="75"/>
        <v>0</v>
      </c>
      <c r="BK33" s="175">
        <f>SUMIFS('1-2 人员岗位信息'!Q:Q,'1-2 人员岗位信息'!$C:$C,"自有人员",'1-2 人员岗位信息'!$B:$B,$D33)</f>
        <v>0</v>
      </c>
      <c r="BL33" s="307"/>
      <c r="BM33" s="311"/>
      <c r="BN33" s="315"/>
    </row>
    <row r="34" s="263" customFormat="1" ht="33.95" customHeight="1" outlineLevel="5" spans="2:66">
      <c r="B34" s="175" t="s">
        <v>799</v>
      </c>
      <c r="C34" s="283" t="s">
        <v>848</v>
      </c>
      <c r="D34" s="263" t="s">
        <v>849</v>
      </c>
      <c r="E34" s="175" t="s">
        <v>850</v>
      </c>
      <c r="F34" s="175"/>
      <c r="G34" s="175" t="s">
        <v>803</v>
      </c>
      <c r="H34" s="175">
        <f t="shared" si="59"/>
        <v>0</v>
      </c>
      <c r="I34" s="175" t="s">
        <v>804</v>
      </c>
      <c r="J34" s="175" t="e">
        <f t="shared" si="60"/>
        <v>#DIV/0!</v>
      </c>
      <c r="K34" s="175" t="s">
        <v>805</v>
      </c>
      <c r="L34" s="175" t="e">
        <f t="shared" si="61"/>
        <v>#DIV/0!</v>
      </c>
      <c r="M34" s="175" t="s">
        <v>806</v>
      </c>
      <c r="N34" s="175">
        <f t="shared" si="62"/>
        <v>0</v>
      </c>
      <c r="O34" s="175"/>
      <c r="P34" s="290"/>
      <c r="Q34" s="290"/>
      <c r="R34" s="290"/>
      <c r="S34" s="290"/>
      <c r="T34" s="290"/>
      <c r="U34" s="290"/>
      <c r="V34" s="290"/>
      <c r="W34" s="290"/>
      <c r="X34" s="290"/>
      <c r="Y34" s="290"/>
      <c r="Z34" s="290"/>
      <c r="AA34" s="290"/>
      <c r="AB34" s="175">
        <f t="shared" si="63"/>
        <v>0</v>
      </c>
      <c r="AC34" s="175">
        <f t="shared" si="64"/>
        <v>0</v>
      </c>
      <c r="AD34" s="175">
        <f>SUMIFS('1-2 人员岗位信息'!F:F,'1-2 人员岗位信息'!$C:$C,"自有人员",'1-2 人员岗位信息'!$B:$B,$D34)</f>
        <v>0</v>
      </c>
      <c r="AE34" s="298"/>
      <c r="AF34" s="175">
        <f t="shared" si="65"/>
        <v>0</v>
      </c>
      <c r="AG34" s="175">
        <f>SUMIFS('1-2 人员岗位信息'!G:G,'1-2 人员岗位信息'!$C:$C,"自有人员",'1-2 人员岗位信息'!$B:$B,$D34)</f>
        <v>0</v>
      </c>
      <c r="AH34" s="298"/>
      <c r="AI34" s="175">
        <f t="shared" si="66"/>
        <v>0</v>
      </c>
      <c r="AJ34" s="175">
        <f>SUMIFS('1-2 人员岗位信息'!H:H,'1-2 人员岗位信息'!$C:$C,"自有人员",'1-2 人员岗位信息'!$B:$B,$D34)</f>
        <v>0</v>
      </c>
      <c r="AK34" s="298"/>
      <c r="AL34" s="175">
        <f t="shared" si="67"/>
        <v>0</v>
      </c>
      <c r="AM34" s="175">
        <f>SUMIFS('1-2 人员岗位信息'!I:I,'1-2 人员岗位信息'!$C:$C,"自有人员",'1-2 人员岗位信息'!$B:$B,$D34)</f>
        <v>0</v>
      </c>
      <c r="AN34" s="298"/>
      <c r="AO34" s="175">
        <f t="shared" si="68"/>
        <v>0</v>
      </c>
      <c r="AP34" s="175">
        <f>SUMIFS('1-2 人员岗位信息'!J:J,'1-2 人员岗位信息'!$C:$C,"自有人员",'1-2 人员岗位信息'!$B:$B,$D34)</f>
        <v>0</v>
      </c>
      <c r="AQ34" s="298"/>
      <c r="AR34" s="175">
        <f t="shared" si="69"/>
        <v>0</v>
      </c>
      <c r="AS34" s="175">
        <f>SUMIFS('1-2 人员岗位信息'!K:K,'1-2 人员岗位信息'!$C:$C,"自有人员",'1-2 人员岗位信息'!$B:$B,$D34)</f>
        <v>0</v>
      </c>
      <c r="AT34" s="298"/>
      <c r="AU34" s="175">
        <f t="shared" si="70"/>
        <v>0</v>
      </c>
      <c r="AV34" s="175">
        <f>SUMIFS('1-2 人员岗位信息'!L:L,'1-2 人员岗位信息'!$C:$C,"自有人员",'1-2 人员岗位信息'!$B:$B,$D34)</f>
        <v>0</v>
      </c>
      <c r="AW34" s="298"/>
      <c r="AX34" s="175">
        <f t="shared" si="71"/>
        <v>0</v>
      </c>
      <c r="AY34" s="175">
        <f>SUMIFS('1-2 人员岗位信息'!M:M,'1-2 人员岗位信息'!$C:$C,"自有人员",'1-2 人员岗位信息'!$B:$B,$D34)</f>
        <v>0</v>
      </c>
      <c r="AZ34" s="298"/>
      <c r="BA34" s="175">
        <f t="shared" si="72"/>
        <v>0</v>
      </c>
      <c r="BB34" s="175">
        <f>SUMIFS('1-2 人员岗位信息'!N:N,'1-2 人员岗位信息'!$C:$C,"自有人员",'1-2 人员岗位信息'!$B:$B,$D34)</f>
        <v>0</v>
      </c>
      <c r="BC34" s="298"/>
      <c r="BD34" s="175">
        <f t="shared" si="73"/>
        <v>0</v>
      </c>
      <c r="BE34" s="175">
        <f>SUMIFS('1-2 人员岗位信息'!O:O,'1-2 人员岗位信息'!$C:$C,"自有人员",'1-2 人员岗位信息'!$B:$B,$D34)</f>
        <v>0</v>
      </c>
      <c r="BF34" s="298"/>
      <c r="BG34" s="175">
        <f t="shared" si="74"/>
        <v>0</v>
      </c>
      <c r="BH34" s="175">
        <f>SUMIFS('1-2 人员岗位信息'!P:P,'1-2 人员岗位信息'!$C:$C,"自有人员",'1-2 人员岗位信息'!$B:$B,$D34)</f>
        <v>0</v>
      </c>
      <c r="BI34" s="298"/>
      <c r="BJ34" s="175">
        <f t="shared" si="75"/>
        <v>0</v>
      </c>
      <c r="BK34" s="175">
        <f>SUMIFS('1-2 人员岗位信息'!Q:Q,'1-2 人员岗位信息'!$C:$C,"自有人员",'1-2 人员岗位信息'!$B:$B,$D34)</f>
        <v>0</v>
      </c>
      <c r="BL34" s="307"/>
      <c r="BM34" s="311"/>
      <c r="BN34" s="315"/>
    </row>
    <row r="35" s="263" customFormat="1" ht="33.95" customHeight="1" outlineLevel="5" spans="2:66">
      <c r="B35" s="175" t="s">
        <v>799</v>
      </c>
      <c r="C35" s="283" t="s">
        <v>851</v>
      </c>
      <c r="D35" s="263" t="s">
        <v>852</v>
      </c>
      <c r="E35" s="175" t="s">
        <v>853</v>
      </c>
      <c r="F35" s="175"/>
      <c r="G35" s="175" t="s">
        <v>803</v>
      </c>
      <c r="H35" s="175">
        <f t="shared" si="59"/>
        <v>0</v>
      </c>
      <c r="I35" s="175" t="s">
        <v>804</v>
      </c>
      <c r="J35" s="175" t="e">
        <f t="shared" si="60"/>
        <v>#DIV/0!</v>
      </c>
      <c r="K35" s="175" t="s">
        <v>805</v>
      </c>
      <c r="L35" s="175" t="e">
        <f t="shared" si="61"/>
        <v>#DIV/0!</v>
      </c>
      <c r="M35" s="175" t="s">
        <v>806</v>
      </c>
      <c r="N35" s="175">
        <f t="shared" si="62"/>
        <v>0</v>
      </c>
      <c r="O35" s="175"/>
      <c r="P35" s="290"/>
      <c r="Q35" s="290"/>
      <c r="R35" s="290"/>
      <c r="S35" s="290"/>
      <c r="T35" s="290"/>
      <c r="U35" s="290"/>
      <c r="V35" s="290"/>
      <c r="W35" s="290"/>
      <c r="X35" s="290"/>
      <c r="Y35" s="290"/>
      <c r="Z35" s="290"/>
      <c r="AA35" s="290"/>
      <c r="AB35" s="175">
        <f t="shared" si="63"/>
        <v>0</v>
      </c>
      <c r="AC35" s="175">
        <f t="shared" si="64"/>
        <v>0</v>
      </c>
      <c r="AD35" s="175">
        <f>SUMIFS('1-2 人员岗位信息'!F:F,'1-2 人员岗位信息'!$C:$C,"自有人员",'1-2 人员岗位信息'!$B:$B,$D35)</f>
        <v>0</v>
      </c>
      <c r="AE35" s="298"/>
      <c r="AF35" s="175">
        <f t="shared" si="65"/>
        <v>0</v>
      </c>
      <c r="AG35" s="175">
        <f>SUMIFS('1-2 人员岗位信息'!G:G,'1-2 人员岗位信息'!$C:$C,"自有人员",'1-2 人员岗位信息'!$B:$B,$D35)</f>
        <v>0</v>
      </c>
      <c r="AH35" s="298"/>
      <c r="AI35" s="175">
        <f t="shared" si="66"/>
        <v>0</v>
      </c>
      <c r="AJ35" s="175">
        <f>SUMIFS('1-2 人员岗位信息'!H:H,'1-2 人员岗位信息'!$C:$C,"自有人员",'1-2 人员岗位信息'!$B:$B,$D35)</f>
        <v>0</v>
      </c>
      <c r="AK35" s="298"/>
      <c r="AL35" s="175">
        <f t="shared" si="67"/>
        <v>0</v>
      </c>
      <c r="AM35" s="175">
        <f>SUMIFS('1-2 人员岗位信息'!I:I,'1-2 人员岗位信息'!$C:$C,"自有人员",'1-2 人员岗位信息'!$B:$B,$D35)</f>
        <v>0</v>
      </c>
      <c r="AN35" s="298"/>
      <c r="AO35" s="175">
        <f t="shared" si="68"/>
        <v>0</v>
      </c>
      <c r="AP35" s="175">
        <f>SUMIFS('1-2 人员岗位信息'!J:J,'1-2 人员岗位信息'!$C:$C,"自有人员",'1-2 人员岗位信息'!$B:$B,$D35)</f>
        <v>0</v>
      </c>
      <c r="AQ35" s="298"/>
      <c r="AR35" s="175">
        <f t="shared" si="69"/>
        <v>0</v>
      </c>
      <c r="AS35" s="175">
        <f>SUMIFS('1-2 人员岗位信息'!K:K,'1-2 人员岗位信息'!$C:$C,"自有人员",'1-2 人员岗位信息'!$B:$B,$D35)</f>
        <v>0</v>
      </c>
      <c r="AT35" s="298"/>
      <c r="AU35" s="175">
        <f t="shared" si="70"/>
        <v>0</v>
      </c>
      <c r="AV35" s="175">
        <f>SUMIFS('1-2 人员岗位信息'!L:L,'1-2 人员岗位信息'!$C:$C,"自有人员",'1-2 人员岗位信息'!$B:$B,$D35)</f>
        <v>0</v>
      </c>
      <c r="AW35" s="298"/>
      <c r="AX35" s="175">
        <f t="shared" si="71"/>
        <v>0</v>
      </c>
      <c r="AY35" s="175">
        <f>SUMIFS('1-2 人员岗位信息'!M:M,'1-2 人员岗位信息'!$C:$C,"自有人员",'1-2 人员岗位信息'!$B:$B,$D35)</f>
        <v>0</v>
      </c>
      <c r="AZ35" s="298"/>
      <c r="BA35" s="175">
        <f t="shared" si="72"/>
        <v>0</v>
      </c>
      <c r="BB35" s="175">
        <f>SUMIFS('1-2 人员岗位信息'!N:N,'1-2 人员岗位信息'!$C:$C,"自有人员",'1-2 人员岗位信息'!$B:$B,$D35)</f>
        <v>0</v>
      </c>
      <c r="BC35" s="298"/>
      <c r="BD35" s="175">
        <f t="shared" si="73"/>
        <v>0</v>
      </c>
      <c r="BE35" s="175">
        <f>SUMIFS('1-2 人员岗位信息'!O:O,'1-2 人员岗位信息'!$C:$C,"自有人员",'1-2 人员岗位信息'!$B:$B,$D35)</f>
        <v>0</v>
      </c>
      <c r="BF35" s="298"/>
      <c r="BG35" s="175">
        <f t="shared" si="74"/>
        <v>0</v>
      </c>
      <c r="BH35" s="175">
        <f>SUMIFS('1-2 人员岗位信息'!P:P,'1-2 人员岗位信息'!$C:$C,"自有人员",'1-2 人员岗位信息'!$B:$B,$D35)</f>
        <v>0</v>
      </c>
      <c r="BI35" s="298"/>
      <c r="BJ35" s="175">
        <f t="shared" si="75"/>
        <v>0</v>
      </c>
      <c r="BK35" s="175">
        <f>SUMIFS('1-2 人员岗位信息'!Q:Q,'1-2 人员岗位信息'!$C:$C,"自有人员",'1-2 人员岗位信息'!$B:$B,$D35)</f>
        <v>0</v>
      </c>
      <c r="BL35" s="307"/>
      <c r="BM35" s="311"/>
      <c r="BN35" s="315"/>
    </row>
    <row r="36" s="263" customFormat="1" ht="33.95" customHeight="1" outlineLevel="5" spans="2:66">
      <c r="B36" s="175" t="s">
        <v>799</v>
      </c>
      <c r="C36" s="283" t="s">
        <v>854</v>
      </c>
      <c r="D36" s="263" t="s">
        <v>855</v>
      </c>
      <c r="E36" s="175" t="s">
        <v>856</v>
      </c>
      <c r="F36" s="175"/>
      <c r="G36" s="175" t="s">
        <v>803</v>
      </c>
      <c r="H36" s="175">
        <f t="shared" si="59"/>
        <v>0</v>
      </c>
      <c r="I36" s="175" t="s">
        <v>804</v>
      </c>
      <c r="J36" s="175" t="e">
        <f t="shared" si="60"/>
        <v>#DIV/0!</v>
      </c>
      <c r="K36" s="175" t="s">
        <v>805</v>
      </c>
      <c r="L36" s="175" t="e">
        <f t="shared" si="61"/>
        <v>#DIV/0!</v>
      </c>
      <c r="M36" s="175" t="s">
        <v>806</v>
      </c>
      <c r="N36" s="175">
        <f t="shared" si="62"/>
        <v>0</v>
      </c>
      <c r="O36" s="175"/>
      <c r="P36" s="290"/>
      <c r="Q36" s="290"/>
      <c r="R36" s="290"/>
      <c r="S36" s="290"/>
      <c r="T36" s="290"/>
      <c r="U36" s="290"/>
      <c r="V36" s="290"/>
      <c r="W36" s="290"/>
      <c r="X36" s="290"/>
      <c r="Y36" s="290"/>
      <c r="Z36" s="290"/>
      <c r="AA36" s="290"/>
      <c r="AB36" s="175">
        <f t="shared" si="63"/>
        <v>0</v>
      </c>
      <c r="AC36" s="175">
        <f t="shared" si="64"/>
        <v>0</v>
      </c>
      <c r="AD36" s="175">
        <f>SUMIFS('1-2 人员岗位信息'!F:F,'1-2 人员岗位信息'!$C:$C,"自有人员",'1-2 人员岗位信息'!$B:$B,$D36)</f>
        <v>0</v>
      </c>
      <c r="AE36" s="298"/>
      <c r="AF36" s="175">
        <f t="shared" si="65"/>
        <v>0</v>
      </c>
      <c r="AG36" s="175">
        <f>SUMIFS('1-2 人员岗位信息'!G:G,'1-2 人员岗位信息'!$C:$C,"自有人员",'1-2 人员岗位信息'!$B:$B,$D36)</f>
        <v>0</v>
      </c>
      <c r="AH36" s="298"/>
      <c r="AI36" s="175">
        <f t="shared" si="66"/>
        <v>0</v>
      </c>
      <c r="AJ36" s="175">
        <f>SUMIFS('1-2 人员岗位信息'!H:H,'1-2 人员岗位信息'!$C:$C,"自有人员",'1-2 人员岗位信息'!$B:$B,$D36)</f>
        <v>0</v>
      </c>
      <c r="AK36" s="298"/>
      <c r="AL36" s="175">
        <f t="shared" si="67"/>
        <v>0</v>
      </c>
      <c r="AM36" s="175">
        <f>SUMIFS('1-2 人员岗位信息'!I:I,'1-2 人员岗位信息'!$C:$C,"自有人员",'1-2 人员岗位信息'!$B:$B,$D36)</f>
        <v>0</v>
      </c>
      <c r="AN36" s="298"/>
      <c r="AO36" s="175">
        <f t="shared" si="68"/>
        <v>0</v>
      </c>
      <c r="AP36" s="175">
        <f>SUMIFS('1-2 人员岗位信息'!J:J,'1-2 人员岗位信息'!$C:$C,"自有人员",'1-2 人员岗位信息'!$B:$B,$D36)</f>
        <v>0</v>
      </c>
      <c r="AQ36" s="298"/>
      <c r="AR36" s="175">
        <f t="shared" si="69"/>
        <v>0</v>
      </c>
      <c r="AS36" s="175">
        <f>SUMIFS('1-2 人员岗位信息'!K:K,'1-2 人员岗位信息'!$C:$C,"自有人员",'1-2 人员岗位信息'!$B:$B,$D36)</f>
        <v>0</v>
      </c>
      <c r="AT36" s="298"/>
      <c r="AU36" s="175">
        <f t="shared" si="70"/>
        <v>0</v>
      </c>
      <c r="AV36" s="175">
        <f>SUMIFS('1-2 人员岗位信息'!L:L,'1-2 人员岗位信息'!$C:$C,"自有人员",'1-2 人员岗位信息'!$B:$B,$D36)</f>
        <v>0</v>
      </c>
      <c r="AW36" s="298"/>
      <c r="AX36" s="175">
        <f t="shared" si="71"/>
        <v>0</v>
      </c>
      <c r="AY36" s="175">
        <f>SUMIFS('1-2 人员岗位信息'!M:M,'1-2 人员岗位信息'!$C:$C,"自有人员",'1-2 人员岗位信息'!$B:$B,$D36)</f>
        <v>0</v>
      </c>
      <c r="AZ36" s="298"/>
      <c r="BA36" s="175">
        <f t="shared" si="72"/>
        <v>0</v>
      </c>
      <c r="BB36" s="175">
        <f>SUMIFS('1-2 人员岗位信息'!N:N,'1-2 人员岗位信息'!$C:$C,"自有人员",'1-2 人员岗位信息'!$B:$B,$D36)</f>
        <v>0</v>
      </c>
      <c r="BC36" s="298"/>
      <c r="BD36" s="175">
        <f t="shared" si="73"/>
        <v>0</v>
      </c>
      <c r="BE36" s="175">
        <f>SUMIFS('1-2 人员岗位信息'!O:O,'1-2 人员岗位信息'!$C:$C,"自有人员",'1-2 人员岗位信息'!$B:$B,$D36)</f>
        <v>0</v>
      </c>
      <c r="BF36" s="298"/>
      <c r="BG36" s="175">
        <f t="shared" si="74"/>
        <v>0</v>
      </c>
      <c r="BH36" s="175">
        <f>SUMIFS('1-2 人员岗位信息'!P:P,'1-2 人员岗位信息'!$C:$C,"自有人员",'1-2 人员岗位信息'!$B:$B,$D36)</f>
        <v>0</v>
      </c>
      <c r="BI36" s="298"/>
      <c r="BJ36" s="175">
        <f t="shared" si="75"/>
        <v>0</v>
      </c>
      <c r="BK36" s="175">
        <f>SUMIFS('1-2 人员岗位信息'!Q:Q,'1-2 人员岗位信息'!$C:$C,"自有人员",'1-2 人员岗位信息'!$B:$B,$D36)</f>
        <v>0</v>
      </c>
      <c r="BL36" s="307"/>
      <c r="BM36" s="311"/>
      <c r="BN36" s="315"/>
    </row>
    <row r="37" s="263" customFormat="1" ht="33.95" customHeight="1" outlineLevel="5" spans="2:66">
      <c r="B37" s="175" t="s">
        <v>799</v>
      </c>
      <c r="C37" s="283" t="s">
        <v>857</v>
      </c>
      <c r="D37" s="263" t="s">
        <v>858</v>
      </c>
      <c r="E37" s="175" t="s">
        <v>859</v>
      </c>
      <c r="F37" s="175"/>
      <c r="G37" s="175" t="s">
        <v>803</v>
      </c>
      <c r="H37" s="175">
        <f t="shared" si="59"/>
        <v>0</v>
      </c>
      <c r="I37" s="175" t="s">
        <v>804</v>
      </c>
      <c r="J37" s="175" t="e">
        <f t="shared" si="60"/>
        <v>#DIV/0!</v>
      </c>
      <c r="K37" s="175" t="s">
        <v>805</v>
      </c>
      <c r="L37" s="175" t="e">
        <f t="shared" si="61"/>
        <v>#DIV/0!</v>
      </c>
      <c r="M37" s="175" t="s">
        <v>806</v>
      </c>
      <c r="N37" s="175">
        <f t="shared" si="62"/>
        <v>0</v>
      </c>
      <c r="O37" s="175"/>
      <c r="P37" s="290"/>
      <c r="Q37" s="290"/>
      <c r="R37" s="290"/>
      <c r="S37" s="290"/>
      <c r="T37" s="290"/>
      <c r="U37" s="290"/>
      <c r="V37" s="290"/>
      <c r="W37" s="290"/>
      <c r="X37" s="290"/>
      <c r="Y37" s="290"/>
      <c r="Z37" s="290"/>
      <c r="AA37" s="290"/>
      <c r="AB37" s="175">
        <f t="shared" si="63"/>
        <v>0</v>
      </c>
      <c r="AC37" s="175">
        <f t="shared" si="64"/>
        <v>0</v>
      </c>
      <c r="AD37" s="175">
        <f>SUMIFS('1-2 人员岗位信息'!F:F,'1-2 人员岗位信息'!$C:$C,"自有人员",'1-2 人员岗位信息'!$B:$B,$D37)</f>
        <v>0</v>
      </c>
      <c r="AE37" s="298"/>
      <c r="AF37" s="175">
        <f t="shared" si="65"/>
        <v>0</v>
      </c>
      <c r="AG37" s="175">
        <f>SUMIFS('1-2 人员岗位信息'!G:G,'1-2 人员岗位信息'!$C:$C,"自有人员",'1-2 人员岗位信息'!$B:$B,$D37)</f>
        <v>0</v>
      </c>
      <c r="AH37" s="298"/>
      <c r="AI37" s="175">
        <f t="shared" si="66"/>
        <v>0</v>
      </c>
      <c r="AJ37" s="175">
        <f>SUMIFS('1-2 人员岗位信息'!H:H,'1-2 人员岗位信息'!$C:$C,"自有人员",'1-2 人员岗位信息'!$B:$B,$D37)</f>
        <v>0</v>
      </c>
      <c r="AK37" s="298"/>
      <c r="AL37" s="175">
        <f t="shared" si="67"/>
        <v>0</v>
      </c>
      <c r="AM37" s="175">
        <f>SUMIFS('1-2 人员岗位信息'!I:I,'1-2 人员岗位信息'!$C:$C,"自有人员",'1-2 人员岗位信息'!$B:$B,$D37)</f>
        <v>0</v>
      </c>
      <c r="AN37" s="298"/>
      <c r="AO37" s="175">
        <f t="shared" si="68"/>
        <v>0</v>
      </c>
      <c r="AP37" s="175">
        <f>SUMIFS('1-2 人员岗位信息'!J:J,'1-2 人员岗位信息'!$C:$C,"自有人员",'1-2 人员岗位信息'!$B:$B,$D37)</f>
        <v>0</v>
      </c>
      <c r="AQ37" s="298"/>
      <c r="AR37" s="175">
        <f t="shared" si="69"/>
        <v>0</v>
      </c>
      <c r="AS37" s="175">
        <f>SUMIFS('1-2 人员岗位信息'!K:K,'1-2 人员岗位信息'!$C:$C,"自有人员",'1-2 人员岗位信息'!$B:$B,$D37)</f>
        <v>0</v>
      </c>
      <c r="AT37" s="298"/>
      <c r="AU37" s="175">
        <f t="shared" si="70"/>
        <v>0</v>
      </c>
      <c r="AV37" s="175">
        <f>SUMIFS('1-2 人员岗位信息'!L:L,'1-2 人员岗位信息'!$C:$C,"自有人员",'1-2 人员岗位信息'!$B:$B,$D37)</f>
        <v>0</v>
      </c>
      <c r="AW37" s="298"/>
      <c r="AX37" s="175">
        <f t="shared" si="71"/>
        <v>0</v>
      </c>
      <c r="AY37" s="175">
        <f>SUMIFS('1-2 人员岗位信息'!M:M,'1-2 人员岗位信息'!$C:$C,"自有人员",'1-2 人员岗位信息'!$B:$B,$D37)</f>
        <v>0</v>
      </c>
      <c r="AZ37" s="298"/>
      <c r="BA37" s="175">
        <f t="shared" si="72"/>
        <v>0</v>
      </c>
      <c r="BB37" s="175">
        <f>SUMIFS('1-2 人员岗位信息'!N:N,'1-2 人员岗位信息'!$C:$C,"自有人员",'1-2 人员岗位信息'!$B:$B,$D37)</f>
        <v>0</v>
      </c>
      <c r="BC37" s="298"/>
      <c r="BD37" s="175">
        <f t="shared" si="73"/>
        <v>0</v>
      </c>
      <c r="BE37" s="175">
        <f>SUMIFS('1-2 人员岗位信息'!O:O,'1-2 人员岗位信息'!$C:$C,"自有人员",'1-2 人员岗位信息'!$B:$B,$D37)</f>
        <v>0</v>
      </c>
      <c r="BF37" s="298"/>
      <c r="BG37" s="175">
        <f t="shared" si="74"/>
        <v>0</v>
      </c>
      <c r="BH37" s="175">
        <f>SUMIFS('1-2 人员岗位信息'!P:P,'1-2 人员岗位信息'!$C:$C,"自有人员",'1-2 人员岗位信息'!$B:$B,$D37)</f>
        <v>0</v>
      </c>
      <c r="BI37" s="298"/>
      <c r="BJ37" s="175">
        <f t="shared" si="75"/>
        <v>0</v>
      </c>
      <c r="BK37" s="175">
        <f>SUMIFS('1-2 人员岗位信息'!Q:Q,'1-2 人员岗位信息'!$C:$C,"自有人员",'1-2 人员岗位信息'!$B:$B,$D37)</f>
        <v>0</v>
      </c>
      <c r="BL37" s="307"/>
      <c r="BM37" s="311"/>
      <c r="BN37" s="315"/>
    </row>
    <row r="38" s="263" customFormat="1" ht="33.95" customHeight="1" outlineLevel="5" spans="2:66">
      <c r="B38" s="175" t="s">
        <v>799</v>
      </c>
      <c r="C38" s="283" t="s">
        <v>860</v>
      </c>
      <c r="D38" s="263" t="s">
        <v>861</v>
      </c>
      <c r="E38" s="175" t="s">
        <v>821</v>
      </c>
      <c r="F38" s="175"/>
      <c r="G38" s="175" t="s">
        <v>803</v>
      </c>
      <c r="H38" s="175">
        <f t="shared" si="59"/>
        <v>0</v>
      </c>
      <c r="I38" s="175" t="s">
        <v>804</v>
      </c>
      <c r="J38" s="175" t="e">
        <f t="shared" si="60"/>
        <v>#DIV/0!</v>
      </c>
      <c r="K38" s="175" t="s">
        <v>805</v>
      </c>
      <c r="L38" s="175" t="e">
        <f t="shared" si="61"/>
        <v>#DIV/0!</v>
      </c>
      <c r="M38" s="175" t="s">
        <v>806</v>
      </c>
      <c r="N38" s="175">
        <f t="shared" si="62"/>
        <v>0</v>
      </c>
      <c r="O38" s="175"/>
      <c r="P38" s="290"/>
      <c r="Q38" s="290"/>
      <c r="R38" s="290"/>
      <c r="S38" s="290"/>
      <c r="T38" s="290"/>
      <c r="U38" s="290"/>
      <c r="V38" s="290"/>
      <c r="W38" s="290"/>
      <c r="X38" s="290"/>
      <c r="Y38" s="290"/>
      <c r="Z38" s="290"/>
      <c r="AA38" s="290"/>
      <c r="AB38" s="175">
        <f t="shared" si="63"/>
        <v>0</v>
      </c>
      <c r="AC38" s="175">
        <f t="shared" si="64"/>
        <v>0</v>
      </c>
      <c r="AD38" s="175">
        <f>SUMIFS('1-2 人员岗位信息'!F:F,'1-2 人员岗位信息'!$C:$C,"自有人员",'1-2 人员岗位信息'!$B:$B,$D38)</f>
        <v>0</v>
      </c>
      <c r="AE38" s="298"/>
      <c r="AF38" s="175">
        <f t="shared" si="65"/>
        <v>0</v>
      </c>
      <c r="AG38" s="175">
        <f>SUMIFS('1-2 人员岗位信息'!G:G,'1-2 人员岗位信息'!$C:$C,"自有人员",'1-2 人员岗位信息'!$B:$B,$D38)</f>
        <v>0</v>
      </c>
      <c r="AH38" s="298"/>
      <c r="AI38" s="175">
        <f t="shared" si="66"/>
        <v>0</v>
      </c>
      <c r="AJ38" s="175">
        <f>SUMIFS('1-2 人员岗位信息'!H:H,'1-2 人员岗位信息'!$C:$C,"自有人员",'1-2 人员岗位信息'!$B:$B,$D38)</f>
        <v>0</v>
      </c>
      <c r="AK38" s="298"/>
      <c r="AL38" s="175">
        <f t="shared" si="67"/>
        <v>0</v>
      </c>
      <c r="AM38" s="175">
        <f>SUMIFS('1-2 人员岗位信息'!I:I,'1-2 人员岗位信息'!$C:$C,"自有人员",'1-2 人员岗位信息'!$B:$B,$D38)</f>
        <v>0</v>
      </c>
      <c r="AN38" s="298"/>
      <c r="AO38" s="175">
        <f t="shared" si="68"/>
        <v>0</v>
      </c>
      <c r="AP38" s="175">
        <f>SUMIFS('1-2 人员岗位信息'!J:J,'1-2 人员岗位信息'!$C:$C,"自有人员",'1-2 人员岗位信息'!$B:$B,$D38)</f>
        <v>0</v>
      </c>
      <c r="AQ38" s="298"/>
      <c r="AR38" s="175">
        <f t="shared" si="69"/>
        <v>0</v>
      </c>
      <c r="AS38" s="175">
        <f>SUMIFS('1-2 人员岗位信息'!K:K,'1-2 人员岗位信息'!$C:$C,"自有人员",'1-2 人员岗位信息'!$B:$B,$D38)</f>
        <v>0</v>
      </c>
      <c r="AT38" s="298"/>
      <c r="AU38" s="175">
        <f t="shared" si="70"/>
        <v>0</v>
      </c>
      <c r="AV38" s="175">
        <f>SUMIFS('1-2 人员岗位信息'!L:L,'1-2 人员岗位信息'!$C:$C,"自有人员",'1-2 人员岗位信息'!$B:$B,$D38)</f>
        <v>0</v>
      </c>
      <c r="AW38" s="298"/>
      <c r="AX38" s="175">
        <f t="shared" si="71"/>
        <v>0</v>
      </c>
      <c r="AY38" s="175">
        <f>SUMIFS('1-2 人员岗位信息'!M:M,'1-2 人员岗位信息'!$C:$C,"自有人员",'1-2 人员岗位信息'!$B:$B,$D38)</f>
        <v>0</v>
      </c>
      <c r="AZ38" s="298"/>
      <c r="BA38" s="175">
        <f t="shared" si="72"/>
        <v>0</v>
      </c>
      <c r="BB38" s="175">
        <f>SUMIFS('1-2 人员岗位信息'!N:N,'1-2 人员岗位信息'!$C:$C,"自有人员",'1-2 人员岗位信息'!$B:$B,$D38)</f>
        <v>0</v>
      </c>
      <c r="BC38" s="298"/>
      <c r="BD38" s="175">
        <f t="shared" si="73"/>
        <v>0</v>
      </c>
      <c r="BE38" s="175">
        <f>SUMIFS('1-2 人员岗位信息'!O:O,'1-2 人员岗位信息'!$C:$C,"自有人员",'1-2 人员岗位信息'!$B:$B,$D38)</f>
        <v>0</v>
      </c>
      <c r="BF38" s="298"/>
      <c r="BG38" s="175">
        <f t="shared" si="74"/>
        <v>0</v>
      </c>
      <c r="BH38" s="175">
        <f>SUMIFS('1-2 人员岗位信息'!P:P,'1-2 人员岗位信息'!$C:$C,"自有人员",'1-2 人员岗位信息'!$B:$B,$D38)</f>
        <v>0</v>
      </c>
      <c r="BI38" s="298"/>
      <c r="BJ38" s="175">
        <f t="shared" si="75"/>
        <v>0</v>
      </c>
      <c r="BK38" s="175">
        <f>SUMIFS('1-2 人员岗位信息'!Q:Q,'1-2 人员岗位信息'!$C:$C,"自有人员",'1-2 人员岗位信息'!$B:$B,$D38)</f>
        <v>0</v>
      </c>
      <c r="BL38" s="307"/>
      <c r="BM38" s="311"/>
      <c r="BN38" s="315"/>
    </row>
    <row r="39" s="118" customFormat="1" ht="33.95" customHeight="1" outlineLevel="4" spans="2:66">
      <c r="B39" s="119" t="s">
        <v>794</v>
      </c>
      <c r="C39" s="120" t="s">
        <v>69</v>
      </c>
      <c r="D39" s="118" t="s">
        <v>68</v>
      </c>
      <c r="E39" s="119"/>
      <c r="F39" s="119"/>
      <c r="G39" s="119"/>
      <c r="H39" s="119">
        <f>SUM(H40:H47)</f>
        <v>0</v>
      </c>
      <c r="I39" s="119"/>
      <c r="J39" s="119"/>
      <c r="K39" s="119"/>
      <c r="L39" s="119"/>
      <c r="M39" s="119"/>
      <c r="N39" s="119"/>
      <c r="O39" s="119"/>
      <c r="P39" s="289"/>
      <c r="Q39" s="289"/>
      <c r="R39" s="289"/>
      <c r="S39" s="289"/>
      <c r="T39" s="289"/>
      <c r="U39" s="289"/>
      <c r="V39" s="289"/>
      <c r="W39" s="289"/>
      <c r="X39" s="289"/>
      <c r="Y39" s="289"/>
      <c r="Z39" s="289"/>
      <c r="AA39" s="289"/>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6"/>
      <c r="BM39" s="311"/>
      <c r="BN39" s="314"/>
    </row>
    <row r="40" s="263" customFormat="1" ht="33.95" customHeight="1" outlineLevel="5" spans="2:66">
      <c r="B40" s="175" t="s">
        <v>799</v>
      </c>
      <c r="C40" s="283" t="s">
        <v>862</v>
      </c>
      <c r="D40" s="263" t="s">
        <v>841</v>
      </c>
      <c r="E40" s="175" t="s">
        <v>863</v>
      </c>
      <c r="F40" s="175"/>
      <c r="G40" s="175" t="s">
        <v>803</v>
      </c>
      <c r="H40" s="175">
        <f t="shared" ref="H40:H47" si="77">AB40</f>
        <v>0</v>
      </c>
      <c r="I40" s="175" t="s">
        <v>804</v>
      </c>
      <c r="J40" s="175" t="e">
        <f t="shared" ref="J40:J47" si="78">SUM(AD40,AG40,AJ40,AM40,AP40,AS40,AV40,AY40,BB40,BE40,BH40,BK40)/N40</f>
        <v>#DIV/0!</v>
      </c>
      <c r="K40" s="175" t="s">
        <v>805</v>
      </c>
      <c r="L40" s="175" t="e">
        <f t="shared" ref="L40:L47" si="79">H40/N40/J40</f>
        <v>#DIV/0!</v>
      </c>
      <c r="M40" s="175" t="s">
        <v>806</v>
      </c>
      <c r="N40" s="175">
        <f t="shared" ref="N40:N47" si="80">COUNTIF(AD40,"&gt;0")+COUNTIF(AG40,"&gt;0")+COUNTIF(AJ40,"&gt;0")+COUNTIF(AM40,"&gt;0")+COUNTIF(AP40,"&gt;0")+COUNTIF(AS40,"&gt;0")+COUNTIF(AV40,"&gt;0")+COUNTIF(AY40,"&gt;0")+COUNTIF(BB40,"&gt;0")+COUNTIF(BE40,"&gt;0")+COUNTIF(BH40,"&gt;0")+COUNTIF(BK40,"&gt;0")</f>
        <v>0</v>
      </c>
      <c r="O40" s="175"/>
      <c r="P40" s="290"/>
      <c r="Q40" s="290"/>
      <c r="R40" s="290"/>
      <c r="S40" s="290"/>
      <c r="T40" s="290"/>
      <c r="U40" s="290"/>
      <c r="V40" s="290"/>
      <c r="W40" s="290"/>
      <c r="X40" s="290"/>
      <c r="Y40" s="290"/>
      <c r="Z40" s="290"/>
      <c r="AA40" s="290"/>
      <c r="AB40" s="175">
        <f t="shared" ref="AB40:AB47" si="81">SUM(AC40,AF40,AI40,AL40,AO40,AR40,AU40,AX40,BA40,BD40,BG40,BJ40)</f>
        <v>0</v>
      </c>
      <c r="AC40" s="175">
        <f t="shared" ref="AC40:AC47" si="82">AD40*AE40</f>
        <v>0</v>
      </c>
      <c r="AD40" s="175">
        <f>SUMIFS('1-2 人员岗位信息'!F:F,'1-2 人员岗位信息'!$C:$C,"劳务派遣",'1-2 人员岗位信息'!$B:$B,$D40)</f>
        <v>0</v>
      </c>
      <c r="AE40" s="298"/>
      <c r="AF40" s="175">
        <f t="shared" ref="AF40:AF47" si="83">AG40*AH40</f>
        <v>0</v>
      </c>
      <c r="AG40" s="175">
        <f>SUMIFS('1-2 人员岗位信息'!G:G,'1-2 人员岗位信息'!$C:$C,"劳务派遣",'1-2 人员岗位信息'!$B:$B,$D40)</f>
        <v>0</v>
      </c>
      <c r="AH40" s="298"/>
      <c r="AI40" s="175">
        <f t="shared" ref="AI40:AI47" si="84">AJ40*AK40</f>
        <v>0</v>
      </c>
      <c r="AJ40" s="175">
        <f>SUMIFS('1-2 人员岗位信息'!H:H,'1-2 人员岗位信息'!$C:$C,"劳务派遣",'1-2 人员岗位信息'!$B:$B,$D40)</f>
        <v>0</v>
      </c>
      <c r="AK40" s="298"/>
      <c r="AL40" s="175">
        <f t="shared" ref="AL40:AL47" si="85">AM40*AN40</f>
        <v>0</v>
      </c>
      <c r="AM40" s="175">
        <f>SUMIFS('1-2 人员岗位信息'!I:I,'1-2 人员岗位信息'!$C:$C,"劳务派遣",'1-2 人员岗位信息'!$B:$B,$D40)</f>
        <v>0</v>
      </c>
      <c r="AN40" s="298"/>
      <c r="AO40" s="175">
        <f t="shared" ref="AO40:AO47" si="86">AP40*AQ40</f>
        <v>0</v>
      </c>
      <c r="AP40" s="175">
        <f>SUMIFS('1-2 人员岗位信息'!J:J,'1-2 人员岗位信息'!$C:$C,"劳务派遣",'1-2 人员岗位信息'!$B:$B,$D40)</f>
        <v>0</v>
      </c>
      <c r="AQ40" s="298"/>
      <c r="AR40" s="175">
        <f t="shared" ref="AR40:AR47" si="87">AS40*AT40</f>
        <v>0</v>
      </c>
      <c r="AS40" s="175">
        <f>SUMIFS('1-2 人员岗位信息'!K:K,'1-2 人员岗位信息'!$C:$C,"劳务派遣",'1-2 人员岗位信息'!$B:$B,$D40)</f>
        <v>0</v>
      </c>
      <c r="AT40" s="298"/>
      <c r="AU40" s="175">
        <f t="shared" ref="AU40:AU47" si="88">AV40*AW40</f>
        <v>0</v>
      </c>
      <c r="AV40" s="175">
        <f>SUMIFS('1-2 人员岗位信息'!L:L,'1-2 人员岗位信息'!$C:$C,"劳务派遣",'1-2 人员岗位信息'!$B:$B,$D40)</f>
        <v>0</v>
      </c>
      <c r="AW40" s="298"/>
      <c r="AX40" s="175">
        <f t="shared" ref="AX40:AX47" si="89">AY40*AZ40</f>
        <v>0</v>
      </c>
      <c r="AY40" s="175">
        <f>SUMIFS('1-2 人员岗位信息'!M:M,'1-2 人员岗位信息'!$C:$C,"劳务派遣",'1-2 人员岗位信息'!$B:$B,$D40)</f>
        <v>0</v>
      </c>
      <c r="AZ40" s="298"/>
      <c r="BA40" s="175">
        <f t="shared" ref="BA40:BA47" si="90">BB40*BC40</f>
        <v>0</v>
      </c>
      <c r="BB40" s="175">
        <f>SUMIFS('1-2 人员岗位信息'!N:N,'1-2 人员岗位信息'!$C:$C,"劳务派遣",'1-2 人员岗位信息'!$B:$B,$D40)</f>
        <v>0</v>
      </c>
      <c r="BC40" s="298"/>
      <c r="BD40" s="175">
        <f t="shared" ref="BD40:BD47" si="91">BE40*BF40</f>
        <v>0</v>
      </c>
      <c r="BE40" s="175">
        <f>SUMIFS('1-2 人员岗位信息'!O:O,'1-2 人员岗位信息'!$C:$C,"劳务派遣",'1-2 人员岗位信息'!$B:$B,$D40)</f>
        <v>0</v>
      </c>
      <c r="BF40" s="298"/>
      <c r="BG40" s="175">
        <f t="shared" ref="BG40:BG47" si="92">BH40*BI40</f>
        <v>0</v>
      </c>
      <c r="BH40" s="175">
        <f>SUMIFS('1-2 人员岗位信息'!P:P,'1-2 人员岗位信息'!$C:$C,"劳务派遣",'1-2 人员岗位信息'!$B:$B,$D40)</f>
        <v>0</v>
      </c>
      <c r="BI40" s="298"/>
      <c r="BJ40" s="175">
        <f t="shared" ref="BJ40:BJ47" si="93">BK40*BL40</f>
        <v>0</v>
      </c>
      <c r="BK40" s="175">
        <f>SUMIFS('1-2 人员岗位信息'!Q:Q,'1-2 人员岗位信息'!$C:$C,"劳务派遣",'1-2 人员岗位信息'!$B:$B,$D40)</f>
        <v>0</v>
      </c>
      <c r="BL40" s="307"/>
      <c r="BM40" s="311"/>
      <c r="BN40" s="315"/>
    </row>
    <row r="41" s="263" customFormat="1" ht="33.95" customHeight="1" outlineLevel="5" spans="2:66">
      <c r="B41" s="175" t="s">
        <v>799</v>
      </c>
      <c r="C41" s="283" t="s">
        <v>864</v>
      </c>
      <c r="D41" s="263" t="s">
        <v>844</v>
      </c>
      <c r="E41" s="175" t="s">
        <v>863</v>
      </c>
      <c r="F41" s="175"/>
      <c r="G41" s="175" t="s">
        <v>803</v>
      </c>
      <c r="H41" s="175">
        <f t="shared" si="77"/>
        <v>0</v>
      </c>
      <c r="I41" s="175" t="s">
        <v>804</v>
      </c>
      <c r="J41" s="175" t="e">
        <f t="shared" si="78"/>
        <v>#DIV/0!</v>
      </c>
      <c r="K41" s="175" t="s">
        <v>805</v>
      </c>
      <c r="L41" s="175" t="e">
        <f t="shared" si="79"/>
        <v>#DIV/0!</v>
      </c>
      <c r="M41" s="175" t="s">
        <v>806</v>
      </c>
      <c r="N41" s="175">
        <f t="shared" si="80"/>
        <v>0</v>
      </c>
      <c r="O41" s="175"/>
      <c r="P41" s="290"/>
      <c r="Q41" s="290"/>
      <c r="R41" s="290"/>
      <c r="S41" s="290"/>
      <c r="T41" s="290"/>
      <c r="U41" s="290"/>
      <c r="V41" s="290"/>
      <c r="W41" s="290"/>
      <c r="X41" s="290"/>
      <c r="Y41" s="290"/>
      <c r="Z41" s="290"/>
      <c r="AA41" s="290"/>
      <c r="AB41" s="175">
        <f t="shared" si="81"/>
        <v>0</v>
      </c>
      <c r="AC41" s="175">
        <f t="shared" si="82"/>
        <v>0</v>
      </c>
      <c r="AD41" s="175">
        <f>SUMIFS('1-2 人员岗位信息'!F:F,'1-2 人员岗位信息'!$C:$C,"劳务派遣",'1-2 人员岗位信息'!$B:$B,$D41)</f>
        <v>0</v>
      </c>
      <c r="AE41" s="298"/>
      <c r="AF41" s="175">
        <f t="shared" si="83"/>
        <v>0</v>
      </c>
      <c r="AG41" s="175">
        <f>SUMIFS('1-2 人员岗位信息'!G:G,'1-2 人员岗位信息'!$C:$C,"劳务派遣",'1-2 人员岗位信息'!$B:$B,$D41)</f>
        <v>0</v>
      </c>
      <c r="AH41" s="298"/>
      <c r="AI41" s="175">
        <f t="shared" si="84"/>
        <v>0</v>
      </c>
      <c r="AJ41" s="175">
        <f>SUMIFS('1-2 人员岗位信息'!H:H,'1-2 人员岗位信息'!$C:$C,"劳务派遣",'1-2 人员岗位信息'!$B:$B,$D41)</f>
        <v>0</v>
      </c>
      <c r="AK41" s="298"/>
      <c r="AL41" s="175">
        <f t="shared" si="85"/>
        <v>0</v>
      </c>
      <c r="AM41" s="175">
        <f>SUMIFS('1-2 人员岗位信息'!I:I,'1-2 人员岗位信息'!$C:$C,"劳务派遣",'1-2 人员岗位信息'!$B:$B,$D41)</f>
        <v>0</v>
      </c>
      <c r="AN41" s="298"/>
      <c r="AO41" s="175">
        <f t="shared" si="86"/>
        <v>0</v>
      </c>
      <c r="AP41" s="175">
        <f>SUMIFS('1-2 人员岗位信息'!J:J,'1-2 人员岗位信息'!$C:$C,"劳务派遣",'1-2 人员岗位信息'!$B:$B,$D41)</f>
        <v>0</v>
      </c>
      <c r="AQ41" s="298"/>
      <c r="AR41" s="175">
        <f t="shared" si="87"/>
        <v>0</v>
      </c>
      <c r="AS41" s="175">
        <f>SUMIFS('1-2 人员岗位信息'!K:K,'1-2 人员岗位信息'!$C:$C,"劳务派遣",'1-2 人员岗位信息'!$B:$B,$D41)</f>
        <v>0</v>
      </c>
      <c r="AT41" s="298"/>
      <c r="AU41" s="175">
        <f t="shared" si="88"/>
        <v>0</v>
      </c>
      <c r="AV41" s="175">
        <f>SUMIFS('1-2 人员岗位信息'!L:L,'1-2 人员岗位信息'!$C:$C,"劳务派遣",'1-2 人员岗位信息'!$B:$B,$D41)</f>
        <v>0</v>
      </c>
      <c r="AW41" s="298"/>
      <c r="AX41" s="175">
        <f t="shared" si="89"/>
        <v>0</v>
      </c>
      <c r="AY41" s="175">
        <f>SUMIFS('1-2 人员岗位信息'!M:M,'1-2 人员岗位信息'!$C:$C,"劳务派遣",'1-2 人员岗位信息'!$B:$B,$D41)</f>
        <v>0</v>
      </c>
      <c r="AZ41" s="298"/>
      <c r="BA41" s="175">
        <f t="shared" si="90"/>
        <v>0</v>
      </c>
      <c r="BB41" s="175">
        <f>SUMIFS('1-2 人员岗位信息'!N:N,'1-2 人员岗位信息'!$C:$C,"劳务派遣",'1-2 人员岗位信息'!$B:$B,$D41)</f>
        <v>0</v>
      </c>
      <c r="BC41" s="298"/>
      <c r="BD41" s="175">
        <f t="shared" si="91"/>
        <v>0</v>
      </c>
      <c r="BE41" s="175">
        <f>SUMIFS('1-2 人员岗位信息'!O:O,'1-2 人员岗位信息'!$C:$C,"劳务派遣",'1-2 人员岗位信息'!$B:$B,$D41)</f>
        <v>0</v>
      </c>
      <c r="BF41" s="298"/>
      <c r="BG41" s="175">
        <f t="shared" si="92"/>
        <v>0</v>
      </c>
      <c r="BH41" s="175">
        <f>SUMIFS('1-2 人员岗位信息'!P:P,'1-2 人员岗位信息'!$C:$C,"劳务派遣",'1-2 人员岗位信息'!$B:$B,$D41)</f>
        <v>0</v>
      </c>
      <c r="BI41" s="298"/>
      <c r="BJ41" s="175">
        <f t="shared" si="93"/>
        <v>0</v>
      </c>
      <c r="BK41" s="175">
        <f>SUMIFS('1-2 人员岗位信息'!Q:Q,'1-2 人员岗位信息'!$C:$C,"劳务派遣",'1-2 人员岗位信息'!$B:$B,$D41)</f>
        <v>0</v>
      </c>
      <c r="BL41" s="307"/>
      <c r="BM41" s="311"/>
      <c r="BN41" s="315"/>
    </row>
    <row r="42" s="263" customFormat="1" ht="33.95" customHeight="1" outlineLevel="5" spans="2:66">
      <c r="B42" s="175" t="s">
        <v>799</v>
      </c>
      <c r="C42" s="283" t="s">
        <v>865</v>
      </c>
      <c r="D42" s="263" t="s">
        <v>846</v>
      </c>
      <c r="E42" s="175" t="s">
        <v>847</v>
      </c>
      <c r="F42" s="175"/>
      <c r="G42" s="175" t="s">
        <v>803</v>
      </c>
      <c r="H42" s="175">
        <f t="shared" si="77"/>
        <v>0</v>
      </c>
      <c r="I42" s="175" t="s">
        <v>804</v>
      </c>
      <c r="J42" s="175" t="e">
        <f t="shared" si="78"/>
        <v>#DIV/0!</v>
      </c>
      <c r="K42" s="175" t="s">
        <v>805</v>
      </c>
      <c r="L42" s="175" t="e">
        <f t="shared" si="79"/>
        <v>#DIV/0!</v>
      </c>
      <c r="M42" s="175" t="s">
        <v>806</v>
      </c>
      <c r="N42" s="175">
        <f t="shared" si="80"/>
        <v>0</v>
      </c>
      <c r="O42" s="175"/>
      <c r="P42" s="290"/>
      <c r="Q42" s="290"/>
      <c r="R42" s="290"/>
      <c r="S42" s="290"/>
      <c r="T42" s="290"/>
      <c r="U42" s="290"/>
      <c r="V42" s="290"/>
      <c r="W42" s="290"/>
      <c r="X42" s="290"/>
      <c r="Y42" s="290"/>
      <c r="Z42" s="290"/>
      <c r="AA42" s="290"/>
      <c r="AB42" s="175">
        <f t="shared" si="81"/>
        <v>0</v>
      </c>
      <c r="AC42" s="175">
        <f t="shared" si="82"/>
        <v>0</v>
      </c>
      <c r="AD42" s="175">
        <f>SUMIFS('1-2 人员岗位信息'!F:F,'1-2 人员岗位信息'!$C:$C,"劳务派遣",'1-2 人员岗位信息'!$B:$B,$D42)</f>
        <v>0</v>
      </c>
      <c r="AE42" s="298"/>
      <c r="AF42" s="175">
        <f t="shared" si="83"/>
        <v>0</v>
      </c>
      <c r="AG42" s="175">
        <f>SUMIFS('1-2 人员岗位信息'!G:G,'1-2 人员岗位信息'!$C:$C,"劳务派遣",'1-2 人员岗位信息'!$B:$B,$D42)</f>
        <v>0</v>
      </c>
      <c r="AH42" s="298"/>
      <c r="AI42" s="175">
        <f t="shared" si="84"/>
        <v>0</v>
      </c>
      <c r="AJ42" s="175">
        <f>SUMIFS('1-2 人员岗位信息'!H:H,'1-2 人员岗位信息'!$C:$C,"劳务派遣",'1-2 人员岗位信息'!$B:$B,$D42)</f>
        <v>0</v>
      </c>
      <c r="AK42" s="298"/>
      <c r="AL42" s="175">
        <f t="shared" si="85"/>
        <v>0</v>
      </c>
      <c r="AM42" s="175">
        <f>SUMIFS('1-2 人员岗位信息'!I:I,'1-2 人员岗位信息'!$C:$C,"劳务派遣",'1-2 人员岗位信息'!$B:$B,$D42)</f>
        <v>0</v>
      </c>
      <c r="AN42" s="298"/>
      <c r="AO42" s="175">
        <f t="shared" si="86"/>
        <v>0</v>
      </c>
      <c r="AP42" s="175">
        <f>SUMIFS('1-2 人员岗位信息'!J:J,'1-2 人员岗位信息'!$C:$C,"劳务派遣",'1-2 人员岗位信息'!$B:$B,$D42)</f>
        <v>0</v>
      </c>
      <c r="AQ42" s="298"/>
      <c r="AR42" s="175">
        <f t="shared" si="87"/>
        <v>0</v>
      </c>
      <c r="AS42" s="175">
        <f>SUMIFS('1-2 人员岗位信息'!K:K,'1-2 人员岗位信息'!$C:$C,"劳务派遣",'1-2 人员岗位信息'!$B:$B,$D42)</f>
        <v>0</v>
      </c>
      <c r="AT42" s="298"/>
      <c r="AU42" s="175">
        <f t="shared" si="88"/>
        <v>0</v>
      </c>
      <c r="AV42" s="175">
        <f>SUMIFS('1-2 人员岗位信息'!L:L,'1-2 人员岗位信息'!$C:$C,"劳务派遣",'1-2 人员岗位信息'!$B:$B,$D42)</f>
        <v>0</v>
      </c>
      <c r="AW42" s="298"/>
      <c r="AX42" s="175">
        <f t="shared" si="89"/>
        <v>0</v>
      </c>
      <c r="AY42" s="175">
        <f>SUMIFS('1-2 人员岗位信息'!M:M,'1-2 人员岗位信息'!$C:$C,"劳务派遣",'1-2 人员岗位信息'!$B:$B,$D42)</f>
        <v>0</v>
      </c>
      <c r="AZ42" s="298"/>
      <c r="BA42" s="175">
        <f t="shared" si="90"/>
        <v>0</v>
      </c>
      <c r="BB42" s="175">
        <f>SUMIFS('1-2 人员岗位信息'!N:N,'1-2 人员岗位信息'!$C:$C,"劳务派遣",'1-2 人员岗位信息'!$B:$B,$D42)</f>
        <v>0</v>
      </c>
      <c r="BC42" s="298"/>
      <c r="BD42" s="175">
        <f t="shared" si="91"/>
        <v>0</v>
      </c>
      <c r="BE42" s="175">
        <f>SUMIFS('1-2 人员岗位信息'!O:O,'1-2 人员岗位信息'!$C:$C,"劳务派遣",'1-2 人员岗位信息'!$B:$B,$D42)</f>
        <v>0</v>
      </c>
      <c r="BF42" s="298"/>
      <c r="BG42" s="175">
        <f t="shared" si="92"/>
        <v>0</v>
      </c>
      <c r="BH42" s="175">
        <f>SUMIFS('1-2 人员岗位信息'!P:P,'1-2 人员岗位信息'!$C:$C,"劳务派遣",'1-2 人员岗位信息'!$B:$B,$D42)</f>
        <v>0</v>
      </c>
      <c r="BI42" s="298"/>
      <c r="BJ42" s="175">
        <f t="shared" si="93"/>
        <v>0</v>
      </c>
      <c r="BK42" s="175">
        <f>SUMIFS('1-2 人员岗位信息'!Q:Q,'1-2 人员岗位信息'!$C:$C,"劳务派遣",'1-2 人员岗位信息'!$B:$B,$D42)</f>
        <v>0</v>
      </c>
      <c r="BL42" s="307"/>
      <c r="BM42" s="311"/>
      <c r="BN42" s="315"/>
    </row>
    <row r="43" s="263" customFormat="1" ht="33.95" customHeight="1" outlineLevel="5" spans="2:66">
      <c r="B43" s="175" t="s">
        <v>799</v>
      </c>
      <c r="C43" s="283" t="s">
        <v>866</v>
      </c>
      <c r="D43" s="263" t="s">
        <v>849</v>
      </c>
      <c r="E43" s="175" t="s">
        <v>850</v>
      </c>
      <c r="F43" s="175"/>
      <c r="G43" s="175" t="s">
        <v>803</v>
      </c>
      <c r="H43" s="175">
        <f t="shared" si="77"/>
        <v>0</v>
      </c>
      <c r="I43" s="175" t="s">
        <v>804</v>
      </c>
      <c r="J43" s="175" t="e">
        <f t="shared" si="78"/>
        <v>#DIV/0!</v>
      </c>
      <c r="K43" s="175" t="s">
        <v>805</v>
      </c>
      <c r="L43" s="175" t="e">
        <f t="shared" si="79"/>
        <v>#DIV/0!</v>
      </c>
      <c r="M43" s="175" t="s">
        <v>806</v>
      </c>
      <c r="N43" s="175">
        <f t="shared" si="80"/>
        <v>0</v>
      </c>
      <c r="O43" s="175"/>
      <c r="P43" s="290"/>
      <c r="Q43" s="290"/>
      <c r="R43" s="290"/>
      <c r="S43" s="290"/>
      <c r="T43" s="290"/>
      <c r="U43" s="290"/>
      <c r="V43" s="290"/>
      <c r="W43" s="290"/>
      <c r="X43" s="290"/>
      <c r="Y43" s="290"/>
      <c r="Z43" s="290"/>
      <c r="AA43" s="290"/>
      <c r="AB43" s="175">
        <f t="shared" si="81"/>
        <v>0</v>
      </c>
      <c r="AC43" s="175">
        <f t="shared" si="82"/>
        <v>0</v>
      </c>
      <c r="AD43" s="175">
        <f>SUMIFS('1-2 人员岗位信息'!F:F,'1-2 人员岗位信息'!$C:$C,"劳务派遣",'1-2 人员岗位信息'!$B:$B,$D43)</f>
        <v>0</v>
      </c>
      <c r="AE43" s="298"/>
      <c r="AF43" s="175">
        <f t="shared" si="83"/>
        <v>0</v>
      </c>
      <c r="AG43" s="175">
        <f>SUMIFS('1-2 人员岗位信息'!G:G,'1-2 人员岗位信息'!$C:$C,"劳务派遣",'1-2 人员岗位信息'!$B:$B,$D43)</f>
        <v>0</v>
      </c>
      <c r="AH43" s="298"/>
      <c r="AI43" s="175">
        <f t="shared" si="84"/>
        <v>0</v>
      </c>
      <c r="AJ43" s="175">
        <f>SUMIFS('1-2 人员岗位信息'!H:H,'1-2 人员岗位信息'!$C:$C,"劳务派遣",'1-2 人员岗位信息'!$B:$B,$D43)</f>
        <v>0</v>
      </c>
      <c r="AK43" s="298"/>
      <c r="AL43" s="175">
        <f t="shared" si="85"/>
        <v>0</v>
      </c>
      <c r="AM43" s="175">
        <f>SUMIFS('1-2 人员岗位信息'!I:I,'1-2 人员岗位信息'!$C:$C,"劳务派遣",'1-2 人员岗位信息'!$B:$B,$D43)</f>
        <v>0</v>
      </c>
      <c r="AN43" s="298"/>
      <c r="AO43" s="175">
        <f t="shared" si="86"/>
        <v>0</v>
      </c>
      <c r="AP43" s="175">
        <f>SUMIFS('1-2 人员岗位信息'!J:J,'1-2 人员岗位信息'!$C:$C,"劳务派遣",'1-2 人员岗位信息'!$B:$B,$D43)</f>
        <v>0</v>
      </c>
      <c r="AQ43" s="298"/>
      <c r="AR43" s="175">
        <f t="shared" si="87"/>
        <v>0</v>
      </c>
      <c r="AS43" s="175">
        <f>SUMIFS('1-2 人员岗位信息'!K:K,'1-2 人员岗位信息'!$C:$C,"劳务派遣",'1-2 人员岗位信息'!$B:$B,$D43)</f>
        <v>0</v>
      </c>
      <c r="AT43" s="298"/>
      <c r="AU43" s="175">
        <f t="shared" si="88"/>
        <v>0</v>
      </c>
      <c r="AV43" s="175">
        <f>SUMIFS('1-2 人员岗位信息'!L:L,'1-2 人员岗位信息'!$C:$C,"劳务派遣",'1-2 人员岗位信息'!$B:$B,$D43)</f>
        <v>0</v>
      </c>
      <c r="AW43" s="298"/>
      <c r="AX43" s="175">
        <f t="shared" si="89"/>
        <v>0</v>
      </c>
      <c r="AY43" s="175">
        <f>SUMIFS('1-2 人员岗位信息'!M:M,'1-2 人员岗位信息'!$C:$C,"劳务派遣",'1-2 人员岗位信息'!$B:$B,$D43)</f>
        <v>0</v>
      </c>
      <c r="AZ43" s="298"/>
      <c r="BA43" s="175">
        <f t="shared" si="90"/>
        <v>0</v>
      </c>
      <c r="BB43" s="175">
        <f>SUMIFS('1-2 人员岗位信息'!N:N,'1-2 人员岗位信息'!$C:$C,"劳务派遣",'1-2 人员岗位信息'!$B:$B,$D43)</f>
        <v>0</v>
      </c>
      <c r="BC43" s="298"/>
      <c r="BD43" s="175">
        <f t="shared" si="91"/>
        <v>0</v>
      </c>
      <c r="BE43" s="175">
        <f>SUMIFS('1-2 人员岗位信息'!O:O,'1-2 人员岗位信息'!$C:$C,"劳务派遣",'1-2 人员岗位信息'!$B:$B,$D43)</f>
        <v>0</v>
      </c>
      <c r="BF43" s="298"/>
      <c r="BG43" s="175">
        <f t="shared" si="92"/>
        <v>0</v>
      </c>
      <c r="BH43" s="175">
        <f>SUMIFS('1-2 人员岗位信息'!P:P,'1-2 人员岗位信息'!$C:$C,"劳务派遣",'1-2 人员岗位信息'!$B:$B,$D43)</f>
        <v>0</v>
      </c>
      <c r="BI43" s="298"/>
      <c r="BJ43" s="175">
        <f t="shared" si="93"/>
        <v>0</v>
      </c>
      <c r="BK43" s="175">
        <f>SUMIFS('1-2 人员岗位信息'!Q:Q,'1-2 人员岗位信息'!$C:$C,"劳务派遣",'1-2 人员岗位信息'!$B:$B,$D43)</f>
        <v>0</v>
      </c>
      <c r="BL43" s="307"/>
      <c r="BM43" s="311"/>
      <c r="BN43" s="315"/>
    </row>
    <row r="44" s="263" customFormat="1" ht="33.95" customHeight="1" outlineLevel="5" spans="2:66">
      <c r="B44" s="175" t="s">
        <v>799</v>
      </c>
      <c r="C44" s="283" t="s">
        <v>867</v>
      </c>
      <c r="D44" s="263" t="s">
        <v>852</v>
      </c>
      <c r="E44" s="175" t="s">
        <v>853</v>
      </c>
      <c r="F44" s="175"/>
      <c r="G44" s="175" t="s">
        <v>803</v>
      </c>
      <c r="H44" s="175">
        <f t="shared" si="77"/>
        <v>0</v>
      </c>
      <c r="I44" s="175" t="s">
        <v>804</v>
      </c>
      <c r="J44" s="175" t="e">
        <f t="shared" si="78"/>
        <v>#DIV/0!</v>
      </c>
      <c r="K44" s="175" t="s">
        <v>805</v>
      </c>
      <c r="L44" s="175" t="e">
        <f t="shared" si="79"/>
        <v>#DIV/0!</v>
      </c>
      <c r="M44" s="175" t="s">
        <v>806</v>
      </c>
      <c r="N44" s="175">
        <f t="shared" si="80"/>
        <v>0</v>
      </c>
      <c r="O44" s="175"/>
      <c r="P44" s="290"/>
      <c r="Q44" s="290"/>
      <c r="R44" s="290"/>
      <c r="S44" s="290"/>
      <c r="T44" s="290"/>
      <c r="U44" s="290"/>
      <c r="V44" s="290"/>
      <c r="W44" s="290"/>
      <c r="X44" s="290"/>
      <c r="Y44" s="290"/>
      <c r="Z44" s="290"/>
      <c r="AA44" s="290"/>
      <c r="AB44" s="175">
        <f t="shared" si="81"/>
        <v>0</v>
      </c>
      <c r="AC44" s="175">
        <f t="shared" si="82"/>
        <v>0</v>
      </c>
      <c r="AD44" s="175">
        <f>SUMIFS('1-2 人员岗位信息'!F:F,'1-2 人员岗位信息'!$C:$C,"劳务派遣",'1-2 人员岗位信息'!$B:$B,$D44)</f>
        <v>0</v>
      </c>
      <c r="AE44" s="298"/>
      <c r="AF44" s="175">
        <f t="shared" si="83"/>
        <v>0</v>
      </c>
      <c r="AG44" s="175">
        <f>SUMIFS('1-2 人员岗位信息'!G:G,'1-2 人员岗位信息'!$C:$C,"劳务派遣",'1-2 人员岗位信息'!$B:$B,$D44)</f>
        <v>0</v>
      </c>
      <c r="AH44" s="298"/>
      <c r="AI44" s="175">
        <f t="shared" si="84"/>
        <v>0</v>
      </c>
      <c r="AJ44" s="175">
        <f>SUMIFS('1-2 人员岗位信息'!H:H,'1-2 人员岗位信息'!$C:$C,"劳务派遣",'1-2 人员岗位信息'!$B:$B,$D44)</f>
        <v>0</v>
      </c>
      <c r="AK44" s="298"/>
      <c r="AL44" s="175">
        <f t="shared" si="85"/>
        <v>0</v>
      </c>
      <c r="AM44" s="175">
        <f>SUMIFS('1-2 人员岗位信息'!I:I,'1-2 人员岗位信息'!$C:$C,"劳务派遣",'1-2 人员岗位信息'!$B:$B,$D44)</f>
        <v>0</v>
      </c>
      <c r="AN44" s="298"/>
      <c r="AO44" s="175">
        <f t="shared" si="86"/>
        <v>0</v>
      </c>
      <c r="AP44" s="175">
        <f>SUMIFS('1-2 人员岗位信息'!J:J,'1-2 人员岗位信息'!$C:$C,"劳务派遣",'1-2 人员岗位信息'!$B:$B,$D44)</f>
        <v>0</v>
      </c>
      <c r="AQ44" s="298"/>
      <c r="AR44" s="175">
        <f t="shared" si="87"/>
        <v>0</v>
      </c>
      <c r="AS44" s="175">
        <f>SUMIFS('1-2 人员岗位信息'!K:K,'1-2 人员岗位信息'!$C:$C,"劳务派遣",'1-2 人员岗位信息'!$B:$B,$D44)</f>
        <v>0</v>
      </c>
      <c r="AT44" s="298"/>
      <c r="AU44" s="175">
        <f t="shared" si="88"/>
        <v>0</v>
      </c>
      <c r="AV44" s="175">
        <f>SUMIFS('1-2 人员岗位信息'!L:L,'1-2 人员岗位信息'!$C:$C,"劳务派遣",'1-2 人员岗位信息'!$B:$B,$D44)</f>
        <v>0</v>
      </c>
      <c r="AW44" s="298"/>
      <c r="AX44" s="175">
        <f t="shared" si="89"/>
        <v>0</v>
      </c>
      <c r="AY44" s="175">
        <f>SUMIFS('1-2 人员岗位信息'!M:M,'1-2 人员岗位信息'!$C:$C,"劳务派遣",'1-2 人员岗位信息'!$B:$B,$D44)</f>
        <v>0</v>
      </c>
      <c r="AZ44" s="298"/>
      <c r="BA44" s="175">
        <f t="shared" si="90"/>
        <v>0</v>
      </c>
      <c r="BB44" s="175">
        <f>SUMIFS('1-2 人员岗位信息'!N:N,'1-2 人员岗位信息'!$C:$C,"劳务派遣",'1-2 人员岗位信息'!$B:$B,$D44)</f>
        <v>0</v>
      </c>
      <c r="BC44" s="298"/>
      <c r="BD44" s="175">
        <f t="shared" si="91"/>
        <v>0</v>
      </c>
      <c r="BE44" s="175">
        <f>SUMIFS('1-2 人员岗位信息'!O:O,'1-2 人员岗位信息'!$C:$C,"劳务派遣",'1-2 人员岗位信息'!$B:$B,$D44)</f>
        <v>0</v>
      </c>
      <c r="BF44" s="298"/>
      <c r="BG44" s="175">
        <f t="shared" si="92"/>
        <v>0</v>
      </c>
      <c r="BH44" s="175">
        <f>SUMIFS('1-2 人员岗位信息'!P:P,'1-2 人员岗位信息'!$C:$C,"劳务派遣",'1-2 人员岗位信息'!$B:$B,$D44)</f>
        <v>0</v>
      </c>
      <c r="BI44" s="298"/>
      <c r="BJ44" s="175">
        <f t="shared" si="93"/>
        <v>0</v>
      </c>
      <c r="BK44" s="175">
        <f>SUMIFS('1-2 人员岗位信息'!Q:Q,'1-2 人员岗位信息'!$C:$C,"劳务派遣",'1-2 人员岗位信息'!$B:$B,$D44)</f>
        <v>0</v>
      </c>
      <c r="BL44" s="307"/>
      <c r="BM44" s="311"/>
      <c r="BN44" s="315"/>
    </row>
    <row r="45" s="263" customFormat="1" ht="33.95" customHeight="1" outlineLevel="5" spans="2:66">
      <c r="B45" s="175" t="s">
        <v>799</v>
      </c>
      <c r="C45" s="283" t="s">
        <v>868</v>
      </c>
      <c r="D45" s="263" t="s">
        <v>855</v>
      </c>
      <c r="E45" s="175" t="s">
        <v>856</v>
      </c>
      <c r="F45" s="175"/>
      <c r="G45" s="175" t="s">
        <v>803</v>
      </c>
      <c r="H45" s="175">
        <f t="shared" si="77"/>
        <v>0</v>
      </c>
      <c r="I45" s="175" t="s">
        <v>804</v>
      </c>
      <c r="J45" s="175" t="e">
        <f t="shared" si="78"/>
        <v>#DIV/0!</v>
      </c>
      <c r="K45" s="175" t="s">
        <v>805</v>
      </c>
      <c r="L45" s="175" t="e">
        <f t="shared" si="79"/>
        <v>#DIV/0!</v>
      </c>
      <c r="M45" s="175" t="s">
        <v>806</v>
      </c>
      <c r="N45" s="175">
        <f t="shared" si="80"/>
        <v>0</v>
      </c>
      <c r="O45" s="175"/>
      <c r="P45" s="290"/>
      <c r="Q45" s="290"/>
      <c r="R45" s="290"/>
      <c r="S45" s="290"/>
      <c r="T45" s="290"/>
      <c r="U45" s="290"/>
      <c r="V45" s="290"/>
      <c r="W45" s="290"/>
      <c r="X45" s="290"/>
      <c r="Y45" s="290"/>
      <c r="Z45" s="290"/>
      <c r="AA45" s="290"/>
      <c r="AB45" s="175">
        <f t="shared" si="81"/>
        <v>0</v>
      </c>
      <c r="AC45" s="175">
        <f t="shared" si="82"/>
        <v>0</v>
      </c>
      <c r="AD45" s="175">
        <f>SUMIFS('1-2 人员岗位信息'!F:F,'1-2 人员岗位信息'!$C:$C,"劳务派遣",'1-2 人员岗位信息'!$B:$B,$D45)</f>
        <v>0</v>
      </c>
      <c r="AE45" s="298"/>
      <c r="AF45" s="175">
        <f t="shared" si="83"/>
        <v>0</v>
      </c>
      <c r="AG45" s="175">
        <f>SUMIFS('1-2 人员岗位信息'!G:G,'1-2 人员岗位信息'!$C:$C,"劳务派遣",'1-2 人员岗位信息'!$B:$B,$D45)</f>
        <v>0</v>
      </c>
      <c r="AH45" s="298"/>
      <c r="AI45" s="175">
        <f t="shared" si="84"/>
        <v>0</v>
      </c>
      <c r="AJ45" s="175">
        <f>SUMIFS('1-2 人员岗位信息'!H:H,'1-2 人员岗位信息'!$C:$C,"劳务派遣",'1-2 人员岗位信息'!$B:$B,$D45)</f>
        <v>0</v>
      </c>
      <c r="AK45" s="298"/>
      <c r="AL45" s="175">
        <f t="shared" si="85"/>
        <v>0</v>
      </c>
      <c r="AM45" s="175">
        <f>SUMIFS('1-2 人员岗位信息'!I:I,'1-2 人员岗位信息'!$C:$C,"劳务派遣",'1-2 人员岗位信息'!$B:$B,$D45)</f>
        <v>0</v>
      </c>
      <c r="AN45" s="298"/>
      <c r="AO45" s="175">
        <f t="shared" si="86"/>
        <v>0</v>
      </c>
      <c r="AP45" s="175">
        <f>SUMIFS('1-2 人员岗位信息'!J:J,'1-2 人员岗位信息'!$C:$C,"劳务派遣",'1-2 人员岗位信息'!$B:$B,$D45)</f>
        <v>0</v>
      </c>
      <c r="AQ45" s="298"/>
      <c r="AR45" s="175">
        <f t="shared" si="87"/>
        <v>0</v>
      </c>
      <c r="AS45" s="175">
        <f>SUMIFS('1-2 人员岗位信息'!K:K,'1-2 人员岗位信息'!$C:$C,"劳务派遣",'1-2 人员岗位信息'!$B:$B,$D45)</f>
        <v>0</v>
      </c>
      <c r="AT45" s="298"/>
      <c r="AU45" s="175">
        <f t="shared" si="88"/>
        <v>0</v>
      </c>
      <c r="AV45" s="175">
        <f>SUMIFS('1-2 人员岗位信息'!L:L,'1-2 人员岗位信息'!$C:$C,"劳务派遣",'1-2 人员岗位信息'!$B:$B,$D45)</f>
        <v>0</v>
      </c>
      <c r="AW45" s="298"/>
      <c r="AX45" s="175">
        <f t="shared" si="89"/>
        <v>0</v>
      </c>
      <c r="AY45" s="175">
        <f>SUMIFS('1-2 人员岗位信息'!M:M,'1-2 人员岗位信息'!$C:$C,"劳务派遣",'1-2 人员岗位信息'!$B:$B,$D45)</f>
        <v>0</v>
      </c>
      <c r="AZ45" s="298"/>
      <c r="BA45" s="175">
        <f t="shared" si="90"/>
        <v>0</v>
      </c>
      <c r="BB45" s="175">
        <f>SUMIFS('1-2 人员岗位信息'!N:N,'1-2 人员岗位信息'!$C:$C,"劳务派遣",'1-2 人员岗位信息'!$B:$B,$D45)</f>
        <v>0</v>
      </c>
      <c r="BC45" s="298"/>
      <c r="BD45" s="175">
        <f t="shared" si="91"/>
        <v>0</v>
      </c>
      <c r="BE45" s="175">
        <f>SUMIFS('1-2 人员岗位信息'!O:O,'1-2 人员岗位信息'!$C:$C,"劳务派遣",'1-2 人员岗位信息'!$B:$B,$D45)</f>
        <v>0</v>
      </c>
      <c r="BF45" s="298"/>
      <c r="BG45" s="175">
        <f t="shared" si="92"/>
        <v>0</v>
      </c>
      <c r="BH45" s="175">
        <f>SUMIFS('1-2 人员岗位信息'!P:P,'1-2 人员岗位信息'!$C:$C,"劳务派遣",'1-2 人员岗位信息'!$B:$B,$D45)</f>
        <v>0</v>
      </c>
      <c r="BI45" s="298"/>
      <c r="BJ45" s="175">
        <f t="shared" si="93"/>
        <v>0</v>
      </c>
      <c r="BK45" s="175">
        <f>SUMIFS('1-2 人员岗位信息'!Q:Q,'1-2 人员岗位信息'!$C:$C,"劳务派遣",'1-2 人员岗位信息'!$B:$B,$D45)</f>
        <v>0</v>
      </c>
      <c r="BL45" s="307"/>
      <c r="BM45" s="311"/>
      <c r="BN45" s="315"/>
    </row>
    <row r="46" s="263" customFormat="1" ht="33.95" customHeight="1" outlineLevel="5" spans="2:66">
      <c r="B46" s="175" t="s">
        <v>799</v>
      </c>
      <c r="C46" s="283" t="s">
        <v>869</v>
      </c>
      <c r="D46" s="263" t="s">
        <v>858</v>
      </c>
      <c r="E46" s="175" t="s">
        <v>859</v>
      </c>
      <c r="F46" s="175"/>
      <c r="G46" s="175" t="s">
        <v>803</v>
      </c>
      <c r="H46" s="175">
        <f t="shared" si="77"/>
        <v>0</v>
      </c>
      <c r="I46" s="175" t="s">
        <v>804</v>
      </c>
      <c r="J46" s="175" t="e">
        <f t="shared" si="78"/>
        <v>#DIV/0!</v>
      </c>
      <c r="K46" s="175" t="s">
        <v>805</v>
      </c>
      <c r="L46" s="175" t="e">
        <f t="shared" si="79"/>
        <v>#DIV/0!</v>
      </c>
      <c r="M46" s="175" t="s">
        <v>806</v>
      </c>
      <c r="N46" s="175">
        <f t="shared" si="80"/>
        <v>0</v>
      </c>
      <c r="O46" s="175"/>
      <c r="P46" s="290"/>
      <c r="Q46" s="290"/>
      <c r="R46" s="290"/>
      <c r="S46" s="290"/>
      <c r="T46" s="290"/>
      <c r="U46" s="290"/>
      <c r="V46" s="290"/>
      <c r="W46" s="290"/>
      <c r="X46" s="290"/>
      <c r="Y46" s="290"/>
      <c r="Z46" s="290"/>
      <c r="AA46" s="290"/>
      <c r="AB46" s="175">
        <f t="shared" si="81"/>
        <v>0</v>
      </c>
      <c r="AC46" s="175">
        <f t="shared" si="82"/>
        <v>0</v>
      </c>
      <c r="AD46" s="175">
        <f>SUMIFS('1-2 人员岗位信息'!F:F,'1-2 人员岗位信息'!$C:$C,"劳务派遣",'1-2 人员岗位信息'!$B:$B,$D46)</f>
        <v>0</v>
      </c>
      <c r="AE46" s="298"/>
      <c r="AF46" s="175">
        <f t="shared" si="83"/>
        <v>0</v>
      </c>
      <c r="AG46" s="175">
        <f>SUMIFS('1-2 人员岗位信息'!G:G,'1-2 人员岗位信息'!$C:$C,"劳务派遣",'1-2 人员岗位信息'!$B:$B,$D46)</f>
        <v>0</v>
      </c>
      <c r="AH46" s="298"/>
      <c r="AI46" s="175">
        <f t="shared" si="84"/>
        <v>0</v>
      </c>
      <c r="AJ46" s="175">
        <f>SUMIFS('1-2 人员岗位信息'!H:H,'1-2 人员岗位信息'!$C:$C,"劳务派遣",'1-2 人员岗位信息'!$B:$B,$D46)</f>
        <v>0</v>
      </c>
      <c r="AK46" s="298"/>
      <c r="AL46" s="175">
        <f t="shared" si="85"/>
        <v>0</v>
      </c>
      <c r="AM46" s="175">
        <f>SUMIFS('1-2 人员岗位信息'!I:I,'1-2 人员岗位信息'!$C:$C,"劳务派遣",'1-2 人员岗位信息'!$B:$B,$D46)</f>
        <v>0</v>
      </c>
      <c r="AN46" s="298"/>
      <c r="AO46" s="175">
        <f t="shared" si="86"/>
        <v>0</v>
      </c>
      <c r="AP46" s="175">
        <f>SUMIFS('1-2 人员岗位信息'!J:J,'1-2 人员岗位信息'!$C:$C,"劳务派遣",'1-2 人员岗位信息'!$B:$B,$D46)</f>
        <v>0</v>
      </c>
      <c r="AQ46" s="298"/>
      <c r="AR46" s="175">
        <f t="shared" si="87"/>
        <v>0</v>
      </c>
      <c r="AS46" s="175">
        <f>SUMIFS('1-2 人员岗位信息'!K:K,'1-2 人员岗位信息'!$C:$C,"劳务派遣",'1-2 人员岗位信息'!$B:$B,$D46)</f>
        <v>0</v>
      </c>
      <c r="AT46" s="298"/>
      <c r="AU46" s="175">
        <f t="shared" si="88"/>
        <v>0</v>
      </c>
      <c r="AV46" s="175">
        <f>SUMIFS('1-2 人员岗位信息'!L:L,'1-2 人员岗位信息'!$C:$C,"劳务派遣",'1-2 人员岗位信息'!$B:$B,$D46)</f>
        <v>0</v>
      </c>
      <c r="AW46" s="298"/>
      <c r="AX46" s="175">
        <f t="shared" si="89"/>
        <v>0</v>
      </c>
      <c r="AY46" s="175">
        <f>SUMIFS('1-2 人员岗位信息'!M:M,'1-2 人员岗位信息'!$C:$C,"劳务派遣",'1-2 人员岗位信息'!$B:$B,$D46)</f>
        <v>0</v>
      </c>
      <c r="AZ46" s="298"/>
      <c r="BA46" s="175">
        <f t="shared" si="90"/>
        <v>0</v>
      </c>
      <c r="BB46" s="175">
        <f>SUMIFS('1-2 人员岗位信息'!N:N,'1-2 人员岗位信息'!$C:$C,"劳务派遣",'1-2 人员岗位信息'!$B:$B,$D46)</f>
        <v>0</v>
      </c>
      <c r="BC46" s="298"/>
      <c r="BD46" s="175">
        <f t="shared" si="91"/>
        <v>0</v>
      </c>
      <c r="BE46" s="175">
        <f>SUMIFS('1-2 人员岗位信息'!O:O,'1-2 人员岗位信息'!$C:$C,"劳务派遣",'1-2 人员岗位信息'!$B:$B,$D46)</f>
        <v>0</v>
      </c>
      <c r="BF46" s="298"/>
      <c r="BG46" s="175">
        <f t="shared" si="92"/>
        <v>0</v>
      </c>
      <c r="BH46" s="175">
        <f>SUMIFS('1-2 人员岗位信息'!P:P,'1-2 人员岗位信息'!$C:$C,"劳务派遣",'1-2 人员岗位信息'!$B:$B,$D46)</f>
        <v>0</v>
      </c>
      <c r="BI46" s="298"/>
      <c r="BJ46" s="175">
        <f t="shared" si="93"/>
        <v>0</v>
      </c>
      <c r="BK46" s="175">
        <f>SUMIFS('1-2 人员岗位信息'!Q:Q,'1-2 人员岗位信息'!$C:$C,"劳务派遣",'1-2 人员岗位信息'!$B:$B,$D46)</f>
        <v>0</v>
      </c>
      <c r="BL46" s="307"/>
      <c r="BM46" s="311"/>
      <c r="BN46" s="315"/>
    </row>
    <row r="47" s="263" customFormat="1" ht="33.95" customHeight="1" outlineLevel="5" spans="2:66">
      <c r="B47" s="175" t="s">
        <v>799</v>
      </c>
      <c r="C47" s="283" t="s">
        <v>870</v>
      </c>
      <c r="D47" s="263" t="s">
        <v>861</v>
      </c>
      <c r="E47" s="175" t="s">
        <v>821</v>
      </c>
      <c r="F47" s="175"/>
      <c r="G47" s="175" t="s">
        <v>803</v>
      </c>
      <c r="H47" s="175">
        <f t="shared" si="77"/>
        <v>0</v>
      </c>
      <c r="I47" s="175" t="s">
        <v>804</v>
      </c>
      <c r="J47" s="175" t="e">
        <f t="shared" si="78"/>
        <v>#DIV/0!</v>
      </c>
      <c r="K47" s="175" t="s">
        <v>805</v>
      </c>
      <c r="L47" s="175" t="e">
        <f t="shared" si="79"/>
        <v>#DIV/0!</v>
      </c>
      <c r="M47" s="175" t="s">
        <v>806</v>
      </c>
      <c r="N47" s="175">
        <f t="shared" si="80"/>
        <v>0</v>
      </c>
      <c r="O47" s="175"/>
      <c r="P47" s="290"/>
      <c r="Q47" s="290"/>
      <c r="R47" s="290"/>
      <c r="S47" s="290"/>
      <c r="T47" s="290"/>
      <c r="U47" s="290"/>
      <c r="V47" s="290"/>
      <c r="W47" s="290"/>
      <c r="X47" s="290"/>
      <c r="Y47" s="290"/>
      <c r="Z47" s="290"/>
      <c r="AA47" s="290"/>
      <c r="AB47" s="175">
        <f t="shared" si="81"/>
        <v>0</v>
      </c>
      <c r="AC47" s="175">
        <f t="shared" si="82"/>
        <v>0</v>
      </c>
      <c r="AD47" s="175">
        <f>SUMIFS('1-2 人员岗位信息'!F:F,'1-2 人员岗位信息'!$C:$C,"劳务派遣",'1-2 人员岗位信息'!$B:$B,$D47)</f>
        <v>0</v>
      </c>
      <c r="AE47" s="298"/>
      <c r="AF47" s="175">
        <f t="shared" si="83"/>
        <v>0</v>
      </c>
      <c r="AG47" s="175">
        <f>SUMIFS('1-2 人员岗位信息'!G:G,'1-2 人员岗位信息'!$C:$C,"劳务派遣",'1-2 人员岗位信息'!$B:$B,$D47)</f>
        <v>0</v>
      </c>
      <c r="AH47" s="298"/>
      <c r="AI47" s="175">
        <f t="shared" si="84"/>
        <v>0</v>
      </c>
      <c r="AJ47" s="175">
        <f>SUMIFS('1-2 人员岗位信息'!H:H,'1-2 人员岗位信息'!$C:$C,"劳务派遣",'1-2 人员岗位信息'!$B:$B,$D47)</f>
        <v>0</v>
      </c>
      <c r="AK47" s="298"/>
      <c r="AL47" s="175">
        <f t="shared" si="85"/>
        <v>0</v>
      </c>
      <c r="AM47" s="175">
        <f>SUMIFS('1-2 人员岗位信息'!I:I,'1-2 人员岗位信息'!$C:$C,"劳务派遣",'1-2 人员岗位信息'!$B:$B,$D47)</f>
        <v>0</v>
      </c>
      <c r="AN47" s="298"/>
      <c r="AO47" s="175">
        <f t="shared" si="86"/>
        <v>0</v>
      </c>
      <c r="AP47" s="175">
        <f>SUMIFS('1-2 人员岗位信息'!J:J,'1-2 人员岗位信息'!$C:$C,"劳务派遣",'1-2 人员岗位信息'!$B:$B,$D47)</f>
        <v>0</v>
      </c>
      <c r="AQ47" s="298"/>
      <c r="AR47" s="175">
        <f t="shared" si="87"/>
        <v>0</v>
      </c>
      <c r="AS47" s="175">
        <f>SUMIFS('1-2 人员岗位信息'!K:K,'1-2 人员岗位信息'!$C:$C,"劳务派遣",'1-2 人员岗位信息'!$B:$B,$D47)</f>
        <v>0</v>
      </c>
      <c r="AT47" s="298"/>
      <c r="AU47" s="175">
        <f t="shared" si="88"/>
        <v>0</v>
      </c>
      <c r="AV47" s="175">
        <f>SUMIFS('1-2 人员岗位信息'!L:L,'1-2 人员岗位信息'!$C:$C,"劳务派遣",'1-2 人员岗位信息'!$B:$B,$D47)</f>
        <v>0</v>
      </c>
      <c r="AW47" s="298"/>
      <c r="AX47" s="175">
        <f t="shared" si="89"/>
        <v>0</v>
      </c>
      <c r="AY47" s="175">
        <f>SUMIFS('1-2 人员岗位信息'!M:M,'1-2 人员岗位信息'!$C:$C,"劳务派遣",'1-2 人员岗位信息'!$B:$B,$D47)</f>
        <v>0</v>
      </c>
      <c r="AZ47" s="298"/>
      <c r="BA47" s="175">
        <f t="shared" si="90"/>
        <v>0</v>
      </c>
      <c r="BB47" s="175">
        <f>SUMIFS('1-2 人员岗位信息'!N:N,'1-2 人员岗位信息'!$C:$C,"劳务派遣",'1-2 人员岗位信息'!$B:$B,$D47)</f>
        <v>0</v>
      </c>
      <c r="BC47" s="298"/>
      <c r="BD47" s="175">
        <f t="shared" si="91"/>
        <v>0</v>
      </c>
      <c r="BE47" s="175">
        <f>SUMIFS('1-2 人员岗位信息'!O:O,'1-2 人员岗位信息'!$C:$C,"劳务派遣",'1-2 人员岗位信息'!$B:$B,$D47)</f>
        <v>0</v>
      </c>
      <c r="BF47" s="298"/>
      <c r="BG47" s="175">
        <f t="shared" si="92"/>
        <v>0</v>
      </c>
      <c r="BH47" s="175">
        <f>SUMIFS('1-2 人员岗位信息'!P:P,'1-2 人员岗位信息'!$C:$C,"劳务派遣",'1-2 人员岗位信息'!$B:$B,$D47)</f>
        <v>0</v>
      </c>
      <c r="BI47" s="298"/>
      <c r="BJ47" s="175">
        <f t="shared" si="93"/>
        <v>0</v>
      </c>
      <c r="BK47" s="175">
        <f>SUMIFS('1-2 人员岗位信息'!Q:Q,'1-2 人员岗位信息'!$C:$C,"劳务派遣",'1-2 人员岗位信息'!$B:$B,$D47)</f>
        <v>0</v>
      </c>
      <c r="BL47" s="307"/>
      <c r="BM47" s="311"/>
      <c r="BN47" s="315"/>
    </row>
    <row r="48" s="118" customFormat="1" ht="33.95" customHeight="1" outlineLevel="4" spans="2:66">
      <c r="B48" s="119" t="s">
        <v>794</v>
      </c>
      <c r="C48" s="120" t="s">
        <v>871</v>
      </c>
      <c r="D48" s="118" t="s">
        <v>19</v>
      </c>
      <c r="E48" s="119"/>
      <c r="F48" s="119"/>
      <c r="G48" s="119"/>
      <c r="H48" s="119">
        <f>SUM(H49:H56)</f>
        <v>0</v>
      </c>
      <c r="I48" s="119"/>
      <c r="J48" s="119"/>
      <c r="K48" s="119"/>
      <c r="L48" s="119"/>
      <c r="M48" s="119"/>
      <c r="N48" s="119"/>
      <c r="O48" s="119"/>
      <c r="P48" s="289"/>
      <c r="Q48" s="289"/>
      <c r="R48" s="289"/>
      <c r="S48" s="289"/>
      <c r="T48" s="289"/>
      <c r="U48" s="289"/>
      <c r="V48" s="289"/>
      <c r="W48" s="289"/>
      <c r="X48" s="289"/>
      <c r="Y48" s="289"/>
      <c r="Z48" s="289"/>
      <c r="AA48" s="289"/>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6"/>
      <c r="BM48" s="311"/>
      <c r="BN48" s="314"/>
    </row>
    <row r="49" s="263" customFormat="1" ht="33.95" customHeight="1" outlineLevel="5" spans="2:66">
      <c r="B49" s="175" t="s">
        <v>799</v>
      </c>
      <c r="C49" s="283" t="s">
        <v>872</v>
      </c>
      <c r="D49" s="263" t="s">
        <v>841</v>
      </c>
      <c r="E49" s="175" t="s">
        <v>873</v>
      </c>
      <c r="F49" s="175"/>
      <c r="G49" s="175" t="s">
        <v>803</v>
      </c>
      <c r="H49" s="175">
        <f t="shared" ref="H49:H56" si="95">AB49</f>
        <v>0</v>
      </c>
      <c r="I49" s="175" t="s">
        <v>804</v>
      </c>
      <c r="J49" s="175" t="e">
        <f t="shared" ref="J49:J56" si="96">SUM(AD49,AG49,AJ49,AM49,AP49,AS49,AV49,AY49,BB49,BE49,BH49,BK49)/N49</f>
        <v>#DIV/0!</v>
      </c>
      <c r="K49" s="175" t="s">
        <v>805</v>
      </c>
      <c r="L49" s="175" t="e">
        <f t="shared" ref="L49:L56" si="97">H49/N49/J49</f>
        <v>#DIV/0!</v>
      </c>
      <c r="M49" s="175" t="s">
        <v>806</v>
      </c>
      <c r="N49" s="175">
        <f t="shared" ref="N49:N56" si="98">COUNTIF(AD49,"&gt;0")+COUNTIF(AG49,"&gt;0")+COUNTIF(AJ49,"&gt;0")+COUNTIF(AM49,"&gt;0")+COUNTIF(AP49,"&gt;0")+COUNTIF(AS49,"&gt;0")+COUNTIF(AV49,"&gt;0")+COUNTIF(AY49,"&gt;0")+COUNTIF(BB49,"&gt;0")+COUNTIF(BE49,"&gt;0")+COUNTIF(BH49,"&gt;0")+COUNTIF(BK49,"&gt;0")</f>
        <v>0</v>
      </c>
      <c r="O49" s="175"/>
      <c r="P49" s="290"/>
      <c r="Q49" s="290"/>
      <c r="R49" s="290"/>
      <c r="S49" s="290"/>
      <c r="T49" s="290"/>
      <c r="U49" s="290"/>
      <c r="V49" s="290"/>
      <c r="W49" s="290"/>
      <c r="X49" s="290"/>
      <c r="Y49" s="290"/>
      <c r="Z49" s="290"/>
      <c r="AA49" s="290"/>
      <c r="AB49" s="175">
        <f t="shared" ref="AB49:AB56" si="99">SUM(AC49,AF49,AI49,AL49,AO49,AR49,AU49,AX49,BA49,BD49,BG49,BJ49)</f>
        <v>0</v>
      </c>
      <c r="AC49" s="175">
        <f t="shared" ref="AC49:AC56" si="100">AD49*AE49</f>
        <v>0</v>
      </c>
      <c r="AD49" s="175">
        <f>SUMIFS('1-2 人员岗位信息'!F:F,'1-2 人员岗位信息'!$C:$C,"专业外包",'1-2 人员岗位信息'!$B:$B,$D49)</f>
        <v>0</v>
      </c>
      <c r="AE49" s="298"/>
      <c r="AF49" s="175">
        <f t="shared" ref="AF49:AF56" si="101">AG49*AH49</f>
        <v>0</v>
      </c>
      <c r="AG49" s="175">
        <f>SUMIFS('1-2 人员岗位信息'!G:G,'1-2 人员岗位信息'!$C:$C,"专业外包",'1-2 人员岗位信息'!$B:$B,$D49)</f>
        <v>0</v>
      </c>
      <c r="AH49" s="298"/>
      <c r="AI49" s="175">
        <f t="shared" ref="AI49:AI56" si="102">AJ49*AK49</f>
        <v>0</v>
      </c>
      <c r="AJ49" s="175">
        <f>SUMIFS('1-2 人员岗位信息'!H:H,'1-2 人员岗位信息'!$C:$C,"专业外包",'1-2 人员岗位信息'!$B:$B,$D49)</f>
        <v>0</v>
      </c>
      <c r="AK49" s="298"/>
      <c r="AL49" s="175">
        <f t="shared" ref="AL49:AL56" si="103">AM49*AN49</f>
        <v>0</v>
      </c>
      <c r="AM49" s="175">
        <f>SUMIFS('1-2 人员岗位信息'!I:I,'1-2 人员岗位信息'!$C:$C,"专业外包",'1-2 人员岗位信息'!$B:$B,$D49)</f>
        <v>0</v>
      </c>
      <c r="AN49" s="298"/>
      <c r="AO49" s="175">
        <f t="shared" ref="AO49:AO56" si="104">AP49*AQ49</f>
        <v>0</v>
      </c>
      <c r="AP49" s="175">
        <f>SUMIFS('1-2 人员岗位信息'!J:J,'1-2 人员岗位信息'!$C:$C,"专业外包",'1-2 人员岗位信息'!$B:$B,$D49)</f>
        <v>0</v>
      </c>
      <c r="AQ49" s="298"/>
      <c r="AR49" s="175">
        <f t="shared" ref="AR49:AR56" si="105">AS49*AT49</f>
        <v>0</v>
      </c>
      <c r="AS49" s="175">
        <f>SUMIFS('1-2 人员岗位信息'!K:K,'1-2 人员岗位信息'!$C:$C,"专业外包",'1-2 人员岗位信息'!$B:$B,$D49)</f>
        <v>0</v>
      </c>
      <c r="AT49" s="298"/>
      <c r="AU49" s="175">
        <f t="shared" ref="AU49:AU56" si="106">AV49*AW49</f>
        <v>0</v>
      </c>
      <c r="AV49" s="175">
        <f>SUMIFS('1-2 人员岗位信息'!L:L,'1-2 人员岗位信息'!$C:$C,"专业外包",'1-2 人员岗位信息'!$B:$B,$D49)</f>
        <v>0</v>
      </c>
      <c r="AW49" s="298"/>
      <c r="AX49" s="175">
        <f t="shared" ref="AX49:AX56" si="107">AY49*AZ49</f>
        <v>0</v>
      </c>
      <c r="AY49" s="175">
        <f>SUMIFS('1-2 人员岗位信息'!M:M,'1-2 人员岗位信息'!$C:$C,"专业外包",'1-2 人员岗位信息'!$B:$B,$D49)</f>
        <v>0</v>
      </c>
      <c r="AZ49" s="298"/>
      <c r="BA49" s="175">
        <f t="shared" ref="BA49:BA56" si="108">BB49*BC49</f>
        <v>0</v>
      </c>
      <c r="BB49" s="175">
        <f>SUMIFS('1-2 人员岗位信息'!N:N,'1-2 人员岗位信息'!$C:$C,"专业外包",'1-2 人员岗位信息'!$B:$B,$D49)</f>
        <v>0</v>
      </c>
      <c r="BC49" s="298"/>
      <c r="BD49" s="175">
        <f t="shared" ref="BD49:BD56" si="109">BE49*BF49</f>
        <v>0</v>
      </c>
      <c r="BE49" s="175">
        <f>SUMIFS('1-2 人员岗位信息'!O:O,'1-2 人员岗位信息'!$C:$C,"专业外包",'1-2 人员岗位信息'!$B:$B,$D49)</f>
        <v>0</v>
      </c>
      <c r="BF49" s="298"/>
      <c r="BG49" s="175">
        <f t="shared" ref="BG49:BG56" si="110">BH49*BI49</f>
        <v>0</v>
      </c>
      <c r="BH49" s="175">
        <f>SUMIFS('1-2 人员岗位信息'!P:P,'1-2 人员岗位信息'!$C:$C,"专业外包",'1-2 人员岗位信息'!$B:$B,$D49)</f>
        <v>0</v>
      </c>
      <c r="BI49" s="298"/>
      <c r="BJ49" s="175">
        <f t="shared" ref="BJ49:BJ56" si="111">BK49*BL49</f>
        <v>0</v>
      </c>
      <c r="BK49" s="175">
        <f>SUMIFS('1-2 人员岗位信息'!Q:Q,'1-2 人员岗位信息'!$C:$C,"专业外包",'1-2 人员岗位信息'!$B:$B,$D49)</f>
        <v>0</v>
      </c>
      <c r="BL49" s="307"/>
      <c r="BM49" s="311"/>
      <c r="BN49" s="315"/>
    </row>
    <row r="50" s="263" customFormat="1" ht="33.95" customHeight="1" outlineLevel="5" spans="2:66">
      <c r="B50" s="175" t="s">
        <v>799</v>
      </c>
      <c r="C50" s="283" t="s">
        <v>874</v>
      </c>
      <c r="D50" s="263" t="s">
        <v>844</v>
      </c>
      <c r="E50" s="175" t="s">
        <v>875</v>
      </c>
      <c r="F50" s="175"/>
      <c r="G50" s="175" t="s">
        <v>803</v>
      </c>
      <c r="H50" s="175">
        <f t="shared" si="95"/>
        <v>0</v>
      </c>
      <c r="I50" s="175" t="s">
        <v>804</v>
      </c>
      <c r="J50" s="175" t="e">
        <f t="shared" si="96"/>
        <v>#DIV/0!</v>
      </c>
      <c r="K50" s="175" t="s">
        <v>805</v>
      </c>
      <c r="L50" s="175" t="e">
        <f t="shared" si="97"/>
        <v>#DIV/0!</v>
      </c>
      <c r="M50" s="175" t="s">
        <v>806</v>
      </c>
      <c r="N50" s="175">
        <f t="shared" si="98"/>
        <v>0</v>
      </c>
      <c r="O50" s="175"/>
      <c r="P50" s="290"/>
      <c r="Q50" s="290"/>
      <c r="R50" s="290"/>
      <c r="S50" s="290"/>
      <c r="T50" s="290"/>
      <c r="U50" s="290"/>
      <c r="V50" s="290"/>
      <c r="W50" s="290"/>
      <c r="X50" s="290"/>
      <c r="Y50" s="290"/>
      <c r="Z50" s="290"/>
      <c r="AA50" s="290"/>
      <c r="AB50" s="175">
        <f t="shared" si="99"/>
        <v>0</v>
      </c>
      <c r="AC50" s="175">
        <f t="shared" si="100"/>
        <v>0</v>
      </c>
      <c r="AD50" s="175">
        <f>SUMIFS('1-2 人员岗位信息'!F:F,'1-2 人员岗位信息'!$C:$C,"专业外包",'1-2 人员岗位信息'!$B:$B,$D50)</f>
        <v>0</v>
      </c>
      <c r="AE50" s="298"/>
      <c r="AF50" s="175">
        <f t="shared" si="101"/>
        <v>0</v>
      </c>
      <c r="AG50" s="175">
        <f>SUMIFS('1-2 人员岗位信息'!G:G,'1-2 人员岗位信息'!$C:$C,"专业外包",'1-2 人员岗位信息'!$B:$B,$D50)</f>
        <v>0</v>
      </c>
      <c r="AH50" s="298"/>
      <c r="AI50" s="175">
        <f t="shared" si="102"/>
        <v>0</v>
      </c>
      <c r="AJ50" s="175">
        <f>SUMIFS('1-2 人员岗位信息'!H:H,'1-2 人员岗位信息'!$C:$C,"专业外包",'1-2 人员岗位信息'!$B:$B,$D50)</f>
        <v>0</v>
      </c>
      <c r="AK50" s="298"/>
      <c r="AL50" s="175">
        <f t="shared" si="103"/>
        <v>0</v>
      </c>
      <c r="AM50" s="175">
        <f>SUMIFS('1-2 人员岗位信息'!I:I,'1-2 人员岗位信息'!$C:$C,"专业外包",'1-2 人员岗位信息'!$B:$B,$D50)</f>
        <v>0</v>
      </c>
      <c r="AN50" s="298"/>
      <c r="AO50" s="175">
        <f t="shared" si="104"/>
        <v>0</v>
      </c>
      <c r="AP50" s="175">
        <f>SUMIFS('1-2 人员岗位信息'!J:J,'1-2 人员岗位信息'!$C:$C,"专业外包",'1-2 人员岗位信息'!$B:$B,$D50)</f>
        <v>0</v>
      </c>
      <c r="AQ50" s="298"/>
      <c r="AR50" s="175">
        <f t="shared" si="105"/>
        <v>0</v>
      </c>
      <c r="AS50" s="175">
        <f>SUMIFS('1-2 人员岗位信息'!K:K,'1-2 人员岗位信息'!$C:$C,"专业外包",'1-2 人员岗位信息'!$B:$B,$D50)</f>
        <v>0</v>
      </c>
      <c r="AT50" s="298"/>
      <c r="AU50" s="175">
        <f t="shared" si="106"/>
        <v>0</v>
      </c>
      <c r="AV50" s="175">
        <f>SUMIFS('1-2 人员岗位信息'!L:L,'1-2 人员岗位信息'!$C:$C,"专业外包",'1-2 人员岗位信息'!$B:$B,$D50)</f>
        <v>0</v>
      </c>
      <c r="AW50" s="298"/>
      <c r="AX50" s="175">
        <f t="shared" si="107"/>
        <v>0</v>
      </c>
      <c r="AY50" s="175">
        <f>SUMIFS('1-2 人员岗位信息'!M:M,'1-2 人员岗位信息'!$C:$C,"专业外包",'1-2 人员岗位信息'!$B:$B,$D50)</f>
        <v>0</v>
      </c>
      <c r="AZ50" s="298"/>
      <c r="BA50" s="175">
        <f t="shared" si="108"/>
        <v>0</v>
      </c>
      <c r="BB50" s="175">
        <f>SUMIFS('1-2 人员岗位信息'!N:N,'1-2 人员岗位信息'!$C:$C,"专业外包",'1-2 人员岗位信息'!$B:$B,$D50)</f>
        <v>0</v>
      </c>
      <c r="BC50" s="298"/>
      <c r="BD50" s="175">
        <f t="shared" si="109"/>
        <v>0</v>
      </c>
      <c r="BE50" s="175">
        <f>SUMIFS('1-2 人员岗位信息'!O:O,'1-2 人员岗位信息'!$C:$C,"专业外包",'1-2 人员岗位信息'!$B:$B,$D50)</f>
        <v>0</v>
      </c>
      <c r="BF50" s="298"/>
      <c r="BG50" s="175">
        <f t="shared" si="110"/>
        <v>0</v>
      </c>
      <c r="BH50" s="175">
        <f>SUMIFS('1-2 人员岗位信息'!P:P,'1-2 人员岗位信息'!$C:$C,"专业外包",'1-2 人员岗位信息'!$B:$B,$D50)</f>
        <v>0</v>
      </c>
      <c r="BI50" s="298"/>
      <c r="BJ50" s="175">
        <f t="shared" si="111"/>
        <v>0</v>
      </c>
      <c r="BK50" s="175">
        <f>SUMIFS('1-2 人员岗位信息'!Q:Q,'1-2 人员岗位信息'!$C:$C,"专业外包",'1-2 人员岗位信息'!$B:$B,$D50)</f>
        <v>0</v>
      </c>
      <c r="BL50" s="307"/>
      <c r="BM50" s="311"/>
      <c r="BN50" s="315"/>
    </row>
    <row r="51" s="263" customFormat="1" ht="33.95" customHeight="1" outlineLevel="5" spans="2:66">
      <c r="B51" s="175" t="s">
        <v>799</v>
      </c>
      <c r="C51" s="283" t="s">
        <v>876</v>
      </c>
      <c r="D51" s="263" t="s">
        <v>846</v>
      </c>
      <c r="E51" s="175" t="s">
        <v>847</v>
      </c>
      <c r="F51" s="175"/>
      <c r="G51" s="175" t="s">
        <v>803</v>
      </c>
      <c r="H51" s="175">
        <f t="shared" si="95"/>
        <v>0</v>
      </c>
      <c r="I51" s="175" t="s">
        <v>804</v>
      </c>
      <c r="J51" s="175" t="e">
        <f t="shared" si="96"/>
        <v>#DIV/0!</v>
      </c>
      <c r="K51" s="175" t="s">
        <v>805</v>
      </c>
      <c r="L51" s="175" t="e">
        <f t="shared" si="97"/>
        <v>#DIV/0!</v>
      </c>
      <c r="M51" s="175" t="s">
        <v>806</v>
      </c>
      <c r="N51" s="175">
        <f t="shared" si="98"/>
        <v>0</v>
      </c>
      <c r="O51" s="175"/>
      <c r="P51" s="290"/>
      <c r="Q51" s="290"/>
      <c r="R51" s="290"/>
      <c r="S51" s="290"/>
      <c r="T51" s="290"/>
      <c r="U51" s="290"/>
      <c r="V51" s="290"/>
      <c r="W51" s="290"/>
      <c r="X51" s="290"/>
      <c r="Y51" s="290"/>
      <c r="Z51" s="290"/>
      <c r="AA51" s="290"/>
      <c r="AB51" s="175">
        <f t="shared" si="99"/>
        <v>0</v>
      </c>
      <c r="AC51" s="175">
        <f t="shared" si="100"/>
        <v>0</v>
      </c>
      <c r="AD51" s="175">
        <f>SUMIFS('1-2 人员岗位信息'!F:F,'1-2 人员岗位信息'!$C:$C,"专业外包",'1-2 人员岗位信息'!$B:$B,$D51)</f>
        <v>0</v>
      </c>
      <c r="AE51" s="298"/>
      <c r="AF51" s="175">
        <f t="shared" si="101"/>
        <v>0</v>
      </c>
      <c r="AG51" s="175">
        <f>SUMIFS('1-2 人员岗位信息'!G:G,'1-2 人员岗位信息'!$C:$C,"专业外包",'1-2 人员岗位信息'!$B:$B,$D51)</f>
        <v>0</v>
      </c>
      <c r="AH51" s="298"/>
      <c r="AI51" s="175">
        <f t="shared" si="102"/>
        <v>0</v>
      </c>
      <c r="AJ51" s="175">
        <f>SUMIFS('1-2 人员岗位信息'!H:H,'1-2 人员岗位信息'!$C:$C,"专业外包",'1-2 人员岗位信息'!$B:$B,$D51)</f>
        <v>0</v>
      </c>
      <c r="AK51" s="298"/>
      <c r="AL51" s="175">
        <f t="shared" si="103"/>
        <v>0</v>
      </c>
      <c r="AM51" s="175">
        <f>SUMIFS('1-2 人员岗位信息'!I:I,'1-2 人员岗位信息'!$C:$C,"专业外包",'1-2 人员岗位信息'!$B:$B,$D51)</f>
        <v>0</v>
      </c>
      <c r="AN51" s="298"/>
      <c r="AO51" s="175">
        <f t="shared" si="104"/>
        <v>0</v>
      </c>
      <c r="AP51" s="175">
        <f>SUMIFS('1-2 人员岗位信息'!J:J,'1-2 人员岗位信息'!$C:$C,"专业外包",'1-2 人员岗位信息'!$B:$B,$D51)</f>
        <v>0</v>
      </c>
      <c r="AQ51" s="298"/>
      <c r="AR51" s="175">
        <f t="shared" si="105"/>
        <v>0</v>
      </c>
      <c r="AS51" s="175">
        <f>SUMIFS('1-2 人员岗位信息'!K:K,'1-2 人员岗位信息'!$C:$C,"专业外包",'1-2 人员岗位信息'!$B:$B,$D51)</f>
        <v>0</v>
      </c>
      <c r="AT51" s="298"/>
      <c r="AU51" s="175">
        <f t="shared" si="106"/>
        <v>0</v>
      </c>
      <c r="AV51" s="175">
        <f>SUMIFS('1-2 人员岗位信息'!L:L,'1-2 人员岗位信息'!$C:$C,"专业外包",'1-2 人员岗位信息'!$B:$B,$D51)</f>
        <v>0</v>
      </c>
      <c r="AW51" s="298"/>
      <c r="AX51" s="175">
        <f t="shared" si="107"/>
        <v>0</v>
      </c>
      <c r="AY51" s="175">
        <f>SUMIFS('1-2 人员岗位信息'!M:M,'1-2 人员岗位信息'!$C:$C,"专业外包",'1-2 人员岗位信息'!$B:$B,$D51)</f>
        <v>0</v>
      </c>
      <c r="AZ51" s="298"/>
      <c r="BA51" s="175">
        <f t="shared" si="108"/>
        <v>0</v>
      </c>
      <c r="BB51" s="175">
        <f>SUMIFS('1-2 人员岗位信息'!N:N,'1-2 人员岗位信息'!$C:$C,"专业外包",'1-2 人员岗位信息'!$B:$B,$D51)</f>
        <v>0</v>
      </c>
      <c r="BC51" s="298"/>
      <c r="BD51" s="175">
        <f t="shared" si="109"/>
        <v>0</v>
      </c>
      <c r="BE51" s="175">
        <f>SUMIFS('1-2 人员岗位信息'!O:O,'1-2 人员岗位信息'!$C:$C,"专业外包",'1-2 人员岗位信息'!$B:$B,$D51)</f>
        <v>0</v>
      </c>
      <c r="BF51" s="298"/>
      <c r="BG51" s="175">
        <f t="shared" si="110"/>
        <v>0</v>
      </c>
      <c r="BH51" s="175">
        <f>SUMIFS('1-2 人员岗位信息'!P:P,'1-2 人员岗位信息'!$C:$C,"专业外包",'1-2 人员岗位信息'!$B:$B,$D51)</f>
        <v>0</v>
      </c>
      <c r="BI51" s="298"/>
      <c r="BJ51" s="175">
        <f t="shared" si="111"/>
        <v>0</v>
      </c>
      <c r="BK51" s="175">
        <f>SUMIFS('1-2 人员岗位信息'!Q:Q,'1-2 人员岗位信息'!$C:$C,"专业外包",'1-2 人员岗位信息'!$B:$B,$D51)</f>
        <v>0</v>
      </c>
      <c r="BL51" s="307"/>
      <c r="BM51" s="311"/>
      <c r="BN51" s="315"/>
    </row>
    <row r="52" s="263" customFormat="1" ht="33.95" customHeight="1" outlineLevel="5" spans="2:66">
      <c r="B52" s="175" t="s">
        <v>799</v>
      </c>
      <c r="C52" s="283" t="s">
        <v>877</v>
      </c>
      <c r="D52" s="263" t="s">
        <v>849</v>
      </c>
      <c r="E52" s="175" t="s">
        <v>850</v>
      </c>
      <c r="F52" s="175"/>
      <c r="G52" s="175" t="s">
        <v>803</v>
      </c>
      <c r="H52" s="175">
        <f t="shared" si="95"/>
        <v>0</v>
      </c>
      <c r="I52" s="175" t="s">
        <v>804</v>
      </c>
      <c r="J52" s="175" t="e">
        <f t="shared" si="96"/>
        <v>#DIV/0!</v>
      </c>
      <c r="K52" s="175" t="s">
        <v>805</v>
      </c>
      <c r="L52" s="175" t="e">
        <f t="shared" si="97"/>
        <v>#DIV/0!</v>
      </c>
      <c r="M52" s="175" t="s">
        <v>806</v>
      </c>
      <c r="N52" s="175">
        <f t="shared" si="98"/>
        <v>0</v>
      </c>
      <c r="O52" s="175"/>
      <c r="P52" s="290"/>
      <c r="Q52" s="290"/>
      <c r="R52" s="290"/>
      <c r="S52" s="290"/>
      <c r="T52" s="290"/>
      <c r="U52" s="290"/>
      <c r="V52" s="290"/>
      <c r="W52" s="290"/>
      <c r="X52" s="290"/>
      <c r="Y52" s="290"/>
      <c r="Z52" s="290"/>
      <c r="AA52" s="290"/>
      <c r="AB52" s="175">
        <f t="shared" si="99"/>
        <v>0</v>
      </c>
      <c r="AC52" s="175">
        <f t="shared" si="100"/>
        <v>0</v>
      </c>
      <c r="AD52" s="175">
        <f>SUMIFS('1-2 人员岗位信息'!F:F,'1-2 人员岗位信息'!$C:$C,"专业外包",'1-2 人员岗位信息'!$B:$B,$D52)</f>
        <v>0</v>
      </c>
      <c r="AE52" s="298"/>
      <c r="AF52" s="175">
        <f t="shared" si="101"/>
        <v>0</v>
      </c>
      <c r="AG52" s="175">
        <f>SUMIFS('1-2 人员岗位信息'!G:G,'1-2 人员岗位信息'!$C:$C,"专业外包",'1-2 人员岗位信息'!$B:$B,$D52)</f>
        <v>0</v>
      </c>
      <c r="AH52" s="298"/>
      <c r="AI52" s="175">
        <f t="shared" si="102"/>
        <v>0</v>
      </c>
      <c r="AJ52" s="175">
        <f>SUMIFS('1-2 人员岗位信息'!H:H,'1-2 人员岗位信息'!$C:$C,"专业外包",'1-2 人员岗位信息'!$B:$B,$D52)</f>
        <v>0</v>
      </c>
      <c r="AK52" s="298"/>
      <c r="AL52" s="175">
        <f t="shared" si="103"/>
        <v>0</v>
      </c>
      <c r="AM52" s="175">
        <f>SUMIFS('1-2 人员岗位信息'!I:I,'1-2 人员岗位信息'!$C:$C,"专业外包",'1-2 人员岗位信息'!$B:$B,$D52)</f>
        <v>0</v>
      </c>
      <c r="AN52" s="298"/>
      <c r="AO52" s="175">
        <f t="shared" si="104"/>
        <v>0</v>
      </c>
      <c r="AP52" s="175">
        <f>SUMIFS('1-2 人员岗位信息'!J:J,'1-2 人员岗位信息'!$C:$C,"专业外包",'1-2 人员岗位信息'!$B:$B,$D52)</f>
        <v>0</v>
      </c>
      <c r="AQ52" s="298"/>
      <c r="AR52" s="175">
        <f t="shared" si="105"/>
        <v>0</v>
      </c>
      <c r="AS52" s="175">
        <f>SUMIFS('1-2 人员岗位信息'!K:K,'1-2 人员岗位信息'!$C:$C,"专业外包",'1-2 人员岗位信息'!$B:$B,$D52)</f>
        <v>0</v>
      </c>
      <c r="AT52" s="298"/>
      <c r="AU52" s="175">
        <f t="shared" si="106"/>
        <v>0</v>
      </c>
      <c r="AV52" s="175">
        <f>SUMIFS('1-2 人员岗位信息'!L:L,'1-2 人员岗位信息'!$C:$C,"专业外包",'1-2 人员岗位信息'!$B:$B,$D52)</f>
        <v>0</v>
      </c>
      <c r="AW52" s="298"/>
      <c r="AX52" s="175">
        <f t="shared" si="107"/>
        <v>0</v>
      </c>
      <c r="AY52" s="175">
        <f>SUMIFS('1-2 人员岗位信息'!M:M,'1-2 人员岗位信息'!$C:$C,"专业外包",'1-2 人员岗位信息'!$B:$B,$D52)</f>
        <v>0</v>
      </c>
      <c r="AZ52" s="298"/>
      <c r="BA52" s="175">
        <f t="shared" si="108"/>
        <v>0</v>
      </c>
      <c r="BB52" s="175">
        <f>SUMIFS('1-2 人员岗位信息'!N:N,'1-2 人员岗位信息'!$C:$C,"专业外包",'1-2 人员岗位信息'!$B:$B,$D52)</f>
        <v>0</v>
      </c>
      <c r="BC52" s="298"/>
      <c r="BD52" s="175">
        <f t="shared" si="109"/>
        <v>0</v>
      </c>
      <c r="BE52" s="175">
        <f>SUMIFS('1-2 人员岗位信息'!O:O,'1-2 人员岗位信息'!$C:$C,"专业外包",'1-2 人员岗位信息'!$B:$B,$D52)</f>
        <v>0</v>
      </c>
      <c r="BF52" s="298"/>
      <c r="BG52" s="175">
        <f t="shared" si="110"/>
        <v>0</v>
      </c>
      <c r="BH52" s="175">
        <f>SUMIFS('1-2 人员岗位信息'!P:P,'1-2 人员岗位信息'!$C:$C,"专业外包",'1-2 人员岗位信息'!$B:$B,$D52)</f>
        <v>0</v>
      </c>
      <c r="BI52" s="298"/>
      <c r="BJ52" s="175">
        <f t="shared" si="111"/>
        <v>0</v>
      </c>
      <c r="BK52" s="175">
        <f>SUMIFS('1-2 人员岗位信息'!Q:Q,'1-2 人员岗位信息'!$C:$C,"专业外包",'1-2 人员岗位信息'!$B:$B,$D52)</f>
        <v>0</v>
      </c>
      <c r="BL52" s="307"/>
      <c r="BM52" s="311"/>
      <c r="BN52" s="315"/>
    </row>
    <row r="53" s="263" customFormat="1" ht="33.95" customHeight="1" outlineLevel="5" spans="2:66">
      <c r="B53" s="175" t="s">
        <v>799</v>
      </c>
      <c r="C53" s="283" t="s">
        <v>878</v>
      </c>
      <c r="D53" s="263" t="s">
        <v>852</v>
      </c>
      <c r="E53" s="175" t="s">
        <v>853</v>
      </c>
      <c r="F53" s="175"/>
      <c r="G53" s="175" t="s">
        <v>803</v>
      </c>
      <c r="H53" s="175">
        <f t="shared" si="95"/>
        <v>0</v>
      </c>
      <c r="I53" s="175" t="s">
        <v>804</v>
      </c>
      <c r="J53" s="175" t="e">
        <f t="shared" si="96"/>
        <v>#DIV/0!</v>
      </c>
      <c r="K53" s="175" t="s">
        <v>805</v>
      </c>
      <c r="L53" s="175" t="e">
        <f t="shared" si="97"/>
        <v>#DIV/0!</v>
      </c>
      <c r="M53" s="175" t="s">
        <v>806</v>
      </c>
      <c r="N53" s="175">
        <f t="shared" si="98"/>
        <v>0</v>
      </c>
      <c r="O53" s="175"/>
      <c r="P53" s="290"/>
      <c r="Q53" s="290"/>
      <c r="R53" s="290"/>
      <c r="S53" s="290"/>
      <c r="T53" s="290"/>
      <c r="U53" s="290"/>
      <c r="V53" s="290"/>
      <c r="W53" s="290"/>
      <c r="X53" s="290"/>
      <c r="Y53" s="290"/>
      <c r="Z53" s="290"/>
      <c r="AA53" s="290"/>
      <c r="AB53" s="175">
        <f t="shared" si="99"/>
        <v>0</v>
      </c>
      <c r="AC53" s="175">
        <f t="shared" si="100"/>
        <v>0</v>
      </c>
      <c r="AD53" s="175">
        <f>SUMIFS('1-2 人员岗位信息'!F:F,'1-2 人员岗位信息'!$C:$C,"专业外包",'1-2 人员岗位信息'!$B:$B,$D53)</f>
        <v>0</v>
      </c>
      <c r="AE53" s="298"/>
      <c r="AF53" s="175">
        <f t="shared" si="101"/>
        <v>0</v>
      </c>
      <c r="AG53" s="175">
        <f>SUMIFS('1-2 人员岗位信息'!G:G,'1-2 人员岗位信息'!$C:$C,"专业外包",'1-2 人员岗位信息'!$B:$B,$D53)</f>
        <v>0</v>
      </c>
      <c r="AH53" s="298"/>
      <c r="AI53" s="175">
        <f t="shared" si="102"/>
        <v>0</v>
      </c>
      <c r="AJ53" s="175">
        <f>SUMIFS('1-2 人员岗位信息'!H:H,'1-2 人员岗位信息'!$C:$C,"专业外包",'1-2 人员岗位信息'!$B:$B,$D53)</f>
        <v>0</v>
      </c>
      <c r="AK53" s="298"/>
      <c r="AL53" s="175">
        <f t="shared" si="103"/>
        <v>0</v>
      </c>
      <c r="AM53" s="175">
        <f>SUMIFS('1-2 人员岗位信息'!I:I,'1-2 人员岗位信息'!$C:$C,"专业外包",'1-2 人员岗位信息'!$B:$B,$D53)</f>
        <v>0</v>
      </c>
      <c r="AN53" s="298"/>
      <c r="AO53" s="175">
        <f t="shared" si="104"/>
        <v>0</v>
      </c>
      <c r="AP53" s="175">
        <f>SUMIFS('1-2 人员岗位信息'!J:J,'1-2 人员岗位信息'!$C:$C,"专业外包",'1-2 人员岗位信息'!$B:$B,$D53)</f>
        <v>0</v>
      </c>
      <c r="AQ53" s="298"/>
      <c r="AR53" s="175">
        <f t="shared" si="105"/>
        <v>0</v>
      </c>
      <c r="AS53" s="175">
        <f>SUMIFS('1-2 人员岗位信息'!K:K,'1-2 人员岗位信息'!$C:$C,"专业外包",'1-2 人员岗位信息'!$B:$B,$D53)</f>
        <v>0</v>
      </c>
      <c r="AT53" s="298"/>
      <c r="AU53" s="175">
        <f t="shared" si="106"/>
        <v>0</v>
      </c>
      <c r="AV53" s="175">
        <f>SUMIFS('1-2 人员岗位信息'!L:L,'1-2 人员岗位信息'!$C:$C,"专业外包",'1-2 人员岗位信息'!$B:$B,$D53)</f>
        <v>0</v>
      </c>
      <c r="AW53" s="298"/>
      <c r="AX53" s="175">
        <f t="shared" si="107"/>
        <v>0</v>
      </c>
      <c r="AY53" s="175">
        <f>SUMIFS('1-2 人员岗位信息'!M:M,'1-2 人员岗位信息'!$C:$C,"专业外包",'1-2 人员岗位信息'!$B:$B,$D53)</f>
        <v>0</v>
      </c>
      <c r="AZ53" s="298"/>
      <c r="BA53" s="175">
        <f t="shared" si="108"/>
        <v>0</v>
      </c>
      <c r="BB53" s="175">
        <f>SUMIFS('1-2 人员岗位信息'!N:N,'1-2 人员岗位信息'!$C:$C,"专业外包",'1-2 人员岗位信息'!$B:$B,$D53)</f>
        <v>0</v>
      </c>
      <c r="BC53" s="298"/>
      <c r="BD53" s="175">
        <f t="shared" si="109"/>
        <v>0</v>
      </c>
      <c r="BE53" s="175">
        <f>SUMIFS('1-2 人员岗位信息'!O:O,'1-2 人员岗位信息'!$C:$C,"专业外包",'1-2 人员岗位信息'!$B:$B,$D53)</f>
        <v>0</v>
      </c>
      <c r="BF53" s="298"/>
      <c r="BG53" s="175">
        <f t="shared" si="110"/>
        <v>0</v>
      </c>
      <c r="BH53" s="175">
        <f>SUMIFS('1-2 人员岗位信息'!P:P,'1-2 人员岗位信息'!$C:$C,"专业外包",'1-2 人员岗位信息'!$B:$B,$D53)</f>
        <v>0</v>
      </c>
      <c r="BI53" s="298"/>
      <c r="BJ53" s="175">
        <f t="shared" si="111"/>
        <v>0</v>
      </c>
      <c r="BK53" s="175">
        <f>SUMIFS('1-2 人员岗位信息'!Q:Q,'1-2 人员岗位信息'!$C:$C,"专业外包",'1-2 人员岗位信息'!$B:$B,$D53)</f>
        <v>0</v>
      </c>
      <c r="BL53" s="307"/>
      <c r="BM53" s="311"/>
      <c r="BN53" s="315"/>
    </row>
    <row r="54" s="263" customFormat="1" ht="33.95" customHeight="1" outlineLevel="5" spans="2:66">
      <c r="B54" s="175" t="s">
        <v>799</v>
      </c>
      <c r="C54" s="283" t="s">
        <v>879</v>
      </c>
      <c r="D54" s="263" t="s">
        <v>855</v>
      </c>
      <c r="E54" s="175" t="s">
        <v>856</v>
      </c>
      <c r="F54" s="175"/>
      <c r="G54" s="175" t="s">
        <v>803</v>
      </c>
      <c r="H54" s="175">
        <f t="shared" si="95"/>
        <v>0</v>
      </c>
      <c r="I54" s="175" t="s">
        <v>804</v>
      </c>
      <c r="J54" s="175" t="e">
        <f t="shared" si="96"/>
        <v>#DIV/0!</v>
      </c>
      <c r="K54" s="175" t="s">
        <v>805</v>
      </c>
      <c r="L54" s="175" t="e">
        <f t="shared" si="97"/>
        <v>#DIV/0!</v>
      </c>
      <c r="M54" s="175" t="s">
        <v>806</v>
      </c>
      <c r="N54" s="175">
        <f t="shared" si="98"/>
        <v>0</v>
      </c>
      <c r="O54" s="175"/>
      <c r="P54" s="290"/>
      <c r="Q54" s="290"/>
      <c r="R54" s="290"/>
      <c r="S54" s="290"/>
      <c r="T54" s="290"/>
      <c r="U54" s="290"/>
      <c r="V54" s="290"/>
      <c r="W54" s="290"/>
      <c r="X54" s="290"/>
      <c r="Y54" s="290"/>
      <c r="Z54" s="290"/>
      <c r="AA54" s="290"/>
      <c r="AB54" s="175">
        <f t="shared" si="99"/>
        <v>0</v>
      </c>
      <c r="AC54" s="175">
        <f t="shared" si="100"/>
        <v>0</v>
      </c>
      <c r="AD54" s="175">
        <f>SUMIFS('1-2 人员岗位信息'!F:F,'1-2 人员岗位信息'!$C:$C,"专业外包",'1-2 人员岗位信息'!$B:$B,$D54)</f>
        <v>0</v>
      </c>
      <c r="AE54" s="298"/>
      <c r="AF54" s="175">
        <f t="shared" si="101"/>
        <v>0</v>
      </c>
      <c r="AG54" s="175">
        <f>SUMIFS('1-2 人员岗位信息'!G:G,'1-2 人员岗位信息'!$C:$C,"专业外包",'1-2 人员岗位信息'!$B:$B,$D54)</f>
        <v>0</v>
      </c>
      <c r="AH54" s="298"/>
      <c r="AI54" s="175">
        <f t="shared" si="102"/>
        <v>0</v>
      </c>
      <c r="AJ54" s="175">
        <f>SUMIFS('1-2 人员岗位信息'!H:H,'1-2 人员岗位信息'!$C:$C,"专业外包",'1-2 人员岗位信息'!$B:$B,$D54)</f>
        <v>0</v>
      </c>
      <c r="AK54" s="298"/>
      <c r="AL54" s="175">
        <f t="shared" si="103"/>
        <v>0</v>
      </c>
      <c r="AM54" s="175">
        <f>SUMIFS('1-2 人员岗位信息'!I:I,'1-2 人员岗位信息'!$C:$C,"专业外包",'1-2 人员岗位信息'!$B:$B,$D54)</f>
        <v>0</v>
      </c>
      <c r="AN54" s="298"/>
      <c r="AO54" s="175">
        <f t="shared" si="104"/>
        <v>0</v>
      </c>
      <c r="AP54" s="175">
        <f>SUMIFS('1-2 人员岗位信息'!J:J,'1-2 人员岗位信息'!$C:$C,"专业外包",'1-2 人员岗位信息'!$B:$B,$D54)</f>
        <v>0</v>
      </c>
      <c r="AQ54" s="298"/>
      <c r="AR54" s="175">
        <f t="shared" si="105"/>
        <v>0</v>
      </c>
      <c r="AS54" s="175">
        <f>SUMIFS('1-2 人员岗位信息'!K:K,'1-2 人员岗位信息'!$C:$C,"专业外包",'1-2 人员岗位信息'!$B:$B,$D54)</f>
        <v>0</v>
      </c>
      <c r="AT54" s="298"/>
      <c r="AU54" s="175">
        <f t="shared" si="106"/>
        <v>0</v>
      </c>
      <c r="AV54" s="175">
        <f>SUMIFS('1-2 人员岗位信息'!L:L,'1-2 人员岗位信息'!$C:$C,"专业外包",'1-2 人员岗位信息'!$B:$B,$D54)</f>
        <v>0</v>
      </c>
      <c r="AW54" s="298"/>
      <c r="AX54" s="175">
        <f t="shared" si="107"/>
        <v>0</v>
      </c>
      <c r="AY54" s="175">
        <f>SUMIFS('1-2 人员岗位信息'!M:M,'1-2 人员岗位信息'!$C:$C,"专业外包",'1-2 人员岗位信息'!$B:$B,$D54)</f>
        <v>0</v>
      </c>
      <c r="AZ54" s="298"/>
      <c r="BA54" s="175">
        <f t="shared" si="108"/>
        <v>0</v>
      </c>
      <c r="BB54" s="175">
        <f>SUMIFS('1-2 人员岗位信息'!N:N,'1-2 人员岗位信息'!$C:$C,"专业外包",'1-2 人员岗位信息'!$B:$B,$D54)</f>
        <v>0</v>
      </c>
      <c r="BC54" s="298"/>
      <c r="BD54" s="175">
        <f t="shared" si="109"/>
        <v>0</v>
      </c>
      <c r="BE54" s="175">
        <f>SUMIFS('1-2 人员岗位信息'!O:O,'1-2 人员岗位信息'!$C:$C,"专业外包",'1-2 人员岗位信息'!$B:$B,$D54)</f>
        <v>0</v>
      </c>
      <c r="BF54" s="298"/>
      <c r="BG54" s="175">
        <f t="shared" si="110"/>
        <v>0</v>
      </c>
      <c r="BH54" s="175">
        <f>SUMIFS('1-2 人员岗位信息'!P:P,'1-2 人员岗位信息'!$C:$C,"专业外包",'1-2 人员岗位信息'!$B:$B,$D54)</f>
        <v>0</v>
      </c>
      <c r="BI54" s="298"/>
      <c r="BJ54" s="175">
        <f t="shared" si="111"/>
        <v>0</v>
      </c>
      <c r="BK54" s="175">
        <f>SUMIFS('1-2 人员岗位信息'!Q:Q,'1-2 人员岗位信息'!$C:$C,"专业外包",'1-2 人员岗位信息'!$B:$B,$D54)</f>
        <v>0</v>
      </c>
      <c r="BL54" s="307"/>
      <c r="BM54" s="311"/>
      <c r="BN54" s="315"/>
    </row>
    <row r="55" s="263" customFormat="1" ht="33.95" customHeight="1" outlineLevel="5" spans="2:66">
      <c r="B55" s="175" t="s">
        <v>799</v>
      </c>
      <c r="C55" s="283" t="s">
        <v>880</v>
      </c>
      <c r="D55" s="263" t="s">
        <v>858</v>
      </c>
      <c r="E55" s="175" t="s">
        <v>859</v>
      </c>
      <c r="F55" s="175"/>
      <c r="G55" s="175" t="s">
        <v>803</v>
      </c>
      <c r="H55" s="175">
        <f t="shared" si="95"/>
        <v>0</v>
      </c>
      <c r="I55" s="175" t="s">
        <v>804</v>
      </c>
      <c r="J55" s="175" t="e">
        <f t="shared" si="96"/>
        <v>#DIV/0!</v>
      </c>
      <c r="K55" s="175" t="s">
        <v>805</v>
      </c>
      <c r="L55" s="175" t="e">
        <f t="shared" si="97"/>
        <v>#DIV/0!</v>
      </c>
      <c r="M55" s="175" t="s">
        <v>806</v>
      </c>
      <c r="N55" s="175">
        <f t="shared" si="98"/>
        <v>0</v>
      </c>
      <c r="O55" s="175"/>
      <c r="P55" s="290"/>
      <c r="Q55" s="290"/>
      <c r="R55" s="290"/>
      <c r="S55" s="290"/>
      <c r="T55" s="290"/>
      <c r="U55" s="290"/>
      <c r="V55" s="290"/>
      <c r="W55" s="290"/>
      <c r="X55" s="290"/>
      <c r="Y55" s="290"/>
      <c r="Z55" s="290"/>
      <c r="AA55" s="290"/>
      <c r="AB55" s="175">
        <f t="shared" si="99"/>
        <v>0</v>
      </c>
      <c r="AC55" s="175">
        <f t="shared" si="100"/>
        <v>0</v>
      </c>
      <c r="AD55" s="175">
        <f>SUMIFS('1-2 人员岗位信息'!F:F,'1-2 人员岗位信息'!$C:$C,"专业外包",'1-2 人员岗位信息'!$B:$B,$D55)</f>
        <v>0</v>
      </c>
      <c r="AE55" s="298"/>
      <c r="AF55" s="175">
        <f t="shared" si="101"/>
        <v>0</v>
      </c>
      <c r="AG55" s="175">
        <f>SUMIFS('1-2 人员岗位信息'!G:G,'1-2 人员岗位信息'!$C:$C,"专业外包",'1-2 人员岗位信息'!$B:$B,$D55)</f>
        <v>0</v>
      </c>
      <c r="AH55" s="298"/>
      <c r="AI55" s="175">
        <f t="shared" si="102"/>
        <v>0</v>
      </c>
      <c r="AJ55" s="175">
        <f>SUMIFS('1-2 人员岗位信息'!H:H,'1-2 人员岗位信息'!$C:$C,"专业外包",'1-2 人员岗位信息'!$B:$B,$D55)</f>
        <v>0</v>
      </c>
      <c r="AK55" s="298"/>
      <c r="AL55" s="175">
        <f t="shared" si="103"/>
        <v>0</v>
      </c>
      <c r="AM55" s="175">
        <f>SUMIFS('1-2 人员岗位信息'!I:I,'1-2 人员岗位信息'!$C:$C,"专业外包",'1-2 人员岗位信息'!$B:$B,$D55)</f>
        <v>0</v>
      </c>
      <c r="AN55" s="298"/>
      <c r="AO55" s="175">
        <f t="shared" si="104"/>
        <v>0</v>
      </c>
      <c r="AP55" s="175">
        <f>SUMIFS('1-2 人员岗位信息'!J:J,'1-2 人员岗位信息'!$C:$C,"专业外包",'1-2 人员岗位信息'!$B:$B,$D55)</f>
        <v>0</v>
      </c>
      <c r="AQ55" s="298"/>
      <c r="AR55" s="175">
        <f t="shared" si="105"/>
        <v>0</v>
      </c>
      <c r="AS55" s="175">
        <f>SUMIFS('1-2 人员岗位信息'!K:K,'1-2 人员岗位信息'!$C:$C,"专业外包",'1-2 人员岗位信息'!$B:$B,$D55)</f>
        <v>0</v>
      </c>
      <c r="AT55" s="298"/>
      <c r="AU55" s="175">
        <f t="shared" si="106"/>
        <v>0</v>
      </c>
      <c r="AV55" s="175">
        <f>SUMIFS('1-2 人员岗位信息'!L:L,'1-2 人员岗位信息'!$C:$C,"专业外包",'1-2 人员岗位信息'!$B:$B,$D55)</f>
        <v>0</v>
      </c>
      <c r="AW55" s="298"/>
      <c r="AX55" s="175">
        <f t="shared" si="107"/>
        <v>0</v>
      </c>
      <c r="AY55" s="175">
        <f>SUMIFS('1-2 人员岗位信息'!M:M,'1-2 人员岗位信息'!$C:$C,"专业外包",'1-2 人员岗位信息'!$B:$B,$D55)</f>
        <v>0</v>
      </c>
      <c r="AZ55" s="298"/>
      <c r="BA55" s="175">
        <f t="shared" si="108"/>
        <v>0</v>
      </c>
      <c r="BB55" s="175">
        <f>SUMIFS('1-2 人员岗位信息'!N:N,'1-2 人员岗位信息'!$C:$C,"专业外包",'1-2 人员岗位信息'!$B:$B,$D55)</f>
        <v>0</v>
      </c>
      <c r="BC55" s="298"/>
      <c r="BD55" s="175">
        <f t="shared" si="109"/>
        <v>0</v>
      </c>
      <c r="BE55" s="175">
        <f>SUMIFS('1-2 人员岗位信息'!O:O,'1-2 人员岗位信息'!$C:$C,"专业外包",'1-2 人员岗位信息'!$B:$B,$D55)</f>
        <v>0</v>
      </c>
      <c r="BF55" s="298"/>
      <c r="BG55" s="175">
        <f t="shared" si="110"/>
        <v>0</v>
      </c>
      <c r="BH55" s="175">
        <f>SUMIFS('1-2 人员岗位信息'!P:P,'1-2 人员岗位信息'!$C:$C,"专业外包",'1-2 人员岗位信息'!$B:$B,$D55)</f>
        <v>0</v>
      </c>
      <c r="BI55" s="298"/>
      <c r="BJ55" s="175">
        <f t="shared" si="111"/>
        <v>0</v>
      </c>
      <c r="BK55" s="175">
        <f>SUMIFS('1-2 人员岗位信息'!Q:Q,'1-2 人员岗位信息'!$C:$C,"专业外包",'1-2 人员岗位信息'!$B:$B,$D55)</f>
        <v>0</v>
      </c>
      <c r="BL55" s="307"/>
      <c r="BM55" s="311"/>
      <c r="BN55" s="315"/>
    </row>
    <row r="56" s="263" customFormat="1" ht="33.95" customHeight="1" outlineLevel="5" spans="2:66">
      <c r="B56" s="175" t="s">
        <v>799</v>
      </c>
      <c r="C56" s="283" t="s">
        <v>881</v>
      </c>
      <c r="D56" s="263" t="s">
        <v>861</v>
      </c>
      <c r="E56" s="175" t="s">
        <v>821</v>
      </c>
      <c r="F56" s="175"/>
      <c r="G56" s="175" t="s">
        <v>803</v>
      </c>
      <c r="H56" s="175">
        <f t="shared" si="95"/>
        <v>0</v>
      </c>
      <c r="I56" s="175" t="s">
        <v>804</v>
      </c>
      <c r="J56" s="175" t="e">
        <f t="shared" si="96"/>
        <v>#DIV/0!</v>
      </c>
      <c r="K56" s="175" t="s">
        <v>805</v>
      </c>
      <c r="L56" s="175" t="e">
        <f t="shared" si="97"/>
        <v>#DIV/0!</v>
      </c>
      <c r="M56" s="175" t="s">
        <v>806</v>
      </c>
      <c r="N56" s="175">
        <f t="shared" si="98"/>
        <v>0</v>
      </c>
      <c r="O56" s="175"/>
      <c r="P56" s="290"/>
      <c r="Q56" s="290"/>
      <c r="R56" s="290"/>
      <c r="S56" s="290"/>
      <c r="T56" s="290"/>
      <c r="U56" s="290"/>
      <c r="V56" s="290"/>
      <c r="W56" s="290"/>
      <c r="X56" s="290"/>
      <c r="Y56" s="290"/>
      <c r="Z56" s="290"/>
      <c r="AA56" s="290"/>
      <c r="AB56" s="175">
        <f t="shared" si="99"/>
        <v>0</v>
      </c>
      <c r="AC56" s="175">
        <f t="shared" si="100"/>
        <v>0</v>
      </c>
      <c r="AD56" s="175">
        <f>SUMIFS('1-2 人员岗位信息'!F:F,'1-2 人员岗位信息'!$C:$C,"专业外包",'1-2 人员岗位信息'!$B:$B,$D56)</f>
        <v>0</v>
      </c>
      <c r="AE56" s="298"/>
      <c r="AF56" s="175">
        <f t="shared" si="101"/>
        <v>0</v>
      </c>
      <c r="AG56" s="175">
        <f>SUMIFS('1-2 人员岗位信息'!G:G,'1-2 人员岗位信息'!$C:$C,"专业外包",'1-2 人员岗位信息'!$B:$B,$D56)</f>
        <v>0</v>
      </c>
      <c r="AH56" s="298"/>
      <c r="AI56" s="175">
        <f t="shared" si="102"/>
        <v>0</v>
      </c>
      <c r="AJ56" s="175">
        <f>SUMIFS('1-2 人员岗位信息'!H:H,'1-2 人员岗位信息'!$C:$C,"专业外包",'1-2 人员岗位信息'!$B:$B,$D56)</f>
        <v>0</v>
      </c>
      <c r="AK56" s="298"/>
      <c r="AL56" s="175">
        <f t="shared" si="103"/>
        <v>0</v>
      </c>
      <c r="AM56" s="175">
        <f>SUMIFS('1-2 人员岗位信息'!I:I,'1-2 人员岗位信息'!$C:$C,"专业外包",'1-2 人员岗位信息'!$B:$B,$D56)</f>
        <v>0</v>
      </c>
      <c r="AN56" s="298"/>
      <c r="AO56" s="175">
        <f t="shared" si="104"/>
        <v>0</v>
      </c>
      <c r="AP56" s="175">
        <f>SUMIFS('1-2 人员岗位信息'!J:J,'1-2 人员岗位信息'!$C:$C,"专业外包",'1-2 人员岗位信息'!$B:$B,$D56)</f>
        <v>0</v>
      </c>
      <c r="AQ56" s="298"/>
      <c r="AR56" s="175">
        <f t="shared" si="105"/>
        <v>0</v>
      </c>
      <c r="AS56" s="175">
        <f>SUMIFS('1-2 人员岗位信息'!K:K,'1-2 人员岗位信息'!$C:$C,"专业外包",'1-2 人员岗位信息'!$B:$B,$D56)</f>
        <v>0</v>
      </c>
      <c r="AT56" s="298"/>
      <c r="AU56" s="175">
        <f t="shared" si="106"/>
        <v>0</v>
      </c>
      <c r="AV56" s="175">
        <f>SUMIFS('1-2 人员岗位信息'!L:L,'1-2 人员岗位信息'!$C:$C,"专业外包",'1-2 人员岗位信息'!$B:$B,$D56)</f>
        <v>0</v>
      </c>
      <c r="AW56" s="298"/>
      <c r="AX56" s="175">
        <f t="shared" si="107"/>
        <v>0</v>
      </c>
      <c r="AY56" s="175">
        <f>SUMIFS('1-2 人员岗位信息'!M:M,'1-2 人员岗位信息'!$C:$C,"专业外包",'1-2 人员岗位信息'!$B:$B,$D56)</f>
        <v>0</v>
      </c>
      <c r="AZ56" s="298"/>
      <c r="BA56" s="175">
        <f t="shared" si="108"/>
        <v>0</v>
      </c>
      <c r="BB56" s="175">
        <f>SUMIFS('1-2 人员岗位信息'!N:N,'1-2 人员岗位信息'!$C:$C,"专业外包",'1-2 人员岗位信息'!$B:$B,$D56)</f>
        <v>0</v>
      </c>
      <c r="BC56" s="298"/>
      <c r="BD56" s="175">
        <f t="shared" si="109"/>
        <v>0</v>
      </c>
      <c r="BE56" s="175">
        <f>SUMIFS('1-2 人员岗位信息'!O:O,'1-2 人员岗位信息'!$C:$C,"专业外包",'1-2 人员岗位信息'!$B:$B,$D56)</f>
        <v>0</v>
      </c>
      <c r="BF56" s="298"/>
      <c r="BG56" s="175">
        <f t="shared" si="110"/>
        <v>0</v>
      </c>
      <c r="BH56" s="175">
        <f>SUMIFS('1-2 人员岗位信息'!P:P,'1-2 人员岗位信息'!$C:$C,"专业外包",'1-2 人员岗位信息'!$B:$B,$D56)</f>
        <v>0</v>
      </c>
      <c r="BI56" s="298"/>
      <c r="BJ56" s="175">
        <f t="shared" si="111"/>
        <v>0</v>
      </c>
      <c r="BK56" s="175">
        <f>SUMIFS('1-2 人员岗位信息'!Q:Q,'1-2 人员岗位信息'!$C:$C,"专业外包",'1-2 人员岗位信息'!$B:$B,$D56)</f>
        <v>0</v>
      </c>
      <c r="BL56" s="307"/>
      <c r="BM56" s="311"/>
      <c r="BN56" s="315"/>
    </row>
    <row r="57" s="47" customFormat="1" ht="33.95" customHeight="1" outlineLevel="3" spans="2:66">
      <c r="B57" s="115" t="s">
        <v>794</v>
      </c>
      <c r="C57" s="116" t="s">
        <v>882</v>
      </c>
      <c r="D57" s="47" t="s">
        <v>883</v>
      </c>
      <c r="E57" s="115"/>
      <c r="F57" s="115"/>
      <c r="G57" s="115"/>
      <c r="H57" s="115">
        <f>H58+H69+H80+H91</f>
        <v>89433.9622641509</v>
      </c>
      <c r="I57" s="115"/>
      <c r="J57" s="115"/>
      <c r="K57" s="115"/>
      <c r="L57" s="115"/>
      <c r="M57" s="115"/>
      <c r="N57" s="115"/>
      <c r="O57" s="115"/>
      <c r="P57" s="288"/>
      <c r="Q57" s="288"/>
      <c r="R57" s="288"/>
      <c r="S57" s="288"/>
      <c r="T57" s="288"/>
      <c r="U57" s="288"/>
      <c r="V57" s="288"/>
      <c r="W57" s="288"/>
      <c r="X57" s="288"/>
      <c r="Y57" s="288"/>
      <c r="Z57" s="288"/>
      <c r="AA57" s="288"/>
      <c r="AB57" s="115">
        <f t="shared" ref="AB57:AF57" si="112">AB58+AB69+AB80+AB91</f>
        <v>89433.9622641509</v>
      </c>
      <c r="AC57" s="115">
        <f t="shared" si="112"/>
        <v>7452.83018867924</v>
      </c>
      <c r="AD57" s="115"/>
      <c r="AE57" s="115"/>
      <c r="AF57" s="115">
        <f t="shared" si="112"/>
        <v>7452.83018867924</v>
      </c>
      <c r="AG57" s="115"/>
      <c r="AH57" s="115"/>
      <c r="AI57" s="115">
        <f>AI58+AI69+AI80+AI91</f>
        <v>7452.83018867924</v>
      </c>
      <c r="AJ57" s="115"/>
      <c r="AK57" s="115"/>
      <c r="AL57" s="115">
        <f>AL58+AL69+AL80+AL91</f>
        <v>7452.83018867924</v>
      </c>
      <c r="AM57" s="115"/>
      <c r="AN57" s="115"/>
      <c r="AO57" s="115">
        <f>AO58+AO69+AO80+AO91</f>
        <v>7452.83018867924</v>
      </c>
      <c r="AP57" s="115"/>
      <c r="AQ57" s="115"/>
      <c r="AR57" s="115">
        <f>AR58+AR69+AR80+AR91</f>
        <v>7452.83018867924</v>
      </c>
      <c r="AS57" s="115"/>
      <c r="AT57" s="115"/>
      <c r="AU57" s="115">
        <f>AU58+AU69+AU80+AU91</f>
        <v>7452.83018867924</v>
      </c>
      <c r="AV57" s="115"/>
      <c r="AW57" s="115"/>
      <c r="AX57" s="115">
        <f>AX58+AX69+AX80+AX91</f>
        <v>7452.83018867924</v>
      </c>
      <c r="AY57" s="115"/>
      <c r="AZ57" s="115"/>
      <c r="BA57" s="115">
        <f>BA58+BA69+BA80+BA91</f>
        <v>7452.83018867924</v>
      </c>
      <c r="BB57" s="115"/>
      <c r="BC57" s="115"/>
      <c r="BD57" s="115">
        <f>BD58+BD69+BD80+BD91</f>
        <v>7452.83018867924</v>
      </c>
      <c r="BE57" s="115"/>
      <c r="BF57" s="115"/>
      <c r="BG57" s="115">
        <f>BG58+BG69+BG80+BG91</f>
        <v>7452.83018867924</v>
      </c>
      <c r="BH57" s="115"/>
      <c r="BI57" s="115"/>
      <c r="BJ57" s="115">
        <f>BJ58+BJ69+BJ80+BJ91</f>
        <v>7452.83018867924</v>
      </c>
      <c r="BK57" s="115"/>
      <c r="BL57" s="305"/>
      <c r="BM57" s="311"/>
      <c r="BN57" s="313"/>
    </row>
    <row r="58" s="118" customFormat="1" ht="33.95" customHeight="1" outlineLevel="4" spans="2:66">
      <c r="B58" s="119" t="s">
        <v>794</v>
      </c>
      <c r="C58" s="120" t="s">
        <v>115</v>
      </c>
      <c r="D58" s="118" t="s">
        <v>109</v>
      </c>
      <c r="E58" s="119"/>
      <c r="F58" s="119"/>
      <c r="G58" s="119"/>
      <c r="H58" s="119">
        <f>SUM(H59:H68)</f>
        <v>0</v>
      </c>
      <c r="I58" s="119"/>
      <c r="J58" s="119"/>
      <c r="K58" s="119"/>
      <c r="L58" s="119"/>
      <c r="M58" s="119"/>
      <c r="N58" s="119"/>
      <c r="O58" s="119"/>
      <c r="P58" s="289"/>
      <c r="Q58" s="289"/>
      <c r="R58" s="289"/>
      <c r="S58" s="289"/>
      <c r="T58" s="289"/>
      <c r="U58" s="289"/>
      <c r="V58" s="289"/>
      <c r="W58" s="289"/>
      <c r="X58" s="289"/>
      <c r="Y58" s="289"/>
      <c r="Z58" s="289"/>
      <c r="AA58" s="289"/>
      <c r="AB58" s="119">
        <f t="shared" ref="AB58:AF58" si="113">SUM(AB59:AB68)</f>
        <v>0</v>
      </c>
      <c r="AC58" s="119">
        <f t="shared" si="113"/>
        <v>0</v>
      </c>
      <c r="AD58" s="119"/>
      <c r="AE58" s="119"/>
      <c r="AF58" s="119">
        <f t="shared" si="113"/>
        <v>0</v>
      </c>
      <c r="AG58" s="119"/>
      <c r="AH58" s="119"/>
      <c r="AI58" s="119">
        <f>SUM(AI59:AI68)</f>
        <v>0</v>
      </c>
      <c r="AJ58" s="119"/>
      <c r="AK58" s="119"/>
      <c r="AL58" s="119">
        <f>SUM(AL59:AL68)</f>
        <v>0</v>
      </c>
      <c r="AM58" s="119"/>
      <c r="AN58" s="119"/>
      <c r="AO58" s="119">
        <f>SUM(AO59:AO68)</f>
        <v>0</v>
      </c>
      <c r="AP58" s="119"/>
      <c r="AQ58" s="119"/>
      <c r="AR58" s="119">
        <f>SUM(AR59:AR68)</f>
        <v>0</v>
      </c>
      <c r="AS58" s="119"/>
      <c r="AT58" s="119"/>
      <c r="AU58" s="119">
        <f>SUM(AU59:AU68)</f>
        <v>0</v>
      </c>
      <c r="AV58" s="119"/>
      <c r="AW58" s="119"/>
      <c r="AX58" s="119">
        <f>SUM(AX59:AX68)</f>
        <v>0</v>
      </c>
      <c r="AY58" s="119"/>
      <c r="AZ58" s="119"/>
      <c r="BA58" s="119">
        <f>SUM(BA59:BA68)</f>
        <v>0</v>
      </c>
      <c r="BB58" s="119"/>
      <c r="BC58" s="119"/>
      <c r="BD58" s="119">
        <f>SUM(BD59:BD68)</f>
        <v>0</v>
      </c>
      <c r="BE58" s="119"/>
      <c r="BF58" s="119"/>
      <c r="BG58" s="119">
        <f>SUM(BG59:BG68)</f>
        <v>0</v>
      </c>
      <c r="BH58" s="119"/>
      <c r="BI58" s="119"/>
      <c r="BJ58" s="119">
        <f>SUM(BJ59:BJ68)</f>
        <v>0</v>
      </c>
      <c r="BK58" s="119"/>
      <c r="BL58" s="306"/>
      <c r="BM58" s="311"/>
      <c r="BN58" s="314"/>
    </row>
    <row r="59" s="263" customFormat="1" ht="33.95" customHeight="1" outlineLevel="5" spans="2:66">
      <c r="B59" s="175" t="s">
        <v>799</v>
      </c>
      <c r="C59" s="283" t="s">
        <v>884</v>
      </c>
      <c r="D59" s="263" t="s">
        <v>885</v>
      </c>
      <c r="E59" s="175" t="s">
        <v>886</v>
      </c>
      <c r="F59" s="175"/>
      <c r="G59" s="175" t="s">
        <v>803</v>
      </c>
      <c r="H59" s="175">
        <f t="shared" ref="H59:H68" si="114">AB59</f>
        <v>0</v>
      </c>
      <c r="I59" s="175" t="s">
        <v>804</v>
      </c>
      <c r="J59" s="175" t="e">
        <f t="shared" ref="J59:J68" si="115">SUM(AD59,AG59,AJ59,AM59,AP59,AS59,AV59,AY59,BB59,BE59,BH59,BK59)/N59</f>
        <v>#DIV/0!</v>
      </c>
      <c r="K59" s="175" t="s">
        <v>805</v>
      </c>
      <c r="L59" s="175" t="e">
        <f t="shared" ref="L59:L68" si="116">H59/N59/J59</f>
        <v>#DIV/0!</v>
      </c>
      <c r="M59" s="175" t="s">
        <v>806</v>
      </c>
      <c r="N59" s="175">
        <f t="shared" ref="N59:N68" si="117">COUNTIF(AD59,"&gt;0")+COUNTIF(AG59,"&gt;0")+COUNTIF(AJ59,"&gt;0")+COUNTIF(AM59,"&gt;0")+COUNTIF(AP59,"&gt;0")+COUNTIF(AS59,"&gt;0")+COUNTIF(AV59,"&gt;0")+COUNTIF(AY59,"&gt;0")+COUNTIF(BB59,"&gt;0")+COUNTIF(BE59,"&gt;0")+COUNTIF(BH59,"&gt;0")+COUNTIF(BK59,"&gt;0")</f>
        <v>0</v>
      </c>
      <c r="O59" s="175"/>
      <c r="P59" s="290"/>
      <c r="Q59" s="290"/>
      <c r="R59" s="290"/>
      <c r="S59" s="290"/>
      <c r="T59" s="290"/>
      <c r="U59" s="290"/>
      <c r="V59" s="290"/>
      <c r="W59" s="290"/>
      <c r="X59" s="290"/>
      <c r="Y59" s="290"/>
      <c r="Z59" s="290"/>
      <c r="AA59" s="290"/>
      <c r="AB59" s="175">
        <f t="shared" ref="AB59:AB68" si="118">SUM(AC59,AF59,AI59,AL59,AO59,AR59,AU59,AX59,BA59,BD59,BG59,BJ59)</f>
        <v>0</v>
      </c>
      <c r="AC59" s="175">
        <f t="shared" ref="AC59:AC68" si="119">AD59*AE59</f>
        <v>0</v>
      </c>
      <c r="AD59" s="175">
        <f>SUMIFS('1-2 人员岗位信息'!F:F,'1-2 人员岗位信息'!$C:$C,"自有人员",'1-2 人员岗位信息'!$B:$B,$D59)</f>
        <v>0</v>
      </c>
      <c r="AE59" s="298"/>
      <c r="AF59" s="175">
        <f t="shared" ref="AF59:AF68" si="120">AG59*AH59</f>
        <v>0</v>
      </c>
      <c r="AG59" s="175">
        <f>SUMIFS('1-2 人员岗位信息'!G:G,'1-2 人员岗位信息'!$C:$C,"自有人员",'1-2 人员岗位信息'!$B:$B,$D59)</f>
        <v>0</v>
      </c>
      <c r="AH59" s="298"/>
      <c r="AI59" s="175">
        <f t="shared" ref="AI59:AI68" si="121">AJ59*AK59</f>
        <v>0</v>
      </c>
      <c r="AJ59" s="175">
        <f>SUMIFS('1-2 人员岗位信息'!H:H,'1-2 人员岗位信息'!$C:$C,"自有人员",'1-2 人员岗位信息'!$B:$B,$D59)</f>
        <v>0</v>
      </c>
      <c r="AK59" s="298"/>
      <c r="AL59" s="175">
        <f t="shared" ref="AL59:AL68" si="122">AM59*AN59</f>
        <v>0</v>
      </c>
      <c r="AM59" s="175">
        <f>SUMIFS('1-2 人员岗位信息'!I:I,'1-2 人员岗位信息'!$C:$C,"自有人员",'1-2 人员岗位信息'!$B:$B,$D59)</f>
        <v>0</v>
      </c>
      <c r="AN59" s="298"/>
      <c r="AO59" s="175">
        <f t="shared" ref="AO59:AO68" si="123">AP59*AQ59</f>
        <v>0</v>
      </c>
      <c r="AP59" s="175">
        <f>SUMIFS('1-2 人员岗位信息'!J:J,'1-2 人员岗位信息'!$C:$C,"自有人员",'1-2 人员岗位信息'!$B:$B,$D59)</f>
        <v>0</v>
      </c>
      <c r="AQ59" s="298"/>
      <c r="AR59" s="175">
        <f t="shared" ref="AR59:AR68" si="124">AS59*AT59</f>
        <v>0</v>
      </c>
      <c r="AS59" s="175">
        <f>SUMIFS('1-2 人员岗位信息'!K:K,'1-2 人员岗位信息'!$C:$C,"自有人员",'1-2 人员岗位信息'!$B:$B,$D59)</f>
        <v>0</v>
      </c>
      <c r="AT59" s="298"/>
      <c r="AU59" s="175">
        <f t="shared" ref="AU59:AU68" si="125">AV59*AW59</f>
        <v>0</v>
      </c>
      <c r="AV59" s="175">
        <f>SUMIFS('1-2 人员岗位信息'!L:L,'1-2 人员岗位信息'!$C:$C,"自有人员",'1-2 人员岗位信息'!$B:$B,$D59)</f>
        <v>0</v>
      </c>
      <c r="AW59" s="298"/>
      <c r="AX59" s="175">
        <f t="shared" ref="AX59:AX68" si="126">AY59*AZ59</f>
        <v>0</v>
      </c>
      <c r="AY59" s="175">
        <f>SUMIFS('1-2 人员岗位信息'!M:M,'1-2 人员岗位信息'!$C:$C,"自有人员",'1-2 人员岗位信息'!$B:$B,$D59)</f>
        <v>0</v>
      </c>
      <c r="AZ59" s="298"/>
      <c r="BA59" s="175">
        <f t="shared" ref="BA59:BA68" si="127">BB59*BC59</f>
        <v>0</v>
      </c>
      <c r="BB59" s="175">
        <f>SUMIFS('1-2 人员岗位信息'!N:N,'1-2 人员岗位信息'!$C:$C,"自有人员",'1-2 人员岗位信息'!$B:$B,$D59)</f>
        <v>0</v>
      </c>
      <c r="BC59" s="298"/>
      <c r="BD59" s="175">
        <f t="shared" ref="BD59:BD68" si="128">BE59*BF59</f>
        <v>0</v>
      </c>
      <c r="BE59" s="175">
        <f>SUMIFS('1-2 人员岗位信息'!O:O,'1-2 人员岗位信息'!$C:$C,"自有人员",'1-2 人员岗位信息'!$B:$B,$D59)</f>
        <v>0</v>
      </c>
      <c r="BF59" s="298"/>
      <c r="BG59" s="175">
        <f t="shared" ref="BG59:BG68" si="129">BH59*BI59</f>
        <v>0</v>
      </c>
      <c r="BH59" s="175">
        <f>SUMIFS('1-2 人员岗位信息'!P:P,'1-2 人员岗位信息'!$C:$C,"自有人员",'1-2 人员岗位信息'!$B:$B,$D59)</f>
        <v>0</v>
      </c>
      <c r="BI59" s="298"/>
      <c r="BJ59" s="175">
        <f t="shared" ref="BJ59:BJ68" si="130">BK59*BL59</f>
        <v>0</v>
      </c>
      <c r="BK59" s="175">
        <f>SUMIFS('1-2 人员岗位信息'!Q:Q,'1-2 人员岗位信息'!$C:$C,"自有人员",'1-2 人员岗位信息'!$B:$B,$D59)</f>
        <v>0</v>
      </c>
      <c r="BL59" s="307"/>
      <c r="BM59" s="311"/>
      <c r="BN59" s="315"/>
    </row>
    <row r="60" s="263" customFormat="1" ht="33.95" customHeight="1" outlineLevel="5" spans="2:66">
      <c r="B60" s="175" t="s">
        <v>799</v>
      </c>
      <c r="C60" s="283" t="s">
        <v>887</v>
      </c>
      <c r="D60" s="263" t="s">
        <v>888</v>
      </c>
      <c r="E60" s="175" t="s">
        <v>889</v>
      </c>
      <c r="F60" s="175"/>
      <c r="G60" s="175" t="s">
        <v>803</v>
      </c>
      <c r="H60" s="175">
        <f t="shared" si="114"/>
        <v>0</v>
      </c>
      <c r="I60" s="175" t="s">
        <v>804</v>
      </c>
      <c r="J60" s="175" t="e">
        <f t="shared" si="115"/>
        <v>#DIV/0!</v>
      </c>
      <c r="K60" s="175" t="s">
        <v>805</v>
      </c>
      <c r="L60" s="175" t="e">
        <f t="shared" si="116"/>
        <v>#DIV/0!</v>
      </c>
      <c r="M60" s="175" t="s">
        <v>806</v>
      </c>
      <c r="N60" s="175">
        <f t="shared" si="117"/>
        <v>0</v>
      </c>
      <c r="O60" s="175"/>
      <c r="P60" s="290"/>
      <c r="Q60" s="290"/>
      <c r="R60" s="290"/>
      <c r="S60" s="290"/>
      <c r="T60" s="290"/>
      <c r="U60" s="290"/>
      <c r="V60" s="290"/>
      <c r="W60" s="290"/>
      <c r="X60" s="290"/>
      <c r="Y60" s="290"/>
      <c r="Z60" s="290"/>
      <c r="AA60" s="290"/>
      <c r="AB60" s="175">
        <f t="shared" si="118"/>
        <v>0</v>
      </c>
      <c r="AC60" s="175">
        <f t="shared" si="119"/>
        <v>0</v>
      </c>
      <c r="AD60" s="175">
        <f>SUMIFS('1-2 人员岗位信息'!F:F,'1-2 人员岗位信息'!$C:$C,"自有人员",'1-2 人员岗位信息'!$B:$B,$D60)</f>
        <v>0</v>
      </c>
      <c r="AE60" s="298"/>
      <c r="AF60" s="175">
        <f t="shared" si="120"/>
        <v>0</v>
      </c>
      <c r="AG60" s="175">
        <f>SUMIFS('1-2 人员岗位信息'!G:G,'1-2 人员岗位信息'!$C:$C,"自有人员",'1-2 人员岗位信息'!$B:$B,$D60)</f>
        <v>0</v>
      </c>
      <c r="AH60" s="298"/>
      <c r="AI60" s="175">
        <f t="shared" si="121"/>
        <v>0</v>
      </c>
      <c r="AJ60" s="175">
        <f>SUMIFS('1-2 人员岗位信息'!H:H,'1-2 人员岗位信息'!$C:$C,"自有人员",'1-2 人员岗位信息'!$B:$B,$D60)</f>
        <v>0</v>
      </c>
      <c r="AK60" s="298"/>
      <c r="AL60" s="175">
        <f t="shared" si="122"/>
        <v>0</v>
      </c>
      <c r="AM60" s="175">
        <f>SUMIFS('1-2 人员岗位信息'!I:I,'1-2 人员岗位信息'!$C:$C,"自有人员",'1-2 人员岗位信息'!$B:$B,$D60)</f>
        <v>0</v>
      </c>
      <c r="AN60" s="298"/>
      <c r="AO60" s="175">
        <f t="shared" si="123"/>
        <v>0</v>
      </c>
      <c r="AP60" s="175">
        <f>SUMIFS('1-2 人员岗位信息'!J:J,'1-2 人员岗位信息'!$C:$C,"自有人员",'1-2 人员岗位信息'!$B:$B,$D60)</f>
        <v>0</v>
      </c>
      <c r="AQ60" s="298"/>
      <c r="AR60" s="175">
        <f t="shared" si="124"/>
        <v>0</v>
      </c>
      <c r="AS60" s="175">
        <f>SUMIFS('1-2 人员岗位信息'!K:K,'1-2 人员岗位信息'!$C:$C,"自有人员",'1-2 人员岗位信息'!$B:$B,$D60)</f>
        <v>0</v>
      </c>
      <c r="AT60" s="298"/>
      <c r="AU60" s="175">
        <f t="shared" si="125"/>
        <v>0</v>
      </c>
      <c r="AV60" s="175">
        <f>SUMIFS('1-2 人员岗位信息'!L:L,'1-2 人员岗位信息'!$C:$C,"自有人员",'1-2 人员岗位信息'!$B:$B,$D60)</f>
        <v>0</v>
      </c>
      <c r="AW60" s="298"/>
      <c r="AX60" s="175">
        <f t="shared" si="126"/>
        <v>0</v>
      </c>
      <c r="AY60" s="175">
        <f>SUMIFS('1-2 人员岗位信息'!M:M,'1-2 人员岗位信息'!$C:$C,"自有人员",'1-2 人员岗位信息'!$B:$B,$D60)</f>
        <v>0</v>
      </c>
      <c r="AZ60" s="298"/>
      <c r="BA60" s="175">
        <f t="shared" si="127"/>
        <v>0</v>
      </c>
      <c r="BB60" s="175">
        <f>SUMIFS('1-2 人员岗位信息'!N:N,'1-2 人员岗位信息'!$C:$C,"自有人员",'1-2 人员岗位信息'!$B:$B,$D60)</f>
        <v>0</v>
      </c>
      <c r="BC60" s="298"/>
      <c r="BD60" s="175">
        <f t="shared" si="128"/>
        <v>0</v>
      </c>
      <c r="BE60" s="175">
        <f>SUMIFS('1-2 人员岗位信息'!O:O,'1-2 人员岗位信息'!$C:$C,"自有人员",'1-2 人员岗位信息'!$B:$B,$D60)</f>
        <v>0</v>
      </c>
      <c r="BF60" s="298"/>
      <c r="BG60" s="175">
        <f t="shared" si="129"/>
        <v>0</v>
      </c>
      <c r="BH60" s="175">
        <f>SUMIFS('1-2 人员岗位信息'!P:P,'1-2 人员岗位信息'!$C:$C,"自有人员",'1-2 人员岗位信息'!$B:$B,$D60)</f>
        <v>0</v>
      </c>
      <c r="BI60" s="298"/>
      <c r="BJ60" s="175">
        <f t="shared" si="130"/>
        <v>0</v>
      </c>
      <c r="BK60" s="175">
        <f>SUMIFS('1-2 人员岗位信息'!Q:Q,'1-2 人员岗位信息'!$C:$C,"自有人员",'1-2 人员岗位信息'!$B:$B,$D60)</f>
        <v>0</v>
      </c>
      <c r="BL60" s="307"/>
      <c r="BM60" s="311"/>
      <c r="BN60" s="315"/>
    </row>
    <row r="61" s="263" customFormat="1" ht="33.95" customHeight="1" outlineLevel="5" spans="2:66">
      <c r="B61" s="175" t="s">
        <v>799</v>
      </c>
      <c r="C61" s="283" t="s">
        <v>890</v>
      </c>
      <c r="D61" s="263" t="s">
        <v>891</v>
      </c>
      <c r="E61" s="175" t="s">
        <v>892</v>
      </c>
      <c r="F61" s="175"/>
      <c r="G61" s="175" t="s">
        <v>803</v>
      </c>
      <c r="H61" s="175">
        <f t="shared" si="114"/>
        <v>0</v>
      </c>
      <c r="I61" s="175" t="s">
        <v>804</v>
      </c>
      <c r="J61" s="175" t="e">
        <f t="shared" si="115"/>
        <v>#DIV/0!</v>
      </c>
      <c r="K61" s="175" t="s">
        <v>805</v>
      </c>
      <c r="L61" s="175" t="e">
        <f t="shared" si="116"/>
        <v>#DIV/0!</v>
      </c>
      <c r="M61" s="175" t="s">
        <v>806</v>
      </c>
      <c r="N61" s="175">
        <f t="shared" si="117"/>
        <v>0</v>
      </c>
      <c r="O61" s="175"/>
      <c r="P61" s="290"/>
      <c r="Q61" s="290"/>
      <c r="R61" s="290"/>
      <c r="S61" s="290"/>
      <c r="T61" s="290"/>
      <c r="U61" s="290"/>
      <c r="V61" s="290"/>
      <c r="W61" s="290"/>
      <c r="X61" s="290"/>
      <c r="Y61" s="290"/>
      <c r="Z61" s="290"/>
      <c r="AA61" s="290"/>
      <c r="AB61" s="175">
        <f t="shared" si="118"/>
        <v>0</v>
      </c>
      <c r="AC61" s="175">
        <f t="shared" si="119"/>
        <v>0</v>
      </c>
      <c r="AD61" s="175">
        <f>SUMIFS('1-2 人员岗位信息'!F:F,'1-2 人员岗位信息'!$C:$C,"自有人员",'1-2 人员岗位信息'!$B:$B,$D61)</f>
        <v>0</v>
      </c>
      <c r="AE61" s="298"/>
      <c r="AF61" s="175">
        <f t="shared" si="120"/>
        <v>0</v>
      </c>
      <c r="AG61" s="175">
        <f>SUMIFS('1-2 人员岗位信息'!G:G,'1-2 人员岗位信息'!$C:$C,"自有人员",'1-2 人员岗位信息'!$B:$B,$D61)</f>
        <v>0</v>
      </c>
      <c r="AH61" s="298"/>
      <c r="AI61" s="175">
        <f t="shared" si="121"/>
        <v>0</v>
      </c>
      <c r="AJ61" s="175">
        <f>SUMIFS('1-2 人员岗位信息'!H:H,'1-2 人员岗位信息'!$C:$C,"自有人员",'1-2 人员岗位信息'!$B:$B,$D61)</f>
        <v>0</v>
      </c>
      <c r="AK61" s="298"/>
      <c r="AL61" s="175">
        <f t="shared" si="122"/>
        <v>0</v>
      </c>
      <c r="AM61" s="175">
        <f>SUMIFS('1-2 人员岗位信息'!I:I,'1-2 人员岗位信息'!$C:$C,"自有人员",'1-2 人员岗位信息'!$B:$B,$D61)</f>
        <v>0</v>
      </c>
      <c r="AN61" s="298"/>
      <c r="AO61" s="175">
        <f t="shared" si="123"/>
        <v>0</v>
      </c>
      <c r="AP61" s="175">
        <f>SUMIFS('1-2 人员岗位信息'!J:J,'1-2 人员岗位信息'!$C:$C,"自有人员",'1-2 人员岗位信息'!$B:$B,$D61)</f>
        <v>0</v>
      </c>
      <c r="AQ61" s="298"/>
      <c r="AR61" s="175">
        <f t="shared" si="124"/>
        <v>0</v>
      </c>
      <c r="AS61" s="175">
        <f>SUMIFS('1-2 人员岗位信息'!K:K,'1-2 人员岗位信息'!$C:$C,"自有人员",'1-2 人员岗位信息'!$B:$B,$D61)</f>
        <v>0</v>
      </c>
      <c r="AT61" s="298"/>
      <c r="AU61" s="175">
        <f t="shared" si="125"/>
        <v>0</v>
      </c>
      <c r="AV61" s="175">
        <f>SUMIFS('1-2 人员岗位信息'!L:L,'1-2 人员岗位信息'!$C:$C,"自有人员",'1-2 人员岗位信息'!$B:$B,$D61)</f>
        <v>0</v>
      </c>
      <c r="AW61" s="298"/>
      <c r="AX61" s="175">
        <f t="shared" si="126"/>
        <v>0</v>
      </c>
      <c r="AY61" s="175">
        <f>SUMIFS('1-2 人员岗位信息'!M:M,'1-2 人员岗位信息'!$C:$C,"自有人员",'1-2 人员岗位信息'!$B:$B,$D61)</f>
        <v>0</v>
      </c>
      <c r="AZ61" s="298"/>
      <c r="BA61" s="175">
        <f t="shared" si="127"/>
        <v>0</v>
      </c>
      <c r="BB61" s="175">
        <f>SUMIFS('1-2 人员岗位信息'!N:N,'1-2 人员岗位信息'!$C:$C,"自有人员",'1-2 人员岗位信息'!$B:$B,$D61)</f>
        <v>0</v>
      </c>
      <c r="BC61" s="298"/>
      <c r="BD61" s="175">
        <f t="shared" si="128"/>
        <v>0</v>
      </c>
      <c r="BE61" s="175">
        <f>SUMIFS('1-2 人员岗位信息'!O:O,'1-2 人员岗位信息'!$C:$C,"自有人员",'1-2 人员岗位信息'!$B:$B,$D61)</f>
        <v>0</v>
      </c>
      <c r="BF61" s="298"/>
      <c r="BG61" s="175">
        <f t="shared" si="129"/>
        <v>0</v>
      </c>
      <c r="BH61" s="175">
        <f>SUMIFS('1-2 人员岗位信息'!P:P,'1-2 人员岗位信息'!$C:$C,"自有人员",'1-2 人员岗位信息'!$B:$B,$D61)</f>
        <v>0</v>
      </c>
      <c r="BI61" s="298"/>
      <c r="BJ61" s="175">
        <f t="shared" si="130"/>
        <v>0</v>
      </c>
      <c r="BK61" s="175">
        <f>SUMIFS('1-2 人员岗位信息'!Q:Q,'1-2 人员岗位信息'!$C:$C,"自有人员",'1-2 人员岗位信息'!$B:$B,$D61)</f>
        <v>0</v>
      </c>
      <c r="BL61" s="307"/>
      <c r="BM61" s="311"/>
      <c r="BN61" s="315"/>
    </row>
    <row r="62" s="263" customFormat="1" ht="33.95" customHeight="1" outlineLevel="5" spans="2:66">
      <c r="B62" s="175" t="s">
        <v>799</v>
      </c>
      <c r="C62" s="283" t="s">
        <v>893</v>
      </c>
      <c r="D62" s="263" t="s">
        <v>894</v>
      </c>
      <c r="E62" s="175" t="s">
        <v>895</v>
      </c>
      <c r="F62" s="175"/>
      <c r="G62" s="175" t="s">
        <v>803</v>
      </c>
      <c r="H62" s="175">
        <f t="shared" si="114"/>
        <v>0</v>
      </c>
      <c r="I62" s="175" t="s">
        <v>804</v>
      </c>
      <c r="J62" s="175" t="e">
        <f t="shared" si="115"/>
        <v>#DIV/0!</v>
      </c>
      <c r="K62" s="175" t="s">
        <v>805</v>
      </c>
      <c r="L62" s="175" t="e">
        <f t="shared" si="116"/>
        <v>#DIV/0!</v>
      </c>
      <c r="M62" s="175" t="s">
        <v>806</v>
      </c>
      <c r="N62" s="175">
        <f t="shared" si="117"/>
        <v>0</v>
      </c>
      <c r="O62" s="175"/>
      <c r="P62" s="290"/>
      <c r="Q62" s="290"/>
      <c r="R62" s="290"/>
      <c r="S62" s="290"/>
      <c r="T62" s="290"/>
      <c r="U62" s="290"/>
      <c r="V62" s="290"/>
      <c r="W62" s="290"/>
      <c r="X62" s="290"/>
      <c r="Y62" s="290"/>
      <c r="Z62" s="290"/>
      <c r="AA62" s="290"/>
      <c r="AB62" s="175">
        <f t="shared" si="118"/>
        <v>0</v>
      </c>
      <c r="AC62" s="175">
        <f t="shared" si="119"/>
        <v>0</v>
      </c>
      <c r="AD62" s="175">
        <f>SUMIFS('1-2 人员岗位信息'!F:F,'1-2 人员岗位信息'!$C:$C,"自有人员",'1-2 人员岗位信息'!$B:$B,$D62)</f>
        <v>0</v>
      </c>
      <c r="AE62" s="298"/>
      <c r="AF62" s="175">
        <f t="shared" si="120"/>
        <v>0</v>
      </c>
      <c r="AG62" s="175">
        <f>SUMIFS('1-2 人员岗位信息'!G:G,'1-2 人员岗位信息'!$C:$C,"自有人员",'1-2 人员岗位信息'!$B:$B,$D62)</f>
        <v>0</v>
      </c>
      <c r="AH62" s="298"/>
      <c r="AI62" s="175">
        <f t="shared" si="121"/>
        <v>0</v>
      </c>
      <c r="AJ62" s="175">
        <f>SUMIFS('1-2 人员岗位信息'!H:H,'1-2 人员岗位信息'!$C:$C,"自有人员",'1-2 人员岗位信息'!$B:$B,$D62)</f>
        <v>0</v>
      </c>
      <c r="AK62" s="298"/>
      <c r="AL62" s="175">
        <f t="shared" si="122"/>
        <v>0</v>
      </c>
      <c r="AM62" s="175">
        <f>SUMIFS('1-2 人员岗位信息'!I:I,'1-2 人员岗位信息'!$C:$C,"自有人员",'1-2 人员岗位信息'!$B:$B,$D62)</f>
        <v>0</v>
      </c>
      <c r="AN62" s="298"/>
      <c r="AO62" s="175">
        <f t="shared" si="123"/>
        <v>0</v>
      </c>
      <c r="AP62" s="175">
        <f>SUMIFS('1-2 人员岗位信息'!J:J,'1-2 人员岗位信息'!$C:$C,"自有人员",'1-2 人员岗位信息'!$B:$B,$D62)</f>
        <v>0</v>
      </c>
      <c r="AQ62" s="298"/>
      <c r="AR62" s="175">
        <f t="shared" si="124"/>
        <v>0</v>
      </c>
      <c r="AS62" s="175">
        <f>SUMIFS('1-2 人员岗位信息'!K:K,'1-2 人员岗位信息'!$C:$C,"自有人员",'1-2 人员岗位信息'!$B:$B,$D62)</f>
        <v>0</v>
      </c>
      <c r="AT62" s="298"/>
      <c r="AU62" s="175">
        <f t="shared" si="125"/>
        <v>0</v>
      </c>
      <c r="AV62" s="175">
        <f>SUMIFS('1-2 人员岗位信息'!L:L,'1-2 人员岗位信息'!$C:$C,"自有人员",'1-2 人员岗位信息'!$B:$B,$D62)</f>
        <v>0</v>
      </c>
      <c r="AW62" s="298"/>
      <c r="AX62" s="175">
        <f t="shared" si="126"/>
        <v>0</v>
      </c>
      <c r="AY62" s="175">
        <f>SUMIFS('1-2 人员岗位信息'!M:M,'1-2 人员岗位信息'!$C:$C,"自有人员",'1-2 人员岗位信息'!$B:$B,$D62)</f>
        <v>0</v>
      </c>
      <c r="AZ62" s="298"/>
      <c r="BA62" s="175">
        <f t="shared" si="127"/>
        <v>0</v>
      </c>
      <c r="BB62" s="175">
        <f>SUMIFS('1-2 人员岗位信息'!N:N,'1-2 人员岗位信息'!$C:$C,"自有人员",'1-2 人员岗位信息'!$B:$B,$D62)</f>
        <v>0</v>
      </c>
      <c r="BC62" s="298"/>
      <c r="BD62" s="175">
        <f t="shared" si="128"/>
        <v>0</v>
      </c>
      <c r="BE62" s="175">
        <f>SUMIFS('1-2 人员岗位信息'!O:O,'1-2 人员岗位信息'!$C:$C,"自有人员",'1-2 人员岗位信息'!$B:$B,$D62)</f>
        <v>0</v>
      </c>
      <c r="BF62" s="298"/>
      <c r="BG62" s="175">
        <f t="shared" si="129"/>
        <v>0</v>
      </c>
      <c r="BH62" s="175">
        <f>SUMIFS('1-2 人员岗位信息'!P:P,'1-2 人员岗位信息'!$C:$C,"自有人员",'1-2 人员岗位信息'!$B:$B,$D62)</f>
        <v>0</v>
      </c>
      <c r="BI62" s="298"/>
      <c r="BJ62" s="175">
        <f t="shared" si="130"/>
        <v>0</v>
      </c>
      <c r="BK62" s="175">
        <f>SUMIFS('1-2 人员岗位信息'!Q:Q,'1-2 人员岗位信息'!$C:$C,"自有人员",'1-2 人员岗位信息'!$B:$B,$D62)</f>
        <v>0</v>
      </c>
      <c r="BL62" s="307"/>
      <c r="BM62" s="311"/>
      <c r="BN62" s="315"/>
    </row>
    <row r="63" s="263" customFormat="1" ht="33.95" customHeight="1" outlineLevel="5" spans="2:66">
      <c r="B63" s="175" t="s">
        <v>799</v>
      </c>
      <c r="C63" s="283" t="s">
        <v>896</v>
      </c>
      <c r="D63" s="263" t="s">
        <v>897</v>
      </c>
      <c r="E63" s="175" t="s">
        <v>898</v>
      </c>
      <c r="F63" s="175"/>
      <c r="G63" s="175" t="s">
        <v>803</v>
      </c>
      <c r="H63" s="175">
        <f t="shared" si="114"/>
        <v>0</v>
      </c>
      <c r="I63" s="175" t="s">
        <v>804</v>
      </c>
      <c r="J63" s="175" t="e">
        <f t="shared" si="115"/>
        <v>#DIV/0!</v>
      </c>
      <c r="K63" s="175" t="s">
        <v>805</v>
      </c>
      <c r="L63" s="175" t="e">
        <f t="shared" si="116"/>
        <v>#DIV/0!</v>
      </c>
      <c r="M63" s="175" t="s">
        <v>806</v>
      </c>
      <c r="N63" s="175">
        <f t="shared" si="117"/>
        <v>0</v>
      </c>
      <c r="O63" s="175"/>
      <c r="P63" s="290"/>
      <c r="Q63" s="290"/>
      <c r="R63" s="290"/>
      <c r="S63" s="290"/>
      <c r="T63" s="290"/>
      <c r="U63" s="290"/>
      <c r="V63" s="290"/>
      <c r="W63" s="290"/>
      <c r="X63" s="290"/>
      <c r="Y63" s="290"/>
      <c r="Z63" s="290"/>
      <c r="AA63" s="290"/>
      <c r="AB63" s="175">
        <f t="shared" si="118"/>
        <v>0</v>
      </c>
      <c r="AC63" s="175">
        <f t="shared" si="119"/>
        <v>0</v>
      </c>
      <c r="AD63" s="175">
        <f>SUMIFS('1-2 人员岗位信息'!F:F,'1-2 人员岗位信息'!$C:$C,"自有人员",'1-2 人员岗位信息'!$B:$B,$D63)</f>
        <v>0</v>
      </c>
      <c r="AE63" s="298"/>
      <c r="AF63" s="175">
        <f t="shared" si="120"/>
        <v>0</v>
      </c>
      <c r="AG63" s="175">
        <f>SUMIFS('1-2 人员岗位信息'!G:G,'1-2 人员岗位信息'!$C:$C,"自有人员",'1-2 人员岗位信息'!$B:$B,$D63)</f>
        <v>0</v>
      </c>
      <c r="AH63" s="298"/>
      <c r="AI63" s="175">
        <f t="shared" si="121"/>
        <v>0</v>
      </c>
      <c r="AJ63" s="175">
        <f>SUMIFS('1-2 人员岗位信息'!H:H,'1-2 人员岗位信息'!$C:$C,"自有人员",'1-2 人员岗位信息'!$B:$B,$D63)</f>
        <v>0</v>
      </c>
      <c r="AK63" s="298"/>
      <c r="AL63" s="175">
        <f t="shared" si="122"/>
        <v>0</v>
      </c>
      <c r="AM63" s="175">
        <f>SUMIFS('1-2 人员岗位信息'!I:I,'1-2 人员岗位信息'!$C:$C,"自有人员",'1-2 人员岗位信息'!$B:$B,$D63)</f>
        <v>0</v>
      </c>
      <c r="AN63" s="298"/>
      <c r="AO63" s="175">
        <f t="shared" si="123"/>
        <v>0</v>
      </c>
      <c r="AP63" s="175">
        <f>SUMIFS('1-2 人员岗位信息'!J:J,'1-2 人员岗位信息'!$C:$C,"自有人员",'1-2 人员岗位信息'!$B:$B,$D63)</f>
        <v>0</v>
      </c>
      <c r="AQ63" s="298"/>
      <c r="AR63" s="175">
        <f t="shared" si="124"/>
        <v>0</v>
      </c>
      <c r="AS63" s="175">
        <f>SUMIFS('1-2 人员岗位信息'!K:K,'1-2 人员岗位信息'!$C:$C,"自有人员",'1-2 人员岗位信息'!$B:$B,$D63)</f>
        <v>0</v>
      </c>
      <c r="AT63" s="298"/>
      <c r="AU63" s="175">
        <f t="shared" si="125"/>
        <v>0</v>
      </c>
      <c r="AV63" s="175">
        <f>SUMIFS('1-2 人员岗位信息'!L:L,'1-2 人员岗位信息'!$C:$C,"自有人员",'1-2 人员岗位信息'!$B:$B,$D63)</f>
        <v>0</v>
      </c>
      <c r="AW63" s="298"/>
      <c r="AX63" s="175">
        <f t="shared" si="126"/>
        <v>0</v>
      </c>
      <c r="AY63" s="175">
        <f>SUMIFS('1-2 人员岗位信息'!M:M,'1-2 人员岗位信息'!$C:$C,"自有人员",'1-2 人员岗位信息'!$B:$B,$D63)</f>
        <v>0</v>
      </c>
      <c r="AZ63" s="298"/>
      <c r="BA63" s="175">
        <f t="shared" si="127"/>
        <v>0</v>
      </c>
      <c r="BB63" s="175">
        <f>SUMIFS('1-2 人员岗位信息'!N:N,'1-2 人员岗位信息'!$C:$C,"自有人员",'1-2 人员岗位信息'!$B:$B,$D63)</f>
        <v>0</v>
      </c>
      <c r="BC63" s="298"/>
      <c r="BD63" s="175">
        <f t="shared" si="128"/>
        <v>0</v>
      </c>
      <c r="BE63" s="175">
        <f>SUMIFS('1-2 人员岗位信息'!O:O,'1-2 人员岗位信息'!$C:$C,"自有人员",'1-2 人员岗位信息'!$B:$B,$D63)</f>
        <v>0</v>
      </c>
      <c r="BF63" s="298"/>
      <c r="BG63" s="175">
        <f t="shared" si="129"/>
        <v>0</v>
      </c>
      <c r="BH63" s="175">
        <f>SUMIFS('1-2 人员岗位信息'!P:P,'1-2 人员岗位信息'!$C:$C,"自有人员",'1-2 人员岗位信息'!$B:$B,$D63)</f>
        <v>0</v>
      </c>
      <c r="BI63" s="298"/>
      <c r="BJ63" s="175">
        <f t="shared" si="130"/>
        <v>0</v>
      </c>
      <c r="BK63" s="175">
        <f>SUMIFS('1-2 人员岗位信息'!Q:Q,'1-2 人员岗位信息'!$C:$C,"自有人员",'1-2 人员岗位信息'!$B:$B,$D63)</f>
        <v>0</v>
      </c>
      <c r="BL63" s="307"/>
      <c r="BM63" s="311"/>
      <c r="BN63" s="315"/>
    </row>
    <row r="64" s="263" customFormat="1" ht="33.95" customHeight="1" outlineLevel="5" spans="2:66">
      <c r="B64" s="175" t="s">
        <v>799</v>
      </c>
      <c r="C64" s="283" t="s">
        <v>899</v>
      </c>
      <c r="D64" s="263" t="s">
        <v>900</v>
      </c>
      <c r="E64" s="175" t="s">
        <v>901</v>
      </c>
      <c r="F64" s="175"/>
      <c r="G64" s="175" t="s">
        <v>803</v>
      </c>
      <c r="H64" s="175">
        <f t="shared" si="114"/>
        <v>0</v>
      </c>
      <c r="I64" s="175" t="s">
        <v>804</v>
      </c>
      <c r="J64" s="175" t="e">
        <f t="shared" si="115"/>
        <v>#DIV/0!</v>
      </c>
      <c r="K64" s="175" t="s">
        <v>805</v>
      </c>
      <c r="L64" s="175" t="e">
        <f t="shared" si="116"/>
        <v>#DIV/0!</v>
      </c>
      <c r="M64" s="175" t="s">
        <v>806</v>
      </c>
      <c r="N64" s="175">
        <f t="shared" si="117"/>
        <v>0</v>
      </c>
      <c r="O64" s="175"/>
      <c r="P64" s="290"/>
      <c r="Q64" s="290"/>
      <c r="R64" s="290"/>
      <c r="S64" s="290"/>
      <c r="T64" s="290"/>
      <c r="U64" s="290"/>
      <c r="V64" s="290"/>
      <c r="W64" s="290"/>
      <c r="X64" s="290"/>
      <c r="Y64" s="290"/>
      <c r="Z64" s="290"/>
      <c r="AA64" s="290"/>
      <c r="AB64" s="175">
        <f t="shared" si="118"/>
        <v>0</v>
      </c>
      <c r="AC64" s="175">
        <f t="shared" si="119"/>
        <v>0</v>
      </c>
      <c r="AD64" s="175">
        <f>SUMIFS('1-2 人员岗位信息'!F:F,'1-2 人员岗位信息'!$C:$C,"自有人员",'1-2 人员岗位信息'!$B:$B,$D64)</f>
        <v>0</v>
      </c>
      <c r="AE64" s="298"/>
      <c r="AF64" s="175">
        <f t="shared" si="120"/>
        <v>0</v>
      </c>
      <c r="AG64" s="175">
        <f>SUMIFS('1-2 人员岗位信息'!G:G,'1-2 人员岗位信息'!$C:$C,"自有人员",'1-2 人员岗位信息'!$B:$B,$D64)</f>
        <v>0</v>
      </c>
      <c r="AH64" s="298"/>
      <c r="AI64" s="175">
        <f t="shared" si="121"/>
        <v>0</v>
      </c>
      <c r="AJ64" s="175">
        <f>SUMIFS('1-2 人员岗位信息'!H:H,'1-2 人员岗位信息'!$C:$C,"自有人员",'1-2 人员岗位信息'!$B:$B,$D64)</f>
        <v>0</v>
      </c>
      <c r="AK64" s="298"/>
      <c r="AL64" s="175">
        <f t="shared" si="122"/>
        <v>0</v>
      </c>
      <c r="AM64" s="175">
        <f>SUMIFS('1-2 人员岗位信息'!I:I,'1-2 人员岗位信息'!$C:$C,"自有人员",'1-2 人员岗位信息'!$B:$B,$D64)</f>
        <v>0</v>
      </c>
      <c r="AN64" s="298"/>
      <c r="AO64" s="175">
        <f t="shared" si="123"/>
        <v>0</v>
      </c>
      <c r="AP64" s="175">
        <f>SUMIFS('1-2 人员岗位信息'!J:J,'1-2 人员岗位信息'!$C:$C,"自有人员",'1-2 人员岗位信息'!$B:$B,$D64)</f>
        <v>0</v>
      </c>
      <c r="AQ64" s="298"/>
      <c r="AR64" s="175">
        <f t="shared" si="124"/>
        <v>0</v>
      </c>
      <c r="AS64" s="175">
        <f>SUMIFS('1-2 人员岗位信息'!K:K,'1-2 人员岗位信息'!$C:$C,"自有人员",'1-2 人员岗位信息'!$B:$B,$D64)</f>
        <v>0</v>
      </c>
      <c r="AT64" s="298"/>
      <c r="AU64" s="175">
        <f t="shared" si="125"/>
        <v>0</v>
      </c>
      <c r="AV64" s="175">
        <f>SUMIFS('1-2 人员岗位信息'!L:L,'1-2 人员岗位信息'!$C:$C,"自有人员",'1-2 人员岗位信息'!$B:$B,$D64)</f>
        <v>0</v>
      </c>
      <c r="AW64" s="298"/>
      <c r="AX64" s="175">
        <f t="shared" si="126"/>
        <v>0</v>
      </c>
      <c r="AY64" s="175">
        <f>SUMIFS('1-2 人员岗位信息'!M:M,'1-2 人员岗位信息'!$C:$C,"自有人员",'1-2 人员岗位信息'!$B:$B,$D64)</f>
        <v>0</v>
      </c>
      <c r="AZ64" s="298"/>
      <c r="BA64" s="175">
        <f t="shared" si="127"/>
        <v>0</v>
      </c>
      <c r="BB64" s="175">
        <f>SUMIFS('1-2 人员岗位信息'!N:N,'1-2 人员岗位信息'!$C:$C,"自有人员",'1-2 人员岗位信息'!$B:$B,$D64)</f>
        <v>0</v>
      </c>
      <c r="BC64" s="298"/>
      <c r="BD64" s="175">
        <f t="shared" si="128"/>
        <v>0</v>
      </c>
      <c r="BE64" s="175">
        <f>SUMIFS('1-2 人员岗位信息'!O:O,'1-2 人员岗位信息'!$C:$C,"自有人员",'1-2 人员岗位信息'!$B:$B,$D64)</f>
        <v>0</v>
      </c>
      <c r="BF64" s="298"/>
      <c r="BG64" s="175">
        <f t="shared" si="129"/>
        <v>0</v>
      </c>
      <c r="BH64" s="175">
        <f>SUMIFS('1-2 人员岗位信息'!P:P,'1-2 人员岗位信息'!$C:$C,"自有人员",'1-2 人员岗位信息'!$B:$B,$D64)</f>
        <v>0</v>
      </c>
      <c r="BI64" s="298"/>
      <c r="BJ64" s="175">
        <f t="shared" si="130"/>
        <v>0</v>
      </c>
      <c r="BK64" s="175">
        <f>SUMIFS('1-2 人员岗位信息'!Q:Q,'1-2 人员岗位信息'!$C:$C,"自有人员",'1-2 人员岗位信息'!$B:$B,$D64)</f>
        <v>0</v>
      </c>
      <c r="BL64" s="307"/>
      <c r="BM64" s="311"/>
      <c r="BN64" s="315"/>
    </row>
    <row r="65" s="263" customFormat="1" ht="33.95" customHeight="1" outlineLevel="5" spans="2:66">
      <c r="B65" s="175" t="s">
        <v>799</v>
      </c>
      <c r="C65" s="283" t="s">
        <v>902</v>
      </c>
      <c r="D65" s="263" t="s">
        <v>903</v>
      </c>
      <c r="E65" s="175" t="s">
        <v>904</v>
      </c>
      <c r="F65" s="175"/>
      <c r="G65" s="175" t="s">
        <v>803</v>
      </c>
      <c r="H65" s="175">
        <f t="shared" si="114"/>
        <v>0</v>
      </c>
      <c r="I65" s="175" t="s">
        <v>804</v>
      </c>
      <c r="J65" s="175" t="e">
        <f t="shared" si="115"/>
        <v>#DIV/0!</v>
      </c>
      <c r="K65" s="175" t="s">
        <v>805</v>
      </c>
      <c r="L65" s="175" t="e">
        <f t="shared" si="116"/>
        <v>#DIV/0!</v>
      </c>
      <c r="M65" s="175" t="s">
        <v>806</v>
      </c>
      <c r="N65" s="175">
        <f t="shared" si="117"/>
        <v>0</v>
      </c>
      <c r="O65" s="175"/>
      <c r="P65" s="290"/>
      <c r="Q65" s="290"/>
      <c r="R65" s="290"/>
      <c r="S65" s="290"/>
      <c r="T65" s="290"/>
      <c r="U65" s="290"/>
      <c r="V65" s="290"/>
      <c r="W65" s="290"/>
      <c r="X65" s="290"/>
      <c r="Y65" s="290"/>
      <c r="Z65" s="290"/>
      <c r="AA65" s="290"/>
      <c r="AB65" s="175">
        <f t="shared" si="118"/>
        <v>0</v>
      </c>
      <c r="AC65" s="175">
        <f t="shared" si="119"/>
        <v>0</v>
      </c>
      <c r="AD65" s="175">
        <f>SUMIFS('1-2 人员岗位信息'!F:F,'1-2 人员岗位信息'!$C:$C,"自有人员",'1-2 人员岗位信息'!$B:$B,$D65)</f>
        <v>0</v>
      </c>
      <c r="AE65" s="298"/>
      <c r="AF65" s="175">
        <f t="shared" si="120"/>
        <v>0</v>
      </c>
      <c r="AG65" s="175">
        <f>SUMIFS('1-2 人员岗位信息'!G:G,'1-2 人员岗位信息'!$C:$C,"自有人员",'1-2 人员岗位信息'!$B:$B,$D65)</f>
        <v>0</v>
      </c>
      <c r="AH65" s="298"/>
      <c r="AI65" s="175">
        <f t="shared" si="121"/>
        <v>0</v>
      </c>
      <c r="AJ65" s="175">
        <f>SUMIFS('1-2 人员岗位信息'!H:H,'1-2 人员岗位信息'!$C:$C,"自有人员",'1-2 人员岗位信息'!$B:$B,$D65)</f>
        <v>0</v>
      </c>
      <c r="AK65" s="298"/>
      <c r="AL65" s="175">
        <f t="shared" si="122"/>
        <v>0</v>
      </c>
      <c r="AM65" s="175">
        <f>SUMIFS('1-2 人员岗位信息'!I:I,'1-2 人员岗位信息'!$C:$C,"自有人员",'1-2 人员岗位信息'!$B:$B,$D65)</f>
        <v>0</v>
      </c>
      <c r="AN65" s="298"/>
      <c r="AO65" s="175">
        <f t="shared" si="123"/>
        <v>0</v>
      </c>
      <c r="AP65" s="175">
        <f>SUMIFS('1-2 人员岗位信息'!J:J,'1-2 人员岗位信息'!$C:$C,"自有人员",'1-2 人员岗位信息'!$B:$B,$D65)</f>
        <v>0</v>
      </c>
      <c r="AQ65" s="298"/>
      <c r="AR65" s="175">
        <f t="shared" si="124"/>
        <v>0</v>
      </c>
      <c r="AS65" s="175">
        <f>SUMIFS('1-2 人员岗位信息'!K:K,'1-2 人员岗位信息'!$C:$C,"自有人员",'1-2 人员岗位信息'!$B:$B,$D65)</f>
        <v>0</v>
      </c>
      <c r="AT65" s="298"/>
      <c r="AU65" s="175">
        <f t="shared" si="125"/>
        <v>0</v>
      </c>
      <c r="AV65" s="175">
        <f>SUMIFS('1-2 人员岗位信息'!L:L,'1-2 人员岗位信息'!$C:$C,"自有人员",'1-2 人员岗位信息'!$B:$B,$D65)</f>
        <v>0</v>
      </c>
      <c r="AW65" s="298"/>
      <c r="AX65" s="175">
        <f t="shared" si="126"/>
        <v>0</v>
      </c>
      <c r="AY65" s="175">
        <f>SUMIFS('1-2 人员岗位信息'!M:M,'1-2 人员岗位信息'!$C:$C,"自有人员",'1-2 人员岗位信息'!$B:$B,$D65)</f>
        <v>0</v>
      </c>
      <c r="AZ65" s="298"/>
      <c r="BA65" s="175">
        <f t="shared" si="127"/>
        <v>0</v>
      </c>
      <c r="BB65" s="175">
        <f>SUMIFS('1-2 人员岗位信息'!N:N,'1-2 人员岗位信息'!$C:$C,"自有人员",'1-2 人员岗位信息'!$B:$B,$D65)</f>
        <v>0</v>
      </c>
      <c r="BC65" s="298"/>
      <c r="BD65" s="175">
        <f t="shared" si="128"/>
        <v>0</v>
      </c>
      <c r="BE65" s="175">
        <f>SUMIFS('1-2 人员岗位信息'!O:O,'1-2 人员岗位信息'!$C:$C,"自有人员",'1-2 人员岗位信息'!$B:$B,$D65)</f>
        <v>0</v>
      </c>
      <c r="BF65" s="298"/>
      <c r="BG65" s="175">
        <f t="shared" si="129"/>
        <v>0</v>
      </c>
      <c r="BH65" s="175">
        <f>SUMIFS('1-2 人员岗位信息'!P:P,'1-2 人员岗位信息'!$C:$C,"自有人员",'1-2 人员岗位信息'!$B:$B,$D65)</f>
        <v>0</v>
      </c>
      <c r="BI65" s="298"/>
      <c r="BJ65" s="175">
        <f t="shared" si="130"/>
        <v>0</v>
      </c>
      <c r="BK65" s="175">
        <f>SUMIFS('1-2 人员岗位信息'!Q:Q,'1-2 人员岗位信息'!$C:$C,"自有人员",'1-2 人员岗位信息'!$B:$B,$D65)</f>
        <v>0</v>
      </c>
      <c r="BL65" s="307"/>
      <c r="BM65" s="311"/>
      <c r="BN65" s="315"/>
    </row>
    <row r="66" s="263" customFormat="1" ht="33.95" customHeight="1" outlineLevel="5" spans="2:66">
      <c r="B66" s="175" t="s">
        <v>799</v>
      </c>
      <c r="C66" s="283" t="s">
        <v>905</v>
      </c>
      <c r="D66" s="263" t="s">
        <v>906</v>
      </c>
      <c r="E66" s="175" t="s">
        <v>907</v>
      </c>
      <c r="F66" s="175"/>
      <c r="G66" s="175" t="s">
        <v>803</v>
      </c>
      <c r="H66" s="175">
        <f t="shared" si="114"/>
        <v>0</v>
      </c>
      <c r="I66" s="175" t="s">
        <v>804</v>
      </c>
      <c r="J66" s="175" t="e">
        <f t="shared" si="115"/>
        <v>#DIV/0!</v>
      </c>
      <c r="K66" s="175" t="s">
        <v>805</v>
      </c>
      <c r="L66" s="175" t="e">
        <f t="shared" si="116"/>
        <v>#DIV/0!</v>
      </c>
      <c r="M66" s="175" t="s">
        <v>806</v>
      </c>
      <c r="N66" s="175">
        <f t="shared" si="117"/>
        <v>0</v>
      </c>
      <c r="O66" s="175"/>
      <c r="P66" s="290"/>
      <c r="Q66" s="290"/>
      <c r="R66" s="290"/>
      <c r="S66" s="290"/>
      <c r="T66" s="290"/>
      <c r="U66" s="290"/>
      <c r="V66" s="290"/>
      <c r="W66" s="290"/>
      <c r="X66" s="290"/>
      <c r="Y66" s="290"/>
      <c r="Z66" s="290"/>
      <c r="AA66" s="290"/>
      <c r="AB66" s="175">
        <f t="shared" si="118"/>
        <v>0</v>
      </c>
      <c r="AC66" s="175">
        <f t="shared" si="119"/>
        <v>0</v>
      </c>
      <c r="AD66" s="175">
        <f>SUMIFS('1-2 人员岗位信息'!F:F,'1-2 人员岗位信息'!$C:$C,"自有人员",'1-2 人员岗位信息'!$B:$B,$D66)</f>
        <v>0</v>
      </c>
      <c r="AE66" s="298"/>
      <c r="AF66" s="175">
        <f t="shared" si="120"/>
        <v>0</v>
      </c>
      <c r="AG66" s="175">
        <f>SUMIFS('1-2 人员岗位信息'!G:G,'1-2 人员岗位信息'!$C:$C,"自有人员",'1-2 人员岗位信息'!$B:$B,$D66)</f>
        <v>0</v>
      </c>
      <c r="AH66" s="298"/>
      <c r="AI66" s="175">
        <f t="shared" si="121"/>
        <v>0</v>
      </c>
      <c r="AJ66" s="175">
        <f>SUMIFS('1-2 人员岗位信息'!H:H,'1-2 人员岗位信息'!$C:$C,"自有人员",'1-2 人员岗位信息'!$B:$B,$D66)</f>
        <v>0</v>
      </c>
      <c r="AK66" s="298"/>
      <c r="AL66" s="175">
        <f t="shared" si="122"/>
        <v>0</v>
      </c>
      <c r="AM66" s="175">
        <f>SUMIFS('1-2 人员岗位信息'!I:I,'1-2 人员岗位信息'!$C:$C,"自有人员",'1-2 人员岗位信息'!$B:$B,$D66)</f>
        <v>0</v>
      </c>
      <c r="AN66" s="298"/>
      <c r="AO66" s="175">
        <f t="shared" si="123"/>
        <v>0</v>
      </c>
      <c r="AP66" s="175">
        <f>SUMIFS('1-2 人员岗位信息'!J:J,'1-2 人员岗位信息'!$C:$C,"自有人员",'1-2 人员岗位信息'!$B:$B,$D66)</f>
        <v>0</v>
      </c>
      <c r="AQ66" s="298"/>
      <c r="AR66" s="175">
        <f t="shared" si="124"/>
        <v>0</v>
      </c>
      <c r="AS66" s="175">
        <f>SUMIFS('1-2 人员岗位信息'!K:K,'1-2 人员岗位信息'!$C:$C,"自有人员",'1-2 人员岗位信息'!$B:$B,$D66)</f>
        <v>0</v>
      </c>
      <c r="AT66" s="298"/>
      <c r="AU66" s="175">
        <f t="shared" si="125"/>
        <v>0</v>
      </c>
      <c r="AV66" s="175">
        <f>SUMIFS('1-2 人员岗位信息'!L:L,'1-2 人员岗位信息'!$C:$C,"自有人员",'1-2 人员岗位信息'!$B:$B,$D66)</f>
        <v>0</v>
      </c>
      <c r="AW66" s="298"/>
      <c r="AX66" s="175">
        <f t="shared" si="126"/>
        <v>0</v>
      </c>
      <c r="AY66" s="175">
        <f>SUMIFS('1-2 人员岗位信息'!M:M,'1-2 人员岗位信息'!$C:$C,"自有人员",'1-2 人员岗位信息'!$B:$B,$D66)</f>
        <v>0</v>
      </c>
      <c r="AZ66" s="298"/>
      <c r="BA66" s="175">
        <f t="shared" si="127"/>
        <v>0</v>
      </c>
      <c r="BB66" s="175">
        <f>SUMIFS('1-2 人员岗位信息'!N:N,'1-2 人员岗位信息'!$C:$C,"自有人员",'1-2 人员岗位信息'!$B:$B,$D66)</f>
        <v>0</v>
      </c>
      <c r="BC66" s="298"/>
      <c r="BD66" s="175">
        <f t="shared" si="128"/>
        <v>0</v>
      </c>
      <c r="BE66" s="175">
        <f>SUMIFS('1-2 人员岗位信息'!O:O,'1-2 人员岗位信息'!$C:$C,"自有人员",'1-2 人员岗位信息'!$B:$B,$D66)</f>
        <v>0</v>
      </c>
      <c r="BF66" s="298"/>
      <c r="BG66" s="175">
        <f t="shared" si="129"/>
        <v>0</v>
      </c>
      <c r="BH66" s="175">
        <f>SUMIFS('1-2 人员岗位信息'!P:P,'1-2 人员岗位信息'!$C:$C,"自有人员",'1-2 人员岗位信息'!$B:$B,$D66)</f>
        <v>0</v>
      </c>
      <c r="BI66" s="298"/>
      <c r="BJ66" s="175">
        <f t="shared" si="130"/>
        <v>0</v>
      </c>
      <c r="BK66" s="175">
        <f>SUMIFS('1-2 人员岗位信息'!Q:Q,'1-2 人员岗位信息'!$C:$C,"自有人员",'1-2 人员岗位信息'!$B:$B,$D66)</f>
        <v>0</v>
      </c>
      <c r="BL66" s="307"/>
      <c r="BM66" s="311"/>
      <c r="BN66" s="315"/>
    </row>
    <row r="67" s="263" customFormat="1" ht="33.95" customHeight="1" outlineLevel="5" spans="2:66">
      <c r="B67" s="175" t="s">
        <v>799</v>
      </c>
      <c r="C67" s="283" t="s">
        <v>908</v>
      </c>
      <c r="D67" s="263" t="s">
        <v>909</v>
      </c>
      <c r="E67" s="175" t="s">
        <v>910</v>
      </c>
      <c r="F67" s="175"/>
      <c r="G67" s="175" t="s">
        <v>803</v>
      </c>
      <c r="H67" s="175">
        <f t="shared" si="114"/>
        <v>0</v>
      </c>
      <c r="I67" s="175" t="s">
        <v>804</v>
      </c>
      <c r="J67" s="175" t="e">
        <f t="shared" si="115"/>
        <v>#DIV/0!</v>
      </c>
      <c r="K67" s="175" t="s">
        <v>805</v>
      </c>
      <c r="L67" s="175" t="e">
        <f t="shared" si="116"/>
        <v>#DIV/0!</v>
      </c>
      <c r="M67" s="175" t="s">
        <v>806</v>
      </c>
      <c r="N67" s="175">
        <f t="shared" si="117"/>
        <v>0</v>
      </c>
      <c r="O67" s="175"/>
      <c r="P67" s="290"/>
      <c r="Q67" s="290"/>
      <c r="R67" s="290"/>
      <c r="S67" s="290"/>
      <c r="T67" s="290"/>
      <c r="U67" s="290"/>
      <c r="V67" s="290"/>
      <c r="W67" s="290"/>
      <c r="X67" s="290"/>
      <c r="Y67" s="290"/>
      <c r="Z67" s="290"/>
      <c r="AA67" s="290"/>
      <c r="AB67" s="175">
        <f t="shared" si="118"/>
        <v>0</v>
      </c>
      <c r="AC67" s="175">
        <f t="shared" si="119"/>
        <v>0</v>
      </c>
      <c r="AD67" s="175">
        <f>SUMIFS('1-2 人员岗位信息'!F:F,'1-2 人员岗位信息'!$C:$C,"自有人员",'1-2 人员岗位信息'!$B:$B,$D67)</f>
        <v>0</v>
      </c>
      <c r="AE67" s="298"/>
      <c r="AF67" s="175">
        <f t="shared" si="120"/>
        <v>0</v>
      </c>
      <c r="AG67" s="175">
        <f>SUMIFS('1-2 人员岗位信息'!G:G,'1-2 人员岗位信息'!$C:$C,"自有人员",'1-2 人员岗位信息'!$B:$B,$D67)</f>
        <v>0</v>
      </c>
      <c r="AH67" s="298"/>
      <c r="AI67" s="175">
        <f t="shared" si="121"/>
        <v>0</v>
      </c>
      <c r="AJ67" s="175">
        <f>SUMIFS('1-2 人员岗位信息'!H:H,'1-2 人员岗位信息'!$C:$C,"自有人员",'1-2 人员岗位信息'!$B:$B,$D67)</f>
        <v>0</v>
      </c>
      <c r="AK67" s="298"/>
      <c r="AL67" s="175">
        <f t="shared" si="122"/>
        <v>0</v>
      </c>
      <c r="AM67" s="175">
        <f>SUMIFS('1-2 人员岗位信息'!I:I,'1-2 人员岗位信息'!$C:$C,"自有人员",'1-2 人员岗位信息'!$B:$B,$D67)</f>
        <v>0</v>
      </c>
      <c r="AN67" s="298"/>
      <c r="AO67" s="175">
        <f t="shared" si="123"/>
        <v>0</v>
      </c>
      <c r="AP67" s="175">
        <f>SUMIFS('1-2 人员岗位信息'!J:J,'1-2 人员岗位信息'!$C:$C,"自有人员",'1-2 人员岗位信息'!$B:$B,$D67)</f>
        <v>0</v>
      </c>
      <c r="AQ67" s="298"/>
      <c r="AR67" s="175">
        <f t="shared" si="124"/>
        <v>0</v>
      </c>
      <c r="AS67" s="175">
        <f>SUMIFS('1-2 人员岗位信息'!K:K,'1-2 人员岗位信息'!$C:$C,"自有人员",'1-2 人员岗位信息'!$B:$B,$D67)</f>
        <v>0</v>
      </c>
      <c r="AT67" s="298"/>
      <c r="AU67" s="175">
        <f t="shared" si="125"/>
        <v>0</v>
      </c>
      <c r="AV67" s="175">
        <f>SUMIFS('1-2 人员岗位信息'!L:L,'1-2 人员岗位信息'!$C:$C,"自有人员",'1-2 人员岗位信息'!$B:$B,$D67)</f>
        <v>0</v>
      </c>
      <c r="AW67" s="298"/>
      <c r="AX67" s="175">
        <f t="shared" si="126"/>
        <v>0</v>
      </c>
      <c r="AY67" s="175">
        <f>SUMIFS('1-2 人员岗位信息'!M:M,'1-2 人员岗位信息'!$C:$C,"自有人员",'1-2 人员岗位信息'!$B:$B,$D67)</f>
        <v>0</v>
      </c>
      <c r="AZ67" s="298"/>
      <c r="BA67" s="175">
        <f t="shared" si="127"/>
        <v>0</v>
      </c>
      <c r="BB67" s="175">
        <f>SUMIFS('1-2 人员岗位信息'!N:N,'1-2 人员岗位信息'!$C:$C,"自有人员",'1-2 人员岗位信息'!$B:$B,$D67)</f>
        <v>0</v>
      </c>
      <c r="BC67" s="298"/>
      <c r="BD67" s="175">
        <f t="shared" si="128"/>
        <v>0</v>
      </c>
      <c r="BE67" s="175">
        <f>SUMIFS('1-2 人员岗位信息'!O:O,'1-2 人员岗位信息'!$C:$C,"自有人员",'1-2 人员岗位信息'!$B:$B,$D67)</f>
        <v>0</v>
      </c>
      <c r="BF67" s="298"/>
      <c r="BG67" s="175">
        <f t="shared" si="129"/>
        <v>0</v>
      </c>
      <c r="BH67" s="175">
        <f>SUMIFS('1-2 人员岗位信息'!P:P,'1-2 人员岗位信息'!$C:$C,"自有人员",'1-2 人员岗位信息'!$B:$B,$D67)</f>
        <v>0</v>
      </c>
      <c r="BI67" s="298"/>
      <c r="BJ67" s="175">
        <f t="shared" si="130"/>
        <v>0</v>
      </c>
      <c r="BK67" s="175">
        <f>SUMIFS('1-2 人员岗位信息'!Q:Q,'1-2 人员岗位信息'!$C:$C,"自有人员",'1-2 人员岗位信息'!$B:$B,$D67)</f>
        <v>0</v>
      </c>
      <c r="BL67" s="307"/>
      <c r="BM67" s="311"/>
      <c r="BN67" s="315"/>
    </row>
    <row r="68" s="263" customFormat="1" ht="33.95" customHeight="1" outlineLevel="5" spans="2:66">
      <c r="B68" s="175" t="s">
        <v>799</v>
      </c>
      <c r="C68" s="283" t="s">
        <v>911</v>
      </c>
      <c r="D68" s="263" t="s">
        <v>912</v>
      </c>
      <c r="E68" s="175" t="s">
        <v>821</v>
      </c>
      <c r="F68" s="175"/>
      <c r="G68" s="175" t="s">
        <v>803</v>
      </c>
      <c r="H68" s="175">
        <f t="shared" si="114"/>
        <v>0</v>
      </c>
      <c r="I68" s="175" t="s">
        <v>804</v>
      </c>
      <c r="J68" s="175" t="e">
        <f t="shared" si="115"/>
        <v>#DIV/0!</v>
      </c>
      <c r="K68" s="175" t="s">
        <v>805</v>
      </c>
      <c r="L68" s="175" t="e">
        <f t="shared" si="116"/>
        <v>#DIV/0!</v>
      </c>
      <c r="M68" s="175" t="s">
        <v>806</v>
      </c>
      <c r="N68" s="175">
        <f t="shared" si="117"/>
        <v>0</v>
      </c>
      <c r="O68" s="175"/>
      <c r="P68" s="290"/>
      <c r="Q68" s="290"/>
      <c r="R68" s="290"/>
      <c r="S68" s="290"/>
      <c r="T68" s="290"/>
      <c r="U68" s="290"/>
      <c r="V68" s="290"/>
      <c r="W68" s="290"/>
      <c r="X68" s="290"/>
      <c r="Y68" s="290"/>
      <c r="Z68" s="290"/>
      <c r="AA68" s="290"/>
      <c r="AB68" s="175">
        <f t="shared" si="118"/>
        <v>0</v>
      </c>
      <c r="AC68" s="175">
        <f t="shared" si="119"/>
        <v>0</v>
      </c>
      <c r="AD68" s="175">
        <f>SUMIFS('1-2 人员岗位信息'!F:F,'1-2 人员岗位信息'!$C:$C,"自有人员",'1-2 人员岗位信息'!$B:$B,$D68)</f>
        <v>0</v>
      </c>
      <c r="AE68" s="298"/>
      <c r="AF68" s="175">
        <f t="shared" si="120"/>
        <v>0</v>
      </c>
      <c r="AG68" s="175">
        <f>SUMIFS('1-2 人员岗位信息'!G:G,'1-2 人员岗位信息'!$C:$C,"自有人员",'1-2 人员岗位信息'!$B:$B,$D68)</f>
        <v>0</v>
      </c>
      <c r="AH68" s="298"/>
      <c r="AI68" s="175">
        <f t="shared" si="121"/>
        <v>0</v>
      </c>
      <c r="AJ68" s="175">
        <f>SUMIFS('1-2 人员岗位信息'!H:H,'1-2 人员岗位信息'!$C:$C,"自有人员",'1-2 人员岗位信息'!$B:$B,$D68)</f>
        <v>0</v>
      </c>
      <c r="AK68" s="298"/>
      <c r="AL68" s="175">
        <f t="shared" si="122"/>
        <v>0</v>
      </c>
      <c r="AM68" s="175">
        <f>SUMIFS('1-2 人员岗位信息'!I:I,'1-2 人员岗位信息'!$C:$C,"自有人员",'1-2 人员岗位信息'!$B:$B,$D68)</f>
        <v>0</v>
      </c>
      <c r="AN68" s="298"/>
      <c r="AO68" s="175">
        <f t="shared" si="123"/>
        <v>0</v>
      </c>
      <c r="AP68" s="175">
        <f>SUMIFS('1-2 人员岗位信息'!J:J,'1-2 人员岗位信息'!$C:$C,"自有人员",'1-2 人员岗位信息'!$B:$B,$D68)</f>
        <v>0</v>
      </c>
      <c r="AQ68" s="298"/>
      <c r="AR68" s="175">
        <f t="shared" si="124"/>
        <v>0</v>
      </c>
      <c r="AS68" s="175">
        <f>SUMIFS('1-2 人员岗位信息'!K:K,'1-2 人员岗位信息'!$C:$C,"自有人员",'1-2 人员岗位信息'!$B:$B,$D68)</f>
        <v>0</v>
      </c>
      <c r="AT68" s="298"/>
      <c r="AU68" s="175">
        <f t="shared" si="125"/>
        <v>0</v>
      </c>
      <c r="AV68" s="175">
        <f>SUMIFS('1-2 人员岗位信息'!L:L,'1-2 人员岗位信息'!$C:$C,"自有人员",'1-2 人员岗位信息'!$B:$B,$D68)</f>
        <v>0</v>
      </c>
      <c r="AW68" s="298"/>
      <c r="AX68" s="175">
        <f t="shared" si="126"/>
        <v>0</v>
      </c>
      <c r="AY68" s="175">
        <f>SUMIFS('1-2 人员岗位信息'!M:M,'1-2 人员岗位信息'!$C:$C,"自有人员",'1-2 人员岗位信息'!$B:$B,$D68)</f>
        <v>0</v>
      </c>
      <c r="AZ68" s="298"/>
      <c r="BA68" s="175">
        <f t="shared" si="127"/>
        <v>0</v>
      </c>
      <c r="BB68" s="175">
        <f>SUMIFS('1-2 人员岗位信息'!N:N,'1-2 人员岗位信息'!$C:$C,"自有人员",'1-2 人员岗位信息'!$B:$B,$D68)</f>
        <v>0</v>
      </c>
      <c r="BC68" s="298"/>
      <c r="BD68" s="175">
        <f t="shared" si="128"/>
        <v>0</v>
      </c>
      <c r="BE68" s="175">
        <f>SUMIFS('1-2 人员岗位信息'!O:O,'1-2 人员岗位信息'!$C:$C,"自有人员",'1-2 人员岗位信息'!$B:$B,$D68)</f>
        <v>0</v>
      </c>
      <c r="BF68" s="298"/>
      <c r="BG68" s="175">
        <f t="shared" si="129"/>
        <v>0</v>
      </c>
      <c r="BH68" s="175">
        <f>SUMIFS('1-2 人员岗位信息'!P:P,'1-2 人员岗位信息'!$C:$C,"自有人员",'1-2 人员岗位信息'!$B:$B,$D68)</f>
        <v>0</v>
      </c>
      <c r="BI68" s="298"/>
      <c r="BJ68" s="175">
        <f t="shared" si="130"/>
        <v>0</v>
      </c>
      <c r="BK68" s="175">
        <f>SUMIFS('1-2 人员岗位信息'!Q:Q,'1-2 人员岗位信息'!$C:$C,"自有人员",'1-2 人员岗位信息'!$B:$B,$D68)</f>
        <v>0</v>
      </c>
      <c r="BL68" s="307"/>
      <c r="BM68" s="311"/>
      <c r="BN68" s="315"/>
    </row>
    <row r="69" s="118" customFormat="1" ht="33.95" customHeight="1" outlineLevel="4" spans="2:66">
      <c r="B69" s="119" t="s">
        <v>794</v>
      </c>
      <c r="C69" s="120" t="s">
        <v>70</v>
      </c>
      <c r="D69" s="118" t="s">
        <v>68</v>
      </c>
      <c r="E69" s="119"/>
      <c r="F69" s="119"/>
      <c r="G69" s="119"/>
      <c r="H69" s="119">
        <f>SUM(H70:H79)</f>
        <v>0</v>
      </c>
      <c r="I69" s="119"/>
      <c r="J69" s="119"/>
      <c r="K69" s="119"/>
      <c r="L69" s="119"/>
      <c r="M69" s="119"/>
      <c r="N69" s="119"/>
      <c r="O69" s="119"/>
      <c r="P69" s="289"/>
      <c r="Q69" s="289"/>
      <c r="R69" s="289"/>
      <c r="S69" s="289"/>
      <c r="T69" s="289"/>
      <c r="U69" s="289"/>
      <c r="V69" s="289"/>
      <c r="W69" s="289"/>
      <c r="X69" s="289"/>
      <c r="Y69" s="289"/>
      <c r="Z69" s="289"/>
      <c r="AA69" s="289"/>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6"/>
      <c r="BM69" s="311"/>
      <c r="BN69" s="314"/>
    </row>
    <row r="70" s="263" customFormat="1" ht="33.95" customHeight="1" outlineLevel="5" spans="2:66">
      <c r="B70" s="175" t="s">
        <v>799</v>
      </c>
      <c r="C70" s="283" t="s">
        <v>913</v>
      </c>
      <c r="D70" s="263" t="s">
        <v>885</v>
      </c>
      <c r="E70" s="175" t="s">
        <v>914</v>
      </c>
      <c r="F70" s="175"/>
      <c r="G70" s="175" t="s">
        <v>803</v>
      </c>
      <c r="H70" s="175">
        <f t="shared" ref="H70:H79" si="132">AB70</f>
        <v>0</v>
      </c>
      <c r="I70" s="175" t="s">
        <v>804</v>
      </c>
      <c r="J70" s="175" t="e">
        <f t="shared" ref="J70:J79" si="133">SUM(AD70,AG70,AJ70,AM70,AP70,AS70,AV70,AY70,BB70,BE70,BH70,BK70)/N70</f>
        <v>#DIV/0!</v>
      </c>
      <c r="K70" s="175" t="s">
        <v>805</v>
      </c>
      <c r="L70" s="175" t="e">
        <f t="shared" ref="L70:L79" si="134">H70/N70/J70</f>
        <v>#DIV/0!</v>
      </c>
      <c r="M70" s="175" t="s">
        <v>806</v>
      </c>
      <c r="N70" s="175">
        <f t="shared" ref="N70:N79" si="135">COUNTIF(AD70,"&gt;0")+COUNTIF(AG70,"&gt;0")+COUNTIF(AJ70,"&gt;0")+COUNTIF(AM70,"&gt;0")+COUNTIF(AP70,"&gt;0")+COUNTIF(AS70,"&gt;0")+COUNTIF(AV70,"&gt;0")+COUNTIF(AY70,"&gt;0")+COUNTIF(BB70,"&gt;0")+COUNTIF(BE70,"&gt;0")+COUNTIF(BH70,"&gt;0")+COUNTIF(BK70,"&gt;0")</f>
        <v>0</v>
      </c>
      <c r="O70" s="175"/>
      <c r="P70" s="290"/>
      <c r="Q70" s="290"/>
      <c r="R70" s="290"/>
      <c r="S70" s="290"/>
      <c r="T70" s="290"/>
      <c r="U70" s="290"/>
      <c r="V70" s="290"/>
      <c r="W70" s="290"/>
      <c r="X70" s="290"/>
      <c r="Y70" s="290"/>
      <c r="Z70" s="290"/>
      <c r="AA70" s="290"/>
      <c r="AB70" s="175">
        <f t="shared" ref="AB70:AB79" si="136">SUM(AC70,AF70,AI70,AL70,AO70,AR70,AU70,AX70,BA70,BD70,BG70,BJ70)</f>
        <v>0</v>
      </c>
      <c r="AC70" s="175">
        <f t="shared" ref="AC70:AC79" si="137">AD70*AE70</f>
        <v>0</v>
      </c>
      <c r="AD70" s="175">
        <f>SUMIFS('1-2 人员岗位信息'!F:F,'1-2 人员岗位信息'!$C:$C,"劳务派遣",'1-2 人员岗位信息'!$B:$B,$D70)</f>
        <v>0</v>
      </c>
      <c r="AE70" s="298"/>
      <c r="AF70" s="175">
        <f t="shared" ref="AF70:AF79" si="138">AG70*AH70</f>
        <v>0</v>
      </c>
      <c r="AG70" s="175">
        <f>SUMIFS('1-2 人员岗位信息'!G:G,'1-2 人员岗位信息'!$C:$C,"劳务派遣",'1-2 人员岗位信息'!$B:$B,$D70)</f>
        <v>0</v>
      </c>
      <c r="AH70" s="298"/>
      <c r="AI70" s="175">
        <f t="shared" ref="AI70:AI79" si="139">AJ70*AK70</f>
        <v>0</v>
      </c>
      <c r="AJ70" s="175">
        <f>SUMIFS('1-2 人员岗位信息'!H:H,'1-2 人员岗位信息'!$C:$C,"劳务派遣",'1-2 人员岗位信息'!$B:$B,$D70)</f>
        <v>0</v>
      </c>
      <c r="AK70" s="298"/>
      <c r="AL70" s="175">
        <f t="shared" ref="AL70:AL79" si="140">AM70*AN70</f>
        <v>0</v>
      </c>
      <c r="AM70" s="175">
        <f>SUMIFS('1-2 人员岗位信息'!I:I,'1-2 人员岗位信息'!$C:$C,"劳务派遣",'1-2 人员岗位信息'!$B:$B,$D70)</f>
        <v>0</v>
      </c>
      <c r="AN70" s="298"/>
      <c r="AO70" s="175">
        <f t="shared" ref="AO70:AO79" si="141">AP70*AQ70</f>
        <v>0</v>
      </c>
      <c r="AP70" s="175">
        <f>SUMIFS('1-2 人员岗位信息'!J:J,'1-2 人员岗位信息'!$C:$C,"劳务派遣",'1-2 人员岗位信息'!$B:$B,$D70)</f>
        <v>0</v>
      </c>
      <c r="AQ70" s="298"/>
      <c r="AR70" s="175">
        <f t="shared" ref="AR70:AR79" si="142">AS70*AT70</f>
        <v>0</v>
      </c>
      <c r="AS70" s="175">
        <f>SUMIFS('1-2 人员岗位信息'!K:K,'1-2 人员岗位信息'!$C:$C,"劳务派遣",'1-2 人员岗位信息'!$B:$B,$D70)</f>
        <v>0</v>
      </c>
      <c r="AT70" s="298"/>
      <c r="AU70" s="175">
        <f t="shared" ref="AU70:AU79" si="143">AV70*AW70</f>
        <v>0</v>
      </c>
      <c r="AV70" s="175">
        <f>SUMIFS('1-2 人员岗位信息'!L:L,'1-2 人员岗位信息'!$C:$C,"劳务派遣",'1-2 人员岗位信息'!$B:$B,$D70)</f>
        <v>0</v>
      </c>
      <c r="AW70" s="298"/>
      <c r="AX70" s="175">
        <f t="shared" ref="AX70:AX79" si="144">AY70*AZ70</f>
        <v>0</v>
      </c>
      <c r="AY70" s="175">
        <f>SUMIFS('1-2 人员岗位信息'!M:M,'1-2 人员岗位信息'!$C:$C,"劳务派遣",'1-2 人员岗位信息'!$B:$B,$D70)</f>
        <v>0</v>
      </c>
      <c r="AZ70" s="298"/>
      <c r="BA70" s="175">
        <f t="shared" ref="BA70:BA79" si="145">BB70*BC70</f>
        <v>0</v>
      </c>
      <c r="BB70" s="175">
        <f>SUMIFS('1-2 人员岗位信息'!N:N,'1-2 人员岗位信息'!$C:$C,"劳务派遣",'1-2 人员岗位信息'!$B:$B,$D70)</f>
        <v>0</v>
      </c>
      <c r="BC70" s="298"/>
      <c r="BD70" s="175">
        <f t="shared" ref="BD70:BD79" si="146">BE70*BF70</f>
        <v>0</v>
      </c>
      <c r="BE70" s="175">
        <f>SUMIFS('1-2 人员岗位信息'!O:O,'1-2 人员岗位信息'!$C:$C,"劳务派遣",'1-2 人员岗位信息'!$B:$B,$D70)</f>
        <v>0</v>
      </c>
      <c r="BF70" s="298"/>
      <c r="BG70" s="175">
        <f t="shared" ref="BG70:BG79" si="147">BH70*BI70</f>
        <v>0</v>
      </c>
      <c r="BH70" s="175">
        <f>SUMIFS('1-2 人员岗位信息'!P:P,'1-2 人员岗位信息'!$C:$C,"劳务派遣",'1-2 人员岗位信息'!$B:$B,$D70)</f>
        <v>0</v>
      </c>
      <c r="BI70" s="298"/>
      <c r="BJ70" s="175">
        <f t="shared" ref="BJ70:BJ79" si="148">BK70*BL70</f>
        <v>0</v>
      </c>
      <c r="BK70" s="175">
        <f>SUMIFS('1-2 人员岗位信息'!Q:Q,'1-2 人员岗位信息'!$C:$C,"劳务派遣",'1-2 人员岗位信息'!$B:$B,$D70)</f>
        <v>0</v>
      </c>
      <c r="BL70" s="307"/>
      <c r="BM70" s="311"/>
      <c r="BN70" s="315"/>
    </row>
    <row r="71" s="263" customFormat="1" ht="33.95" customHeight="1" outlineLevel="5" spans="2:66">
      <c r="B71" s="175" t="s">
        <v>799</v>
      </c>
      <c r="C71" s="283" t="s">
        <v>915</v>
      </c>
      <c r="D71" s="263" t="s">
        <v>888</v>
      </c>
      <c r="E71" s="175" t="s">
        <v>916</v>
      </c>
      <c r="F71" s="175"/>
      <c r="G71" s="175" t="s">
        <v>803</v>
      </c>
      <c r="H71" s="175">
        <f t="shared" si="132"/>
        <v>0</v>
      </c>
      <c r="I71" s="175" t="s">
        <v>804</v>
      </c>
      <c r="J71" s="175" t="e">
        <f t="shared" si="133"/>
        <v>#DIV/0!</v>
      </c>
      <c r="K71" s="175" t="s">
        <v>805</v>
      </c>
      <c r="L71" s="175" t="e">
        <f t="shared" si="134"/>
        <v>#DIV/0!</v>
      </c>
      <c r="M71" s="175" t="s">
        <v>806</v>
      </c>
      <c r="N71" s="175">
        <f t="shared" si="135"/>
        <v>0</v>
      </c>
      <c r="O71" s="175"/>
      <c r="P71" s="290"/>
      <c r="Q71" s="290"/>
      <c r="R71" s="290"/>
      <c r="S71" s="290"/>
      <c r="T71" s="290"/>
      <c r="U71" s="290"/>
      <c r="V71" s="290"/>
      <c r="W71" s="290"/>
      <c r="X71" s="290"/>
      <c r="Y71" s="290"/>
      <c r="Z71" s="290"/>
      <c r="AA71" s="290"/>
      <c r="AB71" s="175">
        <f t="shared" si="136"/>
        <v>0</v>
      </c>
      <c r="AC71" s="175">
        <f t="shared" si="137"/>
        <v>0</v>
      </c>
      <c r="AD71" s="175">
        <f>SUMIFS('1-2 人员岗位信息'!F:F,'1-2 人员岗位信息'!$C:$C,"劳务派遣",'1-2 人员岗位信息'!$B:$B,$D71)</f>
        <v>0</v>
      </c>
      <c r="AE71" s="298"/>
      <c r="AF71" s="175">
        <f t="shared" si="138"/>
        <v>0</v>
      </c>
      <c r="AG71" s="175">
        <f>SUMIFS('1-2 人员岗位信息'!G:G,'1-2 人员岗位信息'!$C:$C,"劳务派遣",'1-2 人员岗位信息'!$B:$B,$D71)</f>
        <v>0</v>
      </c>
      <c r="AH71" s="298"/>
      <c r="AI71" s="175">
        <f t="shared" si="139"/>
        <v>0</v>
      </c>
      <c r="AJ71" s="175">
        <f>SUMIFS('1-2 人员岗位信息'!H:H,'1-2 人员岗位信息'!$C:$C,"劳务派遣",'1-2 人员岗位信息'!$B:$B,$D71)</f>
        <v>0</v>
      </c>
      <c r="AK71" s="298"/>
      <c r="AL71" s="175">
        <f t="shared" si="140"/>
        <v>0</v>
      </c>
      <c r="AM71" s="175">
        <f>SUMIFS('1-2 人员岗位信息'!I:I,'1-2 人员岗位信息'!$C:$C,"劳务派遣",'1-2 人员岗位信息'!$B:$B,$D71)</f>
        <v>0</v>
      </c>
      <c r="AN71" s="298"/>
      <c r="AO71" s="175">
        <f t="shared" si="141"/>
        <v>0</v>
      </c>
      <c r="AP71" s="175">
        <f>SUMIFS('1-2 人员岗位信息'!J:J,'1-2 人员岗位信息'!$C:$C,"劳务派遣",'1-2 人员岗位信息'!$B:$B,$D71)</f>
        <v>0</v>
      </c>
      <c r="AQ71" s="298"/>
      <c r="AR71" s="175">
        <f t="shared" si="142"/>
        <v>0</v>
      </c>
      <c r="AS71" s="175">
        <f>SUMIFS('1-2 人员岗位信息'!K:K,'1-2 人员岗位信息'!$C:$C,"劳务派遣",'1-2 人员岗位信息'!$B:$B,$D71)</f>
        <v>0</v>
      </c>
      <c r="AT71" s="298"/>
      <c r="AU71" s="175">
        <f t="shared" si="143"/>
        <v>0</v>
      </c>
      <c r="AV71" s="175">
        <f>SUMIFS('1-2 人员岗位信息'!L:L,'1-2 人员岗位信息'!$C:$C,"劳务派遣",'1-2 人员岗位信息'!$B:$B,$D71)</f>
        <v>0</v>
      </c>
      <c r="AW71" s="298"/>
      <c r="AX71" s="175">
        <f t="shared" si="144"/>
        <v>0</v>
      </c>
      <c r="AY71" s="175">
        <f>SUMIFS('1-2 人员岗位信息'!M:M,'1-2 人员岗位信息'!$C:$C,"劳务派遣",'1-2 人员岗位信息'!$B:$B,$D71)</f>
        <v>0</v>
      </c>
      <c r="AZ71" s="298"/>
      <c r="BA71" s="175">
        <f t="shared" si="145"/>
        <v>0</v>
      </c>
      <c r="BB71" s="175">
        <f>SUMIFS('1-2 人员岗位信息'!N:N,'1-2 人员岗位信息'!$C:$C,"劳务派遣",'1-2 人员岗位信息'!$B:$B,$D71)</f>
        <v>0</v>
      </c>
      <c r="BC71" s="298"/>
      <c r="BD71" s="175">
        <f t="shared" si="146"/>
        <v>0</v>
      </c>
      <c r="BE71" s="175">
        <f>SUMIFS('1-2 人员岗位信息'!O:O,'1-2 人员岗位信息'!$C:$C,"劳务派遣",'1-2 人员岗位信息'!$B:$B,$D71)</f>
        <v>0</v>
      </c>
      <c r="BF71" s="298"/>
      <c r="BG71" s="175">
        <f t="shared" si="147"/>
        <v>0</v>
      </c>
      <c r="BH71" s="175">
        <f>SUMIFS('1-2 人员岗位信息'!P:P,'1-2 人员岗位信息'!$C:$C,"劳务派遣",'1-2 人员岗位信息'!$B:$B,$D71)</f>
        <v>0</v>
      </c>
      <c r="BI71" s="298"/>
      <c r="BJ71" s="175">
        <f t="shared" si="148"/>
        <v>0</v>
      </c>
      <c r="BK71" s="175">
        <f>SUMIFS('1-2 人员岗位信息'!Q:Q,'1-2 人员岗位信息'!$C:$C,"劳务派遣",'1-2 人员岗位信息'!$B:$B,$D71)</f>
        <v>0</v>
      </c>
      <c r="BL71" s="307"/>
      <c r="BM71" s="311"/>
      <c r="BN71" s="315"/>
    </row>
    <row r="72" s="263" customFormat="1" ht="33.95" customHeight="1" outlineLevel="5" spans="2:66">
      <c r="B72" s="175" t="s">
        <v>799</v>
      </c>
      <c r="C72" s="283" t="s">
        <v>917</v>
      </c>
      <c r="D72" s="263" t="s">
        <v>891</v>
      </c>
      <c r="E72" s="175" t="s">
        <v>892</v>
      </c>
      <c r="F72" s="175"/>
      <c r="G72" s="175" t="s">
        <v>803</v>
      </c>
      <c r="H72" s="175">
        <f t="shared" si="132"/>
        <v>0</v>
      </c>
      <c r="I72" s="175" t="s">
        <v>804</v>
      </c>
      <c r="J72" s="175" t="e">
        <f t="shared" si="133"/>
        <v>#DIV/0!</v>
      </c>
      <c r="K72" s="175" t="s">
        <v>805</v>
      </c>
      <c r="L72" s="175" t="e">
        <f t="shared" si="134"/>
        <v>#DIV/0!</v>
      </c>
      <c r="M72" s="175" t="s">
        <v>806</v>
      </c>
      <c r="N72" s="175">
        <f t="shared" si="135"/>
        <v>0</v>
      </c>
      <c r="O72" s="175"/>
      <c r="P72" s="290"/>
      <c r="Q72" s="290"/>
      <c r="R72" s="290"/>
      <c r="S72" s="290"/>
      <c r="T72" s="290"/>
      <c r="U72" s="290"/>
      <c r="V72" s="290"/>
      <c r="W72" s="290"/>
      <c r="X72" s="290"/>
      <c r="Y72" s="290"/>
      <c r="Z72" s="290"/>
      <c r="AA72" s="290"/>
      <c r="AB72" s="175">
        <f t="shared" si="136"/>
        <v>0</v>
      </c>
      <c r="AC72" s="175">
        <f t="shared" si="137"/>
        <v>0</v>
      </c>
      <c r="AD72" s="175">
        <f>SUMIFS('1-2 人员岗位信息'!F:F,'1-2 人员岗位信息'!$C:$C,"劳务派遣",'1-2 人员岗位信息'!$B:$B,$D72)</f>
        <v>0</v>
      </c>
      <c r="AE72" s="298"/>
      <c r="AF72" s="175">
        <f t="shared" si="138"/>
        <v>0</v>
      </c>
      <c r="AG72" s="175">
        <f>SUMIFS('1-2 人员岗位信息'!G:G,'1-2 人员岗位信息'!$C:$C,"劳务派遣",'1-2 人员岗位信息'!$B:$B,$D72)</f>
        <v>0</v>
      </c>
      <c r="AH72" s="298"/>
      <c r="AI72" s="175">
        <f t="shared" si="139"/>
        <v>0</v>
      </c>
      <c r="AJ72" s="175">
        <f>SUMIFS('1-2 人员岗位信息'!H:H,'1-2 人员岗位信息'!$C:$C,"劳务派遣",'1-2 人员岗位信息'!$B:$B,$D72)</f>
        <v>0</v>
      </c>
      <c r="AK72" s="298"/>
      <c r="AL72" s="175">
        <f t="shared" si="140"/>
        <v>0</v>
      </c>
      <c r="AM72" s="175">
        <f>SUMIFS('1-2 人员岗位信息'!I:I,'1-2 人员岗位信息'!$C:$C,"劳务派遣",'1-2 人员岗位信息'!$B:$B,$D72)</f>
        <v>0</v>
      </c>
      <c r="AN72" s="298"/>
      <c r="AO72" s="175">
        <f t="shared" si="141"/>
        <v>0</v>
      </c>
      <c r="AP72" s="175">
        <f>SUMIFS('1-2 人员岗位信息'!J:J,'1-2 人员岗位信息'!$C:$C,"劳务派遣",'1-2 人员岗位信息'!$B:$B,$D72)</f>
        <v>0</v>
      </c>
      <c r="AQ72" s="298"/>
      <c r="AR72" s="175">
        <f t="shared" si="142"/>
        <v>0</v>
      </c>
      <c r="AS72" s="175">
        <f>SUMIFS('1-2 人员岗位信息'!K:K,'1-2 人员岗位信息'!$C:$C,"劳务派遣",'1-2 人员岗位信息'!$B:$B,$D72)</f>
        <v>0</v>
      </c>
      <c r="AT72" s="298"/>
      <c r="AU72" s="175">
        <f t="shared" si="143"/>
        <v>0</v>
      </c>
      <c r="AV72" s="175">
        <f>SUMIFS('1-2 人员岗位信息'!L:L,'1-2 人员岗位信息'!$C:$C,"劳务派遣",'1-2 人员岗位信息'!$B:$B,$D72)</f>
        <v>0</v>
      </c>
      <c r="AW72" s="298"/>
      <c r="AX72" s="175">
        <f t="shared" si="144"/>
        <v>0</v>
      </c>
      <c r="AY72" s="175">
        <f>SUMIFS('1-2 人员岗位信息'!M:M,'1-2 人员岗位信息'!$C:$C,"劳务派遣",'1-2 人员岗位信息'!$B:$B,$D72)</f>
        <v>0</v>
      </c>
      <c r="AZ72" s="298"/>
      <c r="BA72" s="175">
        <f t="shared" si="145"/>
        <v>0</v>
      </c>
      <c r="BB72" s="175">
        <f>SUMIFS('1-2 人员岗位信息'!N:N,'1-2 人员岗位信息'!$C:$C,"劳务派遣",'1-2 人员岗位信息'!$B:$B,$D72)</f>
        <v>0</v>
      </c>
      <c r="BC72" s="298"/>
      <c r="BD72" s="175">
        <f t="shared" si="146"/>
        <v>0</v>
      </c>
      <c r="BE72" s="175">
        <f>SUMIFS('1-2 人员岗位信息'!O:O,'1-2 人员岗位信息'!$C:$C,"劳务派遣",'1-2 人员岗位信息'!$B:$B,$D72)</f>
        <v>0</v>
      </c>
      <c r="BF72" s="298"/>
      <c r="BG72" s="175">
        <f t="shared" si="147"/>
        <v>0</v>
      </c>
      <c r="BH72" s="175">
        <f>SUMIFS('1-2 人员岗位信息'!P:P,'1-2 人员岗位信息'!$C:$C,"劳务派遣",'1-2 人员岗位信息'!$B:$B,$D72)</f>
        <v>0</v>
      </c>
      <c r="BI72" s="298"/>
      <c r="BJ72" s="175">
        <f t="shared" si="148"/>
        <v>0</v>
      </c>
      <c r="BK72" s="175">
        <f>SUMIFS('1-2 人员岗位信息'!Q:Q,'1-2 人员岗位信息'!$C:$C,"劳务派遣",'1-2 人员岗位信息'!$B:$B,$D72)</f>
        <v>0</v>
      </c>
      <c r="BL72" s="307"/>
      <c r="BM72" s="311"/>
      <c r="BN72" s="315"/>
    </row>
    <row r="73" s="263" customFormat="1" ht="33.95" customHeight="1" outlineLevel="5" spans="2:66">
      <c r="B73" s="175" t="s">
        <v>799</v>
      </c>
      <c r="C73" s="283" t="s">
        <v>918</v>
      </c>
      <c r="D73" s="263" t="s">
        <v>894</v>
      </c>
      <c r="E73" s="175" t="s">
        <v>895</v>
      </c>
      <c r="F73" s="175"/>
      <c r="G73" s="175" t="s">
        <v>803</v>
      </c>
      <c r="H73" s="175">
        <f t="shared" si="132"/>
        <v>0</v>
      </c>
      <c r="I73" s="175" t="s">
        <v>804</v>
      </c>
      <c r="J73" s="175" t="e">
        <f t="shared" si="133"/>
        <v>#DIV/0!</v>
      </c>
      <c r="K73" s="175" t="s">
        <v>805</v>
      </c>
      <c r="L73" s="175" t="e">
        <f t="shared" si="134"/>
        <v>#DIV/0!</v>
      </c>
      <c r="M73" s="175" t="s">
        <v>806</v>
      </c>
      <c r="N73" s="175">
        <f t="shared" si="135"/>
        <v>0</v>
      </c>
      <c r="O73" s="175"/>
      <c r="P73" s="290"/>
      <c r="Q73" s="290"/>
      <c r="R73" s="290"/>
      <c r="S73" s="290"/>
      <c r="T73" s="290"/>
      <c r="U73" s="290"/>
      <c r="V73" s="290"/>
      <c r="W73" s="290"/>
      <c r="X73" s="290"/>
      <c r="Y73" s="290"/>
      <c r="Z73" s="290"/>
      <c r="AA73" s="290"/>
      <c r="AB73" s="175">
        <f t="shared" si="136"/>
        <v>0</v>
      </c>
      <c r="AC73" s="175">
        <f t="shared" si="137"/>
        <v>0</v>
      </c>
      <c r="AD73" s="175">
        <f>SUMIFS('1-2 人员岗位信息'!F:F,'1-2 人员岗位信息'!$C:$C,"劳务派遣",'1-2 人员岗位信息'!$B:$B,$D73)</f>
        <v>0</v>
      </c>
      <c r="AE73" s="298"/>
      <c r="AF73" s="175">
        <f t="shared" si="138"/>
        <v>0</v>
      </c>
      <c r="AG73" s="175">
        <f>SUMIFS('1-2 人员岗位信息'!G:G,'1-2 人员岗位信息'!$C:$C,"劳务派遣",'1-2 人员岗位信息'!$B:$B,$D73)</f>
        <v>0</v>
      </c>
      <c r="AH73" s="298"/>
      <c r="AI73" s="175">
        <f t="shared" si="139"/>
        <v>0</v>
      </c>
      <c r="AJ73" s="175">
        <f>SUMIFS('1-2 人员岗位信息'!H:H,'1-2 人员岗位信息'!$C:$C,"劳务派遣",'1-2 人员岗位信息'!$B:$B,$D73)</f>
        <v>0</v>
      </c>
      <c r="AK73" s="298"/>
      <c r="AL73" s="175">
        <f t="shared" si="140"/>
        <v>0</v>
      </c>
      <c r="AM73" s="175">
        <f>SUMIFS('1-2 人员岗位信息'!I:I,'1-2 人员岗位信息'!$C:$C,"劳务派遣",'1-2 人员岗位信息'!$B:$B,$D73)</f>
        <v>0</v>
      </c>
      <c r="AN73" s="298"/>
      <c r="AO73" s="175">
        <f t="shared" si="141"/>
        <v>0</v>
      </c>
      <c r="AP73" s="175">
        <f>SUMIFS('1-2 人员岗位信息'!J:J,'1-2 人员岗位信息'!$C:$C,"劳务派遣",'1-2 人员岗位信息'!$B:$B,$D73)</f>
        <v>0</v>
      </c>
      <c r="AQ73" s="298"/>
      <c r="AR73" s="175">
        <f t="shared" si="142"/>
        <v>0</v>
      </c>
      <c r="AS73" s="175">
        <f>SUMIFS('1-2 人员岗位信息'!K:K,'1-2 人员岗位信息'!$C:$C,"劳务派遣",'1-2 人员岗位信息'!$B:$B,$D73)</f>
        <v>0</v>
      </c>
      <c r="AT73" s="298"/>
      <c r="AU73" s="175">
        <f t="shared" si="143"/>
        <v>0</v>
      </c>
      <c r="AV73" s="175">
        <f>SUMIFS('1-2 人员岗位信息'!L:L,'1-2 人员岗位信息'!$C:$C,"劳务派遣",'1-2 人员岗位信息'!$B:$B,$D73)</f>
        <v>0</v>
      </c>
      <c r="AW73" s="298"/>
      <c r="AX73" s="175">
        <f t="shared" si="144"/>
        <v>0</v>
      </c>
      <c r="AY73" s="175">
        <f>SUMIFS('1-2 人员岗位信息'!M:M,'1-2 人员岗位信息'!$C:$C,"劳务派遣",'1-2 人员岗位信息'!$B:$B,$D73)</f>
        <v>0</v>
      </c>
      <c r="AZ73" s="298"/>
      <c r="BA73" s="175">
        <f t="shared" si="145"/>
        <v>0</v>
      </c>
      <c r="BB73" s="175">
        <f>SUMIFS('1-2 人员岗位信息'!N:N,'1-2 人员岗位信息'!$C:$C,"劳务派遣",'1-2 人员岗位信息'!$B:$B,$D73)</f>
        <v>0</v>
      </c>
      <c r="BC73" s="298"/>
      <c r="BD73" s="175">
        <f t="shared" si="146"/>
        <v>0</v>
      </c>
      <c r="BE73" s="175">
        <f>SUMIFS('1-2 人员岗位信息'!O:O,'1-2 人员岗位信息'!$C:$C,"劳务派遣",'1-2 人员岗位信息'!$B:$B,$D73)</f>
        <v>0</v>
      </c>
      <c r="BF73" s="298"/>
      <c r="BG73" s="175">
        <f t="shared" si="147"/>
        <v>0</v>
      </c>
      <c r="BH73" s="175">
        <f>SUMIFS('1-2 人员岗位信息'!P:P,'1-2 人员岗位信息'!$C:$C,"劳务派遣",'1-2 人员岗位信息'!$B:$B,$D73)</f>
        <v>0</v>
      </c>
      <c r="BI73" s="298"/>
      <c r="BJ73" s="175">
        <f t="shared" si="148"/>
        <v>0</v>
      </c>
      <c r="BK73" s="175">
        <f>SUMIFS('1-2 人员岗位信息'!Q:Q,'1-2 人员岗位信息'!$C:$C,"劳务派遣",'1-2 人员岗位信息'!$B:$B,$D73)</f>
        <v>0</v>
      </c>
      <c r="BL73" s="307"/>
      <c r="BM73" s="311"/>
      <c r="BN73" s="315"/>
    </row>
    <row r="74" s="263" customFormat="1" ht="33.95" customHeight="1" outlineLevel="5" spans="2:66">
      <c r="B74" s="175" t="s">
        <v>799</v>
      </c>
      <c r="C74" s="283" t="s">
        <v>919</v>
      </c>
      <c r="D74" s="263" t="s">
        <v>897</v>
      </c>
      <c r="E74" s="175" t="s">
        <v>898</v>
      </c>
      <c r="F74" s="175"/>
      <c r="G74" s="175" t="s">
        <v>803</v>
      </c>
      <c r="H74" s="175">
        <f t="shared" si="132"/>
        <v>0</v>
      </c>
      <c r="I74" s="175" t="s">
        <v>804</v>
      </c>
      <c r="J74" s="175" t="e">
        <f t="shared" si="133"/>
        <v>#DIV/0!</v>
      </c>
      <c r="K74" s="175" t="s">
        <v>805</v>
      </c>
      <c r="L74" s="175" t="e">
        <f t="shared" si="134"/>
        <v>#DIV/0!</v>
      </c>
      <c r="M74" s="175" t="s">
        <v>806</v>
      </c>
      <c r="N74" s="175">
        <f t="shared" si="135"/>
        <v>0</v>
      </c>
      <c r="O74" s="175"/>
      <c r="P74" s="290"/>
      <c r="Q74" s="290"/>
      <c r="R74" s="290"/>
      <c r="S74" s="290"/>
      <c r="T74" s="290"/>
      <c r="U74" s="290"/>
      <c r="V74" s="290"/>
      <c r="W74" s="290"/>
      <c r="X74" s="290"/>
      <c r="Y74" s="290"/>
      <c r="Z74" s="290"/>
      <c r="AA74" s="290"/>
      <c r="AB74" s="175">
        <f t="shared" si="136"/>
        <v>0</v>
      </c>
      <c r="AC74" s="175">
        <f t="shared" si="137"/>
        <v>0</v>
      </c>
      <c r="AD74" s="175">
        <f>SUMIFS('1-2 人员岗位信息'!F:F,'1-2 人员岗位信息'!$C:$C,"劳务派遣",'1-2 人员岗位信息'!$B:$B,$D74)</f>
        <v>0</v>
      </c>
      <c r="AE74" s="298"/>
      <c r="AF74" s="175">
        <f t="shared" si="138"/>
        <v>0</v>
      </c>
      <c r="AG74" s="175">
        <f>SUMIFS('1-2 人员岗位信息'!G:G,'1-2 人员岗位信息'!$C:$C,"劳务派遣",'1-2 人员岗位信息'!$B:$B,$D74)</f>
        <v>0</v>
      </c>
      <c r="AH74" s="298"/>
      <c r="AI74" s="175">
        <f t="shared" si="139"/>
        <v>0</v>
      </c>
      <c r="AJ74" s="175">
        <f>SUMIFS('1-2 人员岗位信息'!H:H,'1-2 人员岗位信息'!$C:$C,"劳务派遣",'1-2 人员岗位信息'!$B:$B,$D74)</f>
        <v>0</v>
      </c>
      <c r="AK74" s="298"/>
      <c r="AL74" s="175">
        <f t="shared" si="140"/>
        <v>0</v>
      </c>
      <c r="AM74" s="175">
        <f>SUMIFS('1-2 人员岗位信息'!I:I,'1-2 人员岗位信息'!$C:$C,"劳务派遣",'1-2 人员岗位信息'!$B:$B,$D74)</f>
        <v>0</v>
      </c>
      <c r="AN74" s="298"/>
      <c r="AO74" s="175">
        <f t="shared" si="141"/>
        <v>0</v>
      </c>
      <c r="AP74" s="175">
        <f>SUMIFS('1-2 人员岗位信息'!J:J,'1-2 人员岗位信息'!$C:$C,"劳务派遣",'1-2 人员岗位信息'!$B:$B,$D74)</f>
        <v>0</v>
      </c>
      <c r="AQ74" s="298"/>
      <c r="AR74" s="175">
        <f t="shared" si="142"/>
        <v>0</v>
      </c>
      <c r="AS74" s="175">
        <f>SUMIFS('1-2 人员岗位信息'!K:K,'1-2 人员岗位信息'!$C:$C,"劳务派遣",'1-2 人员岗位信息'!$B:$B,$D74)</f>
        <v>0</v>
      </c>
      <c r="AT74" s="298"/>
      <c r="AU74" s="175">
        <f t="shared" si="143"/>
        <v>0</v>
      </c>
      <c r="AV74" s="175">
        <f>SUMIFS('1-2 人员岗位信息'!L:L,'1-2 人员岗位信息'!$C:$C,"劳务派遣",'1-2 人员岗位信息'!$B:$B,$D74)</f>
        <v>0</v>
      </c>
      <c r="AW74" s="298"/>
      <c r="AX74" s="175">
        <f t="shared" si="144"/>
        <v>0</v>
      </c>
      <c r="AY74" s="175">
        <f>SUMIFS('1-2 人员岗位信息'!M:M,'1-2 人员岗位信息'!$C:$C,"劳务派遣",'1-2 人员岗位信息'!$B:$B,$D74)</f>
        <v>0</v>
      </c>
      <c r="AZ74" s="298"/>
      <c r="BA74" s="175">
        <f t="shared" si="145"/>
        <v>0</v>
      </c>
      <c r="BB74" s="175">
        <f>SUMIFS('1-2 人员岗位信息'!N:N,'1-2 人员岗位信息'!$C:$C,"劳务派遣",'1-2 人员岗位信息'!$B:$B,$D74)</f>
        <v>0</v>
      </c>
      <c r="BC74" s="298"/>
      <c r="BD74" s="175">
        <f t="shared" si="146"/>
        <v>0</v>
      </c>
      <c r="BE74" s="175">
        <f>SUMIFS('1-2 人员岗位信息'!O:O,'1-2 人员岗位信息'!$C:$C,"劳务派遣",'1-2 人员岗位信息'!$B:$B,$D74)</f>
        <v>0</v>
      </c>
      <c r="BF74" s="298"/>
      <c r="BG74" s="175">
        <f t="shared" si="147"/>
        <v>0</v>
      </c>
      <c r="BH74" s="175">
        <f>SUMIFS('1-2 人员岗位信息'!P:P,'1-2 人员岗位信息'!$C:$C,"劳务派遣",'1-2 人员岗位信息'!$B:$B,$D74)</f>
        <v>0</v>
      </c>
      <c r="BI74" s="298"/>
      <c r="BJ74" s="175">
        <f t="shared" si="148"/>
        <v>0</v>
      </c>
      <c r="BK74" s="175">
        <f>SUMIFS('1-2 人员岗位信息'!Q:Q,'1-2 人员岗位信息'!$C:$C,"劳务派遣",'1-2 人员岗位信息'!$B:$B,$D74)</f>
        <v>0</v>
      </c>
      <c r="BL74" s="307"/>
      <c r="BM74" s="311"/>
      <c r="BN74" s="315"/>
    </row>
    <row r="75" s="263" customFormat="1" ht="33.95" customHeight="1" outlineLevel="5" spans="2:66">
      <c r="B75" s="175" t="s">
        <v>799</v>
      </c>
      <c r="C75" s="283" t="s">
        <v>920</v>
      </c>
      <c r="D75" s="263" t="s">
        <v>900</v>
      </c>
      <c r="E75" s="175" t="s">
        <v>901</v>
      </c>
      <c r="F75" s="175"/>
      <c r="G75" s="175" t="s">
        <v>803</v>
      </c>
      <c r="H75" s="175">
        <f t="shared" si="132"/>
        <v>0</v>
      </c>
      <c r="I75" s="175" t="s">
        <v>804</v>
      </c>
      <c r="J75" s="175" t="e">
        <f t="shared" si="133"/>
        <v>#DIV/0!</v>
      </c>
      <c r="K75" s="175" t="s">
        <v>805</v>
      </c>
      <c r="L75" s="175" t="e">
        <f t="shared" si="134"/>
        <v>#DIV/0!</v>
      </c>
      <c r="M75" s="175" t="s">
        <v>806</v>
      </c>
      <c r="N75" s="175">
        <f t="shared" si="135"/>
        <v>0</v>
      </c>
      <c r="O75" s="175"/>
      <c r="P75" s="290"/>
      <c r="Q75" s="290"/>
      <c r="R75" s="290"/>
      <c r="S75" s="290"/>
      <c r="T75" s="290"/>
      <c r="U75" s="290"/>
      <c r="V75" s="290"/>
      <c r="W75" s="290"/>
      <c r="X75" s="290"/>
      <c r="Y75" s="290"/>
      <c r="Z75" s="290"/>
      <c r="AA75" s="290"/>
      <c r="AB75" s="175">
        <f t="shared" si="136"/>
        <v>0</v>
      </c>
      <c r="AC75" s="175">
        <f t="shared" si="137"/>
        <v>0</v>
      </c>
      <c r="AD75" s="175">
        <f>SUMIFS('1-2 人员岗位信息'!F:F,'1-2 人员岗位信息'!$C:$C,"劳务派遣",'1-2 人员岗位信息'!$B:$B,$D75)</f>
        <v>0</v>
      </c>
      <c r="AE75" s="298"/>
      <c r="AF75" s="175">
        <f t="shared" si="138"/>
        <v>0</v>
      </c>
      <c r="AG75" s="175">
        <f>SUMIFS('1-2 人员岗位信息'!G:G,'1-2 人员岗位信息'!$C:$C,"劳务派遣",'1-2 人员岗位信息'!$B:$B,$D75)</f>
        <v>0</v>
      </c>
      <c r="AH75" s="298"/>
      <c r="AI75" s="175">
        <f t="shared" si="139"/>
        <v>0</v>
      </c>
      <c r="AJ75" s="175">
        <f>SUMIFS('1-2 人员岗位信息'!H:H,'1-2 人员岗位信息'!$C:$C,"劳务派遣",'1-2 人员岗位信息'!$B:$B,$D75)</f>
        <v>0</v>
      </c>
      <c r="AK75" s="298"/>
      <c r="AL75" s="175">
        <f t="shared" si="140"/>
        <v>0</v>
      </c>
      <c r="AM75" s="175">
        <f>SUMIFS('1-2 人员岗位信息'!I:I,'1-2 人员岗位信息'!$C:$C,"劳务派遣",'1-2 人员岗位信息'!$B:$B,$D75)</f>
        <v>0</v>
      </c>
      <c r="AN75" s="298"/>
      <c r="AO75" s="175">
        <f t="shared" si="141"/>
        <v>0</v>
      </c>
      <c r="AP75" s="175">
        <f>SUMIFS('1-2 人员岗位信息'!J:J,'1-2 人员岗位信息'!$C:$C,"劳务派遣",'1-2 人员岗位信息'!$B:$B,$D75)</f>
        <v>0</v>
      </c>
      <c r="AQ75" s="298"/>
      <c r="AR75" s="175">
        <f t="shared" si="142"/>
        <v>0</v>
      </c>
      <c r="AS75" s="175">
        <f>SUMIFS('1-2 人员岗位信息'!K:K,'1-2 人员岗位信息'!$C:$C,"劳务派遣",'1-2 人员岗位信息'!$B:$B,$D75)</f>
        <v>0</v>
      </c>
      <c r="AT75" s="298"/>
      <c r="AU75" s="175">
        <f t="shared" si="143"/>
        <v>0</v>
      </c>
      <c r="AV75" s="175">
        <f>SUMIFS('1-2 人员岗位信息'!L:L,'1-2 人员岗位信息'!$C:$C,"劳务派遣",'1-2 人员岗位信息'!$B:$B,$D75)</f>
        <v>0</v>
      </c>
      <c r="AW75" s="298"/>
      <c r="AX75" s="175">
        <f t="shared" si="144"/>
        <v>0</v>
      </c>
      <c r="AY75" s="175">
        <f>SUMIFS('1-2 人员岗位信息'!M:M,'1-2 人员岗位信息'!$C:$C,"劳务派遣",'1-2 人员岗位信息'!$B:$B,$D75)</f>
        <v>0</v>
      </c>
      <c r="AZ75" s="298"/>
      <c r="BA75" s="175">
        <f t="shared" si="145"/>
        <v>0</v>
      </c>
      <c r="BB75" s="175">
        <f>SUMIFS('1-2 人员岗位信息'!N:N,'1-2 人员岗位信息'!$C:$C,"劳务派遣",'1-2 人员岗位信息'!$B:$B,$D75)</f>
        <v>0</v>
      </c>
      <c r="BC75" s="298"/>
      <c r="BD75" s="175">
        <f t="shared" si="146"/>
        <v>0</v>
      </c>
      <c r="BE75" s="175">
        <f>SUMIFS('1-2 人员岗位信息'!O:O,'1-2 人员岗位信息'!$C:$C,"劳务派遣",'1-2 人员岗位信息'!$B:$B,$D75)</f>
        <v>0</v>
      </c>
      <c r="BF75" s="298"/>
      <c r="BG75" s="175">
        <f t="shared" si="147"/>
        <v>0</v>
      </c>
      <c r="BH75" s="175">
        <f>SUMIFS('1-2 人员岗位信息'!P:P,'1-2 人员岗位信息'!$C:$C,"劳务派遣",'1-2 人员岗位信息'!$B:$B,$D75)</f>
        <v>0</v>
      </c>
      <c r="BI75" s="298"/>
      <c r="BJ75" s="175">
        <f t="shared" si="148"/>
        <v>0</v>
      </c>
      <c r="BK75" s="175">
        <f>SUMIFS('1-2 人员岗位信息'!Q:Q,'1-2 人员岗位信息'!$C:$C,"劳务派遣",'1-2 人员岗位信息'!$B:$B,$D75)</f>
        <v>0</v>
      </c>
      <c r="BL75" s="307"/>
      <c r="BM75" s="311"/>
      <c r="BN75" s="315"/>
    </row>
    <row r="76" s="263" customFormat="1" ht="33.95" customHeight="1" outlineLevel="5" spans="2:66">
      <c r="B76" s="175" t="s">
        <v>799</v>
      </c>
      <c r="C76" s="283" t="s">
        <v>921</v>
      </c>
      <c r="D76" s="263" t="s">
        <v>903</v>
      </c>
      <c r="E76" s="175" t="s">
        <v>904</v>
      </c>
      <c r="F76" s="175"/>
      <c r="G76" s="175" t="s">
        <v>803</v>
      </c>
      <c r="H76" s="175">
        <f t="shared" si="132"/>
        <v>0</v>
      </c>
      <c r="I76" s="175" t="s">
        <v>804</v>
      </c>
      <c r="J76" s="175" t="e">
        <f t="shared" si="133"/>
        <v>#DIV/0!</v>
      </c>
      <c r="K76" s="175" t="s">
        <v>805</v>
      </c>
      <c r="L76" s="175" t="e">
        <f t="shared" si="134"/>
        <v>#DIV/0!</v>
      </c>
      <c r="M76" s="175" t="s">
        <v>806</v>
      </c>
      <c r="N76" s="175">
        <f t="shared" si="135"/>
        <v>0</v>
      </c>
      <c r="O76" s="175"/>
      <c r="P76" s="290"/>
      <c r="Q76" s="290"/>
      <c r="R76" s="290"/>
      <c r="S76" s="290"/>
      <c r="T76" s="290"/>
      <c r="U76" s="290"/>
      <c r="V76" s="290"/>
      <c r="W76" s="290"/>
      <c r="X76" s="290"/>
      <c r="Y76" s="290"/>
      <c r="Z76" s="290"/>
      <c r="AA76" s="290"/>
      <c r="AB76" s="175">
        <f t="shared" si="136"/>
        <v>0</v>
      </c>
      <c r="AC76" s="175">
        <f t="shared" si="137"/>
        <v>0</v>
      </c>
      <c r="AD76" s="175">
        <f>SUMIFS('1-2 人员岗位信息'!F:F,'1-2 人员岗位信息'!$C:$C,"劳务派遣",'1-2 人员岗位信息'!$B:$B,$D76)</f>
        <v>0</v>
      </c>
      <c r="AE76" s="298"/>
      <c r="AF76" s="175">
        <f t="shared" si="138"/>
        <v>0</v>
      </c>
      <c r="AG76" s="175">
        <f>SUMIFS('1-2 人员岗位信息'!G:G,'1-2 人员岗位信息'!$C:$C,"劳务派遣",'1-2 人员岗位信息'!$B:$B,$D76)</f>
        <v>0</v>
      </c>
      <c r="AH76" s="298"/>
      <c r="AI76" s="175">
        <f t="shared" si="139"/>
        <v>0</v>
      </c>
      <c r="AJ76" s="175">
        <f>SUMIFS('1-2 人员岗位信息'!H:H,'1-2 人员岗位信息'!$C:$C,"劳务派遣",'1-2 人员岗位信息'!$B:$B,$D76)</f>
        <v>0</v>
      </c>
      <c r="AK76" s="298"/>
      <c r="AL76" s="175">
        <f t="shared" si="140"/>
        <v>0</v>
      </c>
      <c r="AM76" s="175">
        <f>SUMIFS('1-2 人员岗位信息'!I:I,'1-2 人员岗位信息'!$C:$C,"劳务派遣",'1-2 人员岗位信息'!$B:$B,$D76)</f>
        <v>0</v>
      </c>
      <c r="AN76" s="298"/>
      <c r="AO76" s="175">
        <f t="shared" si="141"/>
        <v>0</v>
      </c>
      <c r="AP76" s="175">
        <f>SUMIFS('1-2 人员岗位信息'!J:J,'1-2 人员岗位信息'!$C:$C,"劳务派遣",'1-2 人员岗位信息'!$B:$B,$D76)</f>
        <v>0</v>
      </c>
      <c r="AQ76" s="298"/>
      <c r="AR76" s="175">
        <f t="shared" si="142"/>
        <v>0</v>
      </c>
      <c r="AS76" s="175">
        <f>SUMIFS('1-2 人员岗位信息'!K:K,'1-2 人员岗位信息'!$C:$C,"劳务派遣",'1-2 人员岗位信息'!$B:$B,$D76)</f>
        <v>0</v>
      </c>
      <c r="AT76" s="298"/>
      <c r="AU76" s="175">
        <f t="shared" si="143"/>
        <v>0</v>
      </c>
      <c r="AV76" s="175">
        <f>SUMIFS('1-2 人员岗位信息'!L:L,'1-2 人员岗位信息'!$C:$C,"劳务派遣",'1-2 人员岗位信息'!$B:$B,$D76)</f>
        <v>0</v>
      </c>
      <c r="AW76" s="298"/>
      <c r="AX76" s="175">
        <f t="shared" si="144"/>
        <v>0</v>
      </c>
      <c r="AY76" s="175">
        <f>SUMIFS('1-2 人员岗位信息'!M:M,'1-2 人员岗位信息'!$C:$C,"劳务派遣",'1-2 人员岗位信息'!$B:$B,$D76)</f>
        <v>0</v>
      </c>
      <c r="AZ76" s="298"/>
      <c r="BA76" s="175">
        <f t="shared" si="145"/>
        <v>0</v>
      </c>
      <c r="BB76" s="175">
        <f>SUMIFS('1-2 人员岗位信息'!N:N,'1-2 人员岗位信息'!$C:$C,"劳务派遣",'1-2 人员岗位信息'!$B:$B,$D76)</f>
        <v>0</v>
      </c>
      <c r="BC76" s="298"/>
      <c r="BD76" s="175">
        <f t="shared" si="146"/>
        <v>0</v>
      </c>
      <c r="BE76" s="175">
        <f>SUMIFS('1-2 人员岗位信息'!O:O,'1-2 人员岗位信息'!$C:$C,"劳务派遣",'1-2 人员岗位信息'!$B:$B,$D76)</f>
        <v>0</v>
      </c>
      <c r="BF76" s="298"/>
      <c r="BG76" s="175">
        <f t="shared" si="147"/>
        <v>0</v>
      </c>
      <c r="BH76" s="175">
        <f>SUMIFS('1-2 人员岗位信息'!P:P,'1-2 人员岗位信息'!$C:$C,"劳务派遣",'1-2 人员岗位信息'!$B:$B,$D76)</f>
        <v>0</v>
      </c>
      <c r="BI76" s="298"/>
      <c r="BJ76" s="175">
        <f t="shared" si="148"/>
        <v>0</v>
      </c>
      <c r="BK76" s="175">
        <f>SUMIFS('1-2 人员岗位信息'!Q:Q,'1-2 人员岗位信息'!$C:$C,"劳务派遣",'1-2 人员岗位信息'!$B:$B,$D76)</f>
        <v>0</v>
      </c>
      <c r="BL76" s="307"/>
      <c r="BM76" s="311"/>
      <c r="BN76" s="315"/>
    </row>
    <row r="77" s="263" customFormat="1" ht="33.95" customHeight="1" outlineLevel="5" spans="2:66">
      <c r="B77" s="175" t="s">
        <v>799</v>
      </c>
      <c r="C77" s="283" t="s">
        <v>922</v>
      </c>
      <c r="D77" s="263" t="s">
        <v>906</v>
      </c>
      <c r="E77" s="175" t="s">
        <v>907</v>
      </c>
      <c r="F77" s="175"/>
      <c r="G77" s="175" t="s">
        <v>803</v>
      </c>
      <c r="H77" s="175">
        <f t="shared" si="132"/>
        <v>0</v>
      </c>
      <c r="I77" s="175" t="s">
        <v>804</v>
      </c>
      <c r="J77" s="175" t="e">
        <f t="shared" si="133"/>
        <v>#DIV/0!</v>
      </c>
      <c r="K77" s="175" t="s">
        <v>805</v>
      </c>
      <c r="L77" s="175" t="e">
        <f t="shared" si="134"/>
        <v>#DIV/0!</v>
      </c>
      <c r="M77" s="175" t="s">
        <v>806</v>
      </c>
      <c r="N77" s="175">
        <f t="shared" si="135"/>
        <v>0</v>
      </c>
      <c r="O77" s="175"/>
      <c r="P77" s="290"/>
      <c r="Q77" s="290"/>
      <c r="R77" s="290"/>
      <c r="S77" s="290"/>
      <c r="T77" s="290"/>
      <c r="U77" s="290"/>
      <c r="V77" s="290"/>
      <c r="W77" s="290"/>
      <c r="X77" s="290"/>
      <c r="Y77" s="290"/>
      <c r="Z77" s="290"/>
      <c r="AA77" s="290"/>
      <c r="AB77" s="175">
        <f t="shared" si="136"/>
        <v>0</v>
      </c>
      <c r="AC77" s="175">
        <f t="shared" si="137"/>
        <v>0</v>
      </c>
      <c r="AD77" s="175">
        <f>SUMIFS('1-2 人员岗位信息'!F:F,'1-2 人员岗位信息'!$C:$C,"劳务派遣",'1-2 人员岗位信息'!$B:$B,$D77)</f>
        <v>0</v>
      </c>
      <c r="AE77" s="298"/>
      <c r="AF77" s="175">
        <f t="shared" si="138"/>
        <v>0</v>
      </c>
      <c r="AG77" s="175">
        <f>SUMIFS('1-2 人员岗位信息'!G:G,'1-2 人员岗位信息'!$C:$C,"劳务派遣",'1-2 人员岗位信息'!$B:$B,$D77)</f>
        <v>0</v>
      </c>
      <c r="AH77" s="298"/>
      <c r="AI77" s="175">
        <f t="shared" si="139"/>
        <v>0</v>
      </c>
      <c r="AJ77" s="175">
        <f>SUMIFS('1-2 人员岗位信息'!H:H,'1-2 人员岗位信息'!$C:$C,"劳务派遣",'1-2 人员岗位信息'!$B:$B,$D77)</f>
        <v>0</v>
      </c>
      <c r="AK77" s="298"/>
      <c r="AL77" s="175">
        <f t="shared" si="140"/>
        <v>0</v>
      </c>
      <c r="AM77" s="175">
        <f>SUMIFS('1-2 人员岗位信息'!I:I,'1-2 人员岗位信息'!$C:$C,"劳务派遣",'1-2 人员岗位信息'!$B:$B,$D77)</f>
        <v>0</v>
      </c>
      <c r="AN77" s="298"/>
      <c r="AO77" s="175">
        <f t="shared" si="141"/>
        <v>0</v>
      </c>
      <c r="AP77" s="175">
        <f>SUMIFS('1-2 人员岗位信息'!J:J,'1-2 人员岗位信息'!$C:$C,"劳务派遣",'1-2 人员岗位信息'!$B:$B,$D77)</f>
        <v>0</v>
      </c>
      <c r="AQ77" s="298"/>
      <c r="AR77" s="175">
        <f t="shared" si="142"/>
        <v>0</v>
      </c>
      <c r="AS77" s="175">
        <f>SUMIFS('1-2 人员岗位信息'!K:K,'1-2 人员岗位信息'!$C:$C,"劳务派遣",'1-2 人员岗位信息'!$B:$B,$D77)</f>
        <v>0</v>
      </c>
      <c r="AT77" s="298"/>
      <c r="AU77" s="175">
        <f t="shared" si="143"/>
        <v>0</v>
      </c>
      <c r="AV77" s="175">
        <f>SUMIFS('1-2 人员岗位信息'!L:L,'1-2 人员岗位信息'!$C:$C,"劳务派遣",'1-2 人员岗位信息'!$B:$B,$D77)</f>
        <v>0</v>
      </c>
      <c r="AW77" s="298"/>
      <c r="AX77" s="175">
        <f t="shared" si="144"/>
        <v>0</v>
      </c>
      <c r="AY77" s="175">
        <f>SUMIFS('1-2 人员岗位信息'!M:M,'1-2 人员岗位信息'!$C:$C,"劳务派遣",'1-2 人员岗位信息'!$B:$B,$D77)</f>
        <v>0</v>
      </c>
      <c r="AZ77" s="298"/>
      <c r="BA77" s="175">
        <f t="shared" si="145"/>
        <v>0</v>
      </c>
      <c r="BB77" s="175">
        <f>SUMIFS('1-2 人员岗位信息'!N:N,'1-2 人员岗位信息'!$C:$C,"劳务派遣",'1-2 人员岗位信息'!$B:$B,$D77)</f>
        <v>0</v>
      </c>
      <c r="BC77" s="298"/>
      <c r="BD77" s="175">
        <f t="shared" si="146"/>
        <v>0</v>
      </c>
      <c r="BE77" s="175">
        <f>SUMIFS('1-2 人员岗位信息'!O:O,'1-2 人员岗位信息'!$C:$C,"劳务派遣",'1-2 人员岗位信息'!$B:$B,$D77)</f>
        <v>0</v>
      </c>
      <c r="BF77" s="298"/>
      <c r="BG77" s="175">
        <f t="shared" si="147"/>
        <v>0</v>
      </c>
      <c r="BH77" s="175">
        <f>SUMIFS('1-2 人员岗位信息'!P:P,'1-2 人员岗位信息'!$C:$C,"劳务派遣",'1-2 人员岗位信息'!$B:$B,$D77)</f>
        <v>0</v>
      </c>
      <c r="BI77" s="298"/>
      <c r="BJ77" s="175">
        <f t="shared" si="148"/>
        <v>0</v>
      </c>
      <c r="BK77" s="175">
        <f>SUMIFS('1-2 人员岗位信息'!Q:Q,'1-2 人员岗位信息'!$C:$C,"劳务派遣",'1-2 人员岗位信息'!$B:$B,$D77)</f>
        <v>0</v>
      </c>
      <c r="BL77" s="307"/>
      <c r="BM77" s="311"/>
      <c r="BN77" s="315"/>
    </row>
    <row r="78" s="263" customFormat="1" ht="33.95" customHeight="1" outlineLevel="5" spans="2:66">
      <c r="B78" s="175" t="s">
        <v>799</v>
      </c>
      <c r="C78" s="283" t="s">
        <v>923</v>
      </c>
      <c r="D78" s="263" t="s">
        <v>909</v>
      </c>
      <c r="E78" s="175" t="s">
        <v>910</v>
      </c>
      <c r="F78" s="175"/>
      <c r="G78" s="175" t="s">
        <v>803</v>
      </c>
      <c r="H78" s="175">
        <f t="shared" si="132"/>
        <v>0</v>
      </c>
      <c r="I78" s="175" t="s">
        <v>804</v>
      </c>
      <c r="J78" s="175" t="e">
        <f t="shared" si="133"/>
        <v>#DIV/0!</v>
      </c>
      <c r="K78" s="175" t="s">
        <v>805</v>
      </c>
      <c r="L78" s="175" t="e">
        <f t="shared" si="134"/>
        <v>#DIV/0!</v>
      </c>
      <c r="M78" s="175" t="s">
        <v>806</v>
      </c>
      <c r="N78" s="175">
        <f t="shared" si="135"/>
        <v>0</v>
      </c>
      <c r="O78" s="175"/>
      <c r="P78" s="290"/>
      <c r="Q78" s="290"/>
      <c r="R78" s="290"/>
      <c r="S78" s="290"/>
      <c r="T78" s="290"/>
      <c r="U78" s="290"/>
      <c r="V78" s="290"/>
      <c r="W78" s="290"/>
      <c r="X78" s="290"/>
      <c r="Y78" s="290"/>
      <c r="Z78" s="290"/>
      <c r="AA78" s="290"/>
      <c r="AB78" s="175">
        <f t="shared" si="136"/>
        <v>0</v>
      </c>
      <c r="AC78" s="175">
        <f t="shared" si="137"/>
        <v>0</v>
      </c>
      <c r="AD78" s="175">
        <f>SUMIFS('1-2 人员岗位信息'!F:F,'1-2 人员岗位信息'!$C:$C,"劳务派遣",'1-2 人员岗位信息'!$B:$B,$D78)</f>
        <v>0</v>
      </c>
      <c r="AE78" s="298"/>
      <c r="AF78" s="175">
        <f t="shared" si="138"/>
        <v>0</v>
      </c>
      <c r="AG78" s="175">
        <f>SUMIFS('1-2 人员岗位信息'!G:G,'1-2 人员岗位信息'!$C:$C,"劳务派遣",'1-2 人员岗位信息'!$B:$B,$D78)</f>
        <v>0</v>
      </c>
      <c r="AH78" s="298"/>
      <c r="AI78" s="175">
        <f t="shared" si="139"/>
        <v>0</v>
      </c>
      <c r="AJ78" s="175">
        <f>SUMIFS('1-2 人员岗位信息'!H:H,'1-2 人员岗位信息'!$C:$C,"劳务派遣",'1-2 人员岗位信息'!$B:$B,$D78)</f>
        <v>0</v>
      </c>
      <c r="AK78" s="298"/>
      <c r="AL78" s="175">
        <f t="shared" si="140"/>
        <v>0</v>
      </c>
      <c r="AM78" s="175">
        <f>SUMIFS('1-2 人员岗位信息'!I:I,'1-2 人员岗位信息'!$C:$C,"劳务派遣",'1-2 人员岗位信息'!$B:$B,$D78)</f>
        <v>0</v>
      </c>
      <c r="AN78" s="298"/>
      <c r="AO78" s="175">
        <f t="shared" si="141"/>
        <v>0</v>
      </c>
      <c r="AP78" s="175">
        <f>SUMIFS('1-2 人员岗位信息'!J:J,'1-2 人员岗位信息'!$C:$C,"劳务派遣",'1-2 人员岗位信息'!$B:$B,$D78)</f>
        <v>0</v>
      </c>
      <c r="AQ78" s="298"/>
      <c r="AR78" s="175">
        <f t="shared" si="142"/>
        <v>0</v>
      </c>
      <c r="AS78" s="175">
        <f>SUMIFS('1-2 人员岗位信息'!K:K,'1-2 人员岗位信息'!$C:$C,"劳务派遣",'1-2 人员岗位信息'!$B:$B,$D78)</f>
        <v>0</v>
      </c>
      <c r="AT78" s="298"/>
      <c r="AU78" s="175">
        <f t="shared" si="143"/>
        <v>0</v>
      </c>
      <c r="AV78" s="175">
        <f>SUMIFS('1-2 人员岗位信息'!L:L,'1-2 人员岗位信息'!$C:$C,"劳务派遣",'1-2 人员岗位信息'!$B:$B,$D78)</f>
        <v>0</v>
      </c>
      <c r="AW78" s="298"/>
      <c r="AX78" s="175">
        <f t="shared" si="144"/>
        <v>0</v>
      </c>
      <c r="AY78" s="175">
        <f>SUMIFS('1-2 人员岗位信息'!M:M,'1-2 人员岗位信息'!$C:$C,"劳务派遣",'1-2 人员岗位信息'!$B:$B,$D78)</f>
        <v>0</v>
      </c>
      <c r="AZ78" s="298"/>
      <c r="BA78" s="175">
        <f t="shared" si="145"/>
        <v>0</v>
      </c>
      <c r="BB78" s="175">
        <f>SUMIFS('1-2 人员岗位信息'!N:N,'1-2 人员岗位信息'!$C:$C,"劳务派遣",'1-2 人员岗位信息'!$B:$B,$D78)</f>
        <v>0</v>
      </c>
      <c r="BC78" s="298"/>
      <c r="BD78" s="175">
        <f t="shared" si="146"/>
        <v>0</v>
      </c>
      <c r="BE78" s="175">
        <f>SUMIFS('1-2 人员岗位信息'!O:O,'1-2 人员岗位信息'!$C:$C,"劳务派遣",'1-2 人员岗位信息'!$B:$B,$D78)</f>
        <v>0</v>
      </c>
      <c r="BF78" s="298"/>
      <c r="BG78" s="175">
        <f t="shared" si="147"/>
        <v>0</v>
      </c>
      <c r="BH78" s="175">
        <f>SUMIFS('1-2 人员岗位信息'!P:P,'1-2 人员岗位信息'!$C:$C,"劳务派遣",'1-2 人员岗位信息'!$B:$B,$D78)</f>
        <v>0</v>
      </c>
      <c r="BI78" s="298"/>
      <c r="BJ78" s="175">
        <f t="shared" si="148"/>
        <v>0</v>
      </c>
      <c r="BK78" s="175">
        <f>SUMIFS('1-2 人员岗位信息'!Q:Q,'1-2 人员岗位信息'!$C:$C,"劳务派遣",'1-2 人员岗位信息'!$B:$B,$D78)</f>
        <v>0</v>
      </c>
      <c r="BL78" s="307"/>
      <c r="BM78" s="311"/>
      <c r="BN78" s="315"/>
    </row>
    <row r="79" s="263" customFormat="1" ht="33.95" customHeight="1" outlineLevel="5" spans="2:66">
      <c r="B79" s="175" t="s">
        <v>799</v>
      </c>
      <c r="C79" s="283" t="s">
        <v>924</v>
      </c>
      <c r="D79" s="263" t="s">
        <v>912</v>
      </c>
      <c r="E79" s="175" t="s">
        <v>925</v>
      </c>
      <c r="F79" s="175"/>
      <c r="G79" s="175" t="s">
        <v>803</v>
      </c>
      <c r="H79" s="175">
        <f t="shared" si="132"/>
        <v>0</v>
      </c>
      <c r="I79" s="175" t="s">
        <v>804</v>
      </c>
      <c r="J79" s="175" t="e">
        <f t="shared" si="133"/>
        <v>#DIV/0!</v>
      </c>
      <c r="K79" s="175" t="s">
        <v>805</v>
      </c>
      <c r="L79" s="175" t="e">
        <f t="shared" si="134"/>
        <v>#DIV/0!</v>
      </c>
      <c r="M79" s="175" t="s">
        <v>806</v>
      </c>
      <c r="N79" s="175">
        <f t="shared" si="135"/>
        <v>0</v>
      </c>
      <c r="O79" s="175"/>
      <c r="P79" s="290"/>
      <c r="Q79" s="290"/>
      <c r="R79" s="290"/>
      <c r="S79" s="290"/>
      <c r="T79" s="290"/>
      <c r="U79" s="290"/>
      <c r="V79" s="290"/>
      <c r="W79" s="290"/>
      <c r="X79" s="290"/>
      <c r="Y79" s="290"/>
      <c r="Z79" s="290"/>
      <c r="AA79" s="290"/>
      <c r="AB79" s="175">
        <f t="shared" si="136"/>
        <v>0</v>
      </c>
      <c r="AC79" s="175">
        <f t="shared" si="137"/>
        <v>0</v>
      </c>
      <c r="AD79" s="175">
        <f>SUMIFS('1-2 人员岗位信息'!F:F,'1-2 人员岗位信息'!$C:$C,"劳务派遣",'1-2 人员岗位信息'!$B:$B,$D79)</f>
        <v>0</v>
      </c>
      <c r="AE79" s="298"/>
      <c r="AF79" s="175">
        <f t="shared" si="138"/>
        <v>0</v>
      </c>
      <c r="AG79" s="175">
        <f>SUMIFS('1-2 人员岗位信息'!G:G,'1-2 人员岗位信息'!$C:$C,"劳务派遣",'1-2 人员岗位信息'!$B:$B,$D79)</f>
        <v>0</v>
      </c>
      <c r="AH79" s="298"/>
      <c r="AI79" s="175">
        <f t="shared" si="139"/>
        <v>0</v>
      </c>
      <c r="AJ79" s="175">
        <f>SUMIFS('1-2 人员岗位信息'!H:H,'1-2 人员岗位信息'!$C:$C,"劳务派遣",'1-2 人员岗位信息'!$B:$B,$D79)</f>
        <v>0</v>
      </c>
      <c r="AK79" s="298"/>
      <c r="AL79" s="175">
        <f t="shared" si="140"/>
        <v>0</v>
      </c>
      <c r="AM79" s="175">
        <f>SUMIFS('1-2 人员岗位信息'!I:I,'1-2 人员岗位信息'!$C:$C,"劳务派遣",'1-2 人员岗位信息'!$B:$B,$D79)</f>
        <v>0</v>
      </c>
      <c r="AN79" s="298"/>
      <c r="AO79" s="175">
        <f t="shared" si="141"/>
        <v>0</v>
      </c>
      <c r="AP79" s="175">
        <f>SUMIFS('1-2 人员岗位信息'!J:J,'1-2 人员岗位信息'!$C:$C,"劳务派遣",'1-2 人员岗位信息'!$B:$B,$D79)</f>
        <v>0</v>
      </c>
      <c r="AQ79" s="298"/>
      <c r="AR79" s="175">
        <f t="shared" si="142"/>
        <v>0</v>
      </c>
      <c r="AS79" s="175">
        <f>SUMIFS('1-2 人员岗位信息'!K:K,'1-2 人员岗位信息'!$C:$C,"劳务派遣",'1-2 人员岗位信息'!$B:$B,$D79)</f>
        <v>0</v>
      </c>
      <c r="AT79" s="298"/>
      <c r="AU79" s="175">
        <f t="shared" si="143"/>
        <v>0</v>
      </c>
      <c r="AV79" s="175">
        <f>SUMIFS('1-2 人员岗位信息'!L:L,'1-2 人员岗位信息'!$C:$C,"劳务派遣",'1-2 人员岗位信息'!$B:$B,$D79)</f>
        <v>0</v>
      </c>
      <c r="AW79" s="298"/>
      <c r="AX79" s="175">
        <f t="shared" si="144"/>
        <v>0</v>
      </c>
      <c r="AY79" s="175">
        <f>SUMIFS('1-2 人员岗位信息'!M:M,'1-2 人员岗位信息'!$C:$C,"劳务派遣",'1-2 人员岗位信息'!$B:$B,$D79)</f>
        <v>0</v>
      </c>
      <c r="AZ79" s="298"/>
      <c r="BA79" s="175">
        <f t="shared" si="145"/>
        <v>0</v>
      </c>
      <c r="BB79" s="175">
        <f>SUMIFS('1-2 人员岗位信息'!N:N,'1-2 人员岗位信息'!$C:$C,"劳务派遣",'1-2 人员岗位信息'!$B:$B,$D79)</f>
        <v>0</v>
      </c>
      <c r="BC79" s="298"/>
      <c r="BD79" s="175">
        <f t="shared" si="146"/>
        <v>0</v>
      </c>
      <c r="BE79" s="175">
        <f>SUMIFS('1-2 人员岗位信息'!O:O,'1-2 人员岗位信息'!$C:$C,"劳务派遣",'1-2 人员岗位信息'!$B:$B,$D79)</f>
        <v>0</v>
      </c>
      <c r="BF79" s="298"/>
      <c r="BG79" s="175">
        <f t="shared" si="147"/>
        <v>0</v>
      </c>
      <c r="BH79" s="175">
        <f>SUMIFS('1-2 人员岗位信息'!P:P,'1-2 人员岗位信息'!$C:$C,"劳务派遣",'1-2 人员岗位信息'!$B:$B,$D79)</f>
        <v>0</v>
      </c>
      <c r="BI79" s="298"/>
      <c r="BJ79" s="175">
        <f t="shared" si="148"/>
        <v>0</v>
      </c>
      <c r="BK79" s="175">
        <f>SUMIFS('1-2 人员岗位信息'!Q:Q,'1-2 人员岗位信息'!$C:$C,"劳务派遣",'1-2 人员岗位信息'!$B:$B,$D79)</f>
        <v>0</v>
      </c>
      <c r="BL79" s="307"/>
      <c r="BM79" s="311"/>
      <c r="BN79" s="315"/>
    </row>
    <row r="80" s="118" customFormat="1" ht="33.95" customHeight="1" outlineLevel="4" spans="2:66">
      <c r="B80" s="119" t="s">
        <v>794</v>
      </c>
      <c r="C80" s="120" t="s">
        <v>14</v>
      </c>
      <c r="D80" s="118" t="s">
        <v>15</v>
      </c>
      <c r="E80" s="119"/>
      <c r="F80" s="119"/>
      <c r="G80" s="119"/>
      <c r="H80" s="119">
        <f>SUM(H81:H90)</f>
        <v>89433.9622641509</v>
      </c>
      <c r="I80" s="119"/>
      <c r="J80" s="119"/>
      <c r="K80" s="119"/>
      <c r="L80" s="119"/>
      <c r="M80" s="119"/>
      <c r="N80" s="119"/>
      <c r="O80" s="119"/>
      <c r="P80" s="289"/>
      <c r="Q80" s="289"/>
      <c r="R80" s="289"/>
      <c r="S80" s="289"/>
      <c r="T80" s="289"/>
      <c r="U80" s="289"/>
      <c r="V80" s="289"/>
      <c r="W80" s="289"/>
      <c r="X80" s="289"/>
      <c r="Y80" s="289"/>
      <c r="Z80" s="289"/>
      <c r="AA80" s="289"/>
      <c r="AB80" s="119">
        <f t="shared" ref="AB80:AF80" si="149">SUM(AB81:AB90)</f>
        <v>89433.9622641509</v>
      </c>
      <c r="AC80" s="119">
        <f t="shared" si="149"/>
        <v>7452.83018867924</v>
      </c>
      <c r="AD80" s="119"/>
      <c r="AE80" s="119"/>
      <c r="AF80" s="119">
        <f t="shared" si="149"/>
        <v>7452.83018867924</v>
      </c>
      <c r="AG80" s="119"/>
      <c r="AH80" s="119"/>
      <c r="AI80" s="119">
        <f>SUM(AI81:AI90)</f>
        <v>7452.83018867924</v>
      </c>
      <c r="AJ80" s="119"/>
      <c r="AK80" s="119"/>
      <c r="AL80" s="119">
        <f>SUM(AL81:AL90)</f>
        <v>7452.83018867924</v>
      </c>
      <c r="AM80" s="119"/>
      <c r="AN80" s="119"/>
      <c r="AO80" s="119">
        <f>SUM(AO81:AO90)</f>
        <v>7452.83018867924</v>
      </c>
      <c r="AP80" s="119"/>
      <c r="AQ80" s="119"/>
      <c r="AR80" s="119">
        <f>SUM(AR81:AR90)</f>
        <v>7452.83018867924</v>
      </c>
      <c r="AS80" s="119"/>
      <c r="AT80" s="119"/>
      <c r="AU80" s="119">
        <f>SUM(AU81:AU90)</f>
        <v>7452.83018867924</v>
      </c>
      <c r="AV80" s="119"/>
      <c r="AW80" s="119"/>
      <c r="AX80" s="119">
        <f>SUM(AX81:AX90)</f>
        <v>7452.83018867924</v>
      </c>
      <c r="AY80" s="119"/>
      <c r="AZ80" s="119"/>
      <c r="BA80" s="119">
        <f>SUM(BA81:BA90)</f>
        <v>7452.83018867924</v>
      </c>
      <c r="BB80" s="119"/>
      <c r="BC80" s="119"/>
      <c r="BD80" s="119">
        <f>SUM(BD81:BD90)</f>
        <v>7452.83018867924</v>
      </c>
      <c r="BE80" s="119"/>
      <c r="BF80" s="119"/>
      <c r="BG80" s="119">
        <f>SUM(BG81:BG90)</f>
        <v>7452.83018867924</v>
      </c>
      <c r="BH80" s="119"/>
      <c r="BI80" s="119"/>
      <c r="BJ80" s="119">
        <f>SUM(BJ81:BJ90)</f>
        <v>7452.83018867924</v>
      </c>
      <c r="BK80" s="119"/>
      <c r="BL80" s="306"/>
      <c r="BM80" s="311"/>
      <c r="BN80" s="314"/>
    </row>
    <row r="81" s="263" customFormat="1" ht="33.95" customHeight="1" outlineLevel="5" spans="2:66">
      <c r="B81" s="175" t="s">
        <v>799</v>
      </c>
      <c r="C81" s="283" t="s">
        <v>926</v>
      </c>
      <c r="D81" s="263" t="s">
        <v>885</v>
      </c>
      <c r="E81" s="175" t="s">
        <v>927</v>
      </c>
      <c r="F81" s="175"/>
      <c r="G81" s="175" t="s">
        <v>803</v>
      </c>
      <c r="H81" s="175">
        <f t="shared" ref="H81:H90" si="150">AB81</f>
        <v>89433.9622641509</v>
      </c>
      <c r="I81" s="175" t="s">
        <v>804</v>
      </c>
      <c r="J81" s="175">
        <f t="shared" ref="J81:J90" si="151">SUM(AD81,AG81,AJ81,AM81,AP81,AS81,AV81,AY81,BB81,BE81,BH81,BK81)/N81</f>
        <v>1</v>
      </c>
      <c r="K81" s="175" t="s">
        <v>805</v>
      </c>
      <c r="L81" s="175">
        <f t="shared" ref="L81:L90" si="152">H81/N81/J81</f>
        <v>7452.83018867924</v>
      </c>
      <c r="M81" s="175" t="s">
        <v>806</v>
      </c>
      <c r="N81" s="175">
        <f t="shared" ref="N81:N90" si="153">COUNTIF(AD81,"&gt;0")+COUNTIF(AG81,"&gt;0")+COUNTIF(AJ81,"&gt;0")+COUNTIF(AM81,"&gt;0")+COUNTIF(AP81,"&gt;0")+COUNTIF(AS81,"&gt;0")+COUNTIF(AV81,"&gt;0")+COUNTIF(AY81,"&gt;0")+COUNTIF(BB81,"&gt;0")+COUNTIF(BE81,"&gt;0")+COUNTIF(BH81,"&gt;0")+COUNTIF(BK81,"&gt;0")</f>
        <v>12</v>
      </c>
      <c r="O81" s="175"/>
      <c r="P81" s="290"/>
      <c r="Q81" s="290"/>
      <c r="R81" s="290"/>
      <c r="S81" s="290"/>
      <c r="T81" s="290"/>
      <c r="U81" s="290"/>
      <c r="V81" s="290"/>
      <c r="W81" s="290"/>
      <c r="X81" s="290"/>
      <c r="Y81" s="290"/>
      <c r="Z81" s="290"/>
      <c r="AA81" s="290"/>
      <c r="AB81" s="175">
        <f>SUM(AC81,AF81,AI81,AL81,AO81,AR81,AU81,AX81,BA81,BD81,BG81,BJ81)</f>
        <v>89433.9622641509</v>
      </c>
      <c r="AC81" s="175">
        <f t="shared" ref="AC81:AC90" si="154">AD81*AE81</f>
        <v>7452.83018867924</v>
      </c>
      <c r="AD81" s="175">
        <f>SUMIFS('1-2 人员岗位信息'!J:J,'1-2 人员岗位信息'!$C:$C,"专业外包",'1-2 人员岗位信息'!$B:$B,$D81)</f>
        <v>1</v>
      </c>
      <c r="AE81" s="298">
        <f>预算主表!P79/(12*AD81)</f>
        <v>7452.83018867924</v>
      </c>
      <c r="AF81" s="175">
        <f t="shared" ref="AF81:AF90" si="155">AG81*AH81</f>
        <v>7452.83018867924</v>
      </c>
      <c r="AG81" s="175">
        <f>SUMIFS('1-2 人员岗位信息'!J:J,'1-2 人员岗位信息'!$C:$C,"专业外包",'1-2 人员岗位信息'!$B:$B,$D81)</f>
        <v>1</v>
      </c>
      <c r="AH81" s="298">
        <f>AE81</f>
        <v>7452.83018867924</v>
      </c>
      <c r="AI81" s="175">
        <f t="shared" ref="AI81:AI90" si="156">AJ81*AK81</f>
        <v>7452.83018867924</v>
      </c>
      <c r="AJ81" s="175">
        <f>SUMIFS('1-2 人员岗位信息'!J:J,'1-2 人员岗位信息'!$C:$C,"专业外包",'1-2 人员岗位信息'!$B:$B,$D81)</f>
        <v>1</v>
      </c>
      <c r="AK81" s="298">
        <f>AE81</f>
        <v>7452.83018867924</v>
      </c>
      <c r="AL81" s="175">
        <f t="shared" ref="AL81:AL90" si="157">AM81*AN81</f>
        <v>7452.83018867924</v>
      </c>
      <c r="AM81" s="175">
        <f>SUMIFS('1-2 人员岗位信息'!I:I,'1-2 人员岗位信息'!$C:$C,"专业外包",'1-2 人员岗位信息'!$B:$B,$D81)</f>
        <v>1</v>
      </c>
      <c r="AN81" s="298">
        <f>AE81</f>
        <v>7452.83018867924</v>
      </c>
      <c r="AO81" s="175">
        <f t="shared" ref="AO81:AO90" si="158">AP81*AQ81</f>
        <v>7452.83018867924</v>
      </c>
      <c r="AP81" s="175">
        <f>SUMIFS('1-2 人员岗位信息'!J:J,'1-2 人员岗位信息'!$C:$C,"专业外包",'1-2 人员岗位信息'!$B:$B,$D81)</f>
        <v>1</v>
      </c>
      <c r="AQ81" s="298">
        <f>AE81</f>
        <v>7452.83018867924</v>
      </c>
      <c r="AR81" s="175">
        <f t="shared" ref="AR81:AR90" si="159">AS81*AT81</f>
        <v>7452.83018867924</v>
      </c>
      <c r="AS81" s="175">
        <f>SUMIFS('1-2 人员岗位信息'!K:K,'1-2 人员岗位信息'!$C:$C,"专业外包",'1-2 人员岗位信息'!$B:$B,$D81)</f>
        <v>1</v>
      </c>
      <c r="AT81" s="298">
        <f>AE81</f>
        <v>7452.83018867924</v>
      </c>
      <c r="AU81" s="175">
        <f t="shared" ref="AU81:AU90" si="160">AV81*AW81</f>
        <v>7452.83018867924</v>
      </c>
      <c r="AV81" s="175">
        <f>SUMIFS('1-2 人员岗位信息'!L:L,'1-2 人员岗位信息'!$C:$C,"专业外包",'1-2 人员岗位信息'!$B:$B,$D81)</f>
        <v>1</v>
      </c>
      <c r="AW81" s="298">
        <f>AE81</f>
        <v>7452.83018867924</v>
      </c>
      <c r="AX81" s="175">
        <f t="shared" ref="AX81:AX90" si="161">AY81*AZ81</f>
        <v>7452.83018867924</v>
      </c>
      <c r="AY81" s="175">
        <f>SUMIFS('1-2 人员岗位信息'!M:M,'1-2 人员岗位信息'!$C:$C,"专业外包",'1-2 人员岗位信息'!$B:$B,$D81)</f>
        <v>1</v>
      </c>
      <c r="AZ81" s="298">
        <f>AE81</f>
        <v>7452.83018867924</v>
      </c>
      <c r="BA81" s="175">
        <f t="shared" ref="BA81:BA90" si="162">BB81*BC81</f>
        <v>7452.83018867924</v>
      </c>
      <c r="BB81" s="175">
        <f>SUMIFS('1-2 人员岗位信息'!N:N,'1-2 人员岗位信息'!$C:$C,"专业外包",'1-2 人员岗位信息'!$B:$B,$D81)</f>
        <v>1</v>
      </c>
      <c r="BC81" s="298">
        <f>AE81</f>
        <v>7452.83018867924</v>
      </c>
      <c r="BD81" s="175">
        <f t="shared" ref="BD81:BD90" si="163">BE81*BF81</f>
        <v>7452.83018867924</v>
      </c>
      <c r="BE81" s="175">
        <f>SUMIFS('1-2 人员岗位信息'!O:O,'1-2 人员岗位信息'!$C:$C,"专业外包",'1-2 人员岗位信息'!$B:$B,$D81)</f>
        <v>1</v>
      </c>
      <c r="BF81" s="298">
        <f>AE81</f>
        <v>7452.83018867924</v>
      </c>
      <c r="BG81" s="175">
        <f t="shared" ref="BG81:BG90" si="164">BH81*BI81</f>
        <v>7452.83018867924</v>
      </c>
      <c r="BH81" s="175">
        <f>SUMIFS('1-2 人员岗位信息'!P:P,'1-2 人员岗位信息'!$C:$C,"专业外包",'1-2 人员岗位信息'!$B:$B,$D81)</f>
        <v>1</v>
      </c>
      <c r="BI81" s="298">
        <f>AE81</f>
        <v>7452.83018867924</v>
      </c>
      <c r="BJ81" s="175">
        <f t="shared" ref="BJ81:BJ90" si="165">BK81*BL81</f>
        <v>7452.83018867924</v>
      </c>
      <c r="BK81" s="175">
        <f>SUMIFS('1-2 人员岗位信息'!Q:Q,'1-2 人员岗位信息'!$C:$C,"专业外包",'1-2 人员岗位信息'!$B:$B,$D81)</f>
        <v>1</v>
      </c>
      <c r="BL81" s="298">
        <f>AE81</f>
        <v>7452.83018867924</v>
      </c>
      <c r="BM81" s="311"/>
      <c r="BN81" s="315"/>
    </row>
    <row r="82" s="263" customFormat="1" ht="33.95" customHeight="1" outlineLevel="5" spans="2:66">
      <c r="B82" s="175" t="s">
        <v>799</v>
      </c>
      <c r="C82" s="283" t="s">
        <v>928</v>
      </c>
      <c r="D82" s="263" t="s">
        <v>888</v>
      </c>
      <c r="E82" s="175" t="s">
        <v>929</v>
      </c>
      <c r="F82" s="175"/>
      <c r="G82" s="175" t="s">
        <v>803</v>
      </c>
      <c r="H82" s="175">
        <f t="shared" si="150"/>
        <v>0</v>
      </c>
      <c r="I82" s="175" t="s">
        <v>804</v>
      </c>
      <c r="J82" s="175" t="e">
        <f t="shared" si="151"/>
        <v>#DIV/0!</v>
      </c>
      <c r="K82" s="175" t="s">
        <v>805</v>
      </c>
      <c r="L82" s="175" t="e">
        <f t="shared" si="152"/>
        <v>#DIV/0!</v>
      </c>
      <c r="M82" s="175" t="s">
        <v>806</v>
      </c>
      <c r="N82" s="175">
        <f t="shared" si="153"/>
        <v>0</v>
      </c>
      <c r="O82" s="175"/>
      <c r="P82" s="290"/>
      <c r="Q82" s="290"/>
      <c r="R82" s="290"/>
      <c r="S82" s="290"/>
      <c r="T82" s="290"/>
      <c r="U82" s="290"/>
      <c r="V82" s="290"/>
      <c r="W82" s="290"/>
      <c r="X82" s="290"/>
      <c r="Y82" s="290"/>
      <c r="Z82" s="290"/>
      <c r="AA82" s="290"/>
      <c r="AB82" s="175">
        <f t="shared" ref="AB82:AB90" si="166">SUM(AC82,AF82,AI82,AL82,AO82,AR82,AU82,AX82,BA82,BD82,BG82,BJ82)</f>
        <v>0</v>
      </c>
      <c r="AC82" s="175">
        <f t="shared" si="154"/>
        <v>0</v>
      </c>
      <c r="AD82" s="175">
        <f>SUMIFS('1-2 人员岗位信息'!F:F,'1-2 人员岗位信息'!$C:$C,"专业外包",'1-2 人员岗位信息'!$B:$B,$D82)</f>
        <v>0</v>
      </c>
      <c r="AE82" s="298"/>
      <c r="AF82" s="175">
        <f t="shared" si="155"/>
        <v>0</v>
      </c>
      <c r="AG82" s="175">
        <f>SUMIFS('1-2 人员岗位信息'!G:G,'1-2 人员岗位信息'!$C:$C,"专业外包",'1-2 人员岗位信息'!$B:$B,$D82)</f>
        <v>0</v>
      </c>
      <c r="AH82" s="298"/>
      <c r="AI82" s="175">
        <f t="shared" si="156"/>
        <v>0</v>
      </c>
      <c r="AJ82" s="175">
        <f>SUMIFS('1-2 人员岗位信息'!H:H,'1-2 人员岗位信息'!$C:$C,"专业外包",'1-2 人员岗位信息'!$B:$B,$D82)</f>
        <v>0</v>
      </c>
      <c r="AK82" s="298"/>
      <c r="AL82" s="175">
        <f t="shared" si="157"/>
        <v>0</v>
      </c>
      <c r="AM82" s="175">
        <f>SUMIFS('1-2 人员岗位信息'!I:I,'1-2 人员岗位信息'!$C:$C,"专业外包",'1-2 人员岗位信息'!$B:$B,$D82)</f>
        <v>0</v>
      </c>
      <c r="AN82" s="298"/>
      <c r="AO82" s="175">
        <f t="shared" si="158"/>
        <v>0</v>
      </c>
      <c r="AP82" s="175">
        <f>SUMIFS('1-2 人员岗位信息'!J:J,'1-2 人员岗位信息'!$C:$C,"专业外包",'1-2 人员岗位信息'!$B:$B,$D82)</f>
        <v>0</v>
      </c>
      <c r="AQ82" s="298"/>
      <c r="AR82" s="175">
        <f t="shared" si="159"/>
        <v>0</v>
      </c>
      <c r="AS82" s="175">
        <f>SUMIFS('1-2 人员岗位信息'!K:K,'1-2 人员岗位信息'!$C:$C,"专业外包",'1-2 人员岗位信息'!$B:$B,$D82)</f>
        <v>0</v>
      </c>
      <c r="AT82" s="298"/>
      <c r="AU82" s="175">
        <f t="shared" si="160"/>
        <v>0</v>
      </c>
      <c r="AV82" s="175">
        <f>SUMIFS('1-2 人员岗位信息'!L:L,'1-2 人员岗位信息'!$C:$C,"专业外包",'1-2 人员岗位信息'!$B:$B,$D82)</f>
        <v>0</v>
      </c>
      <c r="AW82" s="298"/>
      <c r="AX82" s="175">
        <f t="shared" si="161"/>
        <v>0</v>
      </c>
      <c r="AY82" s="175">
        <f>SUMIFS('1-2 人员岗位信息'!M:M,'1-2 人员岗位信息'!$C:$C,"专业外包",'1-2 人员岗位信息'!$B:$B,$D82)</f>
        <v>0</v>
      </c>
      <c r="AZ82" s="298"/>
      <c r="BA82" s="175">
        <f t="shared" si="162"/>
        <v>0</v>
      </c>
      <c r="BB82" s="175">
        <f>SUMIFS('1-2 人员岗位信息'!N:N,'1-2 人员岗位信息'!$C:$C,"专业外包",'1-2 人员岗位信息'!$B:$B,$D82)</f>
        <v>0</v>
      </c>
      <c r="BC82" s="298"/>
      <c r="BD82" s="175">
        <f t="shared" si="163"/>
        <v>0</v>
      </c>
      <c r="BE82" s="175">
        <f>SUMIFS('1-2 人员岗位信息'!O:O,'1-2 人员岗位信息'!$C:$C,"专业外包",'1-2 人员岗位信息'!$B:$B,$D82)</f>
        <v>0</v>
      </c>
      <c r="BF82" s="298"/>
      <c r="BG82" s="175">
        <f t="shared" si="164"/>
        <v>0</v>
      </c>
      <c r="BH82" s="175">
        <f>SUMIFS('1-2 人员岗位信息'!P:P,'1-2 人员岗位信息'!$C:$C,"专业外包",'1-2 人员岗位信息'!$B:$B,$D82)</f>
        <v>0</v>
      </c>
      <c r="BI82" s="298"/>
      <c r="BJ82" s="175">
        <f t="shared" si="165"/>
        <v>0</v>
      </c>
      <c r="BK82" s="175">
        <f>SUMIFS('1-2 人员岗位信息'!Q:Q,'1-2 人员岗位信息'!$C:$C,"专业外包",'1-2 人员岗位信息'!$B:$B,$D82)</f>
        <v>0</v>
      </c>
      <c r="BL82" s="307"/>
      <c r="BM82" s="311"/>
      <c r="BN82" s="315"/>
    </row>
    <row r="83" s="263" customFormat="1" ht="33.95" customHeight="1" outlineLevel="5" spans="2:66">
      <c r="B83" s="175" t="s">
        <v>799</v>
      </c>
      <c r="C83" s="283" t="s">
        <v>930</v>
      </c>
      <c r="D83" s="263" t="s">
        <v>891</v>
      </c>
      <c r="E83" s="175" t="s">
        <v>892</v>
      </c>
      <c r="F83" s="175"/>
      <c r="G83" s="175" t="s">
        <v>803</v>
      </c>
      <c r="H83" s="175">
        <f t="shared" si="150"/>
        <v>0</v>
      </c>
      <c r="I83" s="175" t="s">
        <v>804</v>
      </c>
      <c r="J83" s="175" t="e">
        <f t="shared" si="151"/>
        <v>#DIV/0!</v>
      </c>
      <c r="K83" s="175" t="s">
        <v>805</v>
      </c>
      <c r="L83" s="175" t="e">
        <f t="shared" si="152"/>
        <v>#DIV/0!</v>
      </c>
      <c r="M83" s="175" t="s">
        <v>806</v>
      </c>
      <c r="N83" s="175">
        <f t="shared" si="153"/>
        <v>0</v>
      </c>
      <c r="O83" s="175"/>
      <c r="P83" s="290"/>
      <c r="Q83" s="290"/>
      <c r="R83" s="290"/>
      <c r="S83" s="290"/>
      <c r="T83" s="290"/>
      <c r="U83" s="290"/>
      <c r="V83" s="290"/>
      <c r="W83" s="290"/>
      <c r="X83" s="290"/>
      <c r="Y83" s="290"/>
      <c r="Z83" s="290"/>
      <c r="AA83" s="290"/>
      <c r="AB83" s="175">
        <f t="shared" si="166"/>
        <v>0</v>
      </c>
      <c r="AC83" s="175">
        <f t="shared" si="154"/>
        <v>0</v>
      </c>
      <c r="AD83" s="175">
        <f>SUMIFS('1-2 人员岗位信息'!F:F,'1-2 人员岗位信息'!$C:$C,"专业外包",'1-2 人员岗位信息'!$B:$B,$D83)</f>
        <v>0</v>
      </c>
      <c r="AE83" s="298"/>
      <c r="AF83" s="175">
        <f t="shared" si="155"/>
        <v>0</v>
      </c>
      <c r="AG83" s="175">
        <f>SUMIFS('1-2 人员岗位信息'!G:G,'1-2 人员岗位信息'!$C:$C,"专业外包",'1-2 人员岗位信息'!$B:$B,$D83)</f>
        <v>0</v>
      </c>
      <c r="AH83" s="298"/>
      <c r="AI83" s="175">
        <f t="shared" si="156"/>
        <v>0</v>
      </c>
      <c r="AJ83" s="175">
        <f>SUMIFS('1-2 人员岗位信息'!H:H,'1-2 人员岗位信息'!$C:$C,"专业外包",'1-2 人员岗位信息'!$B:$B,$D83)</f>
        <v>0</v>
      </c>
      <c r="AK83" s="298"/>
      <c r="AL83" s="175">
        <f t="shared" si="157"/>
        <v>0</v>
      </c>
      <c r="AM83" s="175">
        <f>SUMIFS('1-2 人员岗位信息'!I:I,'1-2 人员岗位信息'!$C:$C,"专业外包",'1-2 人员岗位信息'!$B:$B,$D83)</f>
        <v>0</v>
      </c>
      <c r="AN83" s="298"/>
      <c r="AO83" s="175">
        <f t="shared" si="158"/>
        <v>0</v>
      </c>
      <c r="AP83" s="175">
        <f>SUMIFS('1-2 人员岗位信息'!J:J,'1-2 人员岗位信息'!$C:$C,"专业外包",'1-2 人员岗位信息'!$B:$B,$D83)</f>
        <v>0</v>
      </c>
      <c r="AQ83" s="298"/>
      <c r="AR83" s="175">
        <f t="shared" si="159"/>
        <v>0</v>
      </c>
      <c r="AS83" s="175">
        <f>SUMIFS('1-2 人员岗位信息'!K:K,'1-2 人员岗位信息'!$C:$C,"专业外包",'1-2 人员岗位信息'!$B:$B,$D83)</f>
        <v>0</v>
      </c>
      <c r="AT83" s="298"/>
      <c r="AU83" s="175">
        <f t="shared" si="160"/>
        <v>0</v>
      </c>
      <c r="AV83" s="175">
        <f>SUMIFS('1-2 人员岗位信息'!L:L,'1-2 人员岗位信息'!$C:$C,"专业外包",'1-2 人员岗位信息'!$B:$B,$D83)</f>
        <v>0</v>
      </c>
      <c r="AW83" s="298"/>
      <c r="AX83" s="175">
        <f t="shared" si="161"/>
        <v>0</v>
      </c>
      <c r="AY83" s="175">
        <f>SUMIFS('1-2 人员岗位信息'!M:M,'1-2 人员岗位信息'!$C:$C,"专业外包",'1-2 人员岗位信息'!$B:$B,$D83)</f>
        <v>0</v>
      </c>
      <c r="AZ83" s="298"/>
      <c r="BA83" s="175">
        <f t="shared" si="162"/>
        <v>0</v>
      </c>
      <c r="BB83" s="175">
        <f>SUMIFS('1-2 人员岗位信息'!N:N,'1-2 人员岗位信息'!$C:$C,"专业外包",'1-2 人员岗位信息'!$B:$B,$D83)</f>
        <v>0</v>
      </c>
      <c r="BC83" s="298"/>
      <c r="BD83" s="175">
        <f t="shared" si="163"/>
        <v>0</v>
      </c>
      <c r="BE83" s="175">
        <f>SUMIFS('1-2 人员岗位信息'!O:O,'1-2 人员岗位信息'!$C:$C,"专业外包",'1-2 人员岗位信息'!$B:$B,$D83)</f>
        <v>0</v>
      </c>
      <c r="BF83" s="298"/>
      <c r="BG83" s="175">
        <f t="shared" si="164"/>
        <v>0</v>
      </c>
      <c r="BH83" s="175">
        <f>SUMIFS('1-2 人员岗位信息'!P:P,'1-2 人员岗位信息'!$C:$C,"专业外包",'1-2 人员岗位信息'!$B:$B,$D83)</f>
        <v>0</v>
      </c>
      <c r="BI83" s="298"/>
      <c r="BJ83" s="175">
        <f t="shared" si="165"/>
        <v>0</v>
      </c>
      <c r="BK83" s="175">
        <f>SUMIFS('1-2 人员岗位信息'!Q:Q,'1-2 人员岗位信息'!$C:$C,"专业外包",'1-2 人员岗位信息'!$B:$B,$D83)</f>
        <v>0</v>
      </c>
      <c r="BL83" s="307"/>
      <c r="BM83" s="311"/>
      <c r="BN83" s="315"/>
    </row>
    <row r="84" s="263" customFormat="1" ht="33.95" customHeight="1" outlineLevel="5" spans="2:66">
      <c r="B84" s="175" t="s">
        <v>799</v>
      </c>
      <c r="C84" s="283" t="s">
        <v>931</v>
      </c>
      <c r="D84" s="263" t="s">
        <v>894</v>
      </c>
      <c r="E84" s="175" t="s">
        <v>895</v>
      </c>
      <c r="F84" s="175"/>
      <c r="G84" s="175" t="s">
        <v>803</v>
      </c>
      <c r="H84" s="175">
        <f t="shared" si="150"/>
        <v>0</v>
      </c>
      <c r="I84" s="175" t="s">
        <v>804</v>
      </c>
      <c r="J84" s="175" t="e">
        <f t="shared" si="151"/>
        <v>#DIV/0!</v>
      </c>
      <c r="K84" s="175" t="s">
        <v>805</v>
      </c>
      <c r="L84" s="175" t="e">
        <f t="shared" si="152"/>
        <v>#DIV/0!</v>
      </c>
      <c r="M84" s="175" t="s">
        <v>806</v>
      </c>
      <c r="N84" s="175">
        <f t="shared" si="153"/>
        <v>0</v>
      </c>
      <c r="O84" s="175"/>
      <c r="P84" s="290"/>
      <c r="Q84" s="290"/>
      <c r="R84" s="290"/>
      <c r="S84" s="290"/>
      <c r="T84" s="290"/>
      <c r="U84" s="290"/>
      <c r="V84" s="290"/>
      <c r="W84" s="290"/>
      <c r="X84" s="290"/>
      <c r="Y84" s="290"/>
      <c r="Z84" s="290"/>
      <c r="AA84" s="290"/>
      <c r="AB84" s="175">
        <f t="shared" si="166"/>
        <v>0</v>
      </c>
      <c r="AC84" s="175">
        <f t="shared" si="154"/>
        <v>0</v>
      </c>
      <c r="AD84" s="175">
        <f>SUMIFS('1-2 人员岗位信息'!F:F,'1-2 人员岗位信息'!$C:$C,"专业外包",'1-2 人员岗位信息'!$B:$B,$D84)</f>
        <v>0</v>
      </c>
      <c r="AE84" s="298"/>
      <c r="AF84" s="175">
        <f t="shared" si="155"/>
        <v>0</v>
      </c>
      <c r="AG84" s="175">
        <f>SUMIFS('1-2 人员岗位信息'!G:G,'1-2 人员岗位信息'!$C:$C,"专业外包",'1-2 人员岗位信息'!$B:$B,$D84)</f>
        <v>0</v>
      </c>
      <c r="AH84" s="298"/>
      <c r="AI84" s="175">
        <f t="shared" si="156"/>
        <v>0</v>
      </c>
      <c r="AJ84" s="175">
        <f>SUMIFS('1-2 人员岗位信息'!H:H,'1-2 人员岗位信息'!$C:$C,"专业外包",'1-2 人员岗位信息'!$B:$B,$D84)</f>
        <v>0</v>
      </c>
      <c r="AK84" s="298"/>
      <c r="AL84" s="175">
        <f t="shared" si="157"/>
        <v>0</v>
      </c>
      <c r="AM84" s="175">
        <f>SUMIFS('1-2 人员岗位信息'!I:I,'1-2 人员岗位信息'!$C:$C,"专业外包",'1-2 人员岗位信息'!$B:$B,$D84)</f>
        <v>0</v>
      </c>
      <c r="AN84" s="298"/>
      <c r="AO84" s="175">
        <f t="shared" si="158"/>
        <v>0</v>
      </c>
      <c r="AP84" s="175">
        <f>SUMIFS('1-2 人员岗位信息'!J:J,'1-2 人员岗位信息'!$C:$C,"专业外包",'1-2 人员岗位信息'!$B:$B,$D84)</f>
        <v>0</v>
      </c>
      <c r="AQ84" s="298"/>
      <c r="AR84" s="175">
        <f t="shared" si="159"/>
        <v>0</v>
      </c>
      <c r="AS84" s="175">
        <f>SUMIFS('1-2 人员岗位信息'!K:K,'1-2 人员岗位信息'!$C:$C,"专业外包",'1-2 人员岗位信息'!$B:$B,$D84)</f>
        <v>0</v>
      </c>
      <c r="AT84" s="298"/>
      <c r="AU84" s="175">
        <f t="shared" si="160"/>
        <v>0</v>
      </c>
      <c r="AV84" s="175">
        <f>SUMIFS('1-2 人员岗位信息'!L:L,'1-2 人员岗位信息'!$C:$C,"专业外包",'1-2 人员岗位信息'!$B:$B,$D84)</f>
        <v>0</v>
      </c>
      <c r="AW84" s="298"/>
      <c r="AX84" s="175">
        <f t="shared" si="161"/>
        <v>0</v>
      </c>
      <c r="AY84" s="175">
        <f>SUMIFS('1-2 人员岗位信息'!M:M,'1-2 人员岗位信息'!$C:$C,"专业外包",'1-2 人员岗位信息'!$B:$B,$D84)</f>
        <v>0</v>
      </c>
      <c r="AZ84" s="298"/>
      <c r="BA84" s="175">
        <f t="shared" si="162"/>
        <v>0</v>
      </c>
      <c r="BB84" s="175">
        <f>SUMIFS('1-2 人员岗位信息'!N:N,'1-2 人员岗位信息'!$C:$C,"专业外包",'1-2 人员岗位信息'!$B:$B,$D84)</f>
        <v>0</v>
      </c>
      <c r="BC84" s="298"/>
      <c r="BD84" s="175">
        <f t="shared" si="163"/>
        <v>0</v>
      </c>
      <c r="BE84" s="175">
        <f>SUMIFS('1-2 人员岗位信息'!O:O,'1-2 人员岗位信息'!$C:$C,"专业外包",'1-2 人员岗位信息'!$B:$B,$D84)</f>
        <v>0</v>
      </c>
      <c r="BF84" s="298"/>
      <c r="BG84" s="175">
        <f t="shared" si="164"/>
        <v>0</v>
      </c>
      <c r="BH84" s="175">
        <f>SUMIFS('1-2 人员岗位信息'!P:P,'1-2 人员岗位信息'!$C:$C,"专业外包",'1-2 人员岗位信息'!$B:$B,$D84)</f>
        <v>0</v>
      </c>
      <c r="BI84" s="298"/>
      <c r="BJ84" s="175">
        <f t="shared" si="165"/>
        <v>0</v>
      </c>
      <c r="BK84" s="175">
        <f>SUMIFS('1-2 人员岗位信息'!Q:Q,'1-2 人员岗位信息'!$C:$C,"专业外包",'1-2 人员岗位信息'!$B:$B,$D84)</f>
        <v>0</v>
      </c>
      <c r="BL84" s="307"/>
      <c r="BM84" s="311"/>
      <c r="BN84" s="315"/>
    </row>
    <row r="85" s="263" customFormat="1" ht="33.95" customHeight="1" outlineLevel="5" spans="2:66">
      <c r="B85" s="175" t="s">
        <v>799</v>
      </c>
      <c r="C85" s="283" t="s">
        <v>932</v>
      </c>
      <c r="D85" s="263" t="s">
        <v>897</v>
      </c>
      <c r="E85" s="175" t="s">
        <v>898</v>
      </c>
      <c r="F85" s="175"/>
      <c r="G85" s="175" t="s">
        <v>803</v>
      </c>
      <c r="H85" s="175">
        <f t="shared" si="150"/>
        <v>0</v>
      </c>
      <c r="I85" s="175" t="s">
        <v>804</v>
      </c>
      <c r="J85" s="175" t="e">
        <f t="shared" si="151"/>
        <v>#DIV/0!</v>
      </c>
      <c r="K85" s="175" t="s">
        <v>805</v>
      </c>
      <c r="L85" s="175" t="e">
        <f t="shared" si="152"/>
        <v>#DIV/0!</v>
      </c>
      <c r="M85" s="175" t="s">
        <v>806</v>
      </c>
      <c r="N85" s="175">
        <f t="shared" si="153"/>
        <v>0</v>
      </c>
      <c r="O85" s="175"/>
      <c r="P85" s="290"/>
      <c r="Q85" s="290"/>
      <c r="R85" s="290"/>
      <c r="S85" s="290"/>
      <c r="T85" s="290"/>
      <c r="U85" s="290"/>
      <c r="V85" s="290"/>
      <c r="W85" s="290"/>
      <c r="X85" s="290"/>
      <c r="Y85" s="290"/>
      <c r="Z85" s="290"/>
      <c r="AA85" s="290"/>
      <c r="AB85" s="175">
        <f t="shared" si="166"/>
        <v>0</v>
      </c>
      <c r="AC85" s="175">
        <f t="shared" si="154"/>
        <v>0</v>
      </c>
      <c r="AD85" s="175">
        <f>SUMIFS('1-2 人员岗位信息'!F:F,'1-2 人员岗位信息'!$C:$C,"专业外包",'1-2 人员岗位信息'!$B:$B,$D85)</f>
        <v>0</v>
      </c>
      <c r="AE85" s="298"/>
      <c r="AF85" s="175">
        <f t="shared" si="155"/>
        <v>0</v>
      </c>
      <c r="AG85" s="175">
        <f>SUMIFS('1-2 人员岗位信息'!G:G,'1-2 人员岗位信息'!$C:$C,"专业外包",'1-2 人员岗位信息'!$B:$B,$D85)</f>
        <v>0</v>
      </c>
      <c r="AH85" s="298"/>
      <c r="AI85" s="175">
        <f t="shared" si="156"/>
        <v>0</v>
      </c>
      <c r="AJ85" s="175">
        <f>SUMIFS('1-2 人员岗位信息'!H:H,'1-2 人员岗位信息'!$C:$C,"专业外包",'1-2 人员岗位信息'!$B:$B,$D85)</f>
        <v>0</v>
      </c>
      <c r="AK85" s="298"/>
      <c r="AL85" s="175">
        <f t="shared" si="157"/>
        <v>0</v>
      </c>
      <c r="AM85" s="175">
        <f>SUMIFS('1-2 人员岗位信息'!I:I,'1-2 人员岗位信息'!$C:$C,"专业外包",'1-2 人员岗位信息'!$B:$B,$D85)</f>
        <v>0</v>
      </c>
      <c r="AN85" s="298"/>
      <c r="AO85" s="175">
        <f t="shared" si="158"/>
        <v>0</v>
      </c>
      <c r="AP85" s="175">
        <f>SUMIFS('1-2 人员岗位信息'!J:J,'1-2 人员岗位信息'!$C:$C,"专业外包",'1-2 人员岗位信息'!$B:$B,$D85)</f>
        <v>0</v>
      </c>
      <c r="AQ85" s="298"/>
      <c r="AR85" s="175">
        <f t="shared" si="159"/>
        <v>0</v>
      </c>
      <c r="AS85" s="175">
        <f>SUMIFS('1-2 人员岗位信息'!K:K,'1-2 人员岗位信息'!$C:$C,"专业外包",'1-2 人员岗位信息'!$B:$B,$D85)</f>
        <v>0</v>
      </c>
      <c r="AT85" s="298"/>
      <c r="AU85" s="175">
        <f t="shared" si="160"/>
        <v>0</v>
      </c>
      <c r="AV85" s="175">
        <f>SUMIFS('1-2 人员岗位信息'!L:L,'1-2 人员岗位信息'!$C:$C,"专业外包",'1-2 人员岗位信息'!$B:$B,$D85)</f>
        <v>0</v>
      </c>
      <c r="AW85" s="298"/>
      <c r="AX85" s="175">
        <f t="shared" si="161"/>
        <v>0</v>
      </c>
      <c r="AY85" s="175">
        <f>SUMIFS('1-2 人员岗位信息'!M:M,'1-2 人员岗位信息'!$C:$C,"专业外包",'1-2 人员岗位信息'!$B:$B,$D85)</f>
        <v>0</v>
      </c>
      <c r="AZ85" s="298"/>
      <c r="BA85" s="175">
        <f t="shared" si="162"/>
        <v>0</v>
      </c>
      <c r="BB85" s="175">
        <f>SUMIFS('1-2 人员岗位信息'!N:N,'1-2 人员岗位信息'!$C:$C,"专业外包",'1-2 人员岗位信息'!$B:$B,$D85)</f>
        <v>0</v>
      </c>
      <c r="BC85" s="298"/>
      <c r="BD85" s="175">
        <f t="shared" si="163"/>
        <v>0</v>
      </c>
      <c r="BE85" s="175">
        <f>SUMIFS('1-2 人员岗位信息'!O:O,'1-2 人员岗位信息'!$C:$C,"专业外包",'1-2 人员岗位信息'!$B:$B,$D85)</f>
        <v>0</v>
      </c>
      <c r="BF85" s="298"/>
      <c r="BG85" s="175">
        <f t="shared" si="164"/>
        <v>0</v>
      </c>
      <c r="BH85" s="175">
        <f>SUMIFS('1-2 人员岗位信息'!P:P,'1-2 人员岗位信息'!$C:$C,"专业外包",'1-2 人员岗位信息'!$B:$B,$D85)</f>
        <v>0</v>
      </c>
      <c r="BI85" s="298"/>
      <c r="BJ85" s="175">
        <f t="shared" si="165"/>
        <v>0</v>
      </c>
      <c r="BK85" s="175">
        <f>SUMIFS('1-2 人员岗位信息'!Q:Q,'1-2 人员岗位信息'!$C:$C,"专业外包",'1-2 人员岗位信息'!$B:$B,$D85)</f>
        <v>0</v>
      </c>
      <c r="BL85" s="307"/>
      <c r="BM85" s="311"/>
      <c r="BN85" s="315"/>
    </row>
    <row r="86" s="263" customFormat="1" ht="33.95" customHeight="1" outlineLevel="5" spans="2:66">
      <c r="B86" s="175" t="s">
        <v>799</v>
      </c>
      <c r="C86" s="283" t="s">
        <v>933</v>
      </c>
      <c r="D86" s="263" t="s">
        <v>900</v>
      </c>
      <c r="E86" s="175" t="s">
        <v>901</v>
      </c>
      <c r="F86" s="175"/>
      <c r="G86" s="175" t="s">
        <v>803</v>
      </c>
      <c r="H86" s="175">
        <f t="shared" si="150"/>
        <v>0</v>
      </c>
      <c r="I86" s="175" t="s">
        <v>804</v>
      </c>
      <c r="J86" s="175" t="e">
        <f t="shared" si="151"/>
        <v>#DIV/0!</v>
      </c>
      <c r="K86" s="175" t="s">
        <v>805</v>
      </c>
      <c r="L86" s="175" t="e">
        <f t="shared" si="152"/>
        <v>#DIV/0!</v>
      </c>
      <c r="M86" s="175" t="s">
        <v>806</v>
      </c>
      <c r="N86" s="175">
        <f t="shared" si="153"/>
        <v>0</v>
      </c>
      <c r="O86" s="175"/>
      <c r="P86" s="290"/>
      <c r="Q86" s="290"/>
      <c r="R86" s="290"/>
      <c r="S86" s="290"/>
      <c r="T86" s="290"/>
      <c r="U86" s="290"/>
      <c r="V86" s="290"/>
      <c r="W86" s="290"/>
      <c r="X86" s="290"/>
      <c r="Y86" s="290"/>
      <c r="Z86" s="290"/>
      <c r="AA86" s="290"/>
      <c r="AB86" s="175">
        <f t="shared" si="166"/>
        <v>0</v>
      </c>
      <c r="AC86" s="175">
        <f t="shared" si="154"/>
        <v>0</v>
      </c>
      <c r="AD86" s="175">
        <f>SUMIFS('1-2 人员岗位信息'!F:F,'1-2 人员岗位信息'!$C:$C,"专业外包",'1-2 人员岗位信息'!$B:$B,$D86)</f>
        <v>0</v>
      </c>
      <c r="AE86" s="298"/>
      <c r="AF86" s="175">
        <f t="shared" si="155"/>
        <v>0</v>
      </c>
      <c r="AG86" s="175">
        <f>SUMIFS('1-2 人员岗位信息'!G:G,'1-2 人员岗位信息'!$C:$C,"专业外包",'1-2 人员岗位信息'!$B:$B,$D86)</f>
        <v>0</v>
      </c>
      <c r="AH86" s="298"/>
      <c r="AI86" s="175">
        <f t="shared" si="156"/>
        <v>0</v>
      </c>
      <c r="AJ86" s="175">
        <f>SUMIFS('1-2 人员岗位信息'!H:H,'1-2 人员岗位信息'!$C:$C,"专业外包",'1-2 人员岗位信息'!$B:$B,$D86)</f>
        <v>0</v>
      </c>
      <c r="AK86" s="298"/>
      <c r="AL86" s="175">
        <f t="shared" si="157"/>
        <v>0</v>
      </c>
      <c r="AM86" s="175">
        <f>SUMIFS('1-2 人员岗位信息'!I:I,'1-2 人员岗位信息'!$C:$C,"专业外包",'1-2 人员岗位信息'!$B:$B,$D86)</f>
        <v>0</v>
      </c>
      <c r="AN86" s="298"/>
      <c r="AO86" s="175">
        <f t="shared" si="158"/>
        <v>0</v>
      </c>
      <c r="AP86" s="175">
        <f>SUMIFS('1-2 人员岗位信息'!J:J,'1-2 人员岗位信息'!$C:$C,"专业外包",'1-2 人员岗位信息'!$B:$B,$D86)</f>
        <v>0</v>
      </c>
      <c r="AQ86" s="298"/>
      <c r="AR86" s="175">
        <f t="shared" si="159"/>
        <v>0</v>
      </c>
      <c r="AS86" s="175">
        <f>SUMIFS('1-2 人员岗位信息'!K:K,'1-2 人员岗位信息'!$C:$C,"专业外包",'1-2 人员岗位信息'!$B:$B,$D86)</f>
        <v>0</v>
      </c>
      <c r="AT86" s="298"/>
      <c r="AU86" s="175">
        <f t="shared" si="160"/>
        <v>0</v>
      </c>
      <c r="AV86" s="175">
        <f>SUMIFS('1-2 人员岗位信息'!L:L,'1-2 人员岗位信息'!$C:$C,"专业外包",'1-2 人员岗位信息'!$B:$B,$D86)</f>
        <v>0</v>
      </c>
      <c r="AW86" s="298"/>
      <c r="AX86" s="175">
        <f t="shared" si="161"/>
        <v>0</v>
      </c>
      <c r="AY86" s="175">
        <f>SUMIFS('1-2 人员岗位信息'!M:M,'1-2 人员岗位信息'!$C:$C,"专业外包",'1-2 人员岗位信息'!$B:$B,$D86)</f>
        <v>0</v>
      </c>
      <c r="AZ86" s="298"/>
      <c r="BA86" s="175">
        <f t="shared" si="162"/>
        <v>0</v>
      </c>
      <c r="BB86" s="175">
        <f>SUMIFS('1-2 人员岗位信息'!N:N,'1-2 人员岗位信息'!$C:$C,"专业外包",'1-2 人员岗位信息'!$B:$B,$D86)</f>
        <v>0</v>
      </c>
      <c r="BC86" s="298"/>
      <c r="BD86" s="175">
        <f t="shared" si="163"/>
        <v>0</v>
      </c>
      <c r="BE86" s="175">
        <f>SUMIFS('1-2 人员岗位信息'!O:O,'1-2 人员岗位信息'!$C:$C,"专业外包",'1-2 人员岗位信息'!$B:$B,$D86)</f>
        <v>0</v>
      </c>
      <c r="BF86" s="298"/>
      <c r="BG86" s="175">
        <f t="shared" si="164"/>
        <v>0</v>
      </c>
      <c r="BH86" s="175">
        <f>SUMIFS('1-2 人员岗位信息'!P:P,'1-2 人员岗位信息'!$C:$C,"专业外包",'1-2 人员岗位信息'!$B:$B,$D86)</f>
        <v>0</v>
      </c>
      <c r="BI86" s="298"/>
      <c r="BJ86" s="175">
        <f t="shared" si="165"/>
        <v>0</v>
      </c>
      <c r="BK86" s="175">
        <f>SUMIFS('1-2 人员岗位信息'!Q:Q,'1-2 人员岗位信息'!$C:$C,"专业外包",'1-2 人员岗位信息'!$B:$B,$D86)</f>
        <v>0</v>
      </c>
      <c r="BL86" s="307"/>
      <c r="BM86" s="311"/>
      <c r="BN86" s="315"/>
    </row>
    <row r="87" s="263" customFormat="1" ht="33.95" customHeight="1" outlineLevel="5" spans="2:66">
      <c r="B87" s="175" t="s">
        <v>799</v>
      </c>
      <c r="C87" s="283" t="s">
        <v>934</v>
      </c>
      <c r="D87" s="263" t="s">
        <v>903</v>
      </c>
      <c r="E87" s="175" t="s">
        <v>904</v>
      </c>
      <c r="F87" s="175"/>
      <c r="G87" s="175" t="s">
        <v>803</v>
      </c>
      <c r="H87" s="175">
        <f t="shared" si="150"/>
        <v>0</v>
      </c>
      <c r="I87" s="175" t="s">
        <v>804</v>
      </c>
      <c r="J87" s="175" t="e">
        <f t="shared" si="151"/>
        <v>#DIV/0!</v>
      </c>
      <c r="K87" s="175" t="s">
        <v>805</v>
      </c>
      <c r="L87" s="175" t="e">
        <f t="shared" si="152"/>
        <v>#DIV/0!</v>
      </c>
      <c r="M87" s="175" t="s">
        <v>806</v>
      </c>
      <c r="N87" s="175">
        <f t="shared" si="153"/>
        <v>0</v>
      </c>
      <c r="O87" s="175"/>
      <c r="P87" s="290"/>
      <c r="Q87" s="290"/>
      <c r="R87" s="290"/>
      <c r="S87" s="290"/>
      <c r="T87" s="290"/>
      <c r="U87" s="290"/>
      <c r="V87" s="290"/>
      <c r="W87" s="290"/>
      <c r="X87" s="290"/>
      <c r="Y87" s="290"/>
      <c r="Z87" s="290"/>
      <c r="AA87" s="290"/>
      <c r="AB87" s="175">
        <f t="shared" si="166"/>
        <v>0</v>
      </c>
      <c r="AC87" s="175">
        <f t="shared" si="154"/>
        <v>0</v>
      </c>
      <c r="AD87" s="175">
        <f>SUMIFS('1-2 人员岗位信息'!F:F,'1-2 人员岗位信息'!$C:$C,"专业外包",'1-2 人员岗位信息'!$B:$B,$D87)</f>
        <v>0</v>
      </c>
      <c r="AE87" s="298"/>
      <c r="AF87" s="175">
        <f t="shared" si="155"/>
        <v>0</v>
      </c>
      <c r="AG87" s="175">
        <f>SUMIFS('1-2 人员岗位信息'!G:G,'1-2 人员岗位信息'!$C:$C,"专业外包",'1-2 人员岗位信息'!$B:$B,$D87)</f>
        <v>0</v>
      </c>
      <c r="AH87" s="298"/>
      <c r="AI87" s="175">
        <f t="shared" si="156"/>
        <v>0</v>
      </c>
      <c r="AJ87" s="175">
        <f>SUMIFS('1-2 人员岗位信息'!H:H,'1-2 人员岗位信息'!$C:$C,"专业外包",'1-2 人员岗位信息'!$B:$B,$D87)</f>
        <v>0</v>
      </c>
      <c r="AK87" s="298"/>
      <c r="AL87" s="175">
        <f t="shared" si="157"/>
        <v>0</v>
      </c>
      <c r="AM87" s="175">
        <f>SUMIFS('1-2 人员岗位信息'!I:I,'1-2 人员岗位信息'!$C:$C,"专业外包",'1-2 人员岗位信息'!$B:$B,$D87)</f>
        <v>0</v>
      </c>
      <c r="AN87" s="298"/>
      <c r="AO87" s="175">
        <f t="shared" si="158"/>
        <v>0</v>
      </c>
      <c r="AP87" s="175">
        <f>SUMIFS('1-2 人员岗位信息'!J:J,'1-2 人员岗位信息'!$C:$C,"专业外包",'1-2 人员岗位信息'!$B:$B,$D87)</f>
        <v>0</v>
      </c>
      <c r="AQ87" s="298"/>
      <c r="AR87" s="175">
        <f t="shared" si="159"/>
        <v>0</v>
      </c>
      <c r="AS87" s="175">
        <f>SUMIFS('1-2 人员岗位信息'!K:K,'1-2 人员岗位信息'!$C:$C,"专业外包",'1-2 人员岗位信息'!$B:$B,$D87)</f>
        <v>0</v>
      </c>
      <c r="AT87" s="298"/>
      <c r="AU87" s="175">
        <f t="shared" si="160"/>
        <v>0</v>
      </c>
      <c r="AV87" s="175">
        <f>SUMIFS('1-2 人员岗位信息'!L:L,'1-2 人员岗位信息'!$C:$C,"专业外包",'1-2 人员岗位信息'!$B:$B,$D87)</f>
        <v>0</v>
      </c>
      <c r="AW87" s="298"/>
      <c r="AX87" s="175">
        <f t="shared" si="161"/>
        <v>0</v>
      </c>
      <c r="AY87" s="175">
        <f>SUMIFS('1-2 人员岗位信息'!M:M,'1-2 人员岗位信息'!$C:$C,"专业外包",'1-2 人员岗位信息'!$B:$B,$D87)</f>
        <v>0</v>
      </c>
      <c r="AZ87" s="298"/>
      <c r="BA87" s="175">
        <f t="shared" si="162"/>
        <v>0</v>
      </c>
      <c r="BB87" s="175">
        <f>SUMIFS('1-2 人员岗位信息'!N:N,'1-2 人员岗位信息'!$C:$C,"专业外包",'1-2 人员岗位信息'!$B:$B,$D87)</f>
        <v>0</v>
      </c>
      <c r="BC87" s="298"/>
      <c r="BD87" s="175">
        <f t="shared" si="163"/>
        <v>0</v>
      </c>
      <c r="BE87" s="175">
        <f>SUMIFS('1-2 人员岗位信息'!O:O,'1-2 人员岗位信息'!$C:$C,"专业外包",'1-2 人员岗位信息'!$B:$B,$D87)</f>
        <v>0</v>
      </c>
      <c r="BF87" s="298"/>
      <c r="BG87" s="175">
        <f t="shared" si="164"/>
        <v>0</v>
      </c>
      <c r="BH87" s="175">
        <f>SUMIFS('1-2 人员岗位信息'!P:P,'1-2 人员岗位信息'!$C:$C,"专业外包",'1-2 人员岗位信息'!$B:$B,$D87)</f>
        <v>0</v>
      </c>
      <c r="BI87" s="298"/>
      <c r="BJ87" s="175">
        <f t="shared" si="165"/>
        <v>0</v>
      </c>
      <c r="BK87" s="175">
        <f>SUMIFS('1-2 人员岗位信息'!Q:Q,'1-2 人员岗位信息'!$C:$C,"专业外包",'1-2 人员岗位信息'!$B:$B,$D87)</f>
        <v>0</v>
      </c>
      <c r="BL87" s="307"/>
      <c r="BM87" s="311"/>
      <c r="BN87" s="315"/>
    </row>
    <row r="88" s="263" customFormat="1" ht="33.95" customHeight="1" outlineLevel="5" spans="2:66">
      <c r="B88" s="175" t="s">
        <v>799</v>
      </c>
      <c r="C88" s="283" t="s">
        <v>935</v>
      </c>
      <c r="D88" s="263" t="s">
        <v>906</v>
      </c>
      <c r="E88" s="175" t="s">
        <v>907</v>
      </c>
      <c r="F88" s="175"/>
      <c r="G88" s="175" t="s">
        <v>803</v>
      </c>
      <c r="H88" s="175">
        <f t="shared" si="150"/>
        <v>0</v>
      </c>
      <c r="I88" s="175" t="s">
        <v>804</v>
      </c>
      <c r="J88" s="175" t="e">
        <f t="shared" si="151"/>
        <v>#DIV/0!</v>
      </c>
      <c r="K88" s="175" t="s">
        <v>805</v>
      </c>
      <c r="L88" s="175" t="e">
        <f t="shared" si="152"/>
        <v>#DIV/0!</v>
      </c>
      <c r="M88" s="175" t="s">
        <v>806</v>
      </c>
      <c r="N88" s="175">
        <f t="shared" si="153"/>
        <v>0</v>
      </c>
      <c r="O88" s="175"/>
      <c r="P88" s="290"/>
      <c r="Q88" s="290"/>
      <c r="R88" s="290"/>
      <c r="S88" s="290"/>
      <c r="T88" s="290"/>
      <c r="U88" s="290"/>
      <c r="V88" s="290"/>
      <c r="W88" s="290"/>
      <c r="X88" s="290"/>
      <c r="Y88" s="290"/>
      <c r="Z88" s="290"/>
      <c r="AA88" s="290"/>
      <c r="AB88" s="175">
        <f t="shared" si="166"/>
        <v>0</v>
      </c>
      <c r="AC88" s="175">
        <f t="shared" si="154"/>
        <v>0</v>
      </c>
      <c r="AD88" s="175">
        <f>SUMIFS('1-2 人员岗位信息'!F:F,'1-2 人员岗位信息'!$C:$C,"专业外包",'1-2 人员岗位信息'!$B:$B,$D88)</f>
        <v>0</v>
      </c>
      <c r="AE88" s="298"/>
      <c r="AF88" s="175">
        <f t="shared" si="155"/>
        <v>0</v>
      </c>
      <c r="AG88" s="175">
        <f>SUMIFS('1-2 人员岗位信息'!G:G,'1-2 人员岗位信息'!$C:$C,"专业外包",'1-2 人员岗位信息'!$B:$B,$D88)</f>
        <v>0</v>
      </c>
      <c r="AH88" s="298"/>
      <c r="AI88" s="175">
        <f t="shared" si="156"/>
        <v>0</v>
      </c>
      <c r="AJ88" s="175">
        <f>SUMIFS('1-2 人员岗位信息'!H:H,'1-2 人员岗位信息'!$C:$C,"专业外包",'1-2 人员岗位信息'!$B:$B,$D88)</f>
        <v>0</v>
      </c>
      <c r="AK88" s="298"/>
      <c r="AL88" s="175">
        <f t="shared" si="157"/>
        <v>0</v>
      </c>
      <c r="AM88" s="175">
        <f>SUMIFS('1-2 人员岗位信息'!I:I,'1-2 人员岗位信息'!$C:$C,"专业外包",'1-2 人员岗位信息'!$B:$B,$D88)</f>
        <v>0</v>
      </c>
      <c r="AN88" s="298"/>
      <c r="AO88" s="175">
        <f t="shared" si="158"/>
        <v>0</v>
      </c>
      <c r="AP88" s="175">
        <f>SUMIFS('1-2 人员岗位信息'!J:J,'1-2 人员岗位信息'!$C:$C,"专业外包",'1-2 人员岗位信息'!$B:$B,$D88)</f>
        <v>0</v>
      </c>
      <c r="AQ88" s="298"/>
      <c r="AR88" s="175">
        <f t="shared" si="159"/>
        <v>0</v>
      </c>
      <c r="AS88" s="175">
        <f>SUMIFS('1-2 人员岗位信息'!K:K,'1-2 人员岗位信息'!$C:$C,"专业外包",'1-2 人员岗位信息'!$B:$B,$D88)</f>
        <v>0</v>
      </c>
      <c r="AT88" s="298"/>
      <c r="AU88" s="175">
        <f t="shared" si="160"/>
        <v>0</v>
      </c>
      <c r="AV88" s="175">
        <f>SUMIFS('1-2 人员岗位信息'!L:L,'1-2 人员岗位信息'!$C:$C,"专业外包",'1-2 人员岗位信息'!$B:$B,$D88)</f>
        <v>0</v>
      </c>
      <c r="AW88" s="298"/>
      <c r="AX88" s="175">
        <f t="shared" si="161"/>
        <v>0</v>
      </c>
      <c r="AY88" s="175">
        <f>SUMIFS('1-2 人员岗位信息'!M:M,'1-2 人员岗位信息'!$C:$C,"专业外包",'1-2 人员岗位信息'!$B:$B,$D88)</f>
        <v>0</v>
      </c>
      <c r="AZ88" s="298"/>
      <c r="BA88" s="175">
        <f t="shared" si="162"/>
        <v>0</v>
      </c>
      <c r="BB88" s="175">
        <f>SUMIFS('1-2 人员岗位信息'!N:N,'1-2 人员岗位信息'!$C:$C,"专业外包",'1-2 人员岗位信息'!$B:$B,$D88)</f>
        <v>0</v>
      </c>
      <c r="BC88" s="298"/>
      <c r="BD88" s="175">
        <f t="shared" si="163"/>
        <v>0</v>
      </c>
      <c r="BE88" s="175">
        <f>SUMIFS('1-2 人员岗位信息'!O:O,'1-2 人员岗位信息'!$C:$C,"专业外包",'1-2 人员岗位信息'!$B:$B,$D88)</f>
        <v>0</v>
      </c>
      <c r="BF88" s="298"/>
      <c r="BG88" s="175">
        <f t="shared" si="164"/>
        <v>0</v>
      </c>
      <c r="BH88" s="175">
        <f>SUMIFS('1-2 人员岗位信息'!P:P,'1-2 人员岗位信息'!$C:$C,"专业外包",'1-2 人员岗位信息'!$B:$B,$D88)</f>
        <v>0</v>
      </c>
      <c r="BI88" s="298"/>
      <c r="BJ88" s="175">
        <f t="shared" si="165"/>
        <v>0</v>
      </c>
      <c r="BK88" s="175">
        <f>SUMIFS('1-2 人员岗位信息'!Q:Q,'1-2 人员岗位信息'!$C:$C,"专业外包",'1-2 人员岗位信息'!$B:$B,$D88)</f>
        <v>0</v>
      </c>
      <c r="BL88" s="307"/>
      <c r="BM88" s="311"/>
      <c r="BN88" s="315"/>
    </row>
    <row r="89" s="263" customFormat="1" ht="33.95" customHeight="1" outlineLevel="5" spans="2:66">
      <c r="B89" s="175" t="s">
        <v>799</v>
      </c>
      <c r="C89" s="283" t="s">
        <v>936</v>
      </c>
      <c r="D89" s="263" t="s">
        <v>909</v>
      </c>
      <c r="E89" s="175" t="s">
        <v>910</v>
      </c>
      <c r="F89" s="175"/>
      <c r="G89" s="175" t="s">
        <v>803</v>
      </c>
      <c r="H89" s="175">
        <f t="shared" si="150"/>
        <v>0</v>
      </c>
      <c r="I89" s="175" t="s">
        <v>804</v>
      </c>
      <c r="J89" s="175" t="e">
        <f t="shared" si="151"/>
        <v>#DIV/0!</v>
      </c>
      <c r="K89" s="175" t="s">
        <v>805</v>
      </c>
      <c r="L89" s="175" t="e">
        <f t="shared" si="152"/>
        <v>#DIV/0!</v>
      </c>
      <c r="M89" s="175" t="s">
        <v>806</v>
      </c>
      <c r="N89" s="175">
        <f t="shared" si="153"/>
        <v>0</v>
      </c>
      <c r="O89" s="175"/>
      <c r="P89" s="290"/>
      <c r="Q89" s="290"/>
      <c r="R89" s="290"/>
      <c r="S89" s="290"/>
      <c r="T89" s="290"/>
      <c r="U89" s="290"/>
      <c r="V89" s="290"/>
      <c r="W89" s="290"/>
      <c r="X89" s="290"/>
      <c r="Y89" s="290"/>
      <c r="Z89" s="290"/>
      <c r="AA89" s="290"/>
      <c r="AB89" s="175">
        <f t="shared" si="166"/>
        <v>0</v>
      </c>
      <c r="AC89" s="175">
        <f t="shared" si="154"/>
        <v>0</v>
      </c>
      <c r="AD89" s="175">
        <f>SUMIFS('1-2 人员岗位信息'!F:F,'1-2 人员岗位信息'!$C:$C,"专业外包",'1-2 人员岗位信息'!$B:$B,$D89)</f>
        <v>0</v>
      </c>
      <c r="AE89" s="298"/>
      <c r="AF89" s="175">
        <f t="shared" si="155"/>
        <v>0</v>
      </c>
      <c r="AG89" s="175">
        <f>SUMIFS('1-2 人员岗位信息'!G:G,'1-2 人员岗位信息'!$C:$C,"专业外包",'1-2 人员岗位信息'!$B:$B,$D89)</f>
        <v>0</v>
      </c>
      <c r="AH89" s="298"/>
      <c r="AI89" s="175">
        <f t="shared" si="156"/>
        <v>0</v>
      </c>
      <c r="AJ89" s="175">
        <f>SUMIFS('1-2 人员岗位信息'!H:H,'1-2 人员岗位信息'!$C:$C,"专业外包",'1-2 人员岗位信息'!$B:$B,$D89)</f>
        <v>0</v>
      </c>
      <c r="AK89" s="298"/>
      <c r="AL89" s="175">
        <f t="shared" si="157"/>
        <v>0</v>
      </c>
      <c r="AM89" s="175">
        <f>SUMIFS('1-2 人员岗位信息'!I:I,'1-2 人员岗位信息'!$C:$C,"专业外包",'1-2 人员岗位信息'!$B:$B,$D89)</f>
        <v>0</v>
      </c>
      <c r="AN89" s="298"/>
      <c r="AO89" s="175">
        <f t="shared" si="158"/>
        <v>0</v>
      </c>
      <c r="AP89" s="175">
        <f>SUMIFS('1-2 人员岗位信息'!J:J,'1-2 人员岗位信息'!$C:$C,"专业外包",'1-2 人员岗位信息'!$B:$B,$D89)</f>
        <v>0</v>
      </c>
      <c r="AQ89" s="298"/>
      <c r="AR89" s="175">
        <f t="shared" si="159"/>
        <v>0</v>
      </c>
      <c r="AS89" s="175">
        <f>SUMIFS('1-2 人员岗位信息'!K:K,'1-2 人员岗位信息'!$C:$C,"专业外包",'1-2 人员岗位信息'!$B:$B,$D89)</f>
        <v>0</v>
      </c>
      <c r="AT89" s="298"/>
      <c r="AU89" s="175">
        <f t="shared" si="160"/>
        <v>0</v>
      </c>
      <c r="AV89" s="175">
        <f>SUMIFS('1-2 人员岗位信息'!L:L,'1-2 人员岗位信息'!$C:$C,"专业外包",'1-2 人员岗位信息'!$B:$B,$D89)</f>
        <v>0</v>
      </c>
      <c r="AW89" s="298"/>
      <c r="AX89" s="175">
        <f t="shared" si="161"/>
        <v>0</v>
      </c>
      <c r="AY89" s="175">
        <f>SUMIFS('1-2 人员岗位信息'!M:M,'1-2 人员岗位信息'!$C:$C,"专业外包",'1-2 人员岗位信息'!$B:$B,$D89)</f>
        <v>0</v>
      </c>
      <c r="AZ89" s="298"/>
      <c r="BA89" s="175">
        <f t="shared" si="162"/>
        <v>0</v>
      </c>
      <c r="BB89" s="175">
        <f>SUMIFS('1-2 人员岗位信息'!N:N,'1-2 人员岗位信息'!$C:$C,"专业外包",'1-2 人员岗位信息'!$B:$B,$D89)</f>
        <v>0</v>
      </c>
      <c r="BC89" s="298"/>
      <c r="BD89" s="175">
        <f t="shared" si="163"/>
        <v>0</v>
      </c>
      <c r="BE89" s="175">
        <f>SUMIFS('1-2 人员岗位信息'!O:O,'1-2 人员岗位信息'!$C:$C,"专业外包",'1-2 人员岗位信息'!$B:$B,$D89)</f>
        <v>0</v>
      </c>
      <c r="BF89" s="298"/>
      <c r="BG89" s="175">
        <f t="shared" si="164"/>
        <v>0</v>
      </c>
      <c r="BH89" s="175">
        <f>SUMIFS('1-2 人员岗位信息'!P:P,'1-2 人员岗位信息'!$C:$C,"专业外包",'1-2 人员岗位信息'!$B:$B,$D89)</f>
        <v>0</v>
      </c>
      <c r="BI89" s="298"/>
      <c r="BJ89" s="175">
        <f t="shared" si="165"/>
        <v>0</v>
      </c>
      <c r="BK89" s="175">
        <f>SUMIFS('1-2 人员岗位信息'!Q:Q,'1-2 人员岗位信息'!$C:$C,"专业外包",'1-2 人员岗位信息'!$B:$B,$D89)</f>
        <v>0</v>
      </c>
      <c r="BL89" s="307"/>
      <c r="BM89" s="311"/>
      <c r="BN89" s="315"/>
    </row>
    <row r="90" s="263" customFormat="1" ht="33.95" customHeight="1" outlineLevel="5" spans="2:66">
      <c r="B90" s="175" t="s">
        <v>799</v>
      </c>
      <c r="C90" s="283" t="s">
        <v>937</v>
      </c>
      <c r="D90" s="263" t="s">
        <v>912</v>
      </c>
      <c r="E90" s="175" t="s">
        <v>925</v>
      </c>
      <c r="F90" s="175"/>
      <c r="G90" s="175" t="s">
        <v>803</v>
      </c>
      <c r="H90" s="175">
        <f t="shared" si="150"/>
        <v>0</v>
      </c>
      <c r="I90" s="175" t="s">
        <v>804</v>
      </c>
      <c r="J90" s="175" t="e">
        <f t="shared" si="151"/>
        <v>#DIV/0!</v>
      </c>
      <c r="K90" s="175" t="s">
        <v>805</v>
      </c>
      <c r="L90" s="175" t="e">
        <f t="shared" si="152"/>
        <v>#DIV/0!</v>
      </c>
      <c r="M90" s="175" t="s">
        <v>806</v>
      </c>
      <c r="N90" s="175">
        <f t="shared" si="153"/>
        <v>0</v>
      </c>
      <c r="O90" s="175"/>
      <c r="P90" s="290"/>
      <c r="Q90" s="290"/>
      <c r="R90" s="290"/>
      <c r="S90" s="290"/>
      <c r="T90" s="290"/>
      <c r="U90" s="290"/>
      <c r="V90" s="290"/>
      <c r="W90" s="290"/>
      <c r="X90" s="290"/>
      <c r="Y90" s="290"/>
      <c r="Z90" s="290"/>
      <c r="AA90" s="290"/>
      <c r="AB90" s="175">
        <f t="shared" si="166"/>
        <v>0</v>
      </c>
      <c r="AC90" s="175">
        <f t="shared" si="154"/>
        <v>0</v>
      </c>
      <c r="AD90" s="175">
        <f>SUMIFS('1-2 人员岗位信息'!F:F,'1-2 人员岗位信息'!$C:$C,"专业外包",'1-2 人员岗位信息'!$B:$B,$D90)</f>
        <v>0</v>
      </c>
      <c r="AE90" s="298"/>
      <c r="AF90" s="175">
        <f t="shared" si="155"/>
        <v>0</v>
      </c>
      <c r="AG90" s="175">
        <f>SUMIFS('1-2 人员岗位信息'!G:G,'1-2 人员岗位信息'!$C:$C,"专业外包",'1-2 人员岗位信息'!$B:$B,$D90)</f>
        <v>0</v>
      </c>
      <c r="AH90" s="298"/>
      <c r="AI90" s="175">
        <f t="shared" si="156"/>
        <v>0</v>
      </c>
      <c r="AJ90" s="175">
        <f>SUMIFS('1-2 人员岗位信息'!H:H,'1-2 人员岗位信息'!$C:$C,"专业外包",'1-2 人员岗位信息'!$B:$B,$D90)</f>
        <v>0</v>
      </c>
      <c r="AK90" s="298"/>
      <c r="AL90" s="175">
        <f t="shared" si="157"/>
        <v>0</v>
      </c>
      <c r="AM90" s="175">
        <f>SUMIFS('1-2 人员岗位信息'!I:I,'1-2 人员岗位信息'!$C:$C,"专业外包",'1-2 人员岗位信息'!$B:$B,$D90)</f>
        <v>0</v>
      </c>
      <c r="AN90" s="298"/>
      <c r="AO90" s="175">
        <f t="shared" si="158"/>
        <v>0</v>
      </c>
      <c r="AP90" s="175">
        <f>SUMIFS('1-2 人员岗位信息'!J:J,'1-2 人员岗位信息'!$C:$C,"专业外包",'1-2 人员岗位信息'!$B:$B,$D90)</f>
        <v>0</v>
      </c>
      <c r="AQ90" s="298"/>
      <c r="AR90" s="175">
        <f t="shared" si="159"/>
        <v>0</v>
      </c>
      <c r="AS90" s="175">
        <f>SUMIFS('1-2 人员岗位信息'!K:K,'1-2 人员岗位信息'!$C:$C,"专业外包",'1-2 人员岗位信息'!$B:$B,$D90)</f>
        <v>0</v>
      </c>
      <c r="AT90" s="298"/>
      <c r="AU90" s="175">
        <f t="shared" si="160"/>
        <v>0</v>
      </c>
      <c r="AV90" s="175">
        <f>SUMIFS('1-2 人员岗位信息'!L:L,'1-2 人员岗位信息'!$C:$C,"专业外包",'1-2 人员岗位信息'!$B:$B,$D90)</f>
        <v>0</v>
      </c>
      <c r="AW90" s="298"/>
      <c r="AX90" s="175">
        <f t="shared" si="161"/>
        <v>0</v>
      </c>
      <c r="AY90" s="175">
        <f>SUMIFS('1-2 人员岗位信息'!M:M,'1-2 人员岗位信息'!$C:$C,"专业外包",'1-2 人员岗位信息'!$B:$B,$D90)</f>
        <v>0</v>
      </c>
      <c r="AZ90" s="298"/>
      <c r="BA90" s="175">
        <f t="shared" si="162"/>
        <v>0</v>
      </c>
      <c r="BB90" s="175">
        <f>SUMIFS('1-2 人员岗位信息'!N:N,'1-2 人员岗位信息'!$C:$C,"专业外包",'1-2 人员岗位信息'!$B:$B,$D90)</f>
        <v>0</v>
      </c>
      <c r="BC90" s="298"/>
      <c r="BD90" s="175">
        <f t="shared" si="163"/>
        <v>0</v>
      </c>
      <c r="BE90" s="175">
        <f>SUMIFS('1-2 人员岗位信息'!O:O,'1-2 人员岗位信息'!$C:$C,"专业外包",'1-2 人员岗位信息'!$B:$B,$D90)</f>
        <v>0</v>
      </c>
      <c r="BF90" s="298"/>
      <c r="BG90" s="175">
        <f t="shared" si="164"/>
        <v>0</v>
      </c>
      <c r="BH90" s="175">
        <f>SUMIFS('1-2 人员岗位信息'!P:P,'1-2 人员岗位信息'!$C:$C,"专业外包",'1-2 人员岗位信息'!$B:$B,$D90)</f>
        <v>0</v>
      </c>
      <c r="BI90" s="298"/>
      <c r="BJ90" s="175">
        <f t="shared" si="165"/>
        <v>0</v>
      </c>
      <c r="BK90" s="175">
        <f>SUMIFS('1-2 人员岗位信息'!Q:Q,'1-2 人员岗位信息'!$C:$C,"专业外包",'1-2 人员岗位信息'!$B:$B,$D90)</f>
        <v>0</v>
      </c>
      <c r="BL90" s="307"/>
      <c r="BM90" s="311"/>
      <c r="BN90" s="315"/>
    </row>
    <row r="91" s="118" customFormat="1" ht="33.95" customHeight="1" outlineLevel="4" spans="2:66">
      <c r="B91" s="119" t="s">
        <v>794</v>
      </c>
      <c r="C91" s="120" t="s">
        <v>938</v>
      </c>
      <c r="D91" s="118" t="s">
        <v>939</v>
      </c>
      <c r="E91" s="119"/>
      <c r="F91" s="119"/>
      <c r="G91" s="119"/>
      <c r="H91" s="119">
        <f>SUM(H92:H110)</f>
        <v>0</v>
      </c>
      <c r="I91" s="119"/>
      <c r="J91" s="119"/>
      <c r="K91" s="119"/>
      <c r="L91" s="119"/>
      <c r="M91" s="119"/>
      <c r="N91" s="119"/>
      <c r="O91" s="119"/>
      <c r="P91" s="289"/>
      <c r="Q91" s="289"/>
      <c r="R91" s="289"/>
      <c r="S91" s="289"/>
      <c r="T91" s="289"/>
      <c r="U91" s="289"/>
      <c r="V91" s="289"/>
      <c r="W91" s="289"/>
      <c r="X91" s="289"/>
      <c r="Y91" s="289"/>
      <c r="Z91" s="289"/>
      <c r="AA91" s="289"/>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6"/>
      <c r="BM91" s="311"/>
      <c r="BN91" s="314"/>
    </row>
    <row r="92" s="263" customFormat="1" ht="33.95" customHeight="1" outlineLevel="5" spans="2:66">
      <c r="B92" s="175" t="s">
        <v>799</v>
      </c>
      <c r="C92" s="283" t="s">
        <v>940</v>
      </c>
      <c r="D92" s="263" t="s">
        <v>941</v>
      </c>
      <c r="E92" s="175" t="s">
        <v>942</v>
      </c>
      <c r="F92" s="175"/>
      <c r="G92" s="175" t="s">
        <v>943</v>
      </c>
      <c r="H92" s="175">
        <f t="shared" ref="H92:H110" si="168">AB92</f>
        <v>0</v>
      </c>
      <c r="I92" s="175" t="s">
        <v>804</v>
      </c>
      <c r="J92" s="175" t="e">
        <f t="shared" ref="J92:J110" si="169">SUM(AD92,AG92,AJ92,AM92,AP92,AS92,AV92,AY92,BB92,BE92,BH92,BK92)/N92</f>
        <v>#DIV/0!</v>
      </c>
      <c r="K92" s="175" t="s">
        <v>805</v>
      </c>
      <c r="L92" s="175" t="e">
        <f t="shared" ref="L92:L110" si="170">H92/N92/J92</f>
        <v>#DIV/0!</v>
      </c>
      <c r="M92" s="175" t="s">
        <v>806</v>
      </c>
      <c r="N92" s="175">
        <f t="shared" ref="N92:N110" si="171">COUNTIF(AD92,"&gt;0")+COUNTIF(AG92,"&gt;0")+COUNTIF(AJ92,"&gt;0")+COUNTIF(AM92,"&gt;0")+COUNTIF(AP92,"&gt;0")+COUNTIF(AS92,"&gt;0")+COUNTIF(AV92,"&gt;0")+COUNTIF(AY92,"&gt;0")+COUNTIF(BB92,"&gt;0")+COUNTIF(BE92,"&gt;0")+COUNTIF(BH92,"&gt;0")+COUNTIF(BK92,"&gt;0")</f>
        <v>0</v>
      </c>
      <c r="O92" s="175"/>
      <c r="P92" s="290"/>
      <c r="Q92" s="290"/>
      <c r="R92" s="290"/>
      <c r="S92" s="290"/>
      <c r="T92" s="290"/>
      <c r="U92" s="290"/>
      <c r="V92" s="290"/>
      <c r="W92" s="290"/>
      <c r="X92" s="290"/>
      <c r="Y92" s="290"/>
      <c r="Z92" s="290"/>
      <c r="AA92" s="290"/>
      <c r="AB92" s="175">
        <f t="shared" ref="AB92:AB110" si="172">SUM(AC92,AF92,AI92,AL92,AO92,AR92,AU92,AX92,BA92,BD92,BG92,BJ92)</f>
        <v>0</v>
      </c>
      <c r="AC92" s="175">
        <f t="shared" ref="AC92:AC110" si="173">AD92*AE92</f>
        <v>0</v>
      </c>
      <c r="AD92" s="298"/>
      <c r="AE92" s="298"/>
      <c r="AF92" s="175">
        <f t="shared" ref="AF92:AF110" si="174">AG92*AH92</f>
        <v>0</v>
      </c>
      <c r="AG92" s="298"/>
      <c r="AH92" s="298"/>
      <c r="AI92" s="175">
        <f t="shared" ref="AI92:AI110" si="175">AJ92*AK92</f>
        <v>0</v>
      </c>
      <c r="AJ92" s="298"/>
      <c r="AK92" s="298"/>
      <c r="AL92" s="175">
        <f t="shared" ref="AL92:AL110" si="176">AM92*AN92</f>
        <v>0</v>
      </c>
      <c r="AM92" s="298"/>
      <c r="AN92" s="298"/>
      <c r="AO92" s="175">
        <f t="shared" ref="AO92:AO110" si="177">AP92*AQ92</f>
        <v>0</v>
      </c>
      <c r="AP92" s="298"/>
      <c r="AQ92" s="298"/>
      <c r="AR92" s="175">
        <f t="shared" ref="AR92:AR110" si="178">AS92*AT92</f>
        <v>0</v>
      </c>
      <c r="AS92" s="298"/>
      <c r="AT92" s="298"/>
      <c r="AU92" s="175">
        <f t="shared" ref="AU92:AU110" si="179">AV92*AW92</f>
        <v>0</v>
      </c>
      <c r="AV92" s="298"/>
      <c r="AW92" s="298"/>
      <c r="AX92" s="175">
        <f t="shared" ref="AX92:AX110" si="180">AY92*AZ92</f>
        <v>0</v>
      </c>
      <c r="AY92" s="298"/>
      <c r="AZ92" s="298"/>
      <c r="BA92" s="175">
        <f t="shared" ref="BA92:BA110" si="181">BB92*BC92</f>
        <v>0</v>
      </c>
      <c r="BB92" s="298"/>
      <c r="BC92" s="298"/>
      <c r="BD92" s="175">
        <f t="shared" ref="BD92:BD110" si="182">BE92*BF92</f>
        <v>0</v>
      </c>
      <c r="BE92" s="298"/>
      <c r="BF92" s="298"/>
      <c r="BG92" s="175">
        <f t="shared" ref="BG92:BG110" si="183">BH92*BI92</f>
        <v>0</v>
      </c>
      <c r="BH92" s="298"/>
      <c r="BI92" s="298"/>
      <c r="BJ92" s="175">
        <f t="shared" ref="BJ92:BJ110" si="184">BK92*BL92</f>
        <v>0</v>
      </c>
      <c r="BK92" s="298"/>
      <c r="BL92" s="307"/>
      <c r="BM92" s="311"/>
      <c r="BN92" s="315"/>
    </row>
    <row r="93" s="263" customFormat="1" ht="33.95" customHeight="1" outlineLevel="5" spans="2:66">
      <c r="B93" s="175" t="s">
        <v>799</v>
      </c>
      <c r="C93" s="283" t="s">
        <v>944</v>
      </c>
      <c r="D93" s="263" t="s">
        <v>945</v>
      </c>
      <c r="E93" s="175" t="s">
        <v>942</v>
      </c>
      <c r="F93" s="175"/>
      <c r="G93" s="175" t="s">
        <v>943</v>
      </c>
      <c r="H93" s="175">
        <f t="shared" si="168"/>
        <v>0</v>
      </c>
      <c r="I93" s="175" t="s">
        <v>804</v>
      </c>
      <c r="J93" s="175" t="e">
        <f t="shared" si="169"/>
        <v>#DIV/0!</v>
      </c>
      <c r="K93" s="175" t="s">
        <v>805</v>
      </c>
      <c r="L93" s="175" t="e">
        <f t="shared" si="170"/>
        <v>#DIV/0!</v>
      </c>
      <c r="M93" s="175" t="s">
        <v>806</v>
      </c>
      <c r="N93" s="175">
        <f t="shared" si="171"/>
        <v>0</v>
      </c>
      <c r="O93" s="175"/>
      <c r="P93" s="290"/>
      <c r="Q93" s="290"/>
      <c r="R93" s="290"/>
      <c r="S93" s="290"/>
      <c r="T93" s="290"/>
      <c r="U93" s="290"/>
      <c r="V93" s="290"/>
      <c r="W93" s="290"/>
      <c r="X93" s="290"/>
      <c r="Y93" s="290"/>
      <c r="Z93" s="290"/>
      <c r="AA93" s="290"/>
      <c r="AB93" s="175">
        <f t="shared" si="172"/>
        <v>0</v>
      </c>
      <c r="AC93" s="175">
        <f t="shared" si="173"/>
        <v>0</v>
      </c>
      <c r="AD93" s="298"/>
      <c r="AE93" s="298"/>
      <c r="AF93" s="175">
        <f t="shared" si="174"/>
        <v>0</v>
      </c>
      <c r="AG93" s="298"/>
      <c r="AH93" s="298"/>
      <c r="AI93" s="175">
        <f t="shared" si="175"/>
        <v>0</v>
      </c>
      <c r="AJ93" s="298"/>
      <c r="AK93" s="298"/>
      <c r="AL93" s="175">
        <f t="shared" si="176"/>
        <v>0</v>
      </c>
      <c r="AM93" s="298"/>
      <c r="AN93" s="298"/>
      <c r="AO93" s="175">
        <f t="shared" si="177"/>
        <v>0</v>
      </c>
      <c r="AP93" s="298"/>
      <c r="AQ93" s="298"/>
      <c r="AR93" s="175">
        <f t="shared" si="178"/>
        <v>0</v>
      </c>
      <c r="AS93" s="298"/>
      <c r="AT93" s="298"/>
      <c r="AU93" s="175">
        <f t="shared" si="179"/>
        <v>0</v>
      </c>
      <c r="AV93" s="298"/>
      <c r="AW93" s="298"/>
      <c r="AX93" s="175">
        <f t="shared" si="180"/>
        <v>0</v>
      </c>
      <c r="AY93" s="298"/>
      <c r="AZ93" s="298"/>
      <c r="BA93" s="175">
        <f t="shared" si="181"/>
        <v>0</v>
      </c>
      <c r="BB93" s="298"/>
      <c r="BC93" s="298"/>
      <c r="BD93" s="175">
        <f t="shared" si="182"/>
        <v>0</v>
      </c>
      <c r="BE93" s="298"/>
      <c r="BF93" s="298"/>
      <c r="BG93" s="175">
        <f t="shared" si="183"/>
        <v>0</v>
      </c>
      <c r="BH93" s="298"/>
      <c r="BI93" s="298"/>
      <c r="BJ93" s="175">
        <f t="shared" si="184"/>
        <v>0</v>
      </c>
      <c r="BK93" s="298"/>
      <c r="BL93" s="307"/>
      <c r="BM93" s="311"/>
      <c r="BN93" s="315"/>
    </row>
    <row r="94" s="263" customFormat="1" ht="33.95" customHeight="1" outlineLevel="5" spans="2:66">
      <c r="B94" s="175" t="s">
        <v>799</v>
      </c>
      <c r="C94" s="283" t="s">
        <v>946</v>
      </c>
      <c r="D94" s="263" t="s">
        <v>947</v>
      </c>
      <c r="E94" s="175" t="s">
        <v>942</v>
      </c>
      <c r="F94" s="175"/>
      <c r="G94" s="175" t="s">
        <v>943</v>
      </c>
      <c r="H94" s="175">
        <f t="shared" si="168"/>
        <v>0</v>
      </c>
      <c r="I94" s="175" t="s">
        <v>804</v>
      </c>
      <c r="J94" s="175" t="e">
        <f t="shared" si="169"/>
        <v>#DIV/0!</v>
      </c>
      <c r="K94" s="175" t="s">
        <v>805</v>
      </c>
      <c r="L94" s="175" t="e">
        <f t="shared" si="170"/>
        <v>#DIV/0!</v>
      </c>
      <c r="M94" s="175" t="s">
        <v>806</v>
      </c>
      <c r="N94" s="175">
        <f t="shared" si="171"/>
        <v>0</v>
      </c>
      <c r="O94" s="175"/>
      <c r="P94" s="290"/>
      <c r="Q94" s="290"/>
      <c r="R94" s="290"/>
      <c r="S94" s="290"/>
      <c r="T94" s="290"/>
      <c r="U94" s="290"/>
      <c r="V94" s="290"/>
      <c r="W94" s="290"/>
      <c r="X94" s="290"/>
      <c r="Y94" s="290"/>
      <c r="Z94" s="290"/>
      <c r="AA94" s="290"/>
      <c r="AB94" s="175">
        <f t="shared" si="172"/>
        <v>0</v>
      </c>
      <c r="AC94" s="175">
        <f t="shared" si="173"/>
        <v>0</v>
      </c>
      <c r="AD94" s="298"/>
      <c r="AE94" s="298"/>
      <c r="AF94" s="175">
        <f t="shared" si="174"/>
        <v>0</v>
      </c>
      <c r="AG94" s="298"/>
      <c r="AH94" s="298"/>
      <c r="AI94" s="175">
        <f t="shared" si="175"/>
        <v>0</v>
      </c>
      <c r="AJ94" s="298"/>
      <c r="AK94" s="298"/>
      <c r="AL94" s="175">
        <f t="shared" si="176"/>
        <v>0</v>
      </c>
      <c r="AM94" s="298"/>
      <c r="AN94" s="298"/>
      <c r="AO94" s="175">
        <f t="shared" si="177"/>
        <v>0</v>
      </c>
      <c r="AP94" s="298"/>
      <c r="AQ94" s="298"/>
      <c r="AR94" s="175">
        <f t="shared" si="178"/>
        <v>0</v>
      </c>
      <c r="AS94" s="298"/>
      <c r="AT94" s="298"/>
      <c r="AU94" s="175">
        <f t="shared" si="179"/>
        <v>0</v>
      </c>
      <c r="AV94" s="298"/>
      <c r="AW94" s="298"/>
      <c r="AX94" s="175">
        <f t="shared" si="180"/>
        <v>0</v>
      </c>
      <c r="AY94" s="298"/>
      <c r="AZ94" s="298"/>
      <c r="BA94" s="175">
        <f t="shared" si="181"/>
        <v>0</v>
      </c>
      <c r="BB94" s="298"/>
      <c r="BC94" s="298"/>
      <c r="BD94" s="175">
        <f t="shared" si="182"/>
        <v>0</v>
      </c>
      <c r="BE94" s="298"/>
      <c r="BF94" s="298"/>
      <c r="BG94" s="175">
        <f t="shared" si="183"/>
        <v>0</v>
      </c>
      <c r="BH94" s="298"/>
      <c r="BI94" s="298"/>
      <c r="BJ94" s="175">
        <f t="shared" si="184"/>
        <v>0</v>
      </c>
      <c r="BK94" s="298"/>
      <c r="BL94" s="307"/>
      <c r="BM94" s="311"/>
      <c r="BN94" s="315"/>
    </row>
    <row r="95" s="263" customFormat="1" ht="33.95" customHeight="1" outlineLevel="5" spans="2:66">
      <c r="B95" s="175" t="s">
        <v>799</v>
      </c>
      <c r="C95" s="283" t="s">
        <v>948</v>
      </c>
      <c r="D95" s="263" t="s">
        <v>949</v>
      </c>
      <c r="E95" s="175" t="s">
        <v>942</v>
      </c>
      <c r="F95" s="175"/>
      <c r="G95" s="175" t="s">
        <v>943</v>
      </c>
      <c r="H95" s="175">
        <f t="shared" si="168"/>
        <v>0</v>
      </c>
      <c r="I95" s="175" t="s">
        <v>804</v>
      </c>
      <c r="J95" s="175" t="e">
        <f t="shared" si="169"/>
        <v>#DIV/0!</v>
      </c>
      <c r="K95" s="175" t="s">
        <v>805</v>
      </c>
      <c r="L95" s="175" t="e">
        <f t="shared" si="170"/>
        <v>#DIV/0!</v>
      </c>
      <c r="M95" s="175" t="s">
        <v>806</v>
      </c>
      <c r="N95" s="175">
        <f t="shared" si="171"/>
        <v>0</v>
      </c>
      <c r="O95" s="175"/>
      <c r="P95" s="290"/>
      <c r="Q95" s="290"/>
      <c r="R95" s="290"/>
      <c r="S95" s="290"/>
      <c r="T95" s="290"/>
      <c r="U95" s="290"/>
      <c r="V95" s="290"/>
      <c r="W95" s="290"/>
      <c r="X95" s="290"/>
      <c r="Y95" s="290"/>
      <c r="Z95" s="290"/>
      <c r="AA95" s="290"/>
      <c r="AB95" s="175">
        <f t="shared" si="172"/>
        <v>0</v>
      </c>
      <c r="AC95" s="175">
        <f t="shared" si="173"/>
        <v>0</v>
      </c>
      <c r="AD95" s="298"/>
      <c r="AE95" s="298"/>
      <c r="AF95" s="175">
        <f t="shared" si="174"/>
        <v>0</v>
      </c>
      <c r="AG95" s="298"/>
      <c r="AH95" s="298"/>
      <c r="AI95" s="175">
        <f t="shared" si="175"/>
        <v>0</v>
      </c>
      <c r="AJ95" s="298"/>
      <c r="AK95" s="298"/>
      <c r="AL95" s="175">
        <f t="shared" si="176"/>
        <v>0</v>
      </c>
      <c r="AM95" s="298"/>
      <c r="AN95" s="298"/>
      <c r="AO95" s="175">
        <f t="shared" si="177"/>
        <v>0</v>
      </c>
      <c r="AP95" s="298"/>
      <c r="AQ95" s="298"/>
      <c r="AR95" s="175">
        <f t="shared" si="178"/>
        <v>0</v>
      </c>
      <c r="AS95" s="298"/>
      <c r="AT95" s="298"/>
      <c r="AU95" s="175">
        <f t="shared" si="179"/>
        <v>0</v>
      </c>
      <c r="AV95" s="298"/>
      <c r="AW95" s="298"/>
      <c r="AX95" s="175">
        <f t="shared" si="180"/>
        <v>0</v>
      </c>
      <c r="AY95" s="298"/>
      <c r="AZ95" s="298"/>
      <c r="BA95" s="175">
        <f t="shared" si="181"/>
        <v>0</v>
      </c>
      <c r="BB95" s="298"/>
      <c r="BC95" s="298"/>
      <c r="BD95" s="175">
        <f t="shared" si="182"/>
        <v>0</v>
      </c>
      <c r="BE95" s="298"/>
      <c r="BF95" s="298"/>
      <c r="BG95" s="175">
        <f t="shared" si="183"/>
        <v>0</v>
      </c>
      <c r="BH95" s="298"/>
      <c r="BI95" s="298"/>
      <c r="BJ95" s="175">
        <f t="shared" si="184"/>
        <v>0</v>
      </c>
      <c r="BK95" s="298"/>
      <c r="BL95" s="307"/>
      <c r="BM95" s="311"/>
      <c r="BN95" s="315"/>
    </row>
    <row r="96" s="263" customFormat="1" ht="33.95" customHeight="1" outlineLevel="5" spans="2:66">
      <c r="B96" s="175" t="s">
        <v>799</v>
      </c>
      <c r="C96" s="283" t="s">
        <v>950</v>
      </c>
      <c r="D96" s="263" t="s">
        <v>951</v>
      </c>
      <c r="E96" s="175" t="s">
        <v>942</v>
      </c>
      <c r="F96" s="175"/>
      <c r="G96" s="175" t="s">
        <v>943</v>
      </c>
      <c r="H96" s="175">
        <f t="shared" si="168"/>
        <v>0</v>
      </c>
      <c r="I96" s="175" t="s">
        <v>804</v>
      </c>
      <c r="J96" s="175" t="e">
        <f t="shared" si="169"/>
        <v>#DIV/0!</v>
      </c>
      <c r="K96" s="175" t="s">
        <v>805</v>
      </c>
      <c r="L96" s="175" t="e">
        <f t="shared" si="170"/>
        <v>#DIV/0!</v>
      </c>
      <c r="M96" s="175" t="s">
        <v>806</v>
      </c>
      <c r="N96" s="175">
        <f t="shared" si="171"/>
        <v>0</v>
      </c>
      <c r="O96" s="175"/>
      <c r="P96" s="290"/>
      <c r="Q96" s="290"/>
      <c r="R96" s="290"/>
      <c r="S96" s="290"/>
      <c r="T96" s="290"/>
      <c r="U96" s="290"/>
      <c r="V96" s="290"/>
      <c r="W96" s="290"/>
      <c r="X96" s="290"/>
      <c r="Y96" s="290"/>
      <c r="Z96" s="290"/>
      <c r="AA96" s="290"/>
      <c r="AB96" s="175">
        <f t="shared" si="172"/>
        <v>0</v>
      </c>
      <c r="AC96" s="175">
        <f t="shared" si="173"/>
        <v>0</v>
      </c>
      <c r="AD96" s="298"/>
      <c r="AE96" s="298"/>
      <c r="AF96" s="175">
        <f t="shared" si="174"/>
        <v>0</v>
      </c>
      <c r="AG96" s="298"/>
      <c r="AH96" s="298"/>
      <c r="AI96" s="175">
        <f t="shared" si="175"/>
        <v>0</v>
      </c>
      <c r="AJ96" s="298"/>
      <c r="AK96" s="298"/>
      <c r="AL96" s="175">
        <f t="shared" si="176"/>
        <v>0</v>
      </c>
      <c r="AM96" s="298"/>
      <c r="AN96" s="298"/>
      <c r="AO96" s="175">
        <f t="shared" si="177"/>
        <v>0</v>
      </c>
      <c r="AP96" s="298"/>
      <c r="AQ96" s="298"/>
      <c r="AR96" s="175">
        <f t="shared" si="178"/>
        <v>0</v>
      </c>
      <c r="AS96" s="298"/>
      <c r="AT96" s="298"/>
      <c r="AU96" s="175">
        <f t="shared" si="179"/>
        <v>0</v>
      </c>
      <c r="AV96" s="298"/>
      <c r="AW96" s="298"/>
      <c r="AX96" s="175">
        <f t="shared" si="180"/>
        <v>0</v>
      </c>
      <c r="AY96" s="298"/>
      <c r="AZ96" s="298"/>
      <c r="BA96" s="175">
        <f t="shared" si="181"/>
        <v>0</v>
      </c>
      <c r="BB96" s="298"/>
      <c r="BC96" s="298"/>
      <c r="BD96" s="175">
        <f t="shared" si="182"/>
        <v>0</v>
      </c>
      <c r="BE96" s="298"/>
      <c r="BF96" s="298"/>
      <c r="BG96" s="175">
        <f t="shared" si="183"/>
        <v>0</v>
      </c>
      <c r="BH96" s="298"/>
      <c r="BI96" s="298"/>
      <c r="BJ96" s="175">
        <f t="shared" si="184"/>
        <v>0</v>
      </c>
      <c r="BK96" s="298"/>
      <c r="BL96" s="307"/>
      <c r="BM96" s="311"/>
      <c r="BN96" s="315"/>
    </row>
    <row r="97" s="263" customFormat="1" ht="33.95" customHeight="1" outlineLevel="5" spans="2:66">
      <c r="B97" s="175" t="s">
        <v>799</v>
      </c>
      <c r="C97" s="283" t="s">
        <v>952</v>
      </c>
      <c r="D97" s="263" t="s">
        <v>953</v>
      </c>
      <c r="E97" s="175" t="s">
        <v>954</v>
      </c>
      <c r="F97" s="175"/>
      <c r="G97" s="175" t="s">
        <v>943</v>
      </c>
      <c r="H97" s="175">
        <f t="shared" si="168"/>
        <v>0</v>
      </c>
      <c r="I97" s="175" t="s">
        <v>804</v>
      </c>
      <c r="J97" s="175" t="e">
        <f t="shared" si="169"/>
        <v>#DIV/0!</v>
      </c>
      <c r="K97" s="175" t="s">
        <v>805</v>
      </c>
      <c r="L97" s="175" t="e">
        <f t="shared" si="170"/>
        <v>#DIV/0!</v>
      </c>
      <c r="M97" s="175" t="s">
        <v>806</v>
      </c>
      <c r="N97" s="175">
        <f t="shared" si="171"/>
        <v>0</v>
      </c>
      <c r="O97" s="175"/>
      <c r="P97" s="290"/>
      <c r="Q97" s="290"/>
      <c r="R97" s="290"/>
      <c r="S97" s="290"/>
      <c r="T97" s="290"/>
      <c r="U97" s="290"/>
      <c r="V97" s="290"/>
      <c r="W97" s="290"/>
      <c r="X97" s="290"/>
      <c r="Y97" s="290"/>
      <c r="Z97" s="290"/>
      <c r="AA97" s="290"/>
      <c r="AB97" s="175">
        <f t="shared" si="172"/>
        <v>0</v>
      </c>
      <c r="AC97" s="175">
        <f t="shared" si="173"/>
        <v>0</v>
      </c>
      <c r="AD97" s="298"/>
      <c r="AE97" s="298"/>
      <c r="AF97" s="175">
        <f t="shared" si="174"/>
        <v>0</v>
      </c>
      <c r="AG97" s="298"/>
      <c r="AH97" s="298"/>
      <c r="AI97" s="175">
        <f t="shared" si="175"/>
        <v>0</v>
      </c>
      <c r="AJ97" s="298"/>
      <c r="AK97" s="298"/>
      <c r="AL97" s="175">
        <f t="shared" si="176"/>
        <v>0</v>
      </c>
      <c r="AM97" s="298"/>
      <c r="AN97" s="298"/>
      <c r="AO97" s="175">
        <f t="shared" si="177"/>
        <v>0</v>
      </c>
      <c r="AP97" s="298"/>
      <c r="AQ97" s="298"/>
      <c r="AR97" s="175">
        <f t="shared" si="178"/>
        <v>0</v>
      </c>
      <c r="AS97" s="298"/>
      <c r="AT97" s="298"/>
      <c r="AU97" s="175">
        <f t="shared" si="179"/>
        <v>0</v>
      </c>
      <c r="AV97" s="298"/>
      <c r="AW97" s="298"/>
      <c r="AX97" s="175">
        <f t="shared" si="180"/>
        <v>0</v>
      </c>
      <c r="AY97" s="298"/>
      <c r="AZ97" s="298"/>
      <c r="BA97" s="175">
        <f t="shared" si="181"/>
        <v>0</v>
      </c>
      <c r="BB97" s="298"/>
      <c r="BC97" s="298"/>
      <c r="BD97" s="175">
        <f t="shared" si="182"/>
        <v>0</v>
      </c>
      <c r="BE97" s="298"/>
      <c r="BF97" s="298"/>
      <c r="BG97" s="175">
        <f t="shared" si="183"/>
        <v>0</v>
      </c>
      <c r="BH97" s="298"/>
      <c r="BI97" s="298"/>
      <c r="BJ97" s="175">
        <f t="shared" si="184"/>
        <v>0</v>
      </c>
      <c r="BK97" s="298"/>
      <c r="BL97" s="307"/>
      <c r="BM97" s="311"/>
      <c r="BN97" s="315"/>
    </row>
    <row r="98" s="263" customFormat="1" ht="33.95" customHeight="1" outlineLevel="5" spans="2:66">
      <c r="B98" s="175" t="s">
        <v>799</v>
      </c>
      <c r="C98" s="283" t="s">
        <v>955</v>
      </c>
      <c r="D98" s="263" t="s">
        <v>956</v>
      </c>
      <c r="E98" s="175" t="s">
        <v>954</v>
      </c>
      <c r="F98" s="175"/>
      <c r="G98" s="175" t="s">
        <v>943</v>
      </c>
      <c r="H98" s="175">
        <f t="shared" si="168"/>
        <v>0</v>
      </c>
      <c r="I98" s="175" t="s">
        <v>804</v>
      </c>
      <c r="J98" s="175" t="e">
        <f t="shared" si="169"/>
        <v>#DIV/0!</v>
      </c>
      <c r="K98" s="175" t="s">
        <v>805</v>
      </c>
      <c r="L98" s="175" t="e">
        <f t="shared" si="170"/>
        <v>#DIV/0!</v>
      </c>
      <c r="M98" s="175" t="s">
        <v>806</v>
      </c>
      <c r="N98" s="175">
        <f t="shared" si="171"/>
        <v>0</v>
      </c>
      <c r="O98" s="175"/>
      <c r="P98" s="290"/>
      <c r="Q98" s="290"/>
      <c r="R98" s="290"/>
      <c r="S98" s="290"/>
      <c r="T98" s="290"/>
      <c r="U98" s="290"/>
      <c r="V98" s="290"/>
      <c r="W98" s="290"/>
      <c r="X98" s="290"/>
      <c r="Y98" s="290"/>
      <c r="Z98" s="290"/>
      <c r="AA98" s="290"/>
      <c r="AB98" s="175">
        <f t="shared" si="172"/>
        <v>0</v>
      </c>
      <c r="AC98" s="175">
        <f t="shared" si="173"/>
        <v>0</v>
      </c>
      <c r="AD98" s="298"/>
      <c r="AE98" s="298"/>
      <c r="AF98" s="175">
        <f t="shared" si="174"/>
        <v>0</v>
      </c>
      <c r="AG98" s="298"/>
      <c r="AH98" s="298"/>
      <c r="AI98" s="175">
        <f t="shared" si="175"/>
        <v>0</v>
      </c>
      <c r="AJ98" s="298"/>
      <c r="AK98" s="298"/>
      <c r="AL98" s="175">
        <f t="shared" si="176"/>
        <v>0</v>
      </c>
      <c r="AM98" s="298"/>
      <c r="AN98" s="298"/>
      <c r="AO98" s="175">
        <f t="shared" si="177"/>
        <v>0</v>
      </c>
      <c r="AP98" s="298"/>
      <c r="AQ98" s="298"/>
      <c r="AR98" s="175">
        <f t="shared" si="178"/>
        <v>0</v>
      </c>
      <c r="AS98" s="298"/>
      <c r="AT98" s="298"/>
      <c r="AU98" s="175">
        <f t="shared" si="179"/>
        <v>0</v>
      </c>
      <c r="AV98" s="298"/>
      <c r="AW98" s="298"/>
      <c r="AX98" s="175">
        <f t="shared" si="180"/>
        <v>0</v>
      </c>
      <c r="AY98" s="298"/>
      <c r="AZ98" s="298"/>
      <c r="BA98" s="175">
        <f t="shared" si="181"/>
        <v>0</v>
      </c>
      <c r="BB98" s="298"/>
      <c r="BC98" s="298"/>
      <c r="BD98" s="175">
        <f t="shared" si="182"/>
        <v>0</v>
      </c>
      <c r="BE98" s="298"/>
      <c r="BF98" s="298"/>
      <c r="BG98" s="175">
        <f t="shared" si="183"/>
        <v>0</v>
      </c>
      <c r="BH98" s="298"/>
      <c r="BI98" s="298"/>
      <c r="BJ98" s="175">
        <f t="shared" si="184"/>
        <v>0</v>
      </c>
      <c r="BK98" s="298"/>
      <c r="BL98" s="307"/>
      <c r="BM98" s="311"/>
      <c r="BN98" s="315"/>
    </row>
    <row r="99" s="263" customFormat="1" ht="33.95" customHeight="1" outlineLevel="5" spans="2:66">
      <c r="B99" s="175" t="s">
        <v>799</v>
      </c>
      <c r="C99" s="283" t="s">
        <v>957</v>
      </c>
      <c r="D99" s="263" t="s">
        <v>958</v>
      </c>
      <c r="E99" s="175" t="s">
        <v>959</v>
      </c>
      <c r="F99" s="175"/>
      <c r="G99" s="175" t="s">
        <v>943</v>
      </c>
      <c r="H99" s="175">
        <f t="shared" si="168"/>
        <v>0</v>
      </c>
      <c r="I99" s="175" t="s">
        <v>804</v>
      </c>
      <c r="J99" s="175" t="e">
        <f t="shared" si="169"/>
        <v>#DIV/0!</v>
      </c>
      <c r="K99" s="175" t="s">
        <v>805</v>
      </c>
      <c r="L99" s="175" t="e">
        <f t="shared" si="170"/>
        <v>#DIV/0!</v>
      </c>
      <c r="M99" s="175" t="s">
        <v>806</v>
      </c>
      <c r="N99" s="175">
        <f t="shared" si="171"/>
        <v>0</v>
      </c>
      <c r="O99" s="175"/>
      <c r="P99" s="290"/>
      <c r="Q99" s="290"/>
      <c r="R99" s="290"/>
      <c r="S99" s="290"/>
      <c r="T99" s="290"/>
      <c r="U99" s="290"/>
      <c r="V99" s="290"/>
      <c r="W99" s="290"/>
      <c r="X99" s="290"/>
      <c r="Y99" s="290"/>
      <c r="Z99" s="290"/>
      <c r="AA99" s="290"/>
      <c r="AB99" s="175">
        <f t="shared" si="172"/>
        <v>0</v>
      </c>
      <c r="AC99" s="175">
        <f t="shared" si="173"/>
        <v>0</v>
      </c>
      <c r="AD99" s="298"/>
      <c r="AE99" s="298"/>
      <c r="AF99" s="175">
        <f t="shared" si="174"/>
        <v>0</v>
      </c>
      <c r="AG99" s="298"/>
      <c r="AH99" s="298"/>
      <c r="AI99" s="175">
        <f t="shared" si="175"/>
        <v>0</v>
      </c>
      <c r="AJ99" s="298"/>
      <c r="AK99" s="298"/>
      <c r="AL99" s="175">
        <f t="shared" si="176"/>
        <v>0</v>
      </c>
      <c r="AM99" s="298"/>
      <c r="AN99" s="298"/>
      <c r="AO99" s="175">
        <f t="shared" si="177"/>
        <v>0</v>
      </c>
      <c r="AP99" s="298"/>
      <c r="AQ99" s="298"/>
      <c r="AR99" s="175">
        <f t="shared" si="178"/>
        <v>0</v>
      </c>
      <c r="AS99" s="298"/>
      <c r="AT99" s="298"/>
      <c r="AU99" s="175">
        <f t="shared" si="179"/>
        <v>0</v>
      </c>
      <c r="AV99" s="298"/>
      <c r="AW99" s="298"/>
      <c r="AX99" s="175">
        <f t="shared" si="180"/>
        <v>0</v>
      </c>
      <c r="AY99" s="298"/>
      <c r="AZ99" s="298"/>
      <c r="BA99" s="175">
        <f t="shared" si="181"/>
        <v>0</v>
      </c>
      <c r="BB99" s="298"/>
      <c r="BC99" s="298"/>
      <c r="BD99" s="175">
        <f t="shared" si="182"/>
        <v>0</v>
      </c>
      <c r="BE99" s="298"/>
      <c r="BF99" s="298"/>
      <c r="BG99" s="175">
        <f t="shared" si="183"/>
        <v>0</v>
      </c>
      <c r="BH99" s="298"/>
      <c r="BI99" s="298"/>
      <c r="BJ99" s="175">
        <f t="shared" si="184"/>
        <v>0</v>
      </c>
      <c r="BK99" s="298"/>
      <c r="BL99" s="307"/>
      <c r="BM99" s="311"/>
      <c r="BN99" s="315"/>
    </row>
    <row r="100" s="263" customFormat="1" ht="33.95" customHeight="1" outlineLevel="5" spans="2:66">
      <c r="B100" s="175" t="s">
        <v>799</v>
      </c>
      <c r="C100" s="283" t="s">
        <v>960</v>
      </c>
      <c r="D100" s="263" t="s">
        <v>961</v>
      </c>
      <c r="E100" s="175" t="s">
        <v>959</v>
      </c>
      <c r="F100" s="175"/>
      <c r="G100" s="175" t="s">
        <v>943</v>
      </c>
      <c r="H100" s="175">
        <f t="shared" si="168"/>
        <v>0</v>
      </c>
      <c r="I100" s="175" t="s">
        <v>804</v>
      </c>
      <c r="J100" s="175" t="e">
        <f t="shared" si="169"/>
        <v>#DIV/0!</v>
      </c>
      <c r="K100" s="175" t="s">
        <v>805</v>
      </c>
      <c r="L100" s="175" t="e">
        <f t="shared" si="170"/>
        <v>#DIV/0!</v>
      </c>
      <c r="M100" s="175" t="s">
        <v>806</v>
      </c>
      <c r="N100" s="175">
        <f t="shared" si="171"/>
        <v>0</v>
      </c>
      <c r="O100" s="175"/>
      <c r="P100" s="290"/>
      <c r="Q100" s="290"/>
      <c r="R100" s="290"/>
      <c r="S100" s="290"/>
      <c r="T100" s="290"/>
      <c r="U100" s="290"/>
      <c r="V100" s="290"/>
      <c r="W100" s="290"/>
      <c r="X100" s="290"/>
      <c r="Y100" s="290"/>
      <c r="Z100" s="290"/>
      <c r="AA100" s="290"/>
      <c r="AB100" s="175">
        <f t="shared" si="172"/>
        <v>0</v>
      </c>
      <c r="AC100" s="175">
        <f t="shared" si="173"/>
        <v>0</v>
      </c>
      <c r="AD100" s="298"/>
      <c r="AE100" s="298"/>
      <c r="AF100" s="175">
        <f t="shared" si="174"/>
        <v>0</v>
      </c>
      <c r="AG100" s="298"/>
      <c r="AH100" s="298"/>
      <c r="AI100" s="175">
        <f t="shared" si="175"/>
        <v>0</v>
      </c>
      <c r="AJ100" s="298"/>
      <c r="AK100" s="298"/>
      <c r="AL100" s="175">
        <f t="shared" si="176"/>
        <v>0</v>
      </c>
      <c r="AM100" s="298"/>
      <c r="AN100" s="298"/>
      <c r="AO100" s="175">
        <f t="shared" si="177"/>
        <v>0</v>
      </c>
      <c r="AP100" s="298"/>
      <c r="AQ100" s="298"/>
      <c r="AR100" s="175">
        <f t="shared" si="178"/>
        <v>0</v>
      </c>
      <c r="AS100" s="298"/>
      <c r="AT100" s="298"/>
      <c r="AU100" s="175">
        <f t="shared" si="179"/>
        <v>0</v>
      </c>
      <c r="AV100" s="298"/>
      <c r="AW100" s="298"/>
      <c r="AX100" s="175">
        <f t="shared" si="180"/>
        <v>0</v>
      </c>
      <c r="AY100" s="298"/>
      <c r="AZ100" s="298"/>
      <c r="BA100" s="175">
        <f t="shared" si="181"/>
        <v>0</v>
      </c>
      <c r="BB100" s="298"/>
      <c r="BC100" s="298"/>
      <c r="BD100" s="175">
        <f t="shared" si="182"/>
        <v>0</v>
      </c>
      <c r="BE100" s="298"/>
      <c r="BF100" s="298"/>
      <c r="BG100" s="175">
        <f t="shared" si="183"/>
        <v>0</v>
      </c>
      <c r="BH100" s="298"/>
      <c r="BI100" s="298"/>
      <c r="BJ100" s="175">
        <f t="shared" si="184"/>
        <v>0</v>
      </c>
      <c r="BK100" s="298"/>
      <c r="BL100" s="307"/>
      <c r="BM100" s="311"/>
      <c r="BN100" s="315"/>
    </row>
    <row r="101" s="263" customFormat="1" ht="33.95" customHeight="1" outlineLevel="5" spans="2:66">
      <c r="B101" s="175" t="s">
        <v>799</v>
      </c>
      <c r="C101" s="283" t="s">
        <v>962</v>
      </c>
      <c r="D101" s="263" t="s">
        <v>963</v>
      </c>
      <c r="E101" s="175" t="s">
        <v>959</v>
      </c>
      <c r="F101" s="175"/>
      <c r="G101" s="175" t="s">
        <v>943</v>
      </c>
      <c r="H101" s="175">
        <f t="shared" si="168"/>
        <v>0</v>
      </c>
      <c r="I101" s="175" t="s">
        <v>804</v>
      </c>
      <c r="J101" s="175" t="e">
        <f t="shared" si="169"/>
        <v>#DIV/0!</v>
      </c>
      <c r="K101" s="175" t="s">
        <v>805</v>
      </c>
      <c r="L101" s="175" t="e">
        <f t="shared" si="170"/>
        <v>#DIV/0!</v>
      </c>
      <c r="M101" s="175" t="s">
        <v>806</v>
      </c>
      <c r="N101" s="175">
        <f t="shared" si="171"/>
        <v>0</v>
      </c>
      <c r="O101" s="175"/>
      <c r="P101" s="290"/>
      <c r="Q101" s="290"/>
      <c r="R101" s="290"/>
      <c r="S101" s="290"/>
      <c r="T101" s="290"/>
      <c r="U101" s="290"/>
      <c r="V101" s="290"/>
      <c r="W101" s="290"/>
      <c r="X101" s="290"/>
      <c r="Y101" s="290"/>
      <c r="Z101" s="290"/>
      <c r="AA101" s="290"/>
      <c r="AB101" s="175">
        <f t="shared" si="172"/>
        <v>0</v>
      </c>
      <c r="AC101" s="175">
        <f t="shared" si="173"/>
        <v>0</v>
      </c>
      <c r="AD101" s="298"/>
      <c r="AE101" s="298"/>
      <c r="AF101" s="175">
        <f t="shared" si="174"/>
        <v>0</v>
      </c>
      <c r="AG101" s="298"/>
      <c r="AH101" s="298"/>
      <c r="AI101" s="175">
        <f t="shared" si="175"/>
        <v>0</v>
      </c>
      <c r="AJ101" s="298"/>
      <c r="AK101" s="298"/>
      <c r="AL101" s="175">
        <f t="shared" si="176"/>
        <v>0</v>
      </c>
      <c r="AM101" s="298"/>
      <c r="AN101" s="298"/>
      <c r="AO101" s="175">
        <f t="shared" si="177"/>
        <v>0</v>
      </c>
      <c r="AP101" s="298"/>
      <c r="AQ101" s="298"/>
      <c r="AR101" s="175">
        <f t="shared" si="178"/>
        <v>0</v>
      </c>
      <c r="AS101" s="298"/>
      <c r="AT101" s="298"/>
      <c r="AU101" s="175">
        <f t="shared" si="179"/>
        <v>0</v>
      </c>
      <c r="AV101" s="298"/>
      <c r="AW101" s="298"/>
      <c r="AX101" s="175">
        <f t="shared" si="180"/>
        <v>0</v>
      </c>
      <c r="AY101" s="298"/>
      <c r="AZ101" s="298"/>
      <c r="BA101" s="175">
        <f t="shared" si="181"/>
        <v>0</v>
      </c>
      <c r="BB101" s="298"/>
      <c r="BC101" s="298"/>
      <c r="BD101" s="175">
        <f t="shared" si="182"/>
        <v>0</v>
      </c>
      <c r="BE101" s="298"/>
      <c r="BF101" s="298"/>
      <c r="BG101" s="175">
        <f t="shared" si="183"/>
        <v>0</v>
      </c>
      <c r="BH101" s="298"/>
      <c r="BI101" s="298"/>
      <c r="BJ101" s="175">
        <f t="shared" si="184"/>
        <v>0</v>
      </c>
      <c r="BK101" s="298"/>
      <c r="BL101" s="307"/>
      <c r="BM101" s="311"/>
      <c r="BN101" s="315"/>
    </row>
    <row r="102" s="263" customFormat="1" ht="33.95" customHeight="1" outlineLevel="5" spans="2:66">
      <c r="B102" s="175" t="s">
        <v>799</v>
      </c>
      <c r="C102" s="283" t="s">
        <v>964</v>
      </c>
      <c r="D102" s="263" t="s">
        <v>965</v>
      </c>
      <c r="E102" s="175" t="s">
        <v>959</v>
      </c>
      <c r="F102" s="175"/>
      <c r="G102" s="175" t="s">
        <v>943</v>
      </c>
      <c r="H102" s="175">
        <f t="shared" si="168"/>
        <v>0</v>
      </c>
      <c r="I102" s="175" t="s">
        <v>804</v>
      </c>
      <c r="J102" s="175" t="e">
        <f t="shared" si="169"/>
        <v>#DIV/0!</v>
      </c>
      <c r="K102" s="175" t="s">
        <v>805</v>
      </c>
      <c r="L102" s="175" t="e">
        <f t="shared" si="170"/>
        <v>#DIV/0!</v>
      </c>
      <c r="M102" s="175" t="s">
        <v>806</v>
      </c>
      <c r="N102" s="175">
        <f t="shared" si="171"/>
        <v>0</v>
      </c>
      <c r="O102" s="175"/>
      <c r="P102" s="290"/>
      <c r="Q102" s="290"/>
      <c r="R102" s="290"/>
      <c r="S102" s="290"/>
      <c r="T102" s="290"/>
      <c r="U102" s="290"/>
      <c r="V102" s="290"/>
      <c r="W102" s="290"/>
      <c r="X102" s="290"/>
      <c r="Y102" s="290"/>
      <c r="Z102" s="290"/>
      <c r="AA102" s="290"/>
      <c r="AB102" s="175">
        <f t="shared" si="172"/>
        <v>0</v>
      </c>
      <c r="AC102" s="175">
        <f t="shared" si="173"/>
        <v>0</v>
      </c>
      <c r="AD102" s="298"/>
      <c r="AE102" s="298"/>
      <c r="AF102" s="175">
        <f t="shared" si="174"/>
        <v>0</v>
      </c>
      <c r="AG102" s="298"/>
      <c r="AH102" s="298"/>
      <c r="AI102" s="175">
        <f t="shared" si="175"/>
        <v>0</v>
      </c>
      <c r="AJ102" s="298"/>
      <c r="AK102" s="298"/>
      <c r="AL102" s="175">
        <f t="shared" si="176"/>
        <v>0</v>
      </c>
      <c r="AM102" s="298"/>
      <c r="AN102" s="298"/>
      <c r="AO102" s="175">
        <f t="shared" si="177"/>
        <v>0</v>
      </c>
      <c r="AP102" s="298"/>
      <c r="AQ102" s="298"/>
      <c r="AR102" s="175">
        <f t="shared" si="178"/>
        <v>0</v>
      </c>
      <c r="AS102" s="298"/>
      <c r="AT102" s="298"/>
      <c r="AU102" s="175">
        <f t="shared" si="179"/>
        <v>0</v>
      </c>
      <c r="AV102" s="298"/>
      <c r="AW102" s="298"/>
      <c r="AX102" s="175">
        <f t="shared" si="180"/>
        <v>0</v>
      </c>
      <c r="AY102" s="298"/>
      <c r="AZ102" s="298"/>
      <c r="BA102" s="175">
        <f t="shared" si="181"/>
        <v>0</v>
      </c>
      <c r="BB102" s="298"/>
      <c r="BC102" s="298"/>
      <c r="BD102" s="175">
        <f t="shared" si="182"/>
        <v>0</v>
      </c>
      <c r="BE102" s="298"/>
      <c r="BF102" s="298"/>
      <c r="BG102" s="175">
        <f t="shared" si="183"/>
        <v>0</v>
      </c>
      <c r="BH102" s="298"/>
      <c r="BI102" s="298"/>
      <c r="BJ102" s="175">
        <f t="shared" si="184"/>
        <v>0</v>
      </c>
      <c r="BK102" s="298"/>
      <c r="BL102" s="307"/>
      <c r="BM102" s="311"/>
      <c r="BN102" s="315"/>
    </row>
    <row r="103" s="263" customFormat="1" ht="33.95" customHeight="1" outlineLevel="5" spans="2:66">
      <c r="B103" s="175" t="s">
        <v>799</v>
      </c>
      <c r="C103" s="283" t="s">
        <v>966</v>
      </c>
      <c r="D103" s="263" t="s">
        <v>967</v>
      </c>
      <c r="E103" s="175" t="s">
        <v>959</v>
      </c>
      <c r="F103" s="175"/>
      <c r="G103" s="175" t="s">
        <v>943</v>
      </c>
      <c r="H103" s="175">
        <f t="shared" si="168"/>
        <v>0</v>
      </c>
      <c r="I103" s="175" t="s">
        <v>804</v>
      </c>
      <c r="J103" s="175" t="e">
        <f t="shared" si="169"/>
        <v>#DIV/0!</v>
      </c>
      <c r="K103" s="175" t="s">
        <v>805</v>
      </c>
      <c r="L103" s="175" t="e">
        <f t="shared" si="170"/>
        <v>#DIV/0!</v>
      </c>
      <c r="M103" s="175" t="s">
        <v>806</v>
      </c>
      <c r="N103" s="175">
        <f t="shared" si="171"/>
        <v>0</v>
      </c>
      <c r="O103" s="175"/>
      <c r="P103" s="290"/>
      <c r="Q103" s="290"/>
      <c r="R103" s="290"/>
      <c r="S103" s="290"/>
      <c r="T103" s="290"/>
      <c r="U103" s="290"/>
      <c r="V103" s="290"/>
      <c r="W103" s="290"/>
      <c r="X103" s="290"/>
      <c r="Y103" s="290"/>
      <c r="Z103" s="290"/>
      <c r="AA103" s="290"/>
      <c r="AB103" s="175">
        <f t="shared" si="172"/>
        <v>0</v>
      </c>
      <c r="AC103" s="175">
        <f t="shared" si="173"/>
        <v>0</v>
      </c>
      <c r="AD103" s="298"/>
      <c r="AE103" s="298"/>
      <c r="AF103" s="175">
        <f t="shared" si="174"/>
        <v>0</v>
      </c>
      <c r="AG103" s="298"/>
      <c r="AH103" s="298"/>
      <c r="AI103" s="175">
        <f t="shared" si="175"/>
        <v>0</v>
      </c>
      <c r="AJ103" s="298"/>
      <c r="AK103" s="298"/>
      <c r="AL103" s="175">
        <f t="shared" si="176"/>
        <v>0</v>
      </c>
      <c r="AM103" s="298"/>
      <c r="AN103" s="298"/>
      <c r="AO103" s="175">
        <f t="shared" si="177"/>
        <v>0</v>
      </c>
      <c r="AP103" s="298"/>
      <c r="AQ103" s="298"/>
      <c r="AR103" s="175">
        <f t="shared" si="178"/>
        <v>0</v>
      </c>
      <c r="AS103" s="298"/>
      <c r="AT103" s="298"/>
      <c r="AU103" s="175">
        <f t="shared" si="179"/>
        <v>0</v>
      </c>
      <c r="AV103" s="298"/>
      <c r="AW103" s="298"/>
      <c r="AX103" s="175">
        <f t="shared" si="180"/>
        <v>0</v>
      </c>
      <c r="AY103" s="298"/>
      <c r="AZ103" s="298"/>
      <c r="BA103" s="175">
        <f t="shared" si="181"/>
        <v>0</v>
      </c>
      <c r="BB103" s="298"/>
      <c r="BC103" s="298"/>
      <c r="BD103" s="175">
        <f t="shared" si="182"/>
        <v>0</v>
      </c>
      <c r="BE103" s="298"/>
      <c r="BF103" s="298"/>
      <c r="BG103" s="175">
        <f t="shared" si="183"/>
        <v>0</v>
      </c>
      <c r="BH103" s="298"/>
      <c r="BI103" s="298"/>
      <c r="BJ103" s="175">
        <f t="shared" si="184"/>
        <v>0</v>
      </c>
      <c r="BK103" s="298"/>
      <c r="BL103" s="307"/>
      <c r="BM103" s="311"/>
      <c r="BN103" s="315"/>
    </row>
    <row r="104" s="263" customFormat="1" ht="33.95" customHeight="1" outlineLevel="5" spans="2:66">
      <c r="B104" s="175" t="s">
        <v>799</v>
      </c>
      <c r="C104" s="283" t="s">
        <v>968</v>
      </c>
      <c r="D104" s="263" t="s">
        <v>969</v>
      </c>
      <c r="E104" s="175" t="s">
        <v>959</v>
      </c>
      <c r="F104" s="175"/>
      <c r="G104" s="175" t="s">
        <v>943</v>
      </c>
      <c r="H104" s="175">
        <f t="shared" si="168"/>
        <v>0</v>
      </c>
      <c r="I104" s="175" t="s">
        <v>804</v>
      </c>
      <c r="J104" s="175" t="e">
        <f t="shared" si="169"/>
        <v>#DIV/0!</v>
      </c>
      <c r="K104" s="175" t="s">
        <v>805</v>
      </c>
      <c r="L104" s="175" t="e">
        <f t="shared" si="170"/>
        <v>#DIV/0!</v>
      </c>
      <c r="M104" s="175" t="s">
        <v>806</v>
      </c>
      <c r="N104" s="175">
        <f t="shared" si="171"/>
        <v>0</v>
      </c>
      <c r="O104" s="175"/>
      <c r="P104" s="290"/>
      <c r="Q104" s="290"/>
      <c r="R104" s="290"/>
      <c r="S104" s="290"/>
      <c r="T104" s="290"/>
      <c r="U104" s="290"/>
      <c r="V104" s="290"/>
      <c r="W104" s="290"/>
      <c r="X104" s="290"/>
      <c r="Y104" s="290"/>
      <c r="Z104" s="290"/>
      <c r="AA104" s="290"/>
      <c r="AB104" s="175">
        <f t="shared" si="172"/>
        <v>0</v>
      </c>
      <c r="AC104" s="175">
        <f t="shared" si="173"/>
        <v>0</v>
      </c>
      <c r="AD104" s="298"/>
      <c r="AE104" s="298"/>
      <c r="AF104" s="175">
        <f t="shared" si="174"/>
        <v>0</v>
      </c>
      <c r="AG104" s="298"/>
      <c r="AH104" s="298"/>
      <c r="AI104" s="175">
        <f t="shared" si="175"/>
        <v>0</v>
      </c>
      <c r="AJ104" s="298"/>
      <c r="AK104" s="298"/>
      <c r="AL104" s="175">
        <f t="shared" si="176"/>
        <v>0</v>
      </c>
      <c r="AM104" s="298"/>
      <c r="AN104" s="298"/>
      <c r="AO104" s="175">
        <f t="shared" si="177"/>
        <v>0</v>
      </c>
      <c r="AP104" s="298"/>
      <c r="AQ104" s="298"/>
      <c r="AR104" s="175">
        <f t="shared" si="178"/>
        <v>0</v>
      </c>
      <c r="AS104" s="298"/>
      <c r="AT104" s="298"/>
      <c r="AU104" s="175">
        <f t="shared" si="179"/>
        <v>0</v>
      </c>
      <c r="AV104" s="298"/>
      <c r="AW104" s="298"/>
      <c r="AX104" s="175">
        <f t="shared" si="180"/>
        <v>0</v>
      </c>
      <c r="AY104" s="298"/>
      <c r="AZ104" s="298"/>
      <c r="BA104" s="175">
        <f t="shared" si="181"/>
        <v>0</v>
      </c>
      <c r="BB104" s="298"/>
      <c r="BC104" s="298"/>
      <c r="BD104" s="175">
        <f t="shared" si="182"/>
        <v>0</v>
      </c>
      <c r="BE104" s="298"/>
      <c r="BF104" s="298"/>
      <c r="BG104" s="175">
        <f t="shared" si="183"/>
        <v>0</v>
      </c>
      <c r="BH104" s="298"/>
      <c r="BI104" s="298"/>
      <c r="BJ104" s="175">
        <f t="shared" si="184"/>
        <v>0</v>
      </c>
      <c r="BK104" s="298"/>
      <c r="BL104" s="307"/>
      <c r="BM104" s="311"/>
      <c r="BN104" s="315"/>
    </row>
    <row r="105" s="263" customFormat="1" ht="33.95" customHeight="1" outlineLevel="5" spans="2:66">
      <c r="B105" s="175" t="s">
        <v>799</v>
      </c>
      <c r="C105" s="283" t="s">
        <v>970</v>
      </c>
      <c r="D105" s="263" t="s">
        <v>971</v>
      </c>
      <c r="E105" s="175" t="s">
        <v>959</v>
      </c>
      <c r="F105" s="175"/>
      <c r="G105" s="175" t="s">
        <v>943</v>
      </c>
      <c r="H105" s="175">
        <f t="shared" si="168"/>
        <v>0</v>
      </c>
      <c r="I105" s="175" t="s">
        <v>804</v>
      </c>
      <c r="J105" s="175" t="e">
        <f t="shared" si="169"/>
        <v>#DIV/0!</v>
      </c>
      <c r="K105" s="175" t="s">
        <v>805</v>
      </c>
      <c r="L105" s="175" t="e">
        <f t="shared" si="170"/>
        <v>#DIV/0!</v>
      </c>
      <c r="M105" s="175" t="s">
        <v>806</v>
      </c>
      <c r="N105" s="175">
        <f t="shared" si="171"/>
        <v>0</v>
      </c>
      <c r="O105" s="175"/>
      <c r="P105" s="290"/>
      <c r="Q105" s="290"/>
      <c r="R105" s="290"/>
      <c r="S105" s="290"/>
      <c r="T105" s="290"/>
      <c r="U105" s="290"/>
      <c r="V105" s="290"/>
      <c r="W105" s="290"/>
      <c r="X105" s="290"/>
      <c r="Y105" s="290"/>
      <c r="Z105" s="290"/>
      <c r="AA105" s="290"/>
      <c r="AB105" s="175">
        <f t="shared" si="172"/>
        <v>0</v>
      </c>
      <c r="AC105" s="175">
        <f t="shared" si="173"/>
        <v>0</v>
      </c>
      <c r="AD105" s="298"/>
      <c r="AE105" s="298"/>
      <c r="AF105" s="175">
        <f t="shared" si="174"/>
        <v>0</v>
      </c>
      <c r="AG105" s="298"/>
      <c r="AH105" s="298"/>
      <c r="AI105" s="175">
        <f t="shared" si="175"/>
        <v>0</v>
      </c>
      <c r="AJ105" s="298"/>
      <c r="AK105" s="298"/>
      <c r="AL105" s="175">
        <f t="shared" si="176"/>
        <v>0</v>
      </c>
      <c r="AM105" s="298"/>
      <c r="AN105" s="298"/>
      <c r="AO105" s="175">
        <f t="shared" si="177"/>
        <v>0</v>
      </c>
      <c r="AP105" s="298"/>
      <c r="AQ105" s="298"/>
      <c r="AR105" s="175">
        <f t="shared" si="178"/>
        <v>0</v>
      </c>
      <c r="AS105" s="298"/>
      <c r="AT105" s="298"/>
      <c r="AU105" s="175">
        <f t="shared" si="179"/>
        <v>0</v>
      </c>
      <c r="AV105" s="298"/>
      <c r="AW105" s="298"/>
      <c r="AX105" s="175">
        <f t="shared" si="180"/>
        <v>0</v>
      </c>
      <c r="AY105" s="298"/>
      <c r="AZ105" s="298"/>
      <c r="BA105" s="175">
        <f t="shared" si="181"/>
        <v>0</v>
      </c>
      <c r="BB105" s="298"/>
      <c r="BC105" s="298"/>
      <c r="BD105" s="175">
        <f t="shared" si="182"/>
        <v>0</v>
      </c>
      <c r="BE105" s="298"/>
      <c r="BF105" s="298"/>
      <c r="BG105" s="175">
        <f t="shared" si="183"/>
        <v>0</v>
      </c>
      <c r="BH105" s="298"/>
      <c r="BI105" s="298"/>
      <c r="BJ105" s="175">
        <f t="shared" si="184"/>
        <v>0</v>
      </c>
      <c r="BK105" s="298"/>
      <c r="BL105" s="307"/>
      <c r="BM105" s="311"/>
      <c r="BN105" s="315"/>
    </row>
    <row r="106" s="263" customFormat="1" ht="33.95" customHeight="1" outlineLevel="5" spans="2:66">
      <c r="B106" s="175" t="s">
        <v>799</v>
      </c>
      <c r="C106" s="283" t="s">
        <v>972</v>
      </c>
      <c r="D106" s="263" t="s">
        <v>973</v>
      </c>
      <c r="E106" s="175" t="s">
        <v>959</v>
      </c>
      <c r="F106" s="175"/>
      <c r="G106" s="175" t="s">
        <v>943</v>
      </c>
      <c r="H106" s="175">
        <f t="shared" si="168"/>
        <v>0</v>
      </c>
      <c r="I106" s="175" t="s">
        <v>804</v>
      </c>
      <c r="J106" s="175" t="e">
        <f t="shared" si="169"/>
        <v>#DIV/0!</v>
      </c>
      <c r="K106" s="175" t="s">
        <v>805</v>
      </c>
      <c r="L106" s="175" t="e">
        <f t="shared" si="170"/>
        <v>#DIV/0!</v>
      </c>
      <c r="M106" s="175" t="s">
        <v>806</v>
      </c>
      <c r="N106" s="175">
        <f t="shared" si="171"/>
        <v>0</v>
      </c>
      <c r="O106" s="175"/>
      <c r="P106" s="290"/>
      <c r="Q106" s="290"/>
      <c r="R106" s="290"/>
      <c r="S106" s="290"/>
      <c r="T106" s="290"/>
      <c r="U106" s="290"/>
      <c r="V106" s="290"/>
      <c r="W106" s="290"/>
      <c r="X106" s="290"/>
      <c r="Y106" s="290"/>
      <c r="Z106" s="290"/>
      <c r="AA106" s="290"/>
      <c r="AB106" s="175">
        <f t="shared" si="172"/>
        <v>0</v>
      </c>
      <c r="AC106" s="175">
        <f t="shared" si="173"/>
        <v>0</v>
      </c>
      <c r="AD106" s="298"/>
      <c r="AE106" s="298"/>
      <c r="AF106" s="175">
        <f t="shared" si="174"/>
        <v>0</v>
      </c>
      <c r="AG106" s="298"/>
      <c r="AH106" s="298"/>
      <c r="AI106" s="175">
        <f t="shared" si="175"/>
        <v>0</v>
      </c>
      <c r="AJ106" s="298"/>
      <c r="AK106" s="298"/>
      <c r="AL106" s="175">
        <f t="shared" si="176"/>
        <v>0</v>
      </c>
      <c r="AM106" s="298"/>
      <c r="AN106" s="298"/>
      <c r="AO106" s="175">
        <f t="shared" si="177"/>
        <v>0</v>
      </c>
      <c r="AP106" s="298"/>
      <c r="AQ106" s="298"/>
      <c r="AR106" s="175">
        <f t="shared" si="178"/>
        <v>0</v>
      </c>
      <c r="AS106" s="298"/>
      <c r="AT106" s="298"/>
      <c r="AU106" s="175">
        <f t="shared" si="179"/>
        <v>0</v>
      </c>
      <c r="AV106" s="298"/>
      <c r="AW106" s="298"/>
      <c r="AX106" s="175">
        <f t="shared" si="180"/>
        <v>0</v>
      </c>
      <c r="AY106" s="298"/>
      <c r="AZ106" s="298"/>
      <c r="BA106" s="175">
        <f t="shared" si="181"/>
        <v>0</v>
      </c>
      <c r="BB106" s="298"/>
      <c r="BC106" s="298"/>
      <c r="BD106" s="175">
        <f t="shared" si="182"/>
        <v>0</v>
      </c>
      <c r="BE106" s="298"/>
      <c r="BF106" s="298"/>
      <c r="BG106" s="175">
        <f t="shared" si="183"/>
        <v>0</v>
      </c>
      <c r="BH106" s="298"/>
      <c r="BI106" s="298"/>
      <c r="BJ106" s="175">
        <f t="shared" si="184"/>
        <v>0</v>
      </c>
      <c r="BK106" s="298"/>
      <c r="BL106" s="307"/>
      <c r="BM106" s="311"/>
      <c r="BN106" s="315"/>
    </row>
    <row r="107" s="263" customFormat="1" ht="33.95" customHeight="1" outlineLevel="5" spans="2:66">
      <c r="B107" s="175" t="s">
        <v>799</v>
      </c>
      <c r="C107" s="283" t="s">
        <v>974</v>
      </c>
      <c r="D107" s="263" t="s">
        <v>975</v>
      </c>
      <c r="E107" s="175" t="s">
        <v>959</v>
      </c>
      <c r="F107" s="175"/>
      <c r="G107" s="175" t="s">
        <v>943</v>
      </c>
      <c r="H107" s="175">
        <f t="shared" si="168"/>
        <v>0</v>
      </c>
      <c r="I107" s="175" t="s">
        <v>804</v>
      </c>
      <c r="J107" s="175" t="e">
        <f t="shared" si="169"/>
        <v>#DIV/0!</v>
      </c>
      <c r="K107" s="175" t="s">
        <v>805</v>
      </c>
      <c r="L107" s="175" t="e">
        <f t="shared" si="170"/>
        <v>#DIV/0!</v>
      </c>
      <c r="M107" s="175" t="s">
        <v>806</v>
      </c>
      <c r="N107" s="175">
        <f t="shared" si="171"/>
        <v>0</v>
      </c>
      <c r="O107" s="175"/>
      <c r="P107" s="290"/>
      <c r="Q107" s="290"/>
      <c r="R107" s="290"/>
      <c r="S107" s="290"/>
      <c r="T107" s="290"/>
      <c r="U107" s="290"/>
      <c r="V107" s="290"/>
      <c r="W107" s="290"/>
      <c r="X107" s="290"/>
      <c r="Y107" s="290"/>
      <c r="Z107" s="290"/>
      <c r="AA107" s="290"/>
      <c r="AB107" s="175">
        <f t="shared" si="172"/>
        <v>0</v>
      </c>
      <c r="AC107" s="175">
        <f t="shared" si="173"/>
        <v>0</v>
      </c>
      <c r="AD107" s="298"/>
      <c r="AE107" s="298"/>
      <c r="AF107" s="175">
        <f t="shared" si="174"/>
        <v>0</v>
      </c>
      <c r="AG107" s="298"/>
      <c r="AH107" s="298"/>
      <c r="AI107" s="175">
        <f t="shared" si="175"/>
        <v>0</v>
      </c>
      <c r="AJ107" s="298"/>
      <c r="AK107" s="298"/>
      <c r="AL107" s="175">
        <f t="shared" si="176"/>
        <v>0</v>
      </c>
      <c r="AM107" s="298"/>
      <c r="AN107" s="298"/>
      <c r="AO107" s="175">
        <f t="shared" si="177"/>
        <v>0</v>
      </c>
      <c r="AP107" s="298"/>
      <c r="AQ107" s="298"/>
      <c r="AR107" s="175">
        <f t="shared" si="178"/>
        <v>0</v>
      </c>
      <c r="AS107" s="298"/>
      <c r="AT107" s="298"/>
      <c r="AU107" s="175">
        <f t="shared" si="179"/>
        <v>0</v>
      </c>
      <c r="AV107" s="298"/>
      <c r="AW107" s="298"/>
      <c r="AX107" s="175">
        <f t="shared" si="180"/>
        <v>0</v>
      </c>
      <c r="AY107" s="298"/>
      <c r="AZ107" s="298"/>
      <c r="BA107" s="175">
        <f t="shared" si="181"/>
        <v>0</v>
      </c>
      <c r="BB107" s="298"/>
      <c r="BC107" s="298"/>
      <c r="BD107" s="175">
        <f t="shared" si="182"/>
        <v>0</v>
      </c>
      <c r="BE107" s="298"/>
      <c r="BF107" s="298"/>
      <c r="BG107" s="175">
        <f t="shared" si="183"/>
        <v>0</v>
      </c>
      <c r="BH107" s="298"/>
      <c r="BI107" s="298"/>
      <c r="BJ107" s="175">
        <f t="shared" si="184"/>
        <v>0</v>
      </c>
      <c r="BK107" s="298"/>
      <c r="BL107" s="307"/>
      <c r="BM107" s="311"/>
      <c r="BN107" s="315"/>
    </row>
    <row r="108" s="263" customFormat="1" ht="33.95" customHeight="1" outlineLevel="5" spans="2:66">
      <c r="B108" s="175" t="s">
        <v>799</v>
      </c>
      <c r="C108" s="283" t="s">
        <v>976</v>
      </c>
      <c r="D108" s="263" t="s">
        <v>977</v>
      </c>
      <c r="E108" s="175" t="s">
        <v>959</v>
      </c>
      <c r="F108" s="175"/>
      <c r="G108" s="175" t="s">
        <v>943</v>
      </c>
      <c r="H108" s="175">
        <f t="shared" si="168"/>
        <v>0</v>
      </c>
      <c r="I108" s="175" t="s">
        <v>804</v>
      </c>
      <c r="J108" s="175" t="e">
        <f t="shared" si="169"/>
        <v>#DIV/0!</v>
      </c>
      <c r="K108" s="175" t="s">
        <v>805</v>
      </c>
      <c r="L108" s="175" t="e">
        <f t="shared" si="170"/>
        <v>#DIV/0!</v>
      </c>
      <c r="M108" s="175" t="s">
        <v>806</v>
      </c>
      <c r="N108" s="175">
        <f t="shared" si="171"/>
        <v>0</v>
      </c>
      <c r="O108" s="175"/>
      <c r="P108" s="290"/>
      <c r="Q108" s="290"/>
      <c r="R108" s="290"/>
      <c r="S108" s="290"/>
      <c r="T108" s="290"/>
      <c r="U108" s="290"/>
      <c r="V108" s="290"/>
      <c r="W108" s="290"/>
      <c r="X108" s="290"/>
      <c r="Y108" s="290"/>
      <c r="Z108" s="290"/>
      <c r="AA108" s="290"/>
      <c r="AB108" s="175">
        <f t="shared" si="172"/>
        <v>0</v>
      </c>
      <c r="AC108" s="175">
        <f t="shared" si="173"/>
        <v>0</v>
      </c>
      <c r="AD108" s="298"/>
      <c r="AE108" s="298"/>
      <c r="AF108" s="175">
        <f t="shared" si="174"/>
        <v>0</v>
      </c>
      <c r="AG108" s="298"/>
      <c r="AH108" s="298"/>
      <c r="AI108" s="175">
        <f t="shared" si="175"/>
        <v>0</v>
      </c>
      <c r="AJ108" s="298"/>
      <c r="AK108" s="298"/>
      <c r="AL108" s="175">
        <f t="shared" si="176"/>
        <v>0</v>
      </c>
      <c r="AM108" s="298"/>
      <c r="AN108" s="298"/>
      <c r="AO108" s="175">
        <f t="shared" si="177"/>
        <v>0</v>
      </c>
      <c r="AP108" s="298"/>
      <c r="AQ108" s="298"/>
      <c r="AR108" s="175">
        <f t="shared" si="178"/>
        <v>0</v>
      </c>
      <c r="AS108" s="298"/>
      <c r="AT108" s="298"/>
      <c r="AU108" s="175">
        <f t="shared" si="179"/>
        <v>0</v>
      </c>
      <c r="AV108" s="298"/>
      <c r="AW108" s="298"/>
      <c r="AX108" s="175">
        <f t="shared" si="180"/>
        <v>0</v>
      </c>
      <c r="AY108" s="298"/>
      <c r="AZ108" s="298"/>
      <c r="BA108" s="175">
        <f t="shared" si="181"/>
        <v>0</v>
      </c>
      <c r="BB108" s="298"/>
      <c r="BC108" s="298"/>
      <c r="BD108" s="175">
        <f t="shared" si="182"/>
        <v>0</v>
      </c>
      <c r="BE108" s="298"/>
      <c r="BF108" s="298"/>
      <c r="BG108" s="175">
        <f t="shared" si="183"/>
        <v>0</v>
      </c>
      <c r="BH108" s="298"/>
      <c r="BI108" s="298"/>
      <c r="BJ108" s="175">
        <f t="shared" si="184"/>
        <v>0</v>
      </c>
      <c r="BK108" s="298"/>
      <c r="BL108" s="307"/>
      <c r="BM108" s="311"/>
      <c r="BN108" s="315"/>
    </row>
    <row r="109" s="263" customFormat="1" ht="33.95" customHeight="1" outlineLevel="5" spans="2:66">
      <c r="B109" s="175" t="s">
        <v>799</v>
      </c>
      <c r="C109" s="283" t="s">
        <v>978</v>
      </c>
      <c r="D109" s="263" t="s">
        <v>979</v>
      </c>
      <c r="E109" s="175" t="s">
        <v>959</v>
      </c>
      <c r="F109" s="175"/>
      <c r="G109" s="175" t="s">
        <v>943</v>
      </c>
      <c r="H109" s="175">
        <f t="shared" si="168"/>
        <v>0</v>
      </c>
      <c r="I109" s="175" t="s">
        <v>804</v>
      </c>
      <c r="J109" s="175" t="e">
        <f t="shared" si="169"/>
        <v>#DIV/0!</v>
      </c>
      <c r="K109" s="175" t="s">
        <v>805</v>
      </c>
      <c r="L109" s="175" t="e">
        <f t="shared" si="170"/>
        <v>#DIV/0!</v>
      </c>
      <c r="M109" s="175" t="s">
        <v>806</v>
      </c>
      <c r="N109" s="175">
        <f t="shared" si="171"/>
        <v>0</v>
      </c>
      <c r="O109" s="175"/>
      <c r="P109" s="290"/>
      <c r="Q109" s="290"/>
      <c r="R109" s="290"/>
      <c r="S109" s="290"/>
      <c r="T109" s="290"/>
      <c r="U109" s="290"/>
      <c r="V109" s="290"/>
      <c r="W109" s="290"/>
      <c r="X109" s="290"/>
      <c r="Y109" s="290"/>
      <c r="Z109" s="290"/>
      <c r="AA109" s="290"/>
      <c r="AB109" s="175">
        <f t="shared" si="172"/>
        <v>0</v>
      </c>
      <c r="AC109" s="175">
        <f t="shared" si="173"/>
        <v>0</v>
      </c>
      <c r="AD109" s="298"/>
      <c r="AE109" s="298"/>
      <c r="AF109" s="175">
        <f t="shared" si="174"/>
        <v>0</v>
      </c>
      <c r="AG109" s="298"/>
      <c r="AH109" s="298"/>
      <c r="AI109" s="175">
        <f t="shared" si="175"/>
        <v>0</v>
      </c>
      <c r="AJ109" s="298"/>
      <c r="AK109" s="298"/>
      <c r="AL109" s="175">
        <f t="shared" si="176"/>
        <v>0</v>
      </c>
      <c r="AM109" s="298"/>
      <c r="AN109" s="298"/>
      <c r="AO109" s="175">
        <f t="shared" si="177"/>
        <v>0</v>
      </c>
      <c r="AP109" s="298"/>
      <c r="AQ109" s="298"/>
      <c r="AR109" s="175">
        <f t="shared" si="178"/>
        <v>0</v>
      </c>
      <c r="AS109" s="298"/>
      <c r="AT109" s="298"/>
      <c r="AU109" s="175">
        <f t="shared" si="179"/>
        <v>0</v>
      </c>
      <c r="AV109" s="298"/>
      <c r="AW109" s="298"/>
      <c r="AX109" s="175">
        <f t="shared" si="180"/>
        <v>0</v>
      </c>
      <c r="AY109" s="298"/>
      <c r="AZ109" s="298"/>
      <c r="BA109" s="175">
        <f t="shared" si="181"/>
        <v>0</v>
      </c>
      <c r="BB109" s="298"/>
      <c r="BC109" s="298"/>
      <c r="BD109" s="175">
        <f t="shared" si="182"/>
        <v>0</v>
      </c>
      <c r="BE109" s="298"/>
      <c r="BF109" s="298"/>
      <c r="BG109" s="175">
        <f t="shared" si="183"/>
        <v>0</v>
      </c>
      <c r="BH109" s="298"/>
      <c r="BI109" s="298"/>
      <c r="BJ109" s="175">
        <f t="shared" si="184"/>
        <v>0</v>
      </c>
      <c r="BK109" s="298"/>
      <c r="BL109" s="307"/>
      <c r="BM109" s="311"/>
      <c r="BN109" s="315"/>
    </row>
    <row r="110" s="263" customFormat="1" ht="33.95" customHeight="1" outlineLevel="5" spans="2:66">
      <c r="B110" s="175" t="s">
        <v>799</v>
      </c>
      <c r="C110" s="283" t="s">
        <v>980</v>
      </c>
      <c r="D110" s="263" t="s">
        <v>981</v>
      </c>
      <c r="E110" s="175" t="s">
        <v>982</v>
      </c>
      <c r="F110" s="175"/>
      <c r="G110" s="175" t="s">
        <v>943</v>
      </c>
      <c r="H110" s="175">
        <f t="shared" si="168"/>
        <v>0</v>
      </c>
      <c r="I110" s="175" t="s">
        <v>804</v>
      </c>
      <c r="J110" s="175" t="e">
        <f t="shared" si="169"/>
        <v>#DIV/0!</v>
      </c>
      <c r="K110" s="175" t="s">
        <v>805</v>
      </c>
      <c r="L110" s="175" t="e">
        <f t="shared" si="170"/>
        <v>#DIV/0!</v>
      </c>
      <c r="M110" s="175" t="s">
        <v>806</v>
      </c>
      <c r="N110" s="175">
        <f t="shared" si="171"/>
        <v>0</v>
      </c>
      <c r="O110" s="175"/>
      <c r="P110" s="290"/>
      <c r="Q110" s="290"/>
      <c r="R110" s="290"/>
      <c r="S110" s="290"/>
      <c r="T110" s="290"/>
      <c r="U110" s="290"/>
      <c r="V110" s="290"/>
      <c r="W110" s="290"/>
      <c r="X110" s="290"/>
      <c r="Y110" s="290"/>
      <c r="Z110" s="290"/>
      <c r="AA110" s="290"/>
      <c r="AB110" s="175">
        <f t="shared" si="172"/>
        <v>0</v>
      </c>
      <c r="AC110" s="175">
        <f t="shared" si="173"/>
        <v>0</v>
      </c>
      <c r="AD110" s="298"/>
      <c r="AE110" s="298"/>
      <c r="AF110" s="175">
        <f t="shared" si="174"/>
        <v>0</v>
      </c>
      <c r="AG110" s="298"/>
      <c r="AH110" s="298"/>
      <c r="AI110" s="175">
        <f t="shared" si="175"/>
        <v>0</v>
      </c>
      <c r="AJ110" s="298"/>
      <c r="AK110" s="298"/>
      <c r="AL110" s="175">
        <f t="shared" si="176"/>
        <v>0</v>
      </c>
      <c r="AM110" s="298"/>
      <c r="AN110" s="298"/>
      <c r="AO110" s="175">
        <f t="shared" si="177"/>
        <v>0</v>
      </c>
      <c r="AP110" s="298"/>
      <c r="AQ110" s="298"/>
      <c r="AR110" s="175">
        <f t="shared" si="178"/>
        <v>0</v>
      </c>
      <c r="AS110" s="298"/>
      <c r="AT110" s="298"/>
      <c r="AU110" s="175">
        <f t="shared" si="179"/>
        <v>0</v>
      </c>
      <c r="AV110" s="298"/>
      <c r="AW110" s="298"/>
      <c r="AX110" s="175">
        <f t="shared" si="180"/>
        <v>0</v>
      </c>
      <c r="AY110" s="298"/>
      <c r="AZ110" s="298"/>
      <c r="BA110" s="175">
        <f t="shared" si="181"/>
        <v>0</v>
      </c>
      <c r="BB110" s="298"/>
      <c r="BC110" s="298"/>
      <c r="BD110" s="175">
        <f t="shared" si="182"/>
        <v>0</v>
      </c>
      <c r="BE110" s="298"/>
      <c r="BF110" s="298"/>
      <c r="BG110" s="175">
        <f t="shared" si="183"/>
        <v>0</v>
      </c>
      <c r="BH110" s="298"/>
      <c r="BI110" s="298"/>
      <c r="BJ110" s="175">
        <f t="shared" si="184"/>
        <v>0</v>
      </c>
      <c r="BK110" s="298"/>
      <c r="BL110" s="307"/>
      <c r="BM110" s="311"/>
      <c r="BN110" s="315"/>
    </row>
    <row r="111" s="47" customFormat="1" ht="33.95" customHeight="1" outlineLevel="3" spans="2:66">
      <c r="B111" s="115" t="s">
        <v>794</v>
      </c>
      <c r="C111" s="116" t="s">
        <v>983</v>
      </c>
      <c r="D111" s="47" t="s">
        <v>984</v>
      </c>
      <c r="E111" s="115"/>
      <c r="F111" s="115"/>
      <c r="G111" s="115"/>
      <c r="H111" s="115">
        <f>H112+H122+H132+H142</f>
        <v>1996299.5</v>
      </c>
      <c r="I111" s="115"/>
      <c r="J111" s="115"/>
      <c r="K111" s="115"/>
      <c r="L111" s="115"/>
      <c r="M111" s="115"/>
      <c r="N111" s="115"/>
      <c r="O111" s="115"/>
      <c r="P111" s="288"/>
      <c r="Q111" s="288"/>
      <c r="R111" s="288"/>
      <c r="S111" s="288"/>
      <c r="T111" s="288"/>
      <c r="U111" s="288"/>
      <c r="V111" s="288"/>
      <c r="W111" s="288"/>
      <c r="X111" s="288"/>
      <c r="Y111" s="288"/>
      <c r="Z111" s="288"/>
      <c r="AA111" s="288"/>
      <c r="AB111" s="115">
        <f t="shared" ref="AB111:AF111" si="185">AB112+AB122+AB132+AB142</f>
        <v>1996299.5</v>
      </c>
      <c r="AC111" s="115">
        <f t="shared" si="185"/>
        <v>164231</v>
      </c>
      <c r="AD111" s="115"/>
      <c r="AE111" s="115"/>
      <c r="AF111" s="115">
        <f t="shared" si="185"/>
        <v>164231</v>
      </c>
      <c r="AG111" s="115"/>
      <c r="AH111" s="115"/>
      <c r="AI111" s="115">
        <f>AI112+AI122+AI132+AI142</f>
        <v>164231</v>
      </c>
      <c r="AJ111" s="115"/>
      <c r="AK111" s="115"/>
      <c r="AL111" s="115">
        <f>AL112+AL122+AL132+AL142</f>
        <v>164231</v>
      </c>
      <c r="AM111" s="115"/>
      <c r="AN111" s="115"/>
      <c r="AO111" s="115">
        <f>AO112+AO122+AO132+AO142</f>
        <v>164231</v>
      </c>
      <c r="AP111" s="115"/>
      <c r="AQ111" s="115"/>
      <c r="AR111" s="115">
        <f>AR112+AR122+AR132+AR142</f>
        <v>164231</v>
      </c>
      <c r="AS111" s="115"/>
      <c r="AT111" s="115"/>
      <c r="AU111" s="115">
        <f>AU112+AU122+AU132+AU142</f>
        <v>164231</v>
      </c>
      <c r="AV111" s="115"/>
      <c r="AW111" s="115"/>
      <c r="AX111" s="115">
        <f>AX112+AX122+AX132+AX142</f>
        <v>164231</v>
      </c>
      <c r="AY111" s="115"/>
      <c r="AZ111" s="115"/>
      <c r="BA111" s="115">
        <f>BA112+BA122+BA132+BA142</f>
        <v>164231</v>
      </c>
      <c r="BB111" s="115"/>
      <c r="BC111" s="115"/>
      <c r="BD111" s="115">
        <f>BD112+BD122+BD132+BD142</f>
        <v>164231</v>
      </c>
      <c r="BE111" s="115"/>
      <c r="BF111" s="115"/>
      <c r="BG111" s="115">
        <f>BG112+BG122+BG132+BG142</f>
        <v>164231</v>
      </c>
      <c r="BH111" s="115"/>
      <c r="BI111" s="115"/>
      <c r="BJ111" s="115">
        <f>BJ112+BJ122+BJ132+BJ142</f>
        <v>189758.5</v>
      </c>
      <c r="BK111" s="115"/>
      <c r="BL111" s="305"/>
      <c r="BM111" s="311"/>
      <c r="BN111" s="313"/>
    </row>
    <row r="112" s="118" customFormat="1" ht="33.95" customHeight="1" outlineLevel="4" spans="2:66">
      <c r="B112" s="119" t="s">
        <v>794</v>
      </c>
      <c r="C112" s="120" t="s">
        <v>118</v>
      </c>
      <c r="D112" s="118" t="s">
        <v>109</v>
      </c>
      <c r="E112" s="119"/>
      <c r="F112" s="119"/>
      <c r="G112" s="119"/>
      <c r="H112" s="119">
        <f>SUM(H113:H121)</f>
        <v>1996299.5</v>
      </c>
      <c r="I112" s="119"/>
      <c r="J112" s="119"/>
      <c r="K112" s="119"/>
      <c r="L112" s="119"/>
      <c r="M112" s="119"/>
      <c r="N112" s="119"/>
      <c r="O112" s="119"/>
      <c r="P112" s="289"/>
      <c r="Q112" s="289"/>
      <c r="R112" s="289"/>
      <c r="S112" s="289"/>
      <c r="T112" s="289"/>
      <c r="U112" s="289"/>
      <c r="V112" s="289"/>
      <c r="W112" s="289"/>
      <c r="X112" s="289"/>
      <c r="Y112" s="289"/>
      <c r="Z112" s="289"/>
      <c r="AA112" s="289"/>
      <c r="AB112" s="119">
        <f t="shared" ref="AB112:AF112" si="186">SUM(AB113:AB121)</f>
        <v>1996299.5</v>
      </c>
      <c r="AC112" s="119">
        <f t="shared" si="186"/>
        <v>164231</v>
      </c>
      <c r="AD112" s="119"/>
      <c r="AE112" s="119"/>
      <c r="AF112" s="119">
        <f t="shared" si="186"/>
        <v>164231</v>
      </c>
      <c r="AG112" s="119"/>
      <c r="AH112" s="119"/>
      <c r="AI112" s="119">
        <f>SUM(AI113:AI121)</f>
        <v>164231</v>
      </c>
      <c r="AJ112" s="119"/>
      <c r="AK112" s="119"/>
      <c r="AL112" s="119">
        <f>SUM(AL113:AL121)</f>
        <v>164231</v>
      </c>
      <c r="AM112" s="119"/>
      <c r="AN112" s="119"/>
      <c r="AO112" s="119">
        <f>SUM(AO113:AO121)</f>
        <v>164231</v>
      </c>
      <c r="AP112" s="119"/>
      <c r="AQ112" s="119"/>
      <c r="AR112" s="119">
        <f>SUM(AR113:AR121)</f>
        <v>164231</v>
      </c>
      <c r="AS112" s="119"/>
      <c r="AT112" s="119"/>
      <c r="AU112" s="119">
        <f>SUM(AU113:AU121)</f>
        <v>164231</v>
      </c>
      <c r="AV112" s="119"/>
      <c r="AW112" s="119"/>
      <c r="AX112" s="119">
        <f>SUM(AX113:AX121)</f>
        <v>164231</v>
      </c>
      <c r="AY112" s="119"/>
      <c r="AZ112" s="119"/>
      <c r="BA112" s="119">
        <f>SUM(BA113:BA121)</f>
        <v>164231</v>
      </c>
      <c r="BB112" s="119"/>
      <c r="BC112" s="119"/>
      <c r="BD112" s="119">
        <f>SUM(BD113:BD121)</f>
        <v>164231</v>
      </c>
      <c r="BE112" s="119"/>
      <c r="BF112" s="119"/>
      <c r="BG112" s="119">
        <f>SUM(BG113:BG121)</f>
        <v>164231</v>
      </c>
      <c r="BH112" s="119"/>
      <c r="BI112" s="119"/>
      <c r="BJ112" s="119">
        <f>SUM(BJ113:BJ121)</f>
        <v>189758.5</v>
      </c>
      <c r="BK112" s="119"/>
      <c r="BL112" s="306"/>
      <c r="BM112" s="311"/>
      <c r="BN112" s="314"/>
    </row>
    <row r="113" s="263" customFormat="1" ht="33.95" customHeight="1" outlineLevel="5" spans="2:66">
      <c r="B113" s="175" t="s">
        <v>799</v>
      </c>
      <c r="C113" s="283" t="s">
        <v>985</v>
      </c>
      <c r="D113" s="263" t="s">
        <v>986</v>
      </c>
      <c r="E113" s="175" t="s">
        <v>987</v>
      </c>
      <c r="F113" s="175"/>
      <c r="G113" s="175" t="s">
        <v>803</v>
      </c>
      <c r="H113" s="175">
        <f t="shared" ref="H113:H121" si="187">AB113</f>
        <v>1996299.5</v>
      </c>
      <c r="I113" s="175" t="s">
        <v>804</v>
      </c>
      <c r="J113" s="175">
        <f t="shared" ref="J113:J121" si="188">SUM(AD113,AG113,AJ113,AM113,AP113,AS113,AV113,AY113,BB113,BE113,BH113,BK113)/N113</f>
        <v>25</v>
      </c>
      <c r="K113" s="175" t="s">
        <v>805</v>
      </c>
      <c r="L113" s="175">
        <f t="shared" ref="L113:L121" si="189">H113/N113/J113</f>
        <v>6654.33166666667</v>
      </c>
      <c r="M113" s="175" t="s">
        <v>806</v>
      </c>
      <c r="N113" s="175">
        <f t="shared" ref="N113:N121" si="190">COUNTIF(AD113,"&gt;0")+COUNTIF(AG113,"&gt;0")+COUNTIF(AJ113,"&gt;0")+COUNTIF(AM113,"&gt;0")+COUNTIF(AP113,"&gt;0")+COUNTIF(AS113,"&gt;0")+COUNTIF(AV113,"&gt;0")+COUNTIF(AY113,"&gt;0")+COUNTIF(BB113,"&gt;0")+COUNTIF(BE113,"&gt;0")+COUNTIF(BH113,"&gt;0")+COUNTIF(BK113,"&gt;0")</f>
        <v>12</v>
      </c>
      <c r="O113" s="175"/>
      <c r="P113" s="290"/>
      <c r="Q113" s="290"/>
      <c r="R113" s="290"/>
      <c r="S113" s="290"/>
      <c r="T113" s="290"/>
      <c r="U113" s="290"/>
      <c r="V113" s="290"/>
      <c r="W113" s="290"/>
      <c r="X113" s="290"/>
      <c r="Y113" s="290"/>
      <c r="Z113" s="290"/>
      <c r="AA113" s="290"/>
      <c r="AB113" s="175">
        <f t="shared" ref="AB113:AB121" si="191">SUM(AC113,AF113,AI113,AL113,AO113,AR113,AU113,AX113,BA113,BD113,BG113,BJ113)</f>
        <v>1996299.5</v>
      </c>
      <c r="AC113" s="175">
        <f t="shared" ref="AC113:AC121" si="192">AD113*AE113</f>
        <v>164231</v>
      </c>
      <c r="AD113" s="175">
        <f>SUMIFS('1-2 人员岗位信息'!F:F,'1-2 人员岗位信息'!$C:$C,"自有人员",'1-2 人员岗位信息'!$B:$B,$D113)</f>
        <v>25</v>
      </c>
      <c r="AE113" s="298">
        <f>自有人工预算!E25/AD113</f>
        <v>6569.24</v>
      </c>
      <c r="AF113" s="175">
        <f t="shared" ref="AF113:AF121" si="193">AG113*AH113</f>
        <v>164231</v>
      </c>
      <c r="AG113" s="175">
        <f>SUMIFS('1-2 人员岗位信息'!G:G,'1-2 人员岗位信息'!$C:$C,"自有人员",'1-2 人员岗位信息'!$B:$B,$D113)</f>
        <v>25</v>
      </c>
      <c r="AH113" s="298">
        <f>自有人工预算!F25/AG113</f>
        <v>6569.24</v>
      </c>
      <c r="AI113" s="175">
        <f t="shared" ref="AI113:AI121" si="194">AJ113*AK113</f>
        <v>164231</v>
      </c>
      <c r="AJ113" s="175">
        <f>SUMIFS('1-2 人员岗位信息'!H:H,'1-2 人员岗位信息'!$C:$C,"自有人员",'1-2 人员岗位信息'!$B:$B,$D113)</f>
        <v>25</v>
      </c>
      <c r="AK113" s="298">
        <f>自有人工预算!G25/AJ113</f>
        <v>6569.24</v>
      </c>
      <c r="AL113" s="175">
        <f t="shared" ref="AL113:AL121" si="195">AM113*AN113</f>
        <v>164231</v>
      </c>
      <c r="AM113" s="175">
        <f>SUMIFS('1-2 人员岗位信息'!I:I,'1-2 人员岗位信息'!$C:$C,"自有人员",'1-2 人员岗位信息'!$B:$B,$D113)</f>
        <v>25</v>
      </c>
      <c r="AN113" s="298">
        <f>自有人工预算!H25/AM113</f>
        <v>6569.24</v>
      </c>
      <c r="AO113" s="175">
        <f t="shared" ref="AO113:AO121" si="196">AP113*AQ113</f>
        <v>164231</v>
      </c>
      <c r="AP113" s="175">
        <f>SUMIFS('1-2 人员岗位信息'!J:J,'1-2 人员岗位信息'!$C:$C,"自有人员",'1-2 人员岗位信息'!$B:$B,$D113)</f>
        <v>25</v>
      </c>
      <c r="AQ113" s="298">
        <f>自有人工预算!I25/AP113</f>
        <v>6569.24</v>
      </c>
      <c r="AR113" s="175">
        <f t="shared" ref="AR113:AR121" si="197">AS113*AT113</f>
        <v>164231</v>
      </c>
      <c r="AS113" s="175">
        <f>SUMIFS('1-2 人员岗位信息'!K:K,'1-2 人员岗位信息'!$C:$C,"自有人员",'1-2 人员岗位信息'!$B:$B,$D113)</f>
        <v>25</v>
      </c>
      <c r="AT113" s="298">
        <f>自有人工预算!J25/AS113</f>
        <v>6569.24</v>
      </c>
      <c r="AU113" s="175">
        <f t="shared" ref="AU113:AU121" si="198">AV113*AW113</f>
        <v>164231</v>
      </c>
      <c r="AV113" s="175">
        <f>SUMIFS('1-2 人员岗位信息'!L:L,'1-2 人员岗位信息'!$C:$C,"自有人员",'1-2 人员岗位信息'!$B:$B,$D113)</f>
        <v>25</v>
      </c>
      <c r="AW113" s="298">
        <f>自有人工预算!K25/AV113</f>
        <v>6569.24</v>
      </c>
      <c r="AX113" s="175">
        <f t="shared" ref="AX113:AX121" si="199">AY113*AZ113</f>
        <v>164231</v>
      </c>
      <c r="AY113" s="175">
        <f>SUMIFS('1-2 人员岗位信息'!M:M,'1-2 人员岗位信息'!$C:$C,"自有人员",'1-2 人员岗位信息'!$B:$B,$D113)</f>
        <v>25</v>
      </c>
      <c r="AZ113" s="298">
        <f>自有人工预算!L25/AY113</f>
        <v>6569.24</v>
      </c>
      <c r="BA113" s="175">
        <f t="shared" ref="BA113:BA121" si="200">BB113*BC113</f>
        <v>164231</v>
      </c>
      <c r="BB113" s="175">
        <f>SUMIFS('1-2 人员岗位信息'!N:N,'1-2 人员岗位信息'!$C:$C,"自有人员",'1-2 人员岗位信息'!$B:$B,$D113)</f>
        <v>25</v>
      </c>
      <c r="BC113" s="298">
        <f>自有人工预算!M25/BB113</f>
        <v>6569.24</v>
      </c>
      <c r="BD113" s="175">
        <f t="shared" ref="BD113:BD121" si="201">BE113*BF113</f>
        <v>164231</v>
      </c>
      <c r="BE113" s="175">
        <f>SUMIFS('1-2 人员岗位信息'!O:O,'1-2 人员岗位信息'!$C:$C,"自有人员",'1-2 人员岗位信息'!$B:$B,$D113)</f>
        <v>25</v>
      </c>
      <c r="BF113" s="298">
        <f>自有人工预算!N25/BE113</f>
        <v>6569.24</v>
      </c>
      <c r="BG113" s="175">
        <f t="shared" ref="BG113:BG121" si="202">BH113*BI113</f>
        <v>164231</v>
      </c>
      <c r="BH113" s="175">
        <f>SUMIFS('1-2 人员岗位信息'!P:P,'1-2 人员岗位信息'!$C:$C,"自有人员",'1-2 人员岗位信息'!$B:$B,$D113)</f>
        <v>25</v>
      </c>
      <c r="BI113" s="298">
        <f>自有人工预算!O25/BH113</f>
        <v>6569.24</v>
      </c>
      <c r="BJ113" s="175">
        <f t="shared" ref="BJ113:BJ121" si="203">BK113*BL113</f>
        <v>189758.5</v>
      </c>
      <c r="BK113" s="175">
        <f>SUMIFS('1-2 人员岗位信息'!Q:Q,'1-2 人员岗位信息'!$C:$C,"自有人员",'1-2 人员岗位信息'!$B:$B,$D113)</f>
        <v>25</v>
      </c>
      <c r="BL113" s="298">
        <f>自有人工预算!P25/BK113</f>
        <v>7590.34</v>
      </c>
      <c r="BM113" s="311"/>
      <c r="BN113" s="315"/>
    </row>
    <row r="114" s="263" customFormat="1" ht="33.95" customHeight="1" outlineLevel="5" spans="2:66">
      <c r="B114" s="175" t="s">
        <v>799</v>
      </c>
      <c r="C114" s="283" t="s">
        <v>988</v>
      </c>
      <c r="D114" s="263" t="s">
        <v>989</v>
      </c>
      <c r="E114" s="175" t="s">
        <v>990</v>
      </c>
      <c r="F114" s="175"/>
      <c r="G114" s="175" t="s">
        <v>803</v>
      </c>
      <c r="H114" s="175">
        <f t="shared" si="187"/>
        <v>0</v>
      </c>
      <c r="I114" s="175" t="s">
        <v>804</v>
      </c>
      <c r="J114" s="175" t="e">
        <f t="shared" si="188"/>
        <v>#DIV/0!</v>
      </c>
      <c r="K114" s="175" t="s">
        <v>805</v>
      </c>
      <c r="L114" s="175" t="e">
        <f t="shared" si="189"/>
        <v>#DIV/0!</v>
      </c>
      <c r="M114" s="175" t="s">
        <v>806</v>
      </c>
      <c r="N114" s="175">
        <f t="shared" si="190"/>
        <v>0</v>
      </c>
      <c r="O114" s="175"/>
      <c r="P114" s="290"/>
      <c r="Q114" s="290"/>
      <c r="R114" s="290"/>
      <c r="S114" s="290"/>
      <c r="T114" s="290"/>
      <c r="U114" s="290"/>
      <c r="V114" s="290"/>
      <c r="W114" s="290"/>
      <c r="X114" s="290"/>
      <c r="Y114" s="290"/>
      <c r="Z114" s="290"/>
      <c r="AA114" s="290"/>
      <c r="AB114" s="175">
        <f t="shared" si="191"/>
        <v>0</v>
      </c>
      <c r="AC114" s="175">
        <f t="shared" si="192"/>
        <v>0</v>
      </c>
      <c r="AD114" s="175">
        <f>SUMIFS('1-2 人员岗位信息'!F:F,'1-2 人员岗位信息'!$C:$C,"自有人员",'1-2 人员岗位信息'!$B:$B,$D114)</f>
        <v>0</v>
      </c>
      <c r="AE114" s="298"/>
      <c r="AF114" s="175">
        <f t="shared" si="193"/>
        <v>0</v>
      </c>
      <c r="AG114" s="175">
        <f>SUMIFS('1-2 人员岗位信息'!G:G,'1-2 人员岗位信息'!$C:$C,"自有人员",'1-2 人员岗位信息'!$B:$B,$D114)</f>
        <v>0</v>
      </c>
      <c r="AH114" s="298"/>
      <c r="AI114" s="175">
        <f t="shared" si="194"/>
        <v>0</v>
      </c>
      <c r="AJ114" s="175">
        <f>SUMIFS('1-2 人员岗位信息'!H:H,'1-2 人员岗位信息'!$C:$C,"自有人员",'1-2 人员岗位信息'!$B:$B,$D114)</f>
        <v>0</v>
      </c>
      <c r="AK114" s="298"/>
      <c r="AL114" s="175">
        <f t="shared" si="195"/>
        <v>0</v>
      </c>
      <c r="AM114" s="175">
        <f>SUMIFS('1-2 人员岗位信息'!I:I,'1-2 人员岗位信息'!$C:$C,"自有人员",'1-2 人员岗位信息'!$B:$B,$D114)</f>
        <v>0</v>
      </c>
      <c r="AN114" s="298"/>
      <c r="AO114" s="175">
        <f t="shared" si="196"/>
        <v>0</v>
      </c>
      <c r="AP114" s="175">
        <f>SUMIFS('1-2 人员岗位信息'!J:J,'1-2 人员岗位信息'!$C:$C,"自有人员",'1-2 人员岗位信息'!$B:$B,$D114)</f>
        <v>0</v>
      </c>
      <c r="AQ114" s="298"/>
      <c r="AR114" s="175">
        <f t="shared" si="197"/>
        <v>0</v>
      </c>
      <c r="AS114" s="175">
        <f>SUMIFS('1-2 人员岗位信息'!K:K,'1-2 人员岗位信息'!$C:$C,"自有人员",'1-2 人员岗位信息'!$B:$B,$D114)</f>
        <v>0</v>
      </c>
      <c r="AT114" s="298"/>
      <c r="AU114" s="175">
        <f t="shared" si="198"/>
        <v>0</v>
      </c>
      <c r="AV114" s="175">
        <f>SUMIFS('1-2 人员岗位信息'!L:L,'1-2 人员岗位信息'!$C:$C,"自有人员",'1-2 人员岗位信息'!$B:$B,$D114)</f>
        <v>0</v>
      </c>
      <c r="AW114" s="298"/>
      <c r="AX114" s="175">
        <f t="shared" si="199"/>
        <v>0</v>
      </c>
      <c r="AY114" s="175">
        <f>SUMIFS('1-2 人员岗位信息'!M:M,'1-2 人员岗位信息'!$C:$C,"自有人员",'1-2 人员岗位信息'!$B:$B,$D114)</f>
        <v>0</v>
      </c>
      <c r="AZ114" s="298"/>
      <c r="BA114" s="175">
        <f t="shared" si="200"/>
        <v>0</v>
      </c>
      <c r="BB114" s="175">
        <f>SUMIFS('1-2 人员岗位信息'!N:N,'1-2 人员岗位信息'!$C:$C,"自有人员",'1-2 人员岗位信息'!$B:$B,$D114)</f>
        <v>0</v>
      </c>
      <c r="BC114" s="298"/>
      <c r="BD114" s="175">
        <f t="shared" si="201"/>
        <v>0</v>
      </c>
      <c r="BE114" s="175">
        <f>SUMIFS('1-2 人员岗位信息'!O:O,'1-2 人员岗位信息'!$C:$C,"自有人员",'1-2 人员岗位信息'!$B:$B,$D114)</f>
        <v>0</v>
      </c>
      <c r="BF114" s="298"/>
      <c r="BG114" s="175">
        <f t="shared" si="202"/>
        <v>0</v>
      </c>
      <c r="BH114" s="175">
        <f>SUMIFS('1-2 人员岗位信息'!P:P,'1-2 人员岗位信息'!$C:$C,"自有人员",'1-2 人员岗位信息'!$B:$B,$D114)</f>
        <v>0</v>
      </c>
      <c r="BI114" s="298"/>
      <c r="BJ114" s="175">
        <f t="shared" si="203"/>
        <v>0</v>
      </c>
      <c r="BK114" s="175">
        <f>SUMIFS('1-2 人员岗位信息'!Q:Q,'1-2 人员岗位信息'!$C:$C,"自有人员",'1-2 人员岗位信息'!$B:$B,$D114)</f>
        <v>0</v>
      </c>
      <c r="BL114" s="307"/>
      <c r="BM114" s="311"/>
      <c r="BN114" s="315"/>
    </row>
    <row r="115" s="263" customFormat="1" ht="33.95" customHeight="1" outlineLevel="5" spans="2:66">
      <c r="B115" s="175" t="s">
        <v>799</v>
      </c>
      <c r="C115" s="283" t="s">
        <v>991</v>
      </c>
      <c r="D115" s="263" t="s">
        <v>992</v>
      </c>
      <c r="E115" s="175" t="s">
        <v>993</v>
      </c>
      <c r="F115" s="175"/>
      <c r="G115" s="175" t="s">
        <v>803</v>
      </c>
      <c r="H115" s="175">
        <f t="shared" si="187"/>
        <v>0</v>
      </c>
      <c r="I115" s="175" t="s">
        <v>804</v>
      </c>
      <c r="J115" s="175" t="e">
        <f t="shared" si="188"/>
        <v>#DIV/0!</v>
      </c>
      <c r="K115" s="175" t="s">
        <v>805</v>
      </c>
      <c r="L115" s="175" t="e">
        <f t="shared" si="189"/>
        <v>#DIV/0!</v>
      </c>
      <c r="M115" s="175" t="s">
        <v>806</v>
      </c>
      <c r="N115" s="175">
        <f t="shared" si="190"/>
        <v>0</v>
      </c>
      <c r="O115" s="175"/>
      <c r="P115" s="290"/>
      <c r="Q115" s="290"/>
      <c r="R115" s="290"/>
      <c r="S115" s="290"/>
      <c r="T115" s="290"/>
      <c r="U115" s="290"/>
      <c r="V115" s="290"/>
      <c r="W115" s="290"/>
      <c r="X115" s="290"/>
      <c r="Y115" s="290"/>
      <c r="Z115" s="290"/>
      <c r="AA115" s="290"/>
      <c r="AB115" s="175">
        <f t="shared" si="191"/>
        <v>0</v>
      </c>
      <c r="AC115" s="175">
        <f t="shared" si="192"/>
        <v>0</v>
      </c>
      <c r="AD115" s="175">
        <f>SUMIFS('1-2 人员岗位信息'!F:F,'1-2 人员岗位信息'!$C:$C,"自有人员",'1-2 人员岗位信息'!$B:$B,$D115)</f>
        <v>0</v>
      </c>
      <c r="AE115" s="298"/>
      <c r="AF115" s="175">
        <f t="shared" si="193"/>
        <v>0</v>
      </c>
      <c r="AG115" s="175">
        <f>SUMIFS('1-2 人员岗位信息'!G:G,'1-2 人员岗位信息'!$C:$C,"自有人员",'1-2 人员岗位信息'!$B:$B,$D115)</f>
        <v>0</v>
      </c>
      <c r="AH115" s="298"/>
      <c r="AI115" s="175">
        <f t="shared" si="194"/>
        <v>0</v>
      </c>
      <c r="AJ115" s="175">
        <f>SUMIFS('1-2 人员岗位信息'!H:H,'1-2 人员岗位信息'!$C:$C,"自有人员",'1-2 人员岗位信息'!$B:$B,$D115)</f>
        <v>0</v>
      </c>
      <c r="AK115" s="298"/>
      <c r="AL115" s="175">
        <f t="shared" si="195"/>
        <v>0</v>
      </c>
      <c r="AM115" s="175">
        <f>SUMIFS('1-2 人员岗位信息'!I:I,'1-2 人员岗位信息'!$C:$C,"自有人员",'1-2 人员岗位信息'!$B:$B,$D115)</f>
        <v>0</v>
      </c>
      <c r="AN115" s="298"/>
      <c r="AO115" s="175">
        <f t="shared" si="196"/>
        <v>0</v>
      </c>
      <c r="AP115" s="175">
        <f>SUMIFS('1-2 人员岗位信息'!J:J,'1-2 人员岗位信息'!$C:$C,"自有人员",'1-2 人员岗位信息'!$B:$B,$D115)</f>
        <v>0</v>
      </c>
      <c r="AQ115" s="298"/>
      <c r="AR115" s="175">
        <f t="shared" si="197"/>
        <v>0</v>
      </c>
      <c r="AS115" s="175">
        <f>SUMIFS('1-2 人员岗位信息'!K:K,'1-2 人员岗位信息'!$C:$C,"自有人员",'1-2 人员岗位信息'!$B:$B,$D115)</f>
        <v>0</v>
      </c>
      <c r="AT115" s="298"/>
      <c r="AU115" s="175">
        <f t="shared" si="198"/>
        <v>0</v>
      </c>
      <c r="AV115" s="175">
        <f>SUMIFS('1-2 人员岗位信息'!L:L,'1-2 人员岗位信息'!$C:$C,"自有人员",'1-2 人员岗位信息'!$B:$B,$D115)</f>
        <v>0</v>
      </c>
      <c r="AW115" s="298"/>
      <c r="AX115" s="175">
        <f t="shared" si="199"/>
        <v>0</v>
      </c>
      <c r="AY115" s="175">
        <f>SUMIFS('1-2 人员岗位信息'!M:M,'1-2 人员岗位信息'!$C:$C,"自有人员",'1-2 人员岗位信息'!$B:$B,$D115)</f>
        <v>0</v>
      </c>
      <c r="AZ115" s="298"/>
      <c r="BA115" s="175">
        <f t="shared" si="200"/>
        <v>0</v>
      </c>
      <c r="BB115" s="175">
        <f>SUMIFS('1-2 人员岗位信息'!N:N,'1-2 人员岗位信息'!$C:$C,"自有人员",'1-2 人员岗位信息'!$B:$B,$D115)</f>
        <v>0</v>
      </c>
      <c r="BC115" s="298"/>
      <c r="BD115" s="175">
        <f t="shared" si="201"/>
        <v>0</v>
      </c>
      <c r="BE115" s="175">
        <f>SUMIFS('1-2 人员岗位信息'!O:O,'1-2 人员岗位信息'!$C:$C,"自有人员",'1-2 人员岗位信息'!$B:$B,$D115)</f>
        <v>0</v>
      </c>
      <c r="BF115" s="298"/>
      <c r="BG115" s="175">
        <f t="shared" si="202"/>
        <v>0</v>
      </c>
      <c r="BH115" s="175">
        <f>SUMIFS('1-2 人员岗位信息'!P:P,'1-2 人员岗位信息'!$C:$C,"自有人员",'1-2 人员岗位信息'!$B:$B,$D115)</f>
        <v>0</v>
      </c>
      <c r="BI115" s="298"/>
      <c r="BJ115" s="175">
        <f t="shared" si="203"/>
        <v>0</v>
      </c>
      <c r="BK115" s="175">
        <f>SUMIFS('1-2 人员岗位信息'!Q:Q,'1-2 人员岗位信息'!$C:$C,"自有人员",'1-2 人员岗位信息'!$B:$B,$D115)</f>
        <v>0</v>
      </c>
      <c r="BL115" s="307"/>
      <c r="BM115" s="311"/>
      <c r="BN115" s="315"/>
    </row>
    <row r="116" s="263" customFormat="1" ht="33.95" customHeight="1" outlineLevel="5" spans="2:66">
      <c r="B116" s="175" t="s">
        <v>799</v>
      </c>
      <c r="C116" s="283" t="s">
        <v>994</v>
      </c>
      <c r="D116" s="263" t="s">
        <v>995</v>
      </c>
      <c r="E116" s="175" t="s">
        <v>996</v>
      </c>
      <c r="F116" s="175"/>
      <c r="G116" s="175" t="s">
        <v>803</v>
      </c>
      <c r="H116" s="175">
        <f t="shared" si="187"/>
        <v>0</v>
      </c>
      <c r="I116" s="175" t="s">
        <v>804</v>
      </c>
      <c r="J116" s="175" t="e">
        <f t="shared" si="188"/>
        <v>#DIV/0!</v>
      </c>
      <c r="K116" s="175" t="s">
        <v>805</v>
      </c>
      <c r="L116" s="175" t="e">
        <f t="shared" si="189"/>
        <v>#DIV/0!</v>
      </c>
      <c r="M116" s="175" t="s">
        <v>806</v>
      </c>
      <c r="N116" s="175">
        <f t="shared" si="190"/>
        <v>0</v>
      </c>
      <c r="O116" s="175"/>
      <c r="P116" s="290"/>
      <c r="Q116" s="290"/>
      <c r="R116" s="290"/>
      <c r="S116" s="290"/>
      <c r="T116" s="290"/>
      <c r="U116" s="290"/>
      <c r="V116" s="290"/>
      <c r="W116" s="290"/>
      <c r="X116" s="290"/>
      <c r="Y116" s="290"/>
      <c r="Z116" s="290"/>
      <c r="AA116" s="290"/>
      <c r="AB116" s="175">
        <f t="shared" si="191"/>
        <v>0</v>
      </c>
      <c r="AC116" s="175">
        <f t="shared" si="192"/>
        <v>0</v>
      </c>
      <c r="AD116" s="175">
        <f>SUMIFS('1-2 人员岗位信息'!F:F,'1-2 人员岗位信息'!$C:$C,"自有人员",'1-2 人员岗位信息'!$B:$B,$D116)</f>
        <v>0</v>
      </c>
      <c r="AE116" s="298"/>
      <c r="AF116" s="175">
        <f t="shared" si="193"/>
        <v>0</v>
      </c>
      <c r="AG116" s="175">
        <f>SUMIFS('1-2 人员岗位信息'!G:G,'1-2 人员岗位信息'!$C:$C,"自有人员",'1-2 人员岗位信息'!$B:$B,$D116)</f>
        <v>0</v>
      </c>
      <c r="AH116" s="298"/>
      <c r="AI116" s="175">
        <f t="shared" si="194"/>
        <v>0</v>
      </c>
      <c r="AJ116" s="175">
        <f>SUMIFS('1-2 人员岗位信息'!H:H,'1-2 人员岗位信息'!$C:$C,"自有人员",'1-2 人员岗位信息'!$B:$B,$D116)</f>
        <v>0</v>
      </c>
      <c r="AK116" s="298"/>
      <c r="AL116" s="175">
        <f t="shared" si="195"/>
        <v>0</v>
      </c>
      <c r="AM116" s="175">
        <f>SUMIFS('1-2 人员岗位信息'!I:I,'1-2 人员岗位信息'!$C:$C,"自有人员",'1-2 人员岗位信息'!$B:$B,$D116)</f>
        <v>0</v>
      </c>
      <c r="AN116" s="298"/>
      <c r="AO116" s="175">
        <f t="shared" si="196"/>
        <v>0</v>
      </c>
      <c r="AP116" s="175">
        <f>SUMIFS('1-2 人员岗位信息'!J:J,'1-2 人员岗位信息'!$C:$C,"自有人员",'1-2 人员岗位信息'!$B:$B,$D116)</f>
        <v>0</v>
      </c>
      <c r="AQ116" s="298"/>
      <c r="AR116" s="175">
        <f t="shared" si="197"/>
        <v>0</v>
      </c>
      <c r="AS116" s="175">
        <f>SUMIFS('1-2 人员岗位信息'!K:K,'1-2 人员岗位信息'!$C:$C,"自有人员",'1-2 人员岗位信息'!$B:$B,$D116)</f>
        <v>0</v>
      </c>
      <c r="AT116" s="298"/>
      <c r="AU116" s="175">
        <f t="shared" si="198"/>
        <v>0</v>
      </c>
      <c r="AV116" s="175">
        <f>SUMIFS('1-2 人员岗位信息'!L:L,'1-2 人员岗位信息'!$C:$C,"自有人员",'1-2 人员岗位信息'!$B:$B,$D116)</f>
        <v>0</v>
      </c>
      <c r="AW116" s="298"/>
      <c r="AX116" s="175">
        <f t="shared" si="199"/>
        <v>0</v>
      </c>
      <c r="AY116" s="175">
        <f>SUMIFS('1-2 人员岗位信息'!M:M,'1-2 人员岗位信息'!$C:$C,"自有人员",'1-2 人员岗位信息'!$B:$B,$D116)</f>
        <v>0</v>
      </c>
      <c r="AZ116" s="298"/>
      <c r="BA116" s="175">
        <f t="shared" si="200"/>
        <v>0</v>
      </c>
      <c r="BB116" s="175">
        <f>SUMIFS('1-2 人员岗位信息'!N:N,'1-2 人员岗位信息'!$C:$C,"自有人员",'1-2 人员岗位信息'!$B:$B,$D116)</f>
        <v>0</v>
      </c>
      <c r="BC116" s="298"/>
      <c r="BD116" s="175">
        <f t="shared" si="201"/>
        <v>0</v>
      </c>
      <c r="BE116" s="175">
        <f>SUMIFS('1-2 人员岗位信息'!O:O,'1-2 人员岗位信息'!$C:$C,"自有人员",'1-2 人员岗位信息'!$B:$B,$D116)</f>
        <v>0</v>
      </c>
      <c r="BF116" s="298"/>
      <c r="BG116" s="175">
        <f t="shared" si="202"/>
        <v>0</v>
      </c>
      <c r="BH116" s="175">
        <f>SUMIFS('1-2 人员岗位信息'!P:P,'1-2 人员岗位信息'!$C:$C,"自有人员",'1-2 人员岗位信息'!$B:$B,$D116)</f>
        <v>0</v>
      </c>
      <c r="BI116" s="298"/>
      <c r="BJ116" s="175">
        <f t="shared" si="203"/>
        <v>0</v>
      </c>
      <c r="BK116" s="175">
        <f>SUMIFS('1-2 人员岗位信息'!Q:Q,'1-2 人员岗位信息'!$C:$C,"自有人员",'1-2 人员岗位信息'!$B:$B,$D116)</f>
        <v>0</v>
      </c>
      <c r="BL116" s="307"/>
      <c r="BM116" s="311"/>
      <c r="BN116" s="315"/>
    </row>
    <row r="117" s="263" customFormat="1" ht="33.95" customHeight="1" outlineLevel="5" spans="2:66">
      <c r="B117" s="175" t="s">
        <v>799</v>
      </c>
      <c r="C117" s="283" t="s">
        <v>997</v>
      </c>
      <c r="D117" s="263" t="s">
        <v>998</v>
      </c>
      <c r="E117" s="175" t="s">
        <v>996</v>
      </c>
      <c r="F117" s="175"/>
      <c r="G117" s="175" t="s">
        <v>803</v>
      </c>
      <c r="H117" s="175">
        <f t="shared" si="187"/>
        <v>0</v>
      </c>
      <c r="I117" s="175" t="s">
        <v>804</v>
      </c>
      <c r="J117" s="175" t="e">
        <f t="shared" si="188"/>
        <v>#DIV/0!</v>
      </c>
      <c r="K117" s="175" t="s">
        <v>805</v>
      </c>
      <c r="L117" s="175" t="e">
        <f t="shared" si="189"/>
        <v>#DIV/0!</v>
      </c>
      <c r="M117" s="175" t="s">
        <v>806</v>
      </c>
      <c r="N117" s="175">
        <f t="shared" si="190"/>
        <v>0</v>
      </c>
      <c r="O117" s="175"/>
      <c r="P117" s="290"/>
      <c r="Q117" s="290"/>
      <c r="R117" s="290"/>
      <c r="S117" s="290"/>
      <c r="T117" s="290"/>
      <c r="U117" s="290"/>
      <c r="V117" s="290"/>
      <c r="W117" s="290"/>
      <c r="X117" s="290"/>
      <c r="Y117" s="290"/>
      <c r="Z117" s="290"/>
      <c r="AA117" s="290"/>
      <c r="AB117" s="175">
        <f t="shared" si="191"/>
        <v>0</v>
      </c>
      <c r="AC117" s="175">
        <f t="shared" si="192"/>
        <v>0</v>
      </c>
      <c r="AD117" s="175">
        <f>SUMIFS('1-2 人员岗位信息'!F:F,'1-2 人员岗位信息'!$C:$C,"自有人员",'1-2 人员岗位信息'!$B:$B,$D117)</f>
        <v>0</v>
      </c>
      <c r="AE117" s="298"/>
      <c r="AF117" s="175">
        <f t="shared" si="193"/>
        <v>0</v>
      </c>
      <c r="AG117" s="175">
        <f>SUMIFS('1-2 人员岗位信息'!G:G,'1-2 人员岗位信息'!$C:$C,"自有人员",'1-2 人员岗位信息'!$B:$B,$D117)</f>
        <v>0</v>
      </c>
      <c r="AH117" s="298"/>
      <c r="AI117" s="175">
        <f t="shared" si="194"/>
        <v>0</v>
      </c>
      <c r="AJ117" s="175">
        <f>SUMIFS('1-2 人员岗位信息'!H:H,'1-2 人员岗位信息'!$C:$C,"自有人员",'1-2 人员岗位信息'!$B:$B,$D117)</f>
        <v>0</v>
      </c>
      <c r="AK117" s="298"/>
      <c r="AL117" s="175">
        <f t="shared" si="195"/>
        <v>0</v>
      </c>
      <c r="AM117" s="175">
        <f>SUMIFS('1-2 人员岗位信息'!I:I,'1-2 人员岗位信息'!$C:$C,"自有人员",'1-2 人员岗位信息'!$B:$B,$D117)</f>
        <v>0</v>
      </c>
      <c r="AN117" s="298"/>
      <c r="AO117" s="175">
        <f t="shared" si="196"/>
        <v>0</v>
      </c>
      <c r="AP117" s="175">
        <f>SUMIFS('1-2 人员岗位信息'!J:J,'1-2 人员岗位信息'!$C:$C,"自有人员",'1-2 人员岗位信息'!$B:$B,$D117)</f>
        <v>0</v>
      </c>
      <c r="AQ117" s="298"/>
      <c r="AR117" s="175">
        <f t="shared" si="197"/>
        <v>0</v>
      </c>
      <c r="AS117" s="175">
        <f>SUMIFS('1-2 人员岗位信息'!K:K,'1-2 人员岗位信息'!$C:$C,"自有人员",'1-2 人员岗位信息'!$B:$B,$D117)</f>
        <v>0</v>
      </c>
      <c r="AT117" s="298"/>
      <c r="AU117" s="175">
        <f t="shared" si="198"/>
        <v>0</v>
      </c>
      <c r="AV117" s="175">
        <f>SUMIFS('1-2 人员岗位信息'!L:L,'1-2 人员岗位信息'!$C:$C,"自有人员",'1-2 人员岗位信息'!$B:$B,$D117)</f>
        <v>0</v>
      </c>
      <c r="AW117" s="298"/>
      <c r="AX117" s="175">
        <f t="shared" si="199"/>
        <v>0</v>
      </c>
      <c r="AY117" s="175">
        <f>SUMIFS('1-2 人员岗位信息'!M:M,'1-2 人员岗位信息'!$C:$C,"自有人员",'1-2 人员岗位信息'!$B:$B,$D117)</f>
        <v>0</v>
      </c>
      <c r="AZ117" s="298"/>
      <c r="BA117" s="175">
        <f t="shared" si="200"/>
        <v>0</v>
      </c>
      <c r="BB117" s="175">
        <f>SUMIFS('1-2 人员岗位信息'!N:N,'1-2 人员岗位信息'!$C:$C,"自有人员",'1-2 人员岗位信息'!$B:$B,$D117)</f>
        <v>0</v>
      </c>
      <c r="BC117" s="298"/>
      <c r="BD117" s="175">
        <f t="shared" si="201"/>
        <v>0</v>
      </c>
      <c r="BE117" s="175">
        <f>SUMIFS('1-2 人员岗位信息'!O:O,'1-2 人员岗位信息'!$C:$C,"自有人员",'1-2 人员岗位信息'!$B:$B,$D117)</f>
        <v>0</v>
      </c>
      <c r="BF117" s="298"/>
      <c r="BG117" s="175">
        <f t="shared" si="202"/>
        <v>0</v>
      </c>
      <c r="BH117" s="175">
        <f>SUMIFS('1-2 人员岗位信息'!P:P,'1-2 人员岗位信息'!$C:$C,"自有人员",'1-2 人员岗位信息'!$B:$B,$D117)</f>
        <v>0</v>
      </c>
      <c r="BI117" s="298"/>
      <c r="BJ117" s="175">
        <f t="shared" si="203"/>
        <v>0</v>
      </c>
      <c r="BK117" s="175">
        <f>SUMIFS('1-2 人员岗位信息'!Q:Q,'1-2 人员岗位信息'!$C:$C,"自有人员",'1-2 人员岗位信息'!$B:$B,$D117)</f>
        <v>0</v>
      </c>
      <c r="BL117" s="307"/>
      <c r="BM117" s="311"/>
      <c r="BN117" s="315"/>
    </row>
    <row r="118" s="263" customFormat="1" ht="33.95" customHeight="1" outlineLevel="5" spans="2:66">
      <c r="B118" s="175" t="s">
        <v>799</v>
      </c>
      <c r="C118" s="283" t="s">
        <v>999</v>
      </c>
      <c r="D118" s="263" t="s">
        <v>1000</v>
      </c>
      <c r="E118" s="175" t="s">
        <v>996</v>
      </c>
      <c r="F118" s="175"/>
      <c r="G118" s="175" t="s">
        <v>803</v>
      </c>
      <c r="H118" s="175">
        <f t="shared" si="187"/>
        <v>0</v>
      </c>
      <c r="I118" s="175" t="s">
        <v>804</v>
      </c>
      <c r="J118" s="175" t="e">
        <f t="shared" si="188"/>
        <v>#DIV/0!</v>
      </c>
      <c r="K118" s="175" t="s">
        <v>805</v>
      </c>
      <c r="L118" s="175" t="e">
        <f t="shared" si="189"/>
        <v>#DIV/0!</v>
      </c>
      <c r="M118" s="175" t="s">
        <v>806</v>
      </c>
      <c r="N118" s="175">
        <f t="shared" si="190"/>
        <v>0</v>
      </c>
      <c r="O118" s="175"/>
      <c r="P118" s="290"/>
      <c r="Q118" s="290"/>
      <c r="R118" s="290"/>
      <c r="S118" s="290"/>
      <c r="T118" s="290"/>
      <c r="U118" s="290"/>
      <c r="V118" s="290"/>
      <c r="W118" s="290"/>
      <c r="X118" s="290"/>
      <c r="Y118" s="290"/>
      <c r="Z118" s="290"/>
      <c r="AA118" s="290"/>
      <c r="AB118" s="175">
        <f t="shared" si="191"/>
        <v>0</v>
      </c>
      <c r="AC118" s="175">
        <f t="shared" si="192"/>
        <v>0</v>
      </c>
      <c r="AD118" s="175">
        <f>SUMIFS('1-2 人员岗位信息'!F:F,'1-2 人员岗位信息'!$C:$C,"自有人员",'1-2 人员岗位信息'!$B:$B,$D118)</f>
        <v>0</v>
      </c>
      <c r="AE118" s="298"/>
      <c r="AF118" s="175">
        <f t="shared" si="193"/>
        <v>0</v>
      </c>
      <c r="AG118" s="175">
        <f>SUMIFS('1-2 人员岗位信息'!G:G,'1-2 人员岗位信息'!$C:$C,"自有人员",'1-2 人员岗位信息'!$B:$B,$D118)</f>
        <v>0</v>
      </c>
      <c r="AH118" s="298"/>
      <c r="AI118" s="175">
        <f t="shared" si="194"/>
        <v>0</v>
      </c>
      <c r="AJ118" s="175">
        <f>SUMIFS('1-2 人员岗位信息'!H:H,'1-2 人员岗位信息'!$C:$C,"自有人员",'1-2 人员岗位信息'!$B:$B,$D118)</f>
        <v>0</v>
      </c>
      <c r="AK118" s="298"/>
      <c r="AL118" s="175">
        <f t="shared" si="195"/>
        <v>0</v>
      </c>
      <c r="AM118" s="175">
        <f>SUMIFS('1-2 人员岗位信息'!I:I,'1-2 人员岗位信息'!$C:$C,"自有人员",'1-2 人员岗位信息'!$B:$B,$D118)</f>
        <v>0</v>
      </c>
      <c r="AN118" s="298"/>
      <c r="AO118" s="175">
        <f t="shared" si="196"/>
        <v>0</v>
      </c>
      <c r="AP118" s="175">
        <f>SUMIFS('1-2 人员岗位信息'!J:J,'1-2 人员岗位信息'!$C:$C,"自有人员",'1-2 人员岗位信息'!$B:$B,$D118)</f>
        <v>0</v>
      </c>
      <c r="AQ118" s="298"/>
      <c r="AR118" s="175">
        <f t="shared" si="197"/>
        <v>0</v>
      </c>
      <c r="AS118" s="175">
        <f>SUMIFS('1-2 人员岗位信息'!K:K,'1-2 人员岗位信息'!$C:$C,"自有人员",'1-2 人员岗位信息'!$B:$B,$D118)</f>
        <v>0</v>
      </c>
      <c r="AT118" s="298"/>
      <c r="AU118" s="175">
        <f t="shared" si="198"/>
        <v>0</v>
      </c>
      <c r="AV118" s="175">
        <f>SUMIFS('1-2 人员岗位信息'!L:L,'1-2 人员岗位信息'!$C:$C,"自有人员",'1-2 人员岗位信息'!$B:$B,$D118)</f>
        <v>0</v>
      </c>
      <c r="AW118" s="298"/>
      <c r="AX118" s="175">
        <f t="shared" si="199"/>
        <v>0</v>
      </c>
      <c r="AY118" s="175">
        <f>SUMIFS('1-2 人员岗位信息'!M:M,'1-2 人员岗位信息'!$C:$C,"自有人员",'1-2 人员岗位信息'!$B:$B,$D118)</f>
        <v>0</v>
      </c>
      <c r="AZ118" s="298"/>
      <c r="BA118" s="175">
        <f t="shared" si="200"/>
        <v>0</v>
      </c>
      <c r="BB118" s="175">
        <f>SUMIFS('1-2 人员岗位信息'!N:N,'1-2 人员岗位信息'!$C:$C,"自有人员",'1-2 人员岗位信息'!$B:$B,$D118)</f>
        <v>0</v>
      </c>
      <c r="BC118" s="298"/>
      <c r="BD118" s="175">
        <f t="shared" si="201"/>
        <v>0</v>
      </c>
      <c r="BE118" s="175">
        <f>SUMIFS('1-2 人员岗位信息'!O:O,'1-2 人员岗位信息'!$C:$C,"自有人员",'1-2 人员岗位信息'!$B:$B,$D118)</f>
        <v>0</v>
      </c>
      <c r="BF118" s="298"/>
      <c r="BG118" s="175">
        <f t="shared" si="202"/>
        <v>0</v>
      </c>
      <c r="BH118" s="175">
        <f>SUMIFS('1-2 人员岗位信息'!P:P,'1-2 人员岗位信息'!$C:$C,"自有人员",'1-2 人员岗位信息'!$B:$B,$D118)</f>
        <v>0</v>
      </c>
      <c r="BI118" s="298"/>
      <c r="BJ118" s="175">
        <f t="shared" si="203"/>
        <v>0</v>
      </c>
      <c r="BK118" s="175">
        <f>SUMIFS('1-2 人员岗位信息'!Q:Q,'1-2 人员岗位信息'!$C:$C,"自有人员",'1-2 人员岗位信息'!$B:$B,$D118)</f>
        <v>0</v>
      </c>
      <c r="BL118" s="307"/>
      <c r="BM118" s="311"/>
      <c r="BN118" s="315"/>
    </row>
    <row r="119" s="263" customFormat="1" ht="33.95" customHeight="1" outlineLevel="5" spans="2:66">
      <c r="B119" s="175" t="s">
        <v>799</v>
      </c>
      <c r="C119" s="283" t="s">
        <v>1001</v>
      </c>
      <c r="D119" s="263" t="s">
        <v>1002</v>
      </c>
      <c r="E119" s="175" t="s">
        <v>996</v>
      </c>
      <c r="F119" s="175"/>
      <c r="G119" s="175" t="s">
        <v>803</v>
      </c>
      <c r="H119" s="175">
        <f t="shared" si="187"/>
        <v>0</v>
      </c>
      <c r="I119" s="175" t="s">
        <v>804</v>
      </c>
      <c r="J119" s="175" t="e">
        <f t="shared" si="188"/>
        <v>#DIV/0!</v>
      </c>
      <c r="K119" s="175" t="s">
        <v>805</v>
      </c>
      <c r="L119" s="175" t="e">
        <f t="shared" si="189"/>
        <v>#DIV/0!</v>
      </c>
      <c r="M119" s="175" t="s">
        <v>806</v>
      </c>
      <c r="N119" s="175">
        <f t="shared" si="190"/>
        <v>0</v>
      </c>
      <c r="O119" s="175"/>
      <c r="P119" s="290"/>
      <c r="Q119" s="290"/>
      <c r="R119" s="290"/>
      <c r="S119" s="290"/>
      <c r="T119" s="290"/>
      <c r="U119" s="290"/>
      <c r="V119" s="290"/>
      <c r="W119" s="290"/>
      <c r="X119" s="290"/>
      <c r="Y119" s="290"/>
      <c r="Z119" s="290"/>
      <c r="AA119" s="290"/>
      <c r="AB119" s="175">
        <f t="shared" si="191"/>
        <v>0</v>
      </c>
      <c r="AC119" s="175">
        <f t="shared" si="192"/>
        <v>0</v>
      </c>
      <c r="AD119" s="175">
        <f>SUMIFS('1-2 人员岗位信息'!F:F,'1-2 人员岗位信息'!$C:$C,"自有人员",'1-2 人员岗位信息'!$B:$B,$D119)</f>
        <v>0</v>
      </c>
      <c r="AE119" s="298"/>
      <c r="AF119" s="175">
        <f t="shared" si="193"/>
        <v>0</v>
      </c>
      <c r="AG119" s="175">
        <f>SUMIFS('1-2 人员岗位信息'!G:G,'1-2 人员岗位信息'!$C:$C,"自有人员",'1-2 人员岗位信息'!$B:$B,$D119)</f>
        <v>0</v>
      </c>
      <c r="AH119" s="298"/>
      <c r="AI119" s="175">
        <f t="shared" si="194"/>
        <v>0</v>
      </c>
      <c r="AJ119" s="175">
        <f>SUMIFS('1-2 人员岗位信息'!H:H,'1-2 人员岗位信息'!$C:$C,"自有人员",'1-2 人员岗位信息'!$B:$B,$D119)</f>
        <v>0</v>
      </c>
      <c r="AK119" s="298"/>
      <c r="AL119" s="175">
        <f t="shared" si="195"/>
        <v>0</v>
      </c>
      <c r="AM119" s="175">
        <f>SUMIFS('1-2 人员岗位信息'!I:I,'1-2 人员岗位信息'!$C:$C,"自有人员",'1-2 人员岗位信息'!$B:$B,$D119)</f>
        <v>0</v>
      </c>
      <c r="AN119" s="298"/>
      <c r="AO119" s="175">
        <f t="shared" si="196"/>
        <v>0</v>
      </c>
      <c r="AP119" s="175">
        <f>SUMIFS('1-2 人员岗位信息'!J:J,'1-2 人员岗位信息'!$C:$C,"自有人员",'1-2 人员岗位信息'!$B:$B,$D119)</f>
        <v>0</v>
      </c>
      <c r="AQ119" s="298"/>
      <c r="AR119" s="175">
        <f t="shared" si="197"/>
        <v>0</v>
      </c>
      <c r="AS119" s="175">
        <f>SUMIFS('1-2 人员岗位信息'!K:K,'1-2 人员岗位信息'!$C:$C,"自有人员",'1-2 人员岗位信息'!$B:$B,$D119)</f>
        <v>0</v>
      </c>
      <c r="AT119" s="298"/>
      <c r="AU119" s="175">
        <f t="shared" si="198"/>
        <v>0</v>
      </c>
      <c r="AV119" s="175">
        <f>SUMIFS('1-2 人员岗位信息'!L:L,'1-2 人员岗位信息'!$C:$C,"自有人员",'1-2 人员岗位信息'!$B:$B,$D119)</f>
        <v>0</v>
      </c>
      <c r="AW119" s="298"/>
      <c r="AX119" s="175">
        <f t="shared" si="199"/>
        <v>0</v>
      </c>
      <c r="AY119" s="175">
        <f>SUMIFS('1-2 人员岗位信息'!M:M,'1-2 人员岗位信息'!$C:$C,"自有人员",'1-2 人员岗位信息'!$B:$B,$D119)</f>
        <v>0</v>
      </c>
      <c r="AZ119" s="298"/>
      <c r="BA119" s="175">
        <f t="shared" si="200"/>
        <v>0</v>
      </c>
      <c r="BB119" s="175">
        <f>SUMIFS('1-2 人员岗位信息'!N:N,'1-2 人员岗位信息'!$C:$C,"自有人员",'1-2 人员岗位信息'!$B:$B,$D119)</f>
        <v>0</v>
      </c>
      <c r="BC119" s="298"/>
      <c r="BD119" s="175">
        <f t="shared" si="201"/>
        <v>0</v>
      </c>
      <c r="BE119" s="175">
        <f>SUMIFS('1-2 人员岗位信息'!O:O,'1-2 人员岗位信息'!$C:$C,"自有人员",'1-2 人员岗位信息'!$B:$B,$D119)</f>
        <v>0</v>
      </c>
      <c r="BF119" s="298"/>
      <c r="BG119" s="175">
        <f t="shared" si="202"/>
        <v>0</v>
      </c>
      <c r="BH119" s="175">
        <f>SUMIFS('1-2 人员岗位信息'!P:P,'1-2 人员岗位信息'!$C:$C,"自有人员",'1-2 人员岗位信息'!$B:$B,$D119)</f>
        <v>0</v>
      </c>
      <c r="BI119" s="298"/>
      <c r="BJ119" s="175">
        <f t="shared" si="203"/>
        <v>0</v>
      </c>
      <c r="BK119" s="175">
        <f>SUMIFS('1-2 人员岗位信息'!Q:Q,'1-2 人员岗位信息'!$C:$C,"自有人员",'1-2 人员岗位信息'!$B:$B,$D119)</f>
        <v>0</v>
      </c>
      <c r="BL119" s="307"/>
      <c r="BM119" s="311"/>
      <c r="BN119" s="315"/>
    </row>
    <row r="120" s="263" customFormat="1" ht="33.95" customHeight="1" outlineLevel="5" spans="2:66">
      <c r="B120" s="175" t="s">
        <v>799</v>
      </c>
      <c r="C120" s="283" t="s">
        <v>1003</v>
      </c>
      <c r="D120" s="263" t="s">
        <v>1004</v>
      </c>
      <c r="E120" s="175" t="s">
        <v>1005</v>
      </c>
      <c r="F120" s="175"/>
      <c r="G120" s="175" t="s">
        <v>803</v>
      </c>
      <c r="H120" s="175">
        <f t="shared" si="187"/>
        <v>0</v>
      </c>
      <c r="I120" s="175" t="s">
        <v>804</v>
      </c>
      <c r="J120" s="175" t="e">
        <f t="shared" si="188"/>
        <v>#DIV/0!</v>
      </c>
      <c r="K120" s="175" t="s">
        <v>805</v>
      </c>
      <c r="L120" s="175" t="e">
        <f t="shared" si="189"/>
        <v>#DIV/0!</v>
      </c>
      <c r="M120" s="175" t="s">
        <v>806</v>
      </c>
      <c r="N120" s="175">
        <f t="shared" si="190"/>
        <v>0</v>
      </c>
      <c r="O120" s="175"/>
      <c r="P120" s="290"/>
      <c r="Q120" s="290"/>
      <c r="R120" s="290"/>
      <c r="S120" s="290"/>
      <c r="T120" s="290"/>
      <c r="U120" s="290"/>
      <c r="V120" s="290"/>
      <c r="W120" s="290"/>
      <c r="X120" s="290"/>
      <c r="Y120" s="290"/>
      <c r="Z120" s="290"/>
      <c r="AA120" s="290"/>
      <c r="AB120" s="175">
        <f t="shared" si="191"/>
        <v>0</v>
      </c>
      <c r="AC120" s="175">
        <f t="shared" si="192"/>
        <v>0</v>
      </c>
      <c r="AD120" s="175">
        <f>SUMIFS('1-2 人员岗位信息'!F:F,'1-2 人员岗位信息'!$C:$C,"自有人员",'1-2 人员岗位信息'!$B:$B,$D120)</f>
        <v>0</v>
      </c>
      <c r="AE120" s="298"/>
      <c r="AF120" s="175">
        <f t="shared" si="193"/>
        <v>0</v>
      </c>
      <c r="AG120" s="175">
        <f>SUMIFS('1-2 人员岗位信息'!G:G,'1-2 人员岗位信息'!$C:$C,"自有人员",'1-2 人员岗位信息'!$B:$B,$D120)</f>
        <v>0</v>
      </c>
      <c r="AH120" s="298"/>
      <c r="AI120" s="175">
        <f t="shared" si="194"/>
        <v>0</v>
      </c>
      <c r="AJ120" s="175">
        <f>SUMIFS('1-2 人员岗位信息'!H:H,'1-2 人员岗位信息'!$C:$C,"自有人员",'1-2 人员岗位信息'!$B:$B,$D120)</f>
        <v>0</v>
      </c>
      <c r="AK120" s="298"/>
      <c r="AL120" s="175">
        <f t="shared" si="195"/>
        <v>0</v>
      </c>
      <c r="AM120" s="175">
        <f>SUMIFS('1-2 人员岗位信息'!I:I,'1-2 人员岗位信息'!$C:$C,"自有人员",'1-2 人员岗位信息'!$B:$B,$D120)</f>
        <v>0</v>
      </c>
      <c r="AN120" s="298"/>
      <c r="AO120" s="175">
        <f t="shared" si="196"/>
        <v>0</v>
      </c>
      <c r="AP120" s="175">
        <f>SUMIFS('1-2 人员岗位信息'!J:J,'1-2 人员岗位信息'!$C:$C,"自有人员",'1-2 人员岗位信息'!$B:$B,$D120)</f>
        <v>0</v>
      </c>
      <c r="AQ120" s="298"/>
      <c r="AR120" s="175">
        <f t="shared" si="197"/>
        <v>0</v>
      </c>
      <c r="AS120" s="175">
        <f>SUMIFS('1-2 人员岗位信息'!K:K,'1-2 人员岗位信息'!$C:$C,"自有人员",'1-2 人员岗位信息'!$B:$B,$D120)</f>
        <v>0</v>
      </c>
      <c r="AT120" s="298"/>
      <c r="AU120" s="175">
        <f t="shared" si="198"/>
        <v>0</v>
      </c>
      <c r="AV120" s="175">
        <f>SUMIFS('1-2 人员岗位信息'!L:L,'1-2 人员岗位信息'!$C:$C,"自有人员",'1-2 人员岗位信息'!$B:$B,$D120)</f>
        <v>0</v>
      </c>
      <c r="AW120" s="298"/>
      <c r="AX120" s="175">
        <f t="shared" si="199"/>
        <v>0</v>
      </c>
      <c r="AY120" s="175">
        <f>SUMIFS('1-2 人员岗位信息'!M:M,'1-2 人员岗位信息'!$C:$C,"自有人员",'1-2 人员岗位信息'!$B:$B,$D120)</f>
        <v>0</v>
      </c>
      <c r="AZ120" s="298"/>
      <c r="BA120" s="175">
        <f t="shared" si="200"/>
        <v>0</v>
      </c>
      <c r="BB120" s="175">
        <f>SUMIFS('1-2 人员岗位信息'!N:N,'1-2 人员岗位信息'!$C:$C,"自有人员",'1-2 人员岗位信息'!$B:$B,$D120)</f>
        <v>0</v>
      </c>
      <c r="BC120" s="298"/>
      <c r="BD120" s="175">
        <f t="shared" si="201"/>
        <v>0</v>
      </c>
      <c r="BE120" s="175">
        <f>SUMIFS('1-2 人员岗位信息'!O:O,'1-2 人员岗位信息'!$C:$C,"自有人员",'1-2 人员岗位信息'!$B:$B,$D120)</f>
        <v>0</v>
      </c>
      <c r="BF120" s="298"/>
      <c r="BG120" s="175">
        <f t="shared" si="202"/>
        <v>0</v>
      </c>
      <c r="BH120" s="175">
        <f>SUMIFS('1-2 人员岗位信息'!P:P,'1-2 人员岗位信息'!$C:$C,"自有人员",'1-2 人员岗位信息'!$B:$B,$D120)</f>
        <v>0</v>
      </c>
      <c r="BI120" s="298"/>
      <c r="BJ120" s="175">
        <f t="shared" si="203"/>
        <v>0</v>
      </c>
      <c r="BK120" s="175">
        <f>SUMIFS('1-2 人员岗位信息'!Q:Q,'1-2 人员岗位信息'!$C:$C,"自有人员",'1-2 人员岗位信息'!$B:$B,$D120)</f>
        <v>0</v>
      </c>
      <c r="BL120" s="307"/>
      <c r="BM120" s="311"/>
      <c r="BN120" s="315"/>
    </row>
    <row r="121" s="263" customFormat="1" ht="33.95" customHeight="1" outlineLevel="5" spans="2:66">
      <c r="B121" s="175" t="s">
        <v>799</v>
      </c>
      <c r="C121" s="283" t="s">
        <v>1006</v>
      </c>
      <c r="D121" s="263" t="s">
        <v>1007</v>
      </c>
      <c r="E121" s="175" t="s">
        <v>821</v>
      </c>
      <c r="F121" s="175"/>
      <c r="G121" s="175" t="s">
        <v>803</v>
      </c>
      <c r="H121" s="175">
        <f t="shared" si="187"/>
        <v>0</v>
      </c>
      <c r="I121" s="175" t="s">
        <v>804</v>
      </c>
      <c r="J121" s="175" t="e">
        <f t="shared" si="188"/>
        <v>#DIV/0!</v>
      </c>
      <c r="K121" s="175" t="s">
        <v>805</v>
      </c>
      <c r="L121" s="175" t="e">
        <f t="shared" si="189"/>
        <v>#DIV/0!</v>
      </c>
      <c r="M121" s="175" t="s">
        <v>806</v>
      </c>
      <c r="N121" s="175">
        <f t="shared" si="190"/>
        <v>0</v>
      </c>
      <c r="O121" s="175"/>
      <c r="P121" s="290"/>
      <c r="Q121" s="290"/>
      <c r="R121" s="290"/>
      <c r="S121" s="290"/>
      <c r="T121" s="290"/>
      <c r="U121" s="290"/>
      <c r="V121" s="290"/>
      <c r="W121" s="290"/>
      <c r="X121" s="290"/>
      <c r="Y121" s="290"/>
      <c r="Z121" s="290"/>
      <c r="AA121" s="290"/>
      <c r="AB121" s="175">
        <f t="shared" si="191"/>
        <v>0</v>
      </c>
      <c r="AC121" s="175">
        <f t="shared" si="192"/>
        <v>0</v>
      </c>
      <c r="AD121" s="175">
        <f>SUMIFS('1-2 人员岗位信息'!F:F,'1-2 人员岗位信息'!$C:$C,"自有人员",'1-2 人员岗位信息'!$B:$B,$D121)</f>
        <v>0</v>
      </c>
      <c r="AE121" s="298"/>
      <c r="AF121" s="175">
        <f t="shared" si="193"/>
        <v>0</v>
      </c>
      <c r="AG121" s="175">
        <f>SUMIFS('1-2 人员岗位信息'!G:G,'1-2 人员岗位信息'!$C:$C,"自有人员",'1-2 人员岗位信息'!$B:$B,$D121)</f>
        <v>0</v>
      </c>
      <c r="AH121" s="298"/>
      <c r="AI121" s="175">
        <f t="shared" si="194"/>
        <v>0</v>
      </c>
      <c r="AJ121" s="175">
        <f>SUMIFS('1-2 人员岗位信息'!H:H,'1-2 人员岗位信息'!$C:$C,"自有人员",'1-2 人员岗位信息'!$B:$B,$D121)</f>
        <v>0</v>
      </c>
      <c r="AK121" s="298"/>
      <c r="AL121" s="175">
        <f t="shared" si="195"/>
        <v>0</v>
      </c>
      <c r="AM121" s="175">
        <f>SUMIFS('1-2 人员岗位信息'!I:I,'1-2 人员岗位信息'!$C:$C,"自有人员",'1-2 人员岗位信息'!$B:$B,$D121)</f>
        <v>0</v>
      </c>
      <c r="AN121" s="298"/>
      <c r="AO121" s="175">
        <f t="shared" si="196"/>
        <v>0</v>
      </c>
      <c r="AP121" s="175">
        <f>SUMIFS('1-2 人员岗位信息'!J:J,'1-2 人员岗位信息'!$C:$C,"自有人员",'1-2 人员岗位信息'!$B:$B,$D121)</f>
        <v>0</v>
      </c>
      <c r="AQ121" s="298"/>
      <c r="AR121" s="175">
        <f t="shared" si="197"/>
        <v>0</v>
      </c>
      <c r="AS121" s="175">
        <f>SUMIFS('1-2 人员岗位信息'!K:K,'1-2 人员岗位信息'!$C:$C,"自有人员",'1-2 人员岗位信息'!$B:$B,$D121)</f>
        <v>0</v>
      </c>
      <c r="AT121" s="298"/>
      <c r="AU121" s="175">
        <f t="shared" si="198"/>
        <v>0</v>
      </c>
      <c r="AV121" s="175">
        <f>SUMIFS('1-2 人员岗位信息'!L:L,'1-2 人员岗位信息'!$C:$C,"自有人员",'1-2 人员岗位信息'!$B:$B,$D121)</f>
        <v>0</v>
      </c>
      <c r="AW121" s="298"/>
      <c r="AX121" s="175">
        <f t="shared" si="199"/>
        <v>0</v>
      </c>
      <c r="AY121" s="175">
        <f>SUMIFS('1-2 人员岗位信息'!M:M,'1-2 人员岗位信息'!$C:$C,"自有人员",'1-2 人员岗位信息'!$B:$B,$D121)</f>
        <v>0</v>
      </c>
      <c r="AZ121" s="298"/>
      <c r="BA121" s="175">
        <f t="shared" si="200"/>
        <v>0</v>
      </c>
      <c r="BB121" s="175">
        <f>SUMIFS('1-2 人员岗位信息'!N:N,'1-2 人员岗位信息'!$C:$C,"自有人员",'1-2 人员岗位信息'!$B:$B,$D121)</f>
        <v>0</v>
      </c>
      <c r="BC121" s="298"/>
      <c r="BD121" s="175">
        <f t="shared" si="201"/>
        <v>0</v>
      </c>
      <c r="BE121" s="175">
        <f>SUMIFS('1-2 人员岗位信息'!O:O,'1-2 人员岗位信息'!$C:$C,"自有人员",'1-2 人员岗位信息'!$B:$B,$D121)</f>
        <v>0</v>
      </c>
      <c r="BF121" s="298"/>
      <c r="BG121" s="175">
        <f t="shared" si="202"/>
        <v>0</v>
      </c>
      <c r="BH121" s="175">
        <f>SUMIFS('1-2 人员岗位信息'!P:P,'1-2 人员岗位信息'!$C:$C,"自有人员",'1-2 人员岗位信息'!$B:$B,$D121)</f>
        <v>0</v>
      </c>
      <c r="BI121" s="298"/>
      <c r="BJ121" s="175">
        <f t="shared" si="203"/>
        <v>0</v>
      </c>
      <c r="BK121" s="175">
        <f>SUMIFS('1-2 人员岗位信息'!Q:Q,'1-2 人员岗位信息'!$C:$C,"自有人员",'1-2 人员岗位信息'!$B:$B,$D121)</f>
        <v>0</v>
      </c>
      <c r="BL121" s="307"/>
      <c r="BM121" s="311"/>
      <c r="BN121" s="315"/>
    </row>
    <row r="122" s="118" customFormat="1" ht="33.95" customHeight="1" outlineLevel="4" spans="2:66">
      <c r="B122" s="119" t="s">
        <v>794</v>
      </c>
      <c r="C122" s="120" t="s">
        <v>71</v>
      </c>
      <c r="D122" s="118" t="s">
        <v>68</v>
      </c>
      <c r="E122" s="119"/>
      <c r="F122" s="119"/>
      <c r="G122" s="119"/>
      <c r="H122" s="119">
        <f>SUM(H123:H131)</f>
        <v>0</v>
      </c>
      <c r="I122" s="119"/>
      <c r="J122" s="119"/>
      <c r="K122" s="119"/>
      <c r="L122" s="119"/>
      <c r="M122" s="119"/>
      <c r="N122" s="119"/>
      <c r="O122" s="119"/>
      <c r="P122" s="289"/>
      <c r="Q122" s="289"/>
      <c r="R122" s="289"/>
      <c r="S122" s="289"/>
      <c r="T122" s="289"/>
      <c r="U122" s="289"/>
      <c r="V122" s="289"/>
      <c r="W122" s="289"/>
      <c r="X122" s="289"/>
      <c r="Y122" s="289"/>
      <c r="Z122" s="289"/>
      <c r="AA122" s="289"/>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6"/>
      <c r="BM122" s="311"/>
      <c r="BN122" s="314"/>
    </row>
    <row r="123" s="263" customFormat="1" ht="33.95" customHeight="1" outlineLevel="5" spans="2:66">
      <c r="B123" s="175" t="s">
        <v>799</v>
      </c>
      <c r="C123" s="283" t="s">
        <v>1008</v>
      </c>
      <c r="D123" s="263" t="s">
        <v>986</v>
      </c>
      <c r="E123" s="175" t="s">
        <v>1009</v>
      </c>
      <c r="F123" s="175"/>
      <c r="G123" s="175" t="s">
        <v>803</v>
      </c>
      <c r="H123" s="175">
        <f t="shared" ref="H123:H131" si="205">AB123</f>
        <v>0</v>
      </c>
      <c r="I123" s="175" t="s">
        <v>804</v>
      </c>
      <c r="J123" s="175" t="e">
        <f t="shared" ref="J123:J131" si="206">SUM(AD123,AG123,AJ123,AM123,AP123,AS123,AV123,AY123,BB123,BE123,BH123,BK123)/N123</f>
        <v>#DIV/0!</v>
      </c>
      <c r="K123" s="175" t="s">
        <v>805</v>
      </c>
      <c r="L123" s="175" t="e">
        <f t="shared" ref="L123:L131" si="207">H123/N123/J123</f>
        <v>#DIV/0!</v>
      </c>
      <c r="M123" s="175" t="s">
        <v>806</v>
      </c>
      <c r="N123" s="175">
        <f t="shared" ref="N123:N131" si="208">COUNTIF(AD123,"&gt;0")+COUNTIF(AG123,"&gt;0")+COUNTIF(AJ123,"&gt;0")+COUNTIF(AM123,"&gt;0")+COUNTIF(AP123,"&gt;0")+COUNTIF(AS123,"&gt;0")+COUNTIF(AV123,"&gt;0")+COUNTIF(AY123,"&gt;0")+COUNTIF(BB123,"&gt;0")+COUNTIF(BE123,"&gt;0")+COUNTIF(BH123,"&gt;0")+COUNTIF(BK123,"&gt;0")</f>
        <v>0</v>
      </c>
      <c r="O123" s="175"/>
      <c r="P123" s="290"/>
      <c r="Q123" s="290"/>
      <c r="R123" s="290"/>
      <c r="S123" s="290"/>
      <c r="T123" s="290"/>
      <c r="U123" s="290"/>
      <c r="V123" s="290"/>
      <c r="W123" s="290"/>
      <c r="X123" s="290"/>
      <c r="Y123" s="290"/>
      <c r="Z123" s="290"/>
      <c r="AA123" s="290"/>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298"/>
      <c r="AF123" s="175">
        <f t="shared" ref="AF123:AF131" si="211">AG123*AH123</f>
        <v>0</v>
      </c>
      <c r="AG123" s="175">
        <f>SUMIFS('1-2 人员岗位信息'!G:G,'1-2 人员岗位信息'!$C:$C,"劳务派遣",'1-2 人员岗位信息'!$B:$B,$D123)</f>
        <v>0</v>
      </c>
      <c r="AH123" s="298"/>
      <c r="AI123" s="175">
        <f t="shared" ref="AI123:AI131" si="212">AJ123*AK123</f>
        <v>0</v>
      </c>
      <c r="AJ123" s="175">
        <f>SUMIFS('1-2 人员岗位信息'!H:H,'1-2 人员岗位信息'!$C:$C,"劳务派遣",'1-2 人员岗位信息'!$B:$B,$D123)</f>
        <v>0</v>
      </c>
      <c r="AK123" s="298"/>
      <c r="AL123" s="175">
        <f t="shared" ref="AL123:AL131" si="213">AM123*AN123</f>
        <v>0</v>
      </c>
      <c r="AM123" s="175">
        <f>SUMIFS('1-2 人员岗位信息'!I:I,'1-2 人员岗位信息'!$C:$C,"劳务派遣",'1-2 人员岗位信息'!$B:$B,$D123)</f>
        <v>0</v>
      </c>
      <c r="AN123" s="298"/>
      <c r="AO123" s="175">
        <f t="shared" ref="AO123:AO131" si="214">AP123*AQ123</f>
        <v>0</v>
      </c>
      <c r="AP123" s="175">
        <f>SUMIFS('1-2 人员岗位信息'!J:J,'1-2 人员岗位信息'!$C:$C,"劳务派遣",'1-2 人员岗位信息'!$B:$B,$D123)</f>
        <v>0</v>
      </c>
      <c r="AQ123" s="298"/>
      <c r="AR123" s="175">
        <f t="shared" ref="AR123:AR131" si="215">AS123*AT123</f>
        <v>0</v>
      </c>
      <c r="AS123" s="175">
        <f>SUMIFS('1-2 人员岗位信息'!K:K,'1-2 人员岗位信息'!$C:$C,"劳务派遣",'1-2 人员岗位信息'!$B:$B,$D123)</f>
        <v>0</v>
      </c>
      <c r="AT123" s="298"/>
      <c r="AU123" s="175">
        <f t="shared" ref="AU123:AU131" si="216">AV123*AW123</f>
        <v>0</v>
      </c>
      <c r="AV123" s="175">
        <f>SUMIFS('1-2 人员岗位信息'!L:L,'1-2 人员岗位信息'!$C:$C,"劳务派遣",'1-2 人员岗位信息'!$B:$B,$D123)</f>
        <v>0</v>
      </c>
      <c r="AW123" s="298"/>
      <c r="AX123" s="175">
        <f t="shared" ref="AX123:AX131" si="217">AY123*AZ123</f>
        <v>0</v>
      </c>
      <c r="AY123" s="175">
        <f>SUMIFS('1-2 人员岗位信息'!M:M,'1-2 人员岗位信息'!$C:$C,"劳务派遣",'1-2 人员岗位信息'!$B:$B,$D123)</f>
        <v>0</v>
      </c>
      <c r="AZ123" s="298"/>
      <c r="BA123" s="175">
        <f t="shared" ref="BA123:BA131" si="218">BB123*BC123</f>
        <v>0</v>
      </c>
      <c r="BB123" s="175">
        <f>SUMIFS('1-2 人员岗位信息'!N:N,'1-2 人员岗位信息'!$C:$C,"劳务派遣",'1-2 人员岗位信息'!$B:$B,$D123)</f>
        <v>0</v>
      </c>
      <c r="BC123" s="298"/>
      <c r="BD123" s="175">
        <f t="shared" ref="BD123:BD131" si="219">BE123*BF123</f>
        <v>0</v>
      </c>
      <c r="BE123" s="175">
        <f>SUMIFS('1-2 人员岗位信息'!O:O,'1-2 人员岗位信息'!$C:$C,"劳务派遣",'1-2 人员岗位信息'!$B:$B,$D123)</f>
        <v>0</v>
      </c>
      <c r="BF123" s="298"/>
      <c r="BG123" s="175">
        <f t="shared" ref="BG123:BG131" si="220">BH123*BI123</f>
        <v>0</v>
      </c>
      <c r="BH123" s="175">
        <f>SUMIFS('1-2 人员岗位信息'!P:P,'1-2 人员岗位信息'!$C:$C,"劳务派遣",'1-2 人员岗位信息'!$B:$B,$D123)</f>
        <v>0</v>
      </c>
      <c r="BI123" s="298"/>
      <c r="BJ123" s="175">
        <f t="shared" ref="BJ123:BJ131" si="221">BK123*BL123</f>
        <v>0</v>
      </c>
      <c r="BK123" s="175">
        <f>SUMIFS('1-2 人员岗位信息'!Q:Q,'1-2 人员岗位信息'!$C:$C,"劳务派遣",'1-2 人员岗位信息'!$B:$B,$D123)</f>
        <v>0</v>
      </c>
      <c r="BL123" s="307"/>
      <c r="BM123" s="311"/>
      <c r="BN123" s="315"/>
    </row>
    <row r="124" s="263" customFormat="1" ht="33.95" customHeight="1" outlineLevel="5" spans="2:66">
      <c r="B124" s="175" t="s">
        <v>799</v>
      </c>
      <c r="C124" s="283" t="s">
        <v>1010</v>
      </c>
      <c r="D124" s="263" t="s">
        <v>989</v>
      </c>
      <c r="E124" s="175" t="s">
        <v>1011</v>
      </c>
      <c r="F124" s="175"/>
      <c r="G124" s="175" t="s">
        <v>803</v>
      </c>
      <c r="H124" s="175">
        <f t="shared" si="205"/>
        <v>0</v>
      </c>
      <c r="I124" s="175" t="s">
        <v>804</v>
      </c>
      <c r="J124" s="175" t="e">
        <f t="shared" si="206"/>
        <v>#DIV/0!</v>
      </c>
      <c r="K124" s="175" t="s">
        <v>805</v>
      </c>
      <c r="L124" s="175" t="e">
        <f t="shared" si="207"/>
        <v>#DIV/0!</v>
      </c>
      <c r="M124" s="175" t="s">
        <v>806</v>
      </c>
      <c r="N124" s="175">
        <f t="shared" si="208"/>
        <v>0</v>
      </c>
      <c r="O124" s="175"/>
      <c r="P124" s="290"/>
      <c r="Q124" s="290"/>
      <c r="R124" s="290"/>
      <c r="S124" s="290"/>
      <c r="T124" s="290"/>
      <c r="U124" s="290"/>
      <c r="V124" s="290"/>
      <c r="W124" s="290"/>
      <c r="X124" s="290"/>
      <c r="Y124" s="290"/>
      <c r="Z124" s="290"/>
      <c r="AA124" s="290"/>
      <c r="AB124" s="175">
        <f t="shared" si="209"/>
        <v>0</v>
      </c>
      <c r="AC124" s="175">
        <f t="shared" si="210"/>
        <v>0</v>
      </c>
      <c r="AD124" s="175">
        <f>SUMIFS('1-2 人员岗位信息'!F:F,'1-2 人员岗位信息'!$C:$C,"劳务派遣",'1-2 人员岗位信息'!$B:$B,$D124)</f>
        <v>0</v>
      </c>
      <c r="AE124" s="298"/>
      <c r="AF124" s="175">
        <f t="shared" si="211"/>
        <v>0</v>
      </c>
      <c r="AG124" s="175">
        <f>SUMIFS('1-2 人员岗位信息'!G:G,'1-2 人员岗位信息'!$C:$C,"劳务派遣",'1-2 人员岗位信息'!$B:$B,$D124)</f>
        <v>0</v>
      </c>
      <c r="AH124" s="298"/>
      <c r="AI124" s="175">
        <f t="shared" si="212"/>
        <v>0</v>
      </c>
      <c r="AJ124" s="175">
        <f>SUMIFS('1-2 人员岗位信息'!H:H,'1-2 人员岗位信息'!$C:$C,"劳务派遣",'1-2 人员岗位信息'!$B:$B,$D124)</f>
        <v>0</v>
      </c>
      <c r="AK124" s="298"/>
      <c r="AL124" s="175">
        <f t="shared" si="213"/>
        <v>0</v>
      </c>
      <c r="AM124" s="175">
        <f>SUMIFS('1-2 人员岗位信息'!I:I,'1-2 人员岗位信息'!$C:$C,"劳务派遣",'1-2 人员岗位信息'!$B:$B,$D124)</f>
        <v>0</v>
      </c>
      <c r="AN124" s="298"/>
      <c r="AO124" s="175">
        <f t="shared" si="214"/>
        <v>0</v>
      </c>
      <c r="AP124" s="175">
        <f>SUMIFS('1-2 人员岗位信息'!J:J,'1-2 人员岗位信息'!$C:$C,"劳务派遣",'1-2 人员岗位信息'!$B:$B,$D124)</f>
        <v>0</v>
      </c>
      <c r="AQ124" s="298"/>
      <c r="AR124" s="175">
        <f t="shared" si="215"/>
        <v>0</v>
      </c>
      <c r="AS124" s="175">
        <f>SUMIFS('1-2 人员岗位信息'!K:K,'1-2 人员岗位信息'!$C:$C,"劳务派遣",'1-2 人员岗位信息'!$B:$B,$D124)</f>
        <v>0</v>
      </c>
      <c r="AT124" s="298"/>
      <c r="AU124" s="175">
        <f t="shared" si="216"/>
        <v>0</v>
      </c>
      <c r="AV124" s="175">
        <f>SUMIFS('1-2 人员岗位信息'!L:L,'1-2 人员岗位信息'!$C:$C,"劳务派遣",'1-2 人员岗位信息'!$B:$B,$D124)</f>
        <v>0</v>
      </c>
      <c r="AW124" s="298"/>
      <c r="AX124" s="175">
        <f t="shared" si="217"/>
        <v>0</v>
      </c>
      <c r="AY124" s="175">
        <f>SUMIFS('1-2 人员岗位信息'!M:M,'1-2 人员岗位信息'!$C:$C,"劳务派遣",'1-2 人员岗位信息'!$B:$B,$D124)</f>
        <v>0</v>
      </c>
      <c r="AZ124" s="298"/>
      <c r="BA124" s="175">
        <f t="shared" si="218"/>
        <v>0</v>
      </c>
      <c r="BB124" s="175">
        <f>SUMIFS('1-2 人员岗位信息'!N:N,'1-2 人员岗位信息'!$C:$C,"劳务派遣",'1-2 人员岗位信息'!$B:$B,$D124)</f>
        <v>0</v>
      </c>
      <c r="BC124" s="298"/>
      <c r="BD124" s="175">
        <f t="shared" si="219"/>
        <v>0</v>
      </c>
      <c r="BE124" s="175">
        <f>SUMIFS('1-2 人员岗位信息'!O:O,'1-2 人员岗位信息'!$C:$C,"劳务派遣",'1-2 人员岗位信息'!$B:$B,$D124)</f>
        <v>0</v>
      </c>
      <c r="BF124" s="298"/>
      <c r="BG124" s="175">
        <f t="shared" si="220"/>
        <v>0</v>
      </c>
      <c r="BH124" s="175">
        <f>SUMIFS('1-2 人员岗位信息'!P:P,'1-2 人员岗位信息'!$C:$C,"劳务派遣",'1-2 人员岗位信息'!$B:$B,$D124)</f>
        <v>0</v>
      </c>
      <c r="BI124" s="298"/>
      <c r="BJ124" s="175">
        <f t="shared" si="221"/>
        <v>0</v>
      </c>
      <c r="BK124" s="175">
        <f>SUMIFS('1-2 人员岗位信息'!Q:Q,'1-2 人员岗位信息'!$C:$C,"劳务派遣",'1-2 人员岗位信息'!$B:$B,$D124)</f>
        <v>0</v>
      </c>
      <c r="BL124" s="307"/>
      <c r="BM124" s="311"/>
      <c r="BN124" s="315"/>
    </row>
    <row r="125" s="263" customFormat="1" ht="33.95" customHeight="1" outlineLevel="5" spans="2:66">
      <c r="B125" s="175" t="s">
        <v>799</v>
      </c>
      <c r="C125" s="283" t="s">
        <v>1012</v>
      </c>
      <c r="D125" s="263" t="s">
        <v>992</v>
      </c>
      <c r="E125" s="175" t="s">
        <v>993</v>
      </c>
      <c r="F125" s="175"/>
      <c r="G125" s="175" t="s">
        <v>803</v>
      </c>
      <c r="H125" s="175">
        <f t="shared" si="205"/>
        <v>0</v>
      </c>
      <c r="I125" s="175" t="s">
        <v>804</v>
      </c>
      <c r="J125" s="175" t="e">
        <f t="shared" si="206"/>
        <v>#DIV/0!</v>
      </c>
      <c r="K125" s="175" t="s">
        <v>805</v>
      </c>
      <c r="L125" s="175" t="e">
        <f t="shared" si="207"/>
        <v>#DIV/0!</v>
      </c>
      <c r="M125" s="175" t="s">
        <v>806</v>
      </c>
      <c r="N125" s="175">
        <f t="shared" si="208"/>
        <v>0</v>
      </c>
      <c r="O125" s="175"/>
      <c r="P125" s="290"/>
      <c r="Q125" s="290"/>
      <c r="R125" s="290"/>
      <c r="S125" s="290"/>
      <c r="T125" s="290"/>
      <c r="U125" s="290"/>
      <c r="V125" s="290"/>
      <c r="W125" s="290"/>
      <c r="X125" s="290"/>
      <c r="Y125" s="290"/>
      <c r="Z125" s="290"/>
      <c r="AA125" s="290"/>
      <c r="AB125" s="175">
        <f t="shared" si="209"/>
        <v>0</v>
      </c>
      <c r="AC125" s="175">
        <f t="shared" si="210"/>
        <v>0</v>
      </c>
      <c r="AD125" s="175">
        <f>SUMIFS('1-2 人员岗位信息'!F:F,'1-2 人员岗位信息'!$C:$C,"劳务派遣",'1-2 人员岗位信息'!$B:$B,$D125)</f>
        <v>0</v>
      </c>
      <c r="AE125" s="298"/>
      <c r="AF125" s="175">
        <f t="shared" si="211"/>
        <v>0</v>
      </c>
      <c r="AG125" s="175">
        <f>SUMIFS('1-2 人员岗位信息'!G:G,'1-2 人员岗位信息'!$C:$C,"劳务派遣",'1-2 人员岗位信息'!$B:$B,$D125)</f>
        <v>0</v>
      </c>
      <c r="AH125" s="298"/>
      <c r="AI125" s="175">
        <f t="shared" si="212"/>
        <v>0</v>
      </c>
      <c r="AJ125" s="175">
        <f>SUMIFS('1-2 人员岗位信息'!H:H,'1-2 人员岗位信息'!$C:$C,"劳务派遣",'1-2 人员岗位信息'!$B:$B,$D125)</f>
        <v>0</v>
      </c>
      <c r="AK125" s="298"/>
      <c r="AL125" s="175">
        <f t="shared" si="213"/>
        <v>0</v>
      </c>
      <c r="AM125" s="175">
        <f>SUMIFS('1-2 人员岗位信息'!I:I,'1-2 人员岗位信息'!$C:$C,"劳务派遣",'1-2 人员岗位信息'!$B:$B,$D125)</f>
        <v>0</v>
      </c>
      <c r="AN125" s="298"/>
      <c r="AO125" s="175">
        <f t="shared" si="214"/>
        <v>0</v>
      </c>
      <c r="AP125" s="175">
        <f>SUMIFS('1-2 人员岗位信息'!J:J,'1-2 人员岗位信息'!$C:$C,"劳务派遣",'1-2 人员岗位信息'!$B:$B,$D125)</f>
        <v>0</v>
      </c>
      <c r="AQ125" s="298"/>
      <c r="AR125" s="175">
        <f t="shared" si="215"/>
        <v>0</v>
      </c>
      <c r="AS125" s="175">
        <f>SUMIFS('1-2 人员岗位信息'!K:K,'1-2 人员岗位信息'!$C:$C,"劳务派遣",'1-2 人员岗位信息'!$B:$B,$D125)</f>
        <v>0</v>
      </c>
      <c r="AT125" s="298"/>
      <c r="AU125" s="175">
        <f t="shared" si="216"/>
        <v>0</v>
      </c>
      <c r="AV125" s="175">
        <f>SUMIFS('1-2 人员岗位信息'!L:L,'1-2 人员岗位信息'!$C:$C,"劳务派遣",'1-2 人员岗位信息'!$B:$B,$D125)</f>
        <v>0</v>
      </c>
      <c r="AW125" s="298"/>
      <c r="AX125" s="175">
        <f t="shared" si="217"/>
        <v>0</v>
      </c>
      <c r="AY125" s="175">
        <f>SUMIFS('1-2 人员岗位信息'!M:M,'1-2 人员岗位信息'!$C:$C,"劳务派遣",'1-2 人员岗位信息'!$B:$B,$D125)</f>
        <v>0</v>
      </c>
      <c r="AZ125" s="298"/>
      <c r="BA125" s="175">
        <f t="shared" si="218"/>
        <v>0</v>
      </c>
      <c r="BB125" s="175">
        <f>SUMIFS('1-2 人员岗位信息'!N:N,'1-2 人员岗位信息'!$C:$C,"劳务派遣",'1-2 人员岗位信息'!$B:$B,$D125)</f>
        <v>0</v>
      </c>
      <c r="BC125" s="298"/>
      <c r="BD125" s="175">
        <f t="shared" si="219"/>
        <v>0</v>
      </c>
      <c r="BE125" s="175">
        <f>SUMIFS('1-2 人员岗位信息'!O:O,'1-2 人员岗位信息'!$C:$C,"劳务派遣",'1-2 人员岗位信息'!$B:$B,$D125)</f>
        <v>0</v>
      </c>
      <c r="BF125" s="298"/>
      <c r="BG125" s="175">
        <f t="shared" si="220"/>
        <v>0</v>
      </c>
      <c r="BH125" s="175">
        <f>SUMIFS('1-2 人员岗位信息'!P:P,'1-2 人员岗位信息'!$C:$C,"劳务派遣",'1-2 人员岗位信息'!$B:$B,$D125)</f>
        <v>0</v>
      </c>
      <c r="BI125" s="298"/>
      <c r="BJ125" s="175">
        <f t="shared" si="221"/>
        <v>0</v>
      </c>
      <c r="BK125" s="175">
        <f>SUMIFS('1-2 人员岗位信息'!Q:Q,'1-2 人员岗位信息'!$C:$C,"劳务派遣",'1-2 人员岗位信息'!$B:$B,$D125)</f>
        <v>0</v>
      </c>
      <c r="BL125" s="307"/>
      <c r="BM125" s="311"/>
      <c r="BN125" s="315"/>
    </row>
    <row r="126" s="263" customFormat="1" ht="33.95" customHeight="1" outlineLevel="5" spans="2:66">
      <c r="B126" s="175" t="s">
        <v>799</v>
      </c>
      <c r="C126" s="283" t="s">
        <v>1013</v>
      </c>
      <c r="D126" s="263" t="s">
        <v>995</v>
      </c>
      <c r="E126" s="175" t="s">
        <v>996</v>
      </c>
      <c r="F126" s="175"/>
      <c r="G126" s="175" t="s">
        <v>803</v>
      </c>
      <c r="H126" s="175">
        <f t="shared" si="205"/>
        <v>0</v>
      </c>
      <c r="I126" s="175" t="s">
        <v>804</v>
      </c>
      <c r="J126" s="175" t="e">
        <f t="shared" si="206"/>
        <v>#DIV/0!</v>
      </c>
      <c r="K126" s="175" t="s">
        <v>805</v>
      </c>
      <c r="L126" s="175" t="e">
        <f t="shared" si="207"/>
        <v>#DIV/0!</v>
      </c>
      <c r="M126" s="175" t="s">
        <v>806</v>
      </c>
      <c r="N126" s="175">
        <f t="shared" si="208"/>
        <v>0</v>
      </c>
      <c r="O126" s="175"/>
      <c r="P126" s="290"/>
      <c r="Q126" s="290"/>
      <c r="R126" s="290"/>
      <c r="S126" s="290"/>
      <c r="T126" s="290"/>
      <c r="U126" s="290"/>
      <c r="V126" s="290"/>
      <c r="W126" s="290"/>
      <c r="X126" s="290"/>
      <c r="Y126" s="290"/>
      <c r="Z126" s="290"/>
      <c r="AA126" s="290"/>
      <c r="AB126" s="175">
        <f t="shared" si="209"/>
        <v>0</v>
      </c>
      <c r="AC126" s="175">
        <f t="shared" si="210"/>
        <v>0</v>
      </c>
      <c r="AD126" s="175">
        <f>SUMIFS('1-2 人员岗位信息'!F:F,'1-2 人员岗位信息'!$C:$C,"劳务派遣",'1-2 人员岗位信息'!$B:$B,$D126)</f>
        <v>0</v>
      </c>
      <c r="AE126" s="298"/>
      <c r="AF126" s="175">
        <f t="shared" si="211"/>
        <v>0</v>
      </c>
      <c r="AG126" s="175">
        <f>SUMIFS('1-2 人员岗位信息'!G:G,'1-2 人员岗位信息'!$C:$C,"劳务派遣",'1-2 人员岗位信息'!$B:$B,$D126)</f>
        <v>0</v>
      </c>
      <c r="AH126" s="298"/>
      <c r="AI126" s="175">
        <f t="shared" si="212"/>
        <v>0</v>
      </c>
      <c r="AJ126" s="175">
        <f>SUMIFS('1-2 人员岗位信息'!H:H,'1-2 人员岗位信息'!$C:$C,"劳务派遣",'1-2 人员岗位信息'!$B:$B,$D126)</f>
        <v>0</v>
      </c>
      <c r="AK126" s="298"/>
      <c r="AL126" s="175">
        <f t="shared" si="213"/>
        <v>0</v>
      </c>
      <c r="AM126" s="175">
        <f>SUMIFS('1-2 人员岗位信息'!I:I,'1-2 人员岗位信息'!$C:$C,"劳务派遣",'1-2 人员岗位信息'!$B:$B,$D126)</f>
        <v>0</v>
      </c>
      <c r="AN126" s="298"/>
      <c r="AO126" s="175">
        <f t="shared" si="214"/>
        <v>0</v>
      </c>
      <c r="AP126" s="175">
        <f>SUMIFS('1-2 人员岗位信息'!J:J,'1-2 人员岗位信息'!$C:$C,"劳务派遣",'1-2 人员岗位信息'!$B:$B,$D126)</f>
        <v>0</v>
      </c>
      <c r="AQ126" s="298"/>
      <c r="AR126" s="175">
        <f t="shared" si="215"/>
        <v>0</v>
      </c>
      <c r="AS126" s="175">
        <f>SUMIFS('1-2 人员岗位信息'!K:K,'1-2 人员岗位信息'!$C:$C,"劳务派遣",'1-2 人员岗位信息'!$B:$B,$D126)</f>
        <v>0</v>
      </c>
      <c r="AT126" s="298"/>
      <c r="AU126" s="175">
        <f t="shared" si="216"/>
        <v>0</v>
      </c>
      <c r="AV126" s="175">
        <f>SUMIFS('1-2 人员岗位信息'!L:L,'1-2 人员岗位信息'!$C:$C,"劳务派遣",'1-2 人员岗位信息'!$B:$B,$D126)</f>
        <v>0</v>
      </c>
      <c r="AW126" s="298"/>
      <c r="AX126" s="175">
        <f t="shared" si="217"/>
        <v>0</v>
      </c>
      <c r="AY126" s="175">
        <f>SUMIFS('1-2 人员岗位信息'!M:M,'1-2 人员岗位信息'!$C:$C,"劳务派遣",'1-2 人员岗位信息'!$B:$B,$D126)</f>
        <v>0</v>
      </c>
      <c r="AZ126" s="298"/>
      <c r="BA126" s="175">
        <f t="shared" si="218"/>
        <v>0</v>
      </c>
      <c r="BB126" s="175">
        <f>SUMIFS('1-2 人员岗位信息'!N:N,'1-2 人员岗位信息'!$C:$C,"劳务派遣",'1-2 人员岗位信息'!$B:$B,$D126)</f>
        <v>0</v>
      </c>
      <c r="BC126" s="298"/>
      <c r="BD126" s="175">
        <f t="shared" si="219"/>
        <v>0</v>
      </c>
      <c r="BE126" s="175">
        <f>SUMIFS('1-2 人员岗位信息'!O:O,'1-2 人员岗位信息'!$C:$C,"劳务派遣",'1-2 人员岗位信息'!$B:$B,$D126)</f>
        <v>0</v>
      </c>
      <c r="BF126" s="298"/>
      <c r="BG126" s="175">
        <f t="shared" si="220"/>
        <v>0</v>
      </c>
      <c r="BH126" s="175">
        <f>SUMIFS('1-2 人员岗位信息'!P:P,'1-2 人员岗位信息'!$C:$C,"劳务派遣",'1-2 人员岗位信息'!$B:$B,$D126)</f>
        <v>0</v>
      </c>
      <c r="BI126" s="298"/>
      <c r="BJ126" s="175">
        <f t="shared" si="221"/>
        <v>0</v>
      </c>
      <c r="BK126" s="175">
        <f>SUMIFS('1-2 人员岗位信息'!Q:Q,'1-2 人员岗位信息'!$C:$C,"劳务派遣",'1-2 人员岗位信息'!$B:$B,$D126)</f>
        <v>0</v>
      </c>
      <c r="BL126" s="307"/>
      <c r="BM126" s="311"/>
      <c r="BN126" s="315"/>
    </row>
    <row r="127" s="263" customFormat="1" ht="33.95" customHeight="1" outlineLevel="5" spans="2:66">
      <c r="B127" s="175" t="s">
        <v>799</v>
      </c>
      <c r="C127" s="283" t="s">
        <v>1014</v>
      </c>
      <c r="D127" s="263" t="s">
        <v>998</v>
      </c>
      <c r="E127" s="175" t="s">
        <v>996</v>
      </c>
      <c r="F127" s="175"/>
      <c r="G127" s="175" t="s">
        <v>803</v>
      </c>
      <c r="H127" s="175">
        <f t="shared" si="205"/>
        <v>0</v>
      </c>
      <c r="I127" s="175" t="s">
        <v>804</v>
      </c>
      <c r="J127" s="175" t="e">
        <f t="shared" si="206"/>
        <v>#DIV/0!</v>
      </c>
      <c r="K127" s="175" t="s">
        <v>805</v>
      </c>
      <c r="L127" s="175" t="e">
        <f t="shared" si="207"/>
        <v>#DIV/0!</v>
      </c>
      <c r="M127" s="175" t="s">
        <v>806</v>
      </c>
      <c r="N127" s="175">
        <f t="shared" si="208"/>
        <v>0</v>
      </c>
      <c r="O127" s="175"/>
      <c r="P127" s="290"/>
      <c r="Q127" s="290"/>
      <c r="R127" s="290"/>
      <c r="S127" s="290"/>
      <c r="T127" s="290"/>
      <c r="U127" s="290"/>
      <c r="V127" s="290"/>
      <c r="W127" s="290"/>
      <c r="X127" s="290"/>
      <c r="Y127" s="290"/>
      <c r="Z127" s="290"/>
      <c r="AA127" s="290"/>
      <c r="AB127" s="175">
        <f t="shared" si="209"/>
        <v>0</v>
      </c>
      <c r="AC127" s="175">
        <f t="shared" si="210"/>
        <v>0</v>
      </c>
      <c r="AD127" s="175">
        <f>SUMIFS('1-2 人员岗位信息'!F:F,'1-2 人员岗位信息'!$C:$C,"劳务派遣",'1-2 人员岗位信息'!$B:$B,$D127)</f>
        <v>0</v>
      </c>
      <c r="AE127" s="298"/>
      <c r="AF127" s="175">
        <f t="shared" si="211"/>
        <v>0</v>
      </c>
      <c r="AG127" s="175">
        <f>SUMIFS('1-2 人员岗位信息'!G:G,'1-2 人员岗位信息'!$C:$C,"劳务派遣",'1-2 人员岗位信息'!$B:$B,$D127)</f>
        <v>0</v>
      </c>
      <c r="AH127" s="298"/>
      <c r="AI127" s="175">
        <f t="shared" si="212"/>
        <v>0</v>
      </c>
      <c r="AJ127" s="175">
        <f>SUMIFS('1-2 人员岗位信息'!H:H,'1-2 人员岗位信息'!$C:$C,"劳务派遣",'1-2 人员岗位信息'!$B:$B,$D127)</f>
        <v>0</v>
      </c>
      <c r="AK127" s="298"/>
      <c r="AL127" s="175">
        <f t="shared" si="213"/>
        <v>0</v>
      </c>
      <c r="AM127" s="175">
        <f>SUMIFS('1-2 人员岗位信息'!I:I,'1-2 人员岗位信息'!$C:$C,"劳务派遣",'1-2 人员岗位信息'!$B:$B,$D127)</f>
        <v>0</v>
      </c>
      <c r="AN127" s="298"/>
      <c r="AO127" s="175">
        <f t="shared" si="214"/>
        <v>0</v>
      </c>
      <c r="AP127" s="175">
        <f>SUMIFS('1-2 人员岗位信息'!J:J,'1-2 人员岗位信息'!$C:$C,"劳务派遣",'1-2 人员岗位信息'!$B:$B,$D127)</f>
        <v>0</v>
      </c>
      <c r="AQ127" s="298"/>
      <c r="AR127" s="175">
        <f t="shared" si="215"/>
        <v>0</v>
      </c>
      <c r="AS127" s="175">
        <f>SUMIFS('1-2 人员岗位信息'!K:K,'1-2 人员岗位信息'!$C:$C,"劳务派遣",'1-2 人员岗位信息'!$B:$B,$D127)</f>
        <v>0</v>
      </c>
      <c r="AT127" s="298"/>
      <c r="AU127" s="175">
        <f t="shared" si="216"/>
        <v>0</v>
      </c>
      <c r="AV127" s="175">
        <f>SUMIFS('1-2 人员岗位信息'!L:L,'1-2 人员岗位信息'!$C:$C,"劳务派遣",'1-2 人员岗位信息'!$B:$B,$D127)</f>
        <v>0</v>
      </c>
      <c r="AW127" s="298"/>
      <c r="AX127" s="175">
        <f t="shared" si="217"/>
        <v>0</v>
      </c>
      <c r="AY127" s="175">
        <f>SUMIFS('1-2 人员岗位信息'!M:M,'1-2 人员岗位信息'!$C:$C,"劳务派遣",'1-2 人员岗位信息'!$B:$B,$D127)</f>
        <v>0</v>
      </c>
      <c r="AZ127" s="298"/>
      <c r="BA127" s="175">
        <f t="shared" si="218"/>
        <v>0</v>
      </c>
      <c r="BB127" s="175">
        <f>SUMIFS('1-2 人员岗位信息'!N:N,'1-2 人员岗位信息'!$C:$C,"劳务派遣",'1-2 人员岗位信息'!$B:$B,$D127)</f>
        <v>0</v>
      </c>
      <c r="BC127" s="298"/>
      <c r="BD127" s="175">
        <f t="shared" si="219"/>
        <v>0</v>
      </c>
      <c r="BE127" s="175">
        <f>SUMIFS('1-2 人员岗位信息'!O:O,'1-2 人员岗位信息'!$C:$C,"劳务派遣",'1-2 人员岗位信息'!$B:$B,$D127)</f>
        <v>0</v>
      </c>
      <c r="BF127" s="298"/>
      <c r="BG127" s="175">
        <f t="shared" si="220"/>
        <v>0</v>
      </c>
      <c r="BH127" s="175">
        <f>SUMIFS('1-2 人员岗位信息'!P:P,'1-2 人员岗位信息'!$C:$C,"劳务派遣",'1-2 人员岗位信息'!$B:$B,$D127)</f>
        <v>0</v>
      </c>
      <c r="BI127" s="298"/>
      <c r="BJ127" s="175">
        <f t="shared" si="221"/>
        <v>0</v>
      </c>
      <c r="BK127" s="175">
        <f>SUMIFS('1-2 人员岗位信息'!Q:Q,'1-2 人员岗位信息'!$C:$C,"劳务派遣",'1-2 人员岗位信息'!$B:$B,$D127)</f>
        <v>0</v>
      </c>
      <c r="BL127" s="307"/>
      <c r="BM127" s="311"/>
      <c r="BN127" s="315"/>
    </row>
    <row r="128" s="263" customFormat="1" ht="33.95" customHeight="1" outlineLevel="5" spans="2:66">
      <c r="B128" s="175" t="s">
        <v>799</v>
      </c>
      <c r="C128" s="283" t="s">
        <v>1015</v>
      </c>
      <c r="D128" s="263" t="s">
        <v>1000</v>
      </c>
      <c r="E128" s="175" t="s">
        <v>996</v>
      </c>
      <c r="F128" s="175"/>
      <c r="G128" s="175" t="s">
        <v>803</v>
      </c>
      <c r="H128" s="175">
        <f t="shared" si="205"/>
        <v>0</v>
      </c>
      <c r="I128" s="175" t="s">
        <v>804</v>
      </c>
      <c r="J128" s="175" t="e">
        <f t="shared" si="206"/>
        <v>#DIV/0!</v>
      </c>
      <c r="K128" s="175" t="s">
        <v>805</v>
      </c>
      <c r="L128" s="175" t="e">
        <f t="shared" si="207"/>
        <v>#DIV/0!</v>
      </c>
      <c r="M128" s="175" t="s">
        <v>806</v>
      </c>
      <c r="N128" s="175">
        <f t="shared" si="208"/>
        <v>0</v>
      </c>
      <c r="O128" s="175"/>
      <c r="P128" s="290"/>
      <c r="Q128" s="290"/>
      <c r="R128" s="290"/>
      <c r="S128" s="290"/>
      <c r="T128" s="290"/>
      <c r="U128" s="290"/>
      <c r="V128" s="290"/>
      <c r="W128" s="290"/>
      <c r="X128" s="290"/>
      <c r="Y128" s="290"/>
      <c r="Z128" s="290"/>
      <c r="AA128" s="290"/>
      <c r="AB128" s="175">
        <f t="shared" si="209"/>
        <v>0</v>
      </c>
      <c r="AC128" s="175">
        <f t="shared" si="210"/>
        <v>0</v>
      </c>
      <c r="AD128" s="175">
        <f>SUMIFS('1-2 人员岗位信息'!F:F,'1-2 人员岗位信息'!$C:$C,"劳务派遣",'1-2 人员岗位信息'!$B:$B,$D128)</f>
        <v>0</v>
      </c>
      <c r="AE128" s="298"/>
      <c r="AF128" s="175">
        <f t="shared" si="211"/>
        <v>0</v>
      </c>
      <c r="AG128" s="175">
        <f>SUMIFS('1-2 人员岗位信息'!G:G,'1-2 人员岗位信息'!$C:$C,"劳务派遣",'1-2 人员岗位信息'!$B:$B,$D128)</f>
        <v>0</v>
      </c>
      <c r="AH128" s="298"/>
      <c r="AI128" s="175">
        <f t="shared" si="212"/>
        <v>0</v>
      </c>
      <c r="AJ128" s="175">
        <f>SUMIFS('1-2 人员岗位信息'!H:H,'1-2 人员岗位信息'!$C:$C,"劳务派遣",'1-2 人员岗位信息'!$B:$B,$D128)</f>
        <v>0</v>
      </c>
      <c r="AK128" s="298"/>
      <c r="AL128" s="175">
        <f t="shared" si="213"/>
        <v>0</v>
      </c>
      <c r="AM128" s="175">
        <f>SUMIFS('1-2 人员岗位信息'!I:I,'1-2 人员岗位信息'!$C:$C,"劳务派遣",'1-2 人员岗位信息'!$B:$B,$D128)</f>
        <v>0</v>
      </c>
      <c r="AN128" s="298"/>
      <c r="AO128" s="175">
        <f t="shared" si="214"/>
        <v>0</v>
      </c>
      <c r="AP128" s="175">
        <f>SUMIFS('1-2 人员岗位信息'!J:J,'1-2 人员岗位信息'!$C:$C,"劳务派遣",'1-2 人员岗位信息'!$B:$B,$D128)</f>
        <v>0</v>
      </c>
      <c r="AQ128" s="298"/>
      <c r="AR128" s="175">
        <f t="shared" si="215"/>
        <v>0</v>
      </c>
      <c r="AS128" s="175">
        <f>SUMIFS('1-2 人员岗位信息'!K:K,'1-2 人员岗位信息'!$C:$C,"劳务派遣",'1-2 人员岗位信息'!$B:$B,$D128)</f>
        <v>0</v>
      </c>
      <c r="AT128" s="298"/>
      <c r="AU128" s="175">
        <f t="shared" si="216"/>
        <v>0</v>
      </c>
      <c r="AV128" s="175">
        <f>SUMIFS('1-2 人员岗位信息'!L:L,'1-2 人员岗位信息'!$C:$C,"劳务派遣",'1-2 人员岗位信息'!$B:$B,$D128)</f>
        <v>0</v>
      </c>
      <c r="AW128" s="298"/>
      <c r="AX128" s="175">
        <f t="shared" si="217"/>
        <v>0</v>
      </c>
      <c r="AY128" s="175">
        <f>SUMIFS('1-2 人员岗位信息'!M:M,'1-2 人员岗位信息'!$C:$C,"劳务派遣",'1-2 人员岗位信息'!$B:$B,$D128)</f>
        <v>0</v>
      </c>
      <c r="AZ128" s="298"/>
      <c r="BA128" s="175">
        <f t="shared" si="218"/>
        <v>0</v>
      </c>
      <c r="BB128" s="175">
        <f>SUMIFS('1-2 人员岗位信息'!N:N,'1-2 人员岗位信息'!$C:$C,"劳务派遣",'1-2 人员岗位信息'!$B:$B,$D128)</f>
        <v>0</v>
      </c>
      <c r="BC128" s="298"/>
      <c r="BD128" s="175">
        <f t="shared" si="219"/>
        <v>0</v>
      </c>
      <c r="BE128" s="175">
        <f>SUMIFS('1-2 人员岗位信息'!O:O,'1-2 人员岗位信息'!$C:$C,"劳务派遣",'1-2 人员岗位信息'!$B:$B,$D128)</f>
        <v>0</v>
      </c>
      <c r="BF128" s="298"/>
      <c r="BG128" s="175">
        <f t="shared" si="220"/>
        <v>0</v>
      </c>
      <c r="BH128" s="175">
        <f>SUMIFS('1-2 人员岗位信息'!P:P,'1-2 人员岗位信息'!$C:$C,"劳务派遣",'1-2 人员岗位信息'!$B:$B,$D128)</f>
        <v>0</v>
      </c>
      <c r="BI128" s="298"/>
      <c r="BJ128" s="175">
        <f t="shared" si="221"/>
        <v>0</v>
      </c>
      <c r="BK128" s="175">
        <f>SUMIFS('1-2 人员岗位信息'!Q:Q,'1-2 人员岗位信息'!$C:$C,"劳务派遣",'1-2 人员岗位信息'!$B:$B,$D128)</f>
        <v>0</v>
      </c>
      <c r="BL128" s="307"/>
      <c r="BM128" s="311"/>
      <c r="BN128" s="315"/>
    </row>
    <row r="129" s="263" customFormat="1" ht="33.95" customHeight="1" outlineLevel="5" spans="2:66">
      <c r="B129" s="175" t="s">
        <v>799</v>
      </c>
      <c r="C129" s="283" t="s">
        <v>1016</v>
      </c>
      <c r="D129" s="263" t="s">
        <v>1002</v>
      </c>
      <c r="E129" s="175" t="s">
        <v>996</v>
      </c>
      <c r="F129" s="175"/>
      <c r="G129" s="175" t="s">
        <v>803</v>
      </c>
      <c r="H129" s="175">
        <f t="shared" si="205"/>
        <v>0</v>
      </c>
      <c r="I129" s="175" t="s">
        <v>804</v>
      </c>
      <c r="J129" s="175" t="e">
        <f t="shared" si="206"/>
        <v>#DIV/0!</v>
      </c>
      <c r="K129" s="175" t="s">
        <v>805</v>
      </c>
      <c r="L129" s="175" t="e">
        <f t="shared" si="207"/>
        <v>#DIV/0!</v>
      </c>
      <c r="M129" s="175" t="s">
        <v>806</v>
      </c>
      <c r="N129" s="175">
        <f t="shared" si="208"/>
        <v>0</v>
      </c>
      <c r="O129" s="175"/>
      <c r="P129" s="290"/>
      <c r="Q129" s="290"/>
      <c r="R129" s="290"/>
      <c r="S129" s="290"/>
      <c r="T129" s="290"/>
      <c r="U129" s="290"/>
      <c r="V129" s="290"/>
      <c r="W129" s="290"/>
      <c r="X129" s="290"/>
      <c r="Y129" s="290"/>
      <c r="Z129" s="290"/>
      <c r="AA129" s="290"/>
      <c r="AB129" s="175">
        <f t="shared" si="209"/>
        <v>0</v>
      </c>
      <c r="AC129" s="175">
        <f t="shared" si="210"/>
        <v>0</v>
      </c>
      <c r="AD129" s="175">
        <f>SUMIFS('1-2 人员岗位信息'!F:F,'1-2 人员岗位信息'!$C:$C,"劳务派遣",'1-2 人员岗位信息'!$B:$B,$D129)</f>
        <v>0</v>
      </c>
      <c r="AE129" s="298"/>
      <c r="AF129" s="175">
        <f t="shared" si="211"/>
        <v>0</v>
      </c>
      <c r="AG129" s="175">
        <f>SUMIFS('1-2 人员岗位信息'!G:G,'1-2 人员岗位信息'!$C:$C,"劳务派遣",'1-2 人员岗位信息'!$B:$B,$D129)</f>
        <v>0</v>
      </c>
      <c r="AH129" s="298"/>
      <c r="AI129" s="175">
        <f t="shared" si="212"/>
        <v>0</v>
      </c>
      <c r="AJ129" s="175">
        <f>SUMIFS('1-2 人员岗位信息'!H:H,'1-2 人员岗位信息'!$C:$C,"劳务派遣",'1-2 人员岗位信息'!$B:$B,$D129)</f>
        <v>0</v>
      </c>
      <c r="AK129" s="298"/>
      <c r="AL129" s="175">
        <f t="shared" si="213"/>
        <v>0</v>
      </c>
      <c r="AM129" s="175">
        <f>SUMIFS('1-2 人员岗位信息'!I:I,'1-2 人员岗位信息'!$C:$C,"劳务派遣",'1-2 人员岗位信息'!$B:$B,$D129)</f>
        <v>0</v>
      </c>
      <c r="AN129" s="298"/>
      <c r="AO129" s="175">
        <f t="shared" si="214"/>
        <v>0</v>
      </c>
      <c r="AP129" s="175">
        <f>SUMIFS('1-2 人员岗位信息'!J:J,'1-2 人员岗位信息'!$C:$C,"劳务派遣",'1-2 人员岗位信息'!$B:$B,$D129)</f>
        <v>0</v>
      </c>
      <c r="AQ129" s="298"/>
      <c r="AR129" s="175">
        <f t="shared" si="215"/>
        <v>0</v>
      </c>
      <c r="AS129" s="175">
        <f>SUMIFS('1-2 人员岗位信息'!K:K,'1-2 人员岗位信息'!$C:$C,"劳务派遣",'1-2 人员岗位信息'!$B:$B,$D129)</f>
        <v>0</v>
      </c>
      <c r="AT129" s="298"/>
      <c r="AU129" s="175">
        <f t="shared" si="216"/>
        <v>0</v>
      </c>
      <c r="AV129" s="175">
        <f>SUMIFS('1-2 人员岗位信息'!L:L,'1-2 人员岗位信息'!$C:$C,"劳务派遣",'1-2 人员岗位信息'!$B:$B,$D129)</f>
        <v>0</v>
      </c>
      <c r="AW129" s="298"/>
      <c r="AX129" s="175">
        <f t="shared" si="217"/>
        <v>0</v>
      </c>
      <c r="AY129" s="175">
        <f>SUMIFS('1-2 人员岗位信息'!M:M,'1-2 人员岗位信息'!$C:$C,"劳务派遣",'1-2 人员岗位信息'!$B:$B,$D129)</f>
        <v>0</v>
      </c>
      <c r="AZ129" s="298"/>
      <c r="BA129" s="175">
        <f t="shared" si="218"/>
        <v>0</v>
      </c>
      <c r="BB129" s="175">
        <f>SUMIFS('1-2 人员岗位信息'!N:N,'1-2 人员岗位信息'!$C:$C,"劳务派遣",'1-2 人员岗位信息'!$B:$B,$D129)</f>
        <v>0</v>
      </c>
      <c r="BC129" s="298"/>
      <c r="BD129" s="175">
        <f t="shared" si="219"/>
        <v>0</v>
      </c>
      <c r="BE129" s="175">
        <f>SUMIFS('1-2 人员岗位信息'!O:O,'1-2 人员岗位信息'!$C:$C,"劳务派遣",'1-2 人员岗位信息'!$B:$B,$D129)</f>
        <v>0</v>
      </c>
      <c r="BF129" s="298"/>
      <c r="BG129" s="175">
        <f t="shared" si="220"/>
        <v>0</v>
      </c>
      <c r="BH129" s="175">
        <f>SUMIFS('1-2 人员岗位信息'!P:P,'1-2 人员岗位信息'!$C:$C,"劳务派遣",'1-2 人员岗位信息'!$B:$B,$D129)</f>
        <v>0</v>
      </c>
      <c r="BI129" s="298"/>
      <c r="BJ129" s="175">
        <f t="shared" si="221"/>
        <v>0</v>
      </c>
      <c r="BK129" s="175">
        <f>SUMIFS('1-2 人员岗位信息'!Q:Q,'1-2 人员岗位信息'!$C:$C,"劳务派遣",'1-2 人员岗位信息'!$B:$B,$D129)</f>
        <v>0</v>
      </c>
      <c r="BL129" s="307"/>
      <c r="BM129" s="311"/>
      <c r="BN129" s="315"/>
    </row>
    <row r="130" s="263" customFormat="1" ht="33.95" customHeight="1" outlineLevel="5" spans="2:66">
      <c r="B130" s="175" t="s">
        <v>799</v>
      </c>
      <c r="C130" s="283" t="s">
        <v>1017</v>
      </c>
      <c r="D130" s="263" t="s">
        <v>1004</v>
      </c>
      <c r="E130" s="175" t="s">
        <v>1005</v>
      </c>
      <c r="F130" s="175"/>
      <c r="G130" s="175" t="s">
        <v>803</v>
      </c>
      <c r="H130" s="175">
        <f t="shared" si="205"/>
        <v>0</v>
      </c>
      <c r="I130" s="175" t="s">
        <v>804</v>
      </c>
      <c r="J130" s="175" t="e">
        <f t="shared" si="206"/>
        <v>#DIV/0!</v>
      </c>
      <c r="K130" s="175" t="s">
        <v>805</v>
      </c>
      <c r="L130" s="175" t="e">
        <f t="shared" si="207"/>
        <v>#DIV/0!</v>
      </c>
      <c r="M130" s="175" t="s">
        <v>806</v>
      </c>
      <c r="N130" s="175">
        <f t="shared" si="208"/>
        <v>0</v>
      </c>
      <c r="O130" s="175"/>
      <c r="P130" s="290"/>
      <c r="Q130" s="290"/>
      <c r="R130" s="290"/>
      <c r="S130" s="290"/>
      <c r="T130" s="290"/>
      <c r="U130" s="290"/>
      <c r="V130" s="290"/>
      <c r="W130" s="290"/>
      <c r="X130" s="290"/>
      <c r="Y130" s="290"/>
      <c r="Z130" s="290"/>
      <c r="AA130" s="290"/>
      <c r="AB130" s="175">
        <f t="shared" si="209"/>
        <v>0</v>
      </c>
      <c r="AC130" s="175">
        <f t="shared" si="210"/>
        <v>0</v>
      </c>
      <c r="AD130" s="175">
        <f>SUMIFS('1-2 人员岗位信息'!F:F,'1-2 人员岗位信息'!$C:$C,"劳务派遣",'1-2 人员岗位信息'!$B:$B,$D130)</f>
        <v>0</v>
      </c>
      <c r="AE130" s="298"/>
      <c r="AF130" s="175">
        <f t="shared" si="211"/>
        <v>0</v>
      </c>
      <c r="AG130" s="175">
        <f>SUMIFS('1-2 人员岗位信息'!G:G,'1-2 人员岗位信息'!$C:$C,"劳务派遣",'1-2 人员岗位信息'!$B:$B,$D130)</f>
        <v>0</v>
      </c>
      <c r="AH130" s="298"/>
      <c r="AI130" s="175">
        <f t="shared" si="212"/>
        <v>0</v>
      </c>
      <c r="AJ130" s="175">
        <f>SUMIFS('1-2 人员岗位信息'!H:H,'1-2 人员岗位信息'!$C:$C,"劳务派遣",'1-2 人员岗位信息'!$B:$B,$D130)</f>
        <v>0</v>
      </c>
      <c r="AK130" s="298"/>
      <c r="AL130" s="175">
        <f t="shared" si="213"/>
        <v>0</v>
      </c>
      <c r="AM130" s="175">
        <f>SUMIFS('1-2 人员岗位信息'!I:I,'1-2 人员岗位信息'!$C:$C,"劳务派遣",'1-2 人员岗位信息'!$B:$B,$D130)</f>
        <v>0</v>
      </c>
      <c r="AN130" s="298"/>
      <c r="AO130" s="175">
        <f t="shared" si="214"/>
        <v>0</v>
      </c>
      <c r="AP130" s="175">
        <f>SUMIFS('1-2 人员岗位信息'!J:J,'1-2 人员岗位信息'!$C:$C,"劳务派遣",'1-2 人员岗位信息'!$B:$B,$D130)</f>
        <v>0</v>
      </c>
      <c r="AQ130" s="298"/>
      <c r="AR130" s="175">
        <f t="shared" si="215"/>
        <v>0</v>
      </c>
      <c r="AS130" s="175">
        <f>SUMIFS('1-2 人员岗位信息'!K:K,'1-2 人员岗位信息'!$C:$C,"劳务派遣",'1-2 人员岗位信息'!$B:$B,$D130)</f>
        <v>0</v>
      </c>
      <c r="AT130" s="298"/>
      <c r="AU130" s="175">
        <f t="shared" si="216"/>
        <v>0</v>
      </c>
      <c r="AV130" s="175">
        <f>SUMIFS('1-2 人员岗位信息'!L:L,'1-2 人员岗位信息'!$C:$C,"劳务派遣",'1-2 人员岗位信息'!$B:$B,$D130)</f>
        <v>0</v>
      </c>
      <c r="AW130" s="298"/>
      <c r="AX130" s="175">
        <f t="shared" si="217"/>
        <v>0</v>
      </c>
      <c r="AY130" s="175">
        <f>SUMIFS('1-2 人员岗位信息'!M:M,'1-2 人员岗位信息'!$C:$C,"劳务派遣",'1-2 人员岗位信息'!$B:$B,$D130)</f>
        <v>0</v>
      </c>
      <c r="AZ130" s="298"/>
      <c r="BA130" s="175">
        <f t="shared" si="218"/>
        <v>0</v>
      </c>
      <c r="BB130" s="175">
        <f>SUMIFS('1-2 人员岗位信息'!N:N,'1-2 人员岗位信息'!$C:$C,"劳务派遣",'1-2 人员岗位信息'!$B:$B,$D130)</f>
        <v>0</v>
      </c>
      <c r="BC130" s="298"/>
      <c r="BD130" s="175">
        <f t="shared" si="219"/>
        <v>0</v>
      </c>
      <c r="BE130" s="175">
        <f>SUMIFS('1-2 人员岗位信息'!O:O,'1-2 人员岗位信息'!$C:$C,"劳务派遣",'1-2 人员岗位信息'!$B:$B,$D130)</f>
        <v>0</v>
      </c>
      <c r="BF130" s="298"/>
      <c r="BG130" s="175">
        <f t="shared" si="220"/>
        <v>0</v>
      </c>
      <c r="BH130" s="175">
        <f>SUMIFS('1-2 人员岗位信息'!P:P,'1-2 人员岗位信息'!$C:$C,"劳务派遣",'1-2 人员岗位信息'!$B:$B,$D130)</f>
        <v>0</v>
      </c>
      <c r="BI130" s="298"/>
      <c r="BJ130" s="175">
        <f t="shared" si="221"/>
        <v>0</v>
      </c>
      <c r="BK130" s="175">
        <f>SUMIFS('1-2 人员岗位信息'!Q:Q,'1-2 人员岗位信息'!$C:$C,"劳务派遣",'1-2 人员岗位信息'!$B:$B,$D130)</f>
        <v>0</v>
      </c>
      <c r="BL130" s="307"/>
      <c r="BM130" s="311"/>
      <c r="BN130" s="315"/>
    </row>
    <row r="131" s="263" customFormat="1" ht="33.95" customHeight="1" outlineLevel="5" spans="2:66">
      <c r="B131" s="175" t="s">
        <v>799</v>
      </c>
      <c r="C131" s="283" t="s">
        <v>1018</v>
      </c>
      <c r="D131" s="263" t="s">
        <v>1007</v>
      </c>
      <c r="E131" s="175" t="s">
        <v>821</v>
      </c>
      <c r="F131" s="175"/>
      <c r="G131" s="175" t="s">
        <v>803</v>
      </c>
      <c r="H131" s="175">
        <f t="shared" si="205"/>
        <v>0</v>
      </c>
      <c r="I131" s="175" t="s">
        <v>804</v>
      </c>
      <c r="J131" s="175" t="e">
        <f t="shared" si="206"/>
        <v>#DIV/0!</v>
      </c>
      <c r="K131" s="175" t="s">
        <v>805</v>
      </c>
      <c r="L131" s="175" t="e">
        <f t="shared" si="207"/>
        <v>#DIV/0!</v>
      </c>
      <c r="M131" s="175" t="s">
        <v>806</v>
      </c>
      <c r="N131" s="175">
        <f t="shared" si="208"/>
        <v>0</v>
      </c>
      <c r="O131" s="175"/>
      <c r="P131" s="290"/>
      <c r="Q131" s="290"/>
      <c r="R131" s="290"/>
      <c r="S131" s="290"/>
      <c r="T131" s="290"/>
      <c r="U131" s="290"/>
      <c r="V131" s="290"/>
      <c r="W131" s="290"/>
      <c r="X131" s="290"/>
      <c r="Y131" s="290"/>
      <c r="Z131" s="290"/>
      <c r="AA131" s="290"/>
      <c r="AB131" s="175">
        <f t="shared" si="209"/>
        <v>0</v>
      </c>
      <c r="AC131" s="175">
        <f t="shared" si="210"/>
        <v>0</v>
      </c>
      <c r="AD131" s="175">
        <f>SUMIFS('1-2 人员岗位信息'!F:F,'1-2 人员岗位信息'!$C:$C,"劳务派遣",'1-2 人员岗位信息'!$B:$B,$D131)</f>
        <v>0</v>
      </c>
      <c r="AE131" s="298"/>
      <c r="AF131" s="175">
        <f t="shared" si="211"/>
        <v>0</v>
      </c>
      <c r="AG131" s="175">
        <f>SUMIFS('1-2 人员岗位信息'!G:G,'1-2 人员岗位信息'!$C:$C,"劳务派遣",'1-2 人员岗位信息'!$B:$B,$D131)</f>
        <v>0</v>
      </c>
      <c r="AH131" s="298"/>
      <c r="AI131" s="175">
        <f t="shared" si="212"/>
        <v>0</v>
      </c>
      <c r="AJ131" s="175">
        <f>SUMIFS('1-2 人员岗位信息'!H:H,'1-2 人员岗位信息'!$C:$C,"劳务派遣",'1-2 人员岗位信息'!$B:$B,$D131)</f>
        <v>0</v>
      </c>
      <c r="AK131" s="298"/>
      <c r="AL131" s="175">
        <f t="shared" si="213"/>
        <v>0</v>
      </c>
      <c r="AM131" s="175">
        <f>SUMIFS('1-2 人员岗位信息'!I:I,'1-2 人员岗位信息'!$C:$C,"劳务派遣",'1-2 人员岗位信息'!$B:$B,$D131)</f>
        <v>0</v>
      </c>
      <c r="AN131" s="298"/>
      <c r="AO131" s="175">
        <f t="shared" si="214"/>
        <v>0</v>
      </c>
      <c r="AP131" s="175">
        <f>SUMIFS('1-2 人员岗位信息'!J:J,'1-2 人员岗位信息'!$C:$C,"劳务派遣",'1-2 人员岗位信息'!$B:$B,$D131)</f>
        <v>0</v>
      </c>
      <c r="AQ131" s="298"/>
      <c r="AR131" s="175">
        <f t="shared" si="215"/>
        <v>0</v>
      </c>
      <c r="AS131" s="175">
        <f>SUMIFS('1-2 人员岗位信息'!K:K,'1-2 人员岗位信息'!$C:$C,"劳务派遣",'1-2 人员岗位信息'!$B:$B,$D131)</f>
        <v>0</v>
      </c>
      <c r="AT131" s="298"/>
      <c r="AU131" s="175">
        <f t="shared" si="216"/>
        <v>0</v>
      </c>
      <c r="AV131" s="175">
        <f>SUMIFS('1-2 人员岗位信息'!L:L,'1-2 人员岗位信息'!$C:$C,"劳务派遣",'1-2 人员岗位信息'!$B:$B,$D131)</f>
        <v>0</v>
      </c>
      <c r="AW131" s="298"/>
      <c r="AX131" s="175">
        <f t="shared" si="217"/>
        <v>0</v>
      </c>
      <c r="AY131" s="175">
        <f>SUMIFS('1-2 人员岗位信息'!M:M,'1-2 人员岗位信息'!$C:$C,"劳务派遣",'1-2 人员岗位信息'!$B:$B,$D131)</f>
        <v>0</v>
      </c>
      <c r="AZ131" s="298"/>
      <c r="BA131" s="175">
        <f t="shared" si="218"/>
        <v>0</v>
      </c>
      <c r="BB131" s="175">
        <f>SUMIFS('1-2 人员岗位信息'!N:N,'1-2 人员岗位信息'!$C:$C,"劳务派遣",'1-2 人员岗位信息'!$B:$B,$D131)</f>
        <v>0</v>
      </c>
      <c r="BC131" s="298"/>
      <c r="BD131" s="175">
        <f t="shared" si="219"/>
        <v>0</v>
      </c>
      <c r="BE131" s="175">
        <f>SUMIFS('1-2 人员岗位信息'!O:O,'1-2 人员岗位信息'!$C:$C,"劳务派遣",'1-2 人员岗位信息'!$B:$B,$D131)</f>
        <v>0</v>
      </c>
      <c r="BF131" s="298"/>
      <c r="BG131" s="175">
        <f t="shared" si="220"/>
        <v>0</v>
      </c>
      <c r="BH131" s="175">
        <f>SUMIFS('1-2 人员岗位信息'!P:P,'1-2 人员岗位信息'!$C:$C,"劳务派遣",'1-2 人员岗位信息'!$B:$B,$D131)</f>
        <v>0</v>
      </c>
      <c r="BI131" s="298"/>
      <c r="BJ131" s="175">
        <f t="shared" si="221"/>
        <v>0</v>
      </c>
      <c r="BK131" s="175">
        <f>SUMIFS('1-2 人员岗位信息'!Q:Q,'1-2 人员岗位信息'!$C:$C,"劳务派遣",'1-2 人员岗位信息'!$B:$B,$D131)</f>
        <v>0</v>
      </c>
      <c r="BL131" s="307"/>
      <c r="BM131" s="311"/>
      <c r="BN131" s="315"/>
    </row>
    <row r="132" s="118" customFormat="1" ht="33.95" customHeight="1" outlineLevel="4" spans="2:66">
      <c r="B132" s="119" t="s">
        <v>794</v>
      </c>
      <c r="C132" s="120" t="s">
        <v>1019</v>
      </c>
      <c r="D132" s="118" t="s">
        <v>15</v>
      </c>
      <c r="E132" s="119"/>
      <c r="F132" s="119"/>
      <c r="G132" s="119"/>
      <c r="H132" s="119">
        <f>SUM(H133:H141)</f>
        <v>0</v>
      </c>
      <c r="I132" s="119"/>
      <c r="J132" s="119"/>
      <c r="K132" s="119"/>
      <c r="L132" s="119"/>
      <c r="M132" s="119"/>
      <c r="N132" s="119"/>
      <c r="O132" s="119"/>
      <c r="P132" s="289"/>
      <c r="Q132" s="289"/>
      <c r="R132" s="289"/>
      <c r="S132" s="289"/>
      <c r="T132" s="289"/>
      <c r="U132" s="289"/>
      <c r="V132" s="289"/>
      <c r="W132" s="289"/>
      <c r="X132" s="289"/>
      <c r="Y132" s="289"/>
      <c r="Z132" s="289"/>
      <c r="AA132" s="289"/>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6"/>
      <c r="BM132" s="311"/>
      <c r="BN132" s="314"/>
    </row>
    <row r="133" s="263" customFormat="1" ht="33.95" customHeight="1" outlineLevel="5" spans="2:66">
      <c r="B133" s="175" t="s">
        <v>799</v>
      </c>
      <c r="C133" s="283" t="s">
        <v>1020</v>
      </c>
      <c r="D133" s="263" t="s">
        <v>986</v>
      </c>
      <c r="E133" s="175" t="s">
        <v>1021</v>
      </c>
      <c r="F133" s="175"/>
      <c r="G133" s="175" t="s">
        <v>803</v>
      </c>
      <c r="H133" s="175">
        <f t="shared" ref="H133:H142" si="223">AB133</f>
        <v>0</v>
      </c>
      <c r="I133" s="175" t="s">
        <v>804</v>
      </c>
      <c r="J133" s="175" t="e">
        <f t="shared" ref="J133:J142" si="224">SUM(AD133,AG133,AJ133,AM133,AP133,AS133,AV133,AY133,BB133,BE133,BH133,BK133)/N133</f>
        <v>#DIV/0!</v>
      </c>
      <c r="K133" s="175" t="s">
        <v>805</v>
      </c>
      <c r="L133" s="175" t="e">
        <f t="shared" ref="L133:L142" si="225">H133/N133/J133</f>
        <v>#DIV/0!</v>
      </c>
      <c r="M133" s="175" t="s">
        <v>806</v>
      </c>
      <c r="N133" s="175">
        <f t="shared" ref="N133:N142" si="226">COUNTIF(AD133,"&gt;0")+COUNTIF(AG133,"&gt;0")+COUNTIF(AJ133,"&gt;0")+COUNTIF(AM133,"&gt;0")+COUNTIF(AP133,"&gt;0")+COUNTIF(AS133,"&gt;0")+COUNTIF(AV133,"&gt;0")+COUNTIF(AY133,"&gt;0")+COUNTIF(BB133,"&gt;0")+COUNTIF(BE133,"&gt;0")+COUNTIF(BH133,"&gt;0")+COUNTIF(BK133,"&gt;0")</f>
        <v>0</v>
      </c>
      <c r="O133" s="175"/>
      <c r="P133" s="290"/>
      <c r="Q133" s="290"/>
      <c r="R133" s="290"/>
      <c r="S133" s="290"/>
      <c r="T133" s="290"/>
      <c r="U133" s="290"/>
      <c r="V133" s="290"/>
      <c r="W133" s="290"/>
      <c r="X133" s="290"/>
      <c r="Y133" s="290"/>
      <c r="Z133" s="290"/>
      <c r="AA133" s="290"/>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298"/>
      <c r="AF133" s="175">
        <f t="shared" ref="AF133:AF142" si="229">AG133*AH133</f>
        <v>0</v>
      </c>
      <c r="AG133" s="175">
        <f>SUMIFS('1-2 人员岗位信息'!G:G,'1-2 人员岗位信息'!$C:$C,"专业外包",'1-2 人员岗位信息'!$B:$B,$D133)</f>
        <v>0</v>
      </c>
      <c r="AH133" s="298"/>
      <c r="AI133" s="175">
        <f t="shared" ref="AI133:AI142" si="230">AJ133*AK133</f>
        <v>0</v>
      </c>
      <c r="AJ133" s="175">
        <f>SUMIFS('1-2 人员岗位信息'!H:H,'1-2 人员岗位信息'!$C:$C,"专业外包",'1-2 人员岗位信息'!$B:$B,$D133)</f>
        <v>0</v>
      </c>
      <c r="AK133" s="298"/>
      <c r="AL133" s="175">
        <f t="shared" ref="AL133:AL142" si="231">AM133*AN133</f>
        <v>0</v>
      </c>
      <c r="AM133" s="175">
        <f>SUMIFS('1-2 人员岗位信息'!I:I,'1-2 人员岗位信息'!$C:$C,"专业外包",'1-2 人员岗位信息'!$B:$B,$D133)</f>
        <v>0</v>
      </c>
      <c r="AN133" s="298"/>
      <c r="AO133" s="175">
        <f t="shared" ref="AO133:AO142" si="232">AP133*AQ133</f>
        <v>0</v>
      </c>
      <c r="AP133" s="175">
        <f>SUMIFS('1-2 人员岗位信息'!J:J,'1-2 人员岗位信息'!$C:$C,"专业外包",'1-2 人员岗位信息'!$B:$B,$D133)</f>
        <v>0</v>
      </c>
      <c r="AQ133" s="298"/>
      <c r="AR133" s="175">
        <f t="shared" ref="AR133:AR142" si="233">AS133*AT133</f>
        <v>0</v>
      </c>
      <c r="AS133" s="175">
        <f>SUMIFS('1-2 人员岗位信息'!K:K,'1-2 人员岗位信息'!$C:$C,"专业外包",'1-2 人员岗位信息'!$B:$B,$D133)</f>
        <v>0</v>
      </c>
      <c r="AT133" s="298"/>
      <c r="AU133" s="175">
        <f t="shared" ref="AU133:AU142" si="234">AV133*AW133</f>
        <v>0</v>
      </c>
      <c r="AV133" s="175">
        <f>SUMIFS('1-2 人员岗位信息'!L:L,'1-2 人员岗位信息'!$C:$C,"专业外包",'1-2 人员岗位信息'!$B:$B,$D133)</f>
        <v>0</v>
      </c>
      <c r="AW133" s="298"/>
      <c r="AX133" s="175">
        <f t="shared" ref="AX133:AX142" si="235">AY133*AZ133</f>
        <v>0</v>
      </c>
      <c r="AY133" s="175">
        <f>SUMIFS('1-2 人员岗位信息'!M:M,'1-2 人员岗位信息'!$C:$C,"专业外包",'1-2 人员岗位信息'!$B:$B,$D133)</f>
        <v>0</v>
      </c>
      <c r="AZ133" s="298"/>
      <c r="BA133" s="175">
        <f t="shared" ref="BA133:BA142" si="236">BB133*BC133</f>
        <v>0</v>
      </c>
      <c r="BB133" s="175">
        <f>SUMIFS('1-2 人员岗位信息'!N:N,'1-2 人员岗位信息'!$C:$C,"专业外包",'1-2 人员岗位信息'!$B:$B,$D133)</f>
        <v>0</v>
      </c>
      <c r="BC133" s="298"/>
      <c r="BD133" s="175">
        <f t="shared" ref="BD133:BD142" si="237">BE133*BF133</f>
        <v>0</v>
      </c>
      <c r="BE133" s="175">
        <f>SUMIFS('1-2 人员岗位信息'!O:O,'1-2 人员岗位信息'!$C:$C,"专业外包",'1-2 人员岗位信息'!$B:$B,$D133)</f>
        <v>0</v>
      </c>
      <c r="BF133" s="298"/>
      <c r="BG133" s="175">
        <f t="shared" ref="BG133:BG142" si="238">BH133*BI133</f>
        <v>0</v>
      </c>
      <c r="BH133" s="175">
        <f>SUMIFS('1-2 人员岗位信息'!P:P,'1-2 人员岗位信息'!$C:$C,"专业外包",'1-2 人员岗位信息'!$B:$B,$D133)</f>
        <v>0</v>
      </c>
      <c r="BI133" s="298"/>
      <c r="BJ133" s="175">
        <f t="shared" ref="BJ133:BJ142" si="239">BK133*BL133</f>
        <v>0</v>
      </c>
      <c r="BK133" s="175">
        <f>SUMIFS('1-2 人员岗位信息'!Q:Q,'1-2 人员岗位信息'!$C:$C,"专业外包",'1-2 人员岗位信息'!$B:$B,$D133)</f>
        <v>0</v>
      </c>
      <c r="BL133" s="307"/>
      <c r="BM133" s="311"/>
      <c r="BN133" s="315"/>
    </row>
    <row r="134" s="263" customFormat="1" ht="33.95" customHeight="1" outlineLevel="5" spans="2:66">
      <c r="B134" s="175" t="s">
        <v>799</v>
      </c>
      <c r="C134" s="283" t="s">
        <v>1022</v>
      </c>
      <c r="D134" s="263" t="s">
        <v>989</v>
      </c>
      <c r="E134" s="175" t="s">
        <v>1023</v>
      </c>
      <c r="F134" s="175"/>
      <c r="G134" s="175" t="s">
        <v>803</v>
      </c>
      <c r="H134" s="175">
        <f t="shared" si="223"/>
        <v>0</v>
      </c>
      <c r="I134" s="175" t="s">
        <v>804</v>
      </c>
      <c r="J134" s="175" t="e">
        <f t="shared" si="224"/>
        <v>#DIV/0!</v>
      </c>
      <c r="K134" s="175" t="s">
        <v>805</v>
      </c>
      <c r="L134" s="175" t="e">
        <f t="shared" si="225"/>
        <v>#DIV/0!</v>
      </c>
      <c r="M134" s="175" t="s">
        <v>806</v>
      </c>
      <c r="N134" s="175">
        <f t="shared" si="226"/>
        <v>0</v>
      </c>
      <c r="O134" s="175"/>
      <c r="P134" s="290"/>
      <c r="Q134" s="290"/>
      <c r="R134" s="290"/>
      <c r="S134" s="290"/>
      <c r="T134" s="290"/>
      <c r="U134" s="290"/>
      <c r="V134" s="290"/>
      <c r="W134" s="290"/>
      <c r="X134" s="290"/>
      <c r="Y134" s="290"/>
      <c r="Z134" s="290"/>
      <c r="AA134" s="290"/>
      <c r="AB134" s="175">
        <f t="shared" si="227"/>
        <v>0</v>
      </c>
      <c r="AC134" s="175">
        <f t="shared" si="228"/>
        <v>0</v>
      </c>
      <c r="AD134" s="175">
        <f>SUMIFS('1-2 人员岗位信息'!F:F,'1-2 人员岗位信息'!$C:$C,"专业外包",'1-2 人员岗位信息'!$B:$B,$D134)</f>
        <v>0</v>
      </c>
      <c r="AE134" s="298"/>
      <c r="AF134" s="175">
        <f t="shared" si="229"/>
        <v>0</v>
      </c>
      <c r="AG134" s="175">
        <f>SUMIFS('1-2 人员岗位信息'!G:G,'1-2 人员岗位信息'!$C:$C,"专业外包",'1-2 人员岗位信息'!$B:$B,$D134)</f>
        <v>0</v>
      </c>
      <c r="AH134" s="298"/>
      <c r="AI134" s="175">
        <f t="shared" si="230"/>
        <v>0</v>
      </c>
      <c r="AJ134" s="175">
        <f>SUMIFS('1-2 人员岗位信息'!H:H,'1-2 人员岗位信息'!$C:$C,"专业外包",'1-2 人员岗位信息'!$B:$B,$D134)</f>
        <v>0</v>
      </c>
      <c r="AK134" s="298"/>
      <c r="AL134" s="175">
        <f t="shared" si="231"/>
        <v>0</v>
      </c>
      <c r="AM134" s="175">
        <f>SUMIFS('1-2 人员岗位信息'!I:I,'1-2 人员岗位信息'!$C:$C,"专业外包",'1-2 人员岗位信息'!$B:$B,$D134)</f>
        <v>0</v>
      </c>
      <c r="AN134" s="298"/>
      <c r="AO134" s="175">
        <f t="shared" si="232"/>
        <v>0</v>
      </c>
      <c r="AP134" s="175">
        <f>SUMIFS('1-2 人员岗位信息'!J:J,'1-2 人员岗位信息'!$C:$C,"专业外包",'1-2 人员岗位信息'!$B:$B,$D134)</f>
        <v>0</v>
      </c>
      <c r="AQ134" s="298"/>
      <c r="AR134" s="175">
        <f t="shared" si="233"/>
        <v>0</v>
      </c>
      <c r="AS134" s="175">
        <f>SUMIFS('1-2 人员岗位信息'!K:K,'1-2 人员岗位信息'!$C:$C,"专业外包",'1-2 人员岗位信息'!$B:$B,$D134)</f>
        <v>0</v>
      </c>
      <c r="AT134" s="298"/>
      <c r="AU134" s="175">
        <f t="shared" si="234"/>
        <v>0</v>
      </c>
      <c r="AV134" s="175">
        <f>SUMIFS('1-2 人员岗位信息'!L:L,'1-2 人员岗位信息'!$C:$C,"专业外包",'1-2 人员岗位信息'!$B:$B,$D134)</f>
        <v>0</v>
      </c>
      <c r="AW134" s="298"/>
      <c r="AX134" s="175">
        <f t="shared" si="235"/>
        <v>0</v>
      </c>
      <c r="AY134" s="175">
        <f>SUMIFS('1-2 人员岗位信息'!M:M,'1-2 人员岗位信息'!$C:$C,"专业外包",'1-2 人员岗位信息'!$B:$B,$D134)</f>
        <v>0</v>
      </c>
      <c r="AZ134" s="298"/>
      <c r="BA134" s="175">
        <f t="shared" si="236"/>
        <v>0</v>
      </c>
      <c r="BB134" s="175">
        <f>SUMIFS('1-2 人员岗位信息'!N:N,'1-2 人员岗位信息'!$C:$C,"专业外包",'1-2 人员岗位信息'!$B:$B,$D134)</f>
        <v>0</v>
      </c>
      <c r="BC134" s="298"/>
      <c r="BD134" s="175">
        <f t="shared" si="237"/>
        <v>0</v>
      </c>
      <c r="BE134" s="175">
        <f>SUMIFS('1-2 人员岗位信息'!O:O,'1-2 人员岗位信息'!$C:$C,"专业外包",'1-2 人员岗位信息'!$B:$B,$D134)</f>
        <v>0</v>
      </c>
      <c r="BF134" s="298"/>
      <c r="BG134" s="175">
        <f t="shared" si="238"/>
        <v>0</v>
      </c>
      <c r="BH134" s="175">
        <f>SUMIFS('1-2 人员岗位信息'!P:P,'1-2 人员岗位信息'!$C:$C,"专业外包",'1-2 人员岗位信息'!$B:$B,$D134)</f>
        <v>0</v>
      </c>
      <c r="BI134" s="298"/>
      <c r="BJ134" s="175">
        <f t="shared" si="239"/>
        <v>0</v>
      </c>
      <c r="BK134" s="175">
        <f>SUMIFS('1-2 人员岗位信息'!Q:Q,'1-2 人员岗位信息'!$C:$C,"专业外包",'1-2 人员岗位信息'!$B:$B,$D134)</f>
        <v>0</v>
      </c>
      <c r="BL134" s="307"/>
      <c r="BM134" s="311"/>
      <c r="BN134" s="315"/>
    </row>
    <row r="135" s="263" customFormat="1" ht="33.95" customHeight="1" outlineLevel="5" spans="2:66">
      <c r="B135" s="175" t="s">
        <v>799</v>
      </c>
      <c r="C135" s="283" t="s">
        <v>1024</v>
      </c>
      <c r="D135" s="263" t="s">
        <v>992</v>
      </c>
      <c r="E135" s="175" t="s">
        <v>993</v>
      </c>
      <c r="F135" s="175"/>
      <c r="G135" s="175" t="s">
        <v>803</v>
      </c>
      <c r="H135" s="175">
        <f t="shared" si="223"/>
        <v>0</v>
      </c>
      <c r="I135" s="175" t="s">
        <v>804</v>
      </c>
      <c r="J135" s="175" t="e">
        <f t="shared" si="224"/>
        <v>#DIV/0!</v>
      </c>
      <c r="K135" s="175" t="s">
        <v>805</v>
      </c>
      <c r="L135" s="175" t="e">
        <f t="shared" si="225"/>
        <v>#DIV/0!</v>
      </c>
      <c r="M135" s="175" t="s">
        <v>806</v>
      </c>
      <c r="N135" s="175">
        <f t="shared" si="226"/>
        <v>0</v>
      </c>
      <c r="O135" s="175"/>
      <c r="P135" s="290"/>
      <c r="Q135" s="290"/>
      <c r="R135" s="290"/>
      <c r="S135" s="290"/>
      <c r="T135" s="290"/>
      <c r="U135" s="290"/>
      <c r="V135" s="290"/>
      <c r="W135" s="290"/>
      <c r="X135" s="290"/>
      <c r="Y135" s="290"/>
      <c r="Z135" s="290"/>
      <c r="AA135" s="290"/>
      <c r="AB135" s="175">
        <f t="shared" si="227"/>
        <v>0</v>
      </c>
      <c r="AC135" s="175">
        <f t="shared" si="228"/>
        <v>0</v>
      </c>
      <c r="AD135" s="175">
        <f>SUMIFS('1-2 人员岗位信息'!F:F,'1-2 人员岗位信息'!$C:$C,"专业外包",'1-2 人员岗位信息'!$B:$B,$D135)</f>
        <v>0</v>
      </c>
      <c r="AE135" s="298"/>
      <c r="AF135" s="175">
        <f t="shared" si="229"/>
        <v>0</v>
      </c>
      <c r="AG135" s="175">
        <f>SUMIFS('1-2 人员岗位信息'!G:G,'1-2 人员岗位信息'!$C:$C,"专业外包",'1-2 人员岗位信息'!$B:$B,$D135)</f>
        <v>0</v>
      </c>
      <c r="AH135" s="298"/>
      <c r="AI135" s="175">
        <f t="shared" si="230"/>
        <v>0</v>
      </c>
      <c r="AJ135" s="175">
        <f>SUMIFS('1-2 人员岗位信息'!H:H,'1-2 人员岗位信息'!$C:$C,"专业外包",'1-2 人员岗位信息'!$B:$B,$D135)</f>
        <v>0</v>
      </c>
      <c r="AK135" s="298"/>
      <c r="AL135" s="175">
        <f t="shared" si="231"/>
        <v>0</v>
      </c>
      <c r="AM135" s="175">
        <f>SUMIFS('1-2 人员岗位信息'!I:I,'1-2 人员岗位信息'!$C:$C,"专业外包",'1-2 人员岗位信息'!$B:$B,$D135)</f>
        <v>0</v>
      </c>
      <c r="AN135" s="298"/>
      <c r="AO135" s="175">
        <f t="shared" si="232"/>
        <v>0</v>
      </c>
      <c r="AP135" s="175">
        <f>SUMIFS('1-2 人员岗位信息'!J:J,'1-2 人员岗位信息'!$C:$C,"专业外包",'1-2 人员岗位信息'!$B:$B,$D135)</f>
        <v>0</v>
      </c>
      <c r="AQ135" s="298"/>
      <c r="AR135" s="175">
        <f t="shared" si="233"/>
        <v>0</v>
      </c>
      <c r="AS135" s="175">
        <f>SUMIFS('1-2 人员岗位信息'!K:K,'1-2 人员岗位信息'!$C:$C,"专业外包",'1-2 人员岗位信息'!$B:$B,$D135)</f>
        <v>0</v>
      </c>
      <c r="AT135" s="298"/>
      <c r="AU135" s="175">
        <f t="shared" si="234"/>
        <v>0</v>
      </c>
      <c r="AV135" s="175">
        <f>SUMIFS('1-2 人员岗位信息'!L:L,'1-2 人员岗位信息'!$C:$C,"专业外包",'1-2 人员岗位信息'!$B:$B,$D135)</f>
        <v>0</v>
      </c>
      <c r="AW135" s="298"/>
      <c r="AX135" s="175">
        <f t="shared" si="235"/>
        <v>0</v>
      </c>
      <c r="AY135" s="175">
        <f>SUMIFS('1-2 人员岗位信息'!M:M,'1-2 人员岗位信息'!$C:$C,"专业外包",'1-2 人员岗位信息'!$B:$B,$D135)</f>
        <v>0</v>
      </c>
      <c r="AZ135" s="298"/>
      <c r="BA135" s="175">
        <f t="shared" si="236"/>
        <v>0</v>
      </c>
      <c r="BB135" s="175">
        <f>SUMIFS('1-2 人员岗位信息'!N:N,'1-2 人员岗位信息'!$C:$C,"专业外包",'1-2 人员岗位信息'!$B:$B,$D135)</f>
        <v>0</v>
      </c>
      <c r="BC135" s="298"/>
      <c r="BD135" s="175">
        <f t="shared" si="237"/>
        <v>0</v>
      </c>
      <c r="BE135" s="175">
        <f>SUMIFS('1-2 人员岗位信息'!O:O,'1-2 人员岗位信息'!$C:$C,"专业外包",'1-2 人员岗位信息'!$B:$B,$D135)</f>
        <v>0</v>
      </c>
      <c r="BF135" s="298"/>
      <c r="BG135" s="175">
        <f t="shared" si="238"/>
        <v>0</v>
      </c>
      <c r="BH135" s="175">
        <f>SUMIFS('1-2 人员岗位信息'!P:P,'1-2 人员岗位信息'!$C:$C,"专业外包",'1-2 人员岗位信息'!$B:$B,$D135)</f>
        <v>0</v>
      </c>
      <c r="BI135" s="298"/>
      <c r="BJ135" s="175">
        <f t="shared" si="239"/>
        <v>0</v>
      </c>
      <c r="BK135" s="175">
        <f>SUMIFS('1-2 人员岗位信息'!Q:Q,'1-2 人员岗位信息'!$C:$C,"专业外包",'1-2 人员岗位信息'!$B:$B,$D135)</f>
        <v>0</v>
      </c>
      <c r="BL135" s="307"/>
      <c r="BM135" s="311"/>
      <c r="BN135" s="315"/>
    </row>
    <row r="136" s="263" customFormat="1" ht="33.95" customHeight="1" outlineLevel="5" spans="2:66">
      <c r="B136" s="175" t="s">
        <v>799</v>
      </c>
      <c r="C136" s="283" t="s">
        <v>1025</v>
      </c>
      <c r="D136" s="263" t="s">
        <v>995</v>
      </c>
      <c r="E136" s="175" t="s">
        <v>996</v>
      </c>
      <c r="F136" s="175"/>
      <c r="G136" s="175" t="s">
        <v>803</v>
      </c>
      <c r="H136" s="175">
        <f t="shared" si="223"/>
        <v>0</v>
      </c>
      <c r="I136" s="175" t="s">
        <v>804</v>
      </c>
      <c r="J136" s="175" t="e">
        <f t="shared" si="224"/>
        <v>#DIV/0!</v>
      </c>
      <c r="K136" s="175" t="s">
        <v>805</v>
      </c>
      <c r="L136" s="175" t="e">
        <f t="shared" si="225"/>
        <v>#DIV/0!</v>
      </c>
      <c r="M136" s="175" t="s">
        <v>806</v>
      </c>
      <c r="N136" s="175">
        <f t="shared" si="226"/>
        <v>0</v>
      </c>
      <c r="O136" s="175"/>
      <c r="P136" s="290"/>
      <c r="Q136" s="290"/>
      <c r="R136" s="290"/>
      <c r="S136" s="290"/>
      <c r="T136" s="290"/>
      <c r="U136" s="290"/>
      <c r="V136" s="290"/>
      <c r="W136" s="290"/>
      <c r="X136" s="290"/>
      <c r="Y136" s="290"/>
      <c r="Z136" s="290"/>
      <c r="AA136" s="290"/>
      <c r="AB136" s="175">
        <f t="shared" si="227"/>
        <v>0</v>
      </c>
      <c r="AC136" s="175">
        <f t="shared" si="228"/>
        <v>0</v>
      </c>
      <c r="AD136" s="175">
        <f>SUMIFS('1-2 人员岗位信息'!F:F,'1-2 人员岗位信息'!$C:$C,"专业外包",'1-2 人员岗位信息'!$B:$B,$D136)</f>
        <v>0</v>
      </c>
      <c r="AE136" s="298"/>
      <c r="AF136" s="175">
        <f t="shared" si="229"/>
        <v>0</v>
      </c>
      <c r="AG136" s="175">
        <f>SUMIFS('1-2 人员岗位信息'!G:G,'1-2 人员岗位信息'!$C:$C,"专业外包",'1-2 人员岗位信息'!$B:$B,$D136)</f>
        <v>0</v>
      </c>
      <c r="AH136" s="298"/>
      <c r="AI136" s="175">
        <f t="shared" si="230"/>
        <v>0</v>
      </c>
      <c r="AJ136" s="175">
        <f>SUMIFS('1-2 人员岗位信息'!H:H,'1-2 人员岗位信息'!$C:$C,"专业外包",'1-2 人员岗位信息'!$B:$B,$D136)</f>
        <v>0</v>
      </c>
      <c r="AK136" s="298"/>
      <c r="AL136" s="175">
        <f t="shared" si="231"/>
        <v>0</v>
      </c>
      <c r="AM136" s="175">
        <f>SUMIFS('1-2 人员岗位信息'!I:I,'1-2 人员岗位信息'!$C:$C,"专业外包",'1-2 人员岗位信息'!$B:$B,$D136)</f>
        <v>0</v>
      </c>
      <c r="AN136" s="298"/>
      <c r="AO136" s="175">
        <f t="shared" si="232"/>
        <v>0</v>
      </c>
      <c r="AP136" s="175">
        <f>SUMIFS('1-2 人员岗位信息'!J:J,'1-2 人员岗位信息'!$C:$C,"专业外包",'1-2 人员岗位信息'!$B:$B,$D136)</f>
        <v>0</v>
      </c>
      <c r="AQ136" s="298"/>
      <c r="AR136" s="175">
        <f t="shared" si="233"/>
        <v>0</v>
      </c>
      <c r="AS136" s="175">
        <f>SUMIFS('1-2 人员岗位信息'!K:K,'1-2 人员岗位信息'!$C:$C,"专业外包",'1-2 人员岗位信息'!$B:$B,$D136)</f>
        <v>0</v>
      </c>
      <c r="AT136" s="298"/>
      <c r="AU136" s="175">
        <f t="shared" si="234"/>
        <v>0</v>
      </c>
      <c r="AV136" s="175">
        <f>SUMIFS('1-2 人员岗位信息'!L:L,'1-2 人员岗位信息'!$C:$C,"专业外包",'1-2 人员岗位信息'!$B:$B,$D136)</f>
        <v>0</v>
      </c>
      <c r="AW136" s="298"/>
      <c r="AX136" s="175">
        <f t="shared" si="235"/>
        <v>0</v>
      </c>
      <c r="AY136" s="175">
        <f>SUMIFS('1-2 人员岗位信息'!M:M,'1-2 人员岗位信息'!$C:$C,"专业外包",'1-2 人员岗位信息'!$B:$B,$D136)</f>
        <v>0</v>
      </c>
      <c r="AZ136" s="298"/>
      <c r="BA136" s="175">
        <f t="shared" si="236"/>
        <v>0</v>
      </c>
      <c r="BB136" s="175">
        <f>SUMIFS('1-2 人员岗位信息'!N:N,'1-2 人员岗位信息'!$C:$C,"专业外包",'1-2 人员岗位信息'!$B:$B,$D136)</f>
        <v>0</v>
      </c>
      <c r="BC136" s="298"/>
      <c r="BD136" s="175">
        <f t="shared" si="237"/>
        <v>0</v>
      </c>
      <c r="BE136" s="175">
        <f>SUMIFS('1-2 人员岗位信息'!O:O,'1-2 人员岗位信息'!$C:$C,"专业外包",'1-2 人员岗位信息'!$B:$B,$D136)</f>
        <v>0</v>
      </c>
      <c r="BF136" s="298"/>
      <c r="BG136" s="175">
        <f t="shared" si="238"/>
        <v>0</v>
      </c>
      <c r="BH136" s="175">
        <f>SUMIFS('1-2 人员岗位信息'!P:P,'1-2 人员岗位信息'!$C:$C,"专业外包",'1-2 人员岗位信息'!$B:$B,$D136)</f>
        <v>0</v>
      </c>
      <c r="BI136" s="298"/>
      <c r="BJ136" s="175">
        <f t="shared" si="239"/>
        <v>0</v>
      </c>
      <c r="BK136" s="175">
        <f>SUMIFS('1-2 人员岗位信息'!Q:Q,'1-2 人员岗位信息'!$C:$C,"专业外包",'1-2 人员岗位信息'!$B:$B,$D136)</f>
        <v>0</v>
      </c>
      <c r="BL136" s="307"/>
      <c r="BM136" s="311"/>
      <c r="BN136" s="315"/>
    </row>
    <row r="137" s="263" customFormat="1" ht="33.95" customHeight="1" outlineLevel="5" spans="2:66">
      <c r="B137" s="175" t="s">
        <v>799</v>
      </c>
      <c r="C137" s="283" t="s">
        <v>1026</v>
      </c>
      <c r="D137" s="263" t="s">
        <v>998</v>
      </c>
      <c r="E137" s="175" t="s">
        <v>996</v>
      </c>
      <c r="F137" s="175"/>
      <c r="G137" s="175" t="s">
        <v>803</v>
      </c>
      <c r="H137" s="175">
        <f t="shared" si="223"/>
        <v>0</v>
      </c>
      <c r="I137" s="175" t="s">
        <v>804</v>
      </c>
      <c r="J137" s="175" t="e">
        <f t="shared" si="224"/>
        <v>#DIV/0!</v>
      </c>
      <c r="K137" s="175" t="s">
        <v>805</v>
      </c>
      <c r="L137" s="175" t="e">
        <f t="shared" si="225"/>
        <v>#DIV/0!</v>
      </c>
      <c r="M137" s="175" t="s">
        <v>806</v>
      </c>
      <c r="N137" s="175">
        <f t="shared" si="226"/>
        <v>0</v>
      </c>
      <c r="O137" s="175"/>
      <c r="P137" s="290"/>
      <c r="Q137" s="290"/>
      <c r="R137" s="290"/>
      <c r="S137" s="290"/>
      <c r="T137" s="290"/>
      <c r="U137" s="290"/>
      <c r="V137" s="290"/>
      <c r="W137" s="290"/>
      <c r="X137" s="290"/>
      <c r="Y137" s="290"/>
      <c r="Z137" s="290"/>
      <c r="AA137" s="290"/>
      <c r="AB137" s="175">
        <f t="shared" si="227"/>
        <v>0</v>
      </c>
      <c r="AC137" s="175">
        <f t="shared" si="228"/>
        <v>0</v>
      </c>
      <c r="AD137" s="175">
        <f>SUMIFS('1-2 人员岗位信息'!F:F,'1-2 人员岗位信息'!$C:$C,"专业外包",'1-2 人员岗位信息'!$B:$B,$D137)</f>
        <v>0</v>
      </c>
      <c r="AE137" s="298"/>
      <c r="AF137" s="175">
        <f t="shared" si="229"/>
        <v>0</v>
      </c>
      <c r="AG137" s="175">
        <f>SUMIFS('1-2 人员岗位信息'!G:G,'1-2 人员岗位信息'!$C:$C,"专业外包",'1-2 人员岗位信息'!$B:$B,$D137)</f>
        <v>0</v>
      </c>
      <c r="AH137" s="298"/>
      <c r="AI137" s="175">
        <f t="shared" si="230"/>
        <v>0</v>
      </c>
      <c r="AJ137" s="175">
        <f>SUMIFS('1-2 人员岗位信息'!H:H,'1-2 人员岗位信息'!$C:$C,"专业外包",'1-2 人员岗位信息'!$B:$B,$D137)</f>
        <v>0</v>
      </c>
      <c r="AK137" s="298"/>
      <c r="AL137" s="175">
        <f t="shared" si="231"/>
        <v>0</v>
      </c>
      <c r="AM137" s="175">
        <f>SUMIFS('1-2 人员岗位信息'!I:I,'1-2 人员岗位信息'!$C:$C,"专业外包",'1-2 人员岗位信息'!$B:$B,$D137)</f>
        <v>0</v>
      </c>
      <c r="AN137" s="298"/>
      <c r="AO137" s="175">
        <f t="shared" si="232"/>
        <v>0</v>
      </c>
      <c r="AP137" s="175">
        <f>SUMIFS('1-2 人员岗位信息'!J:J,'1-2 人员岗位信息'!$C:$C,"专业外包",'1-2 人员岗位信息'!$B:$B,$D137)</f>
        <v>0</v>
      </c>
      <c r="AQ137" s="298"/>
      <c r="AR137" s="175">
        <f t="shared" si="233"/>
        <v>0</v>
      </c>
      <c r="AS137" s="175">
        <f>SUMIFS('1-2 人员岗位信息'!K:K,'1-2 人员岗位信息'!$C:$C,"专业外包",'1-2 人员岗位信息'!$B:$B,$D137)</f>
        <v>0</v>
      </c>
      <c r="AT137" s="298"/>
      <c r="AU137" s="175">
        <f t="shared" si="234"/>
        <v>0</v>
      </c>
      <c r="AV137" s="175">
        <f>SUMIFS('1-2 人员岗位信息'!L:L,'1-2 人员岗位信息'!$C:$C,"专业外包",'1-2 人员岗位信息'!$B:$B,$D137)</f>
        <v>0</v>
      </c>
      <c r="AW137" s="298"/>
      <c r="AX137" s="175">
        <f t="shared" si="235"/>
        <v>0</v>
      </c>
      <c r="AY137" s="175">
        <f>SUMIFS('1-2 人员岗位信息'!M:M,'1-2 人员岗位信息'!$C:$C,"专业外包",'1-2 人员岗位信息'!$B:$B,$D137)</f>
        <v>0</v>
      </c>
      <c r="AZ137" s="298"/>
      <c r="BA137" s="175">
        <f t="shared" si="236"/>
        <v>0</v>
      </c>
      <c r="BB137" s="175">
        <f>SUMIFS('1-2 人员岗位信息'!N:N,'1-2 人员岗位信息'!$C:$C,"专业外包",'1-2 人员岗位信息'!$B:$B,$D137)</f>
        <v>0</v>
      </c>
      <c r="BC137" s="298"/>
      <c r="BD137" s="175">
        <f t="shared" si="237"/>
        <v>0</v>
      </c>
      <c r="BE137" s="175">
        <f>SUMIFS('1-2 人员岗位信息'!O:O,'1-2 人员岗位信息'!$C:$C,"专业外包",'1-2 人员岗位信息'!$B:$B,$D137)</f>
        <v>0</v>
      </c>
      <c r="BF137" s="298"/>
      <c r="BG137" s="175">
        <f t="shared" si="238"/>
        <v>0</v>
      </c>
      <c r="BH137" s="175">
        <f>SUMIFS('1-2 人员岗位信息'!P:P,'1-2 人员岗位信息'!$C:$C,"专业外包",'1-2 人员岗位信息'!$B:$B,$D137)</f>
        <v>0</v>
      </c>
      <c r="BI137" s="298"/>
      <c r="BJ137" s="175">
        <f t="shared" si="239"/>
        <v>0</v>
      </c>
      <c r="BK137" s="175">
        <f>SUMIFS('1-2 人员岗位信息'!Q:Q,'1-2 人员岗位信息'!$C:$C,"专业外包",'1-2 人员岗位信息'!$B:$B,$D137)</f>
        <v>0</v>
      </c>
      <c r="BL137" s="307"/>
      <c r="BM137" s="311"/>
      <c r="BN137" s="315"/>
    </row>
    <row r="138" s="263" customFormat="1" ht="33.95" customHeight="1" outlineLevel="5" spans="2:66">
      <c r="B138" s="175" t="s">
        <v>799</v>
      </c>
      <c r="C138" s="283" t="s">
        <v>1027</v>
      </c>
      <c r="D138" s="263" t="s">
        <v>1000</v>
      </c>
      <c r="E138" s="175" t="s">
        <v>996</v>
      </c>
      <c r="F138" s="175"/>
      <c r="G138" s="175" t="s">
        <v>803</v>
      </c>
      <c r="H138" s="175">
        <f t="shared" si="223"/>
        <v>0</v>
      </c>
      <c r="I138" s="175" t="s">
        <v>804</v>
      </c>
      <c r="J138" s="175" t="e">
        <f t="shared" si="224"/>
        <v>#DIV/0!</v>
      </c>
      <c r="K138" s="175" t="s">
        <v>805</v>
      </c>
      <c r="L138" s="175" t="e">
        <f t="shared" si="225"/>
        <v>#DIV/0!</v>
      </c>
      <c r="M138" s="175" t="s">
        <v>806</v>
      </c>
      <c r="N138" s="175">
        <f t="shared" si="226"/>
        <v>0</v>
      </c>
      <c r="O138" s="175"/>
      <c r="P138" s="290"/>
      <c r="Q138" s="290"/>
      <c r="R138" s="290"/>
      <c r="S138" s="290"/>
      <c r="T138" s="290"/>
      <c r="U138" s="290"/>
      <c r="V138" s="290"/>
      <c r="W138" s="290"/>
      <c r="X138" s="290"/>
      <c r="Y138" s="290"/>
      <c r="Z138" s="290"/>
      <c r="AA138" s="290"/>
      <c r="AB138" s="175">
        <f t="shared" si="227"/>
        <v>0</v>
      </c>
      <c r="AC138" s="175">
        <f t="shared" si="228"/>
        <v>0</v>
      </c>
      <c r="AD138" s="175">
        <f>SUMIFS('1-2 人员岗位信息'!F:F,'1-2 人员岗位信息'!$C:$C,"专业外包",'1-2 人员岗位信息'!$B:$B,$D138)</f>
        <v>0</v>
      </c>
      <c r="AE138" s="298"/>
      <c r="AF138" s="175">
        <f t="shared" si="229"/>
        <v>0</v>
      </c>
      <c r="AG138" s="175">
        <f>SUMIFS('1-2 人员岗位信息'!G:G,'1-2 人员岗位信息'!$C:$C,"专业外包",'1-2 人员岗位信息'!$B:$B,$D138)</f>
        <v>0</v>
      </c>
      <c r="AH138" s="298"/>
      <c r="AI138" s="175">
        <f t="shared" si="230"/>
        <v>0</v>
      </c>
      <c r="AJ138" s="175">
        <f>SUMIFS('1-2 人员岗位信息'!H:H,'1-2 人员岗位信息'!$C:$C,"专业外包",'1-2 人员岗位信息'!$B:$B,$D138)</f>
        <v>0</v>
      </c>
      <c r="AK138" s="298"/>
      <c r="AL138" s="175">
        <f t="shared" si="231"/>
        <v>0</v>
      </c>
      <c r="AM138" s="175">
        <f>SUMIFS('1-2 人员岗位信息'!I:I,'1-2 人员岗位信息'!$C:$C,"专业外包",'1-2 人员岗位信息'!$B:$B,$D138)</f>
        <v>0</v>
      </c>
      <c r="AN138" s="298"/>
      <c r="AO138" s="175">
        <f t="shared" si="232"/>
        <v>0</v>
      </c>
      <c r="AP138" s="175">
        <f>SUMIFS('1-2 人员岗位信息'!J:J,'1-2 人员岗位信息'!$C:$C,"专业外包",'1-2 人员岗位信息'!$B:$B,$D138)</f>
        <v>0</v>
      </c>
      <c r="AQ138" s="298"/>
      <c r="AR138" s="175">
        <f t="shared" si="233"/>
        <v>0</v>
      </c>
      <c r="AS138" s="175">
        <f>SUMIFS('1-2 人员岗位信息'!K:K,'1-2 人员岗位信息'!$C:$C,"专业外包",'1-2 人员岗位信息'!$B:$B,$D138)</f>
        <v>0</v>
      </c>
      <c r="AT138" s="298"/>
      <c r="AU138" s="175">
        <f t="shared" si="234"/>
        <v>0</v>
      </c>
      <c r="AV138" s="175">
        <f>SUMIFS('1-2 人员岗位信息'!L:L,'1-2 人员岗位信息'!$C:$C,"专业外包",'1-2 人员岗位信息'!$B:$B,$D138)</f>
        <v>0</v>
      </c>
      <c r="AW138" s="298"/>
      <c r="AX138" s="175">
        <f t="shared" si="235"/>
        <v>0</v>
      </c>
      <c r="AY138" s="175">
        <f>SUMIFS('1-2 人员岗位信息'!M:M,'1-2 人员岗位信息'!$C:$C,"专业外包",'1-2 人员岗位信息'!$B:$B,$D138)</f>
        <v>0</v>
      </c>
      <c r="AZ138" s="298"/>
      <c r="BA138" s="175">
        <f t="shared" si="236"/>
        <v>0</v>
      </c>
      <c r="BB138" s="175">
        <f>SUMIFS('1-2 人员岗位信息'!N:N,'1-2 人员岗位信息'!$C:$C,"专业外包",'1-2 人员岗位信息'!$B:$B,$D138)</f>
        <v>0</v>
      </c>
      <c r="BC138" s="298"/>
      <c r="BD138" s="175">
        <f t="shared" si="237"/>
        <v>0</v>
      </c>
      <c r="BE138" s="175">
        <f>SUMIFS('1-2 人员岗位信息'!O:O,'1-2 人员岗位信息'!$C:$C,"专业外包",'1-2 人员岗位信息'!$B:$B,$D138)</f>
        <v>0</v>
      </c>
      <c r="BF138" s="298"/>
      <c r="BG138" s="175">
        <f t="shared" si="238"/>
        <v>0</v>
      </c>
      <c r="BH138" s="175">
        <f>SUMIFS('1-2 人员岗位信息'!P:P,'1-2 人员岗位信息'!$C:$C,"专业外包",'1-2 人员岗位信息'!$B:$B,$D138)</f>
        <v>0</v>
      </c>
      <c r="BI138" s="298"/>
      <c r="BJ138" s="175">
        <f t="shared" si="239"/>
        <v>0</v>
      </c>
      <c r="BK138" s="175">
        <f>SUMIFS('1-2 人员岗位信息'!Q:Q,'1-2 人员岗位信息'!$C:$C,"专业外包",'1-2 人员岗位信息'!$B:$B,$D138)</f>
        <v>0</v>
      </c>
      <c r="BL138" s="307"/>
      <c r="BM138" s="311"/>
      <c r="BN138" s="315"/>
    </row>
    <row r="139" s="263" customFormat="1" ht="33.95" customHeight="1" outlineLevel="5" spans="2:66">
      <c r="B139" s="175" t="s">
        <v>799</v>
      </c>
      <c r="C139" s="283" t="s">
        <v>1028</v>
      </c>
      <c r="D139" s="263" t="s">
        <v>1002</v>
      </c>
      <c r="E139" s="175" t="s">
        <v>996</v>
      </c>
      <c r="F139" s="175"/>
      <c r="G139" s="175" t="s">
        <v>803</v>
      </c>
      <c r="H139" s="175">
        <f t="shared" si="223"/>
        <v>0</v>
      </c>
      <c r="I139" s="175" t="s">
        <v>804</v>
      </c>
      <c r="J139" s="175" t="e">
        <f t="shared" si="224"/>
        <v>#DIV/0!</v>
      </c>
      <c r="K139" s="175" t="s">
        <v>805</v>
      </c>
      <c r="L139" s="175" t="e">
        <f t="shared" si="225"/>
        <v>#DIV/0!</v>
      </c>
      <c r="M139" s="175" t="s">
        <v>806</v>
      </c>
      <c r="N139" s="175">
        <f t="shared" si="226"/>
        <v>0</v>
      </c>
      <c r="O139" s="175"/>
      <c r="P139" s="290"/>
      <c r="Q139" s="290"/>
      <c r="R139" s="290"/>
      <c r="S139" s="290"/>
      <c r="T139" s="290"/>
      <c r="U139" s="290"/>
      <c r="V139" s="290"/>
      <c r="W139" s="290"/>
      <c r="X139" s="290"/>
      <c r="Y139" s="290"/>
      <c r="Z139" s="290"/>
      <c r="AA139" s="290"/>
      <c r="AB139" s="175">
        <f t="shared" si="227"/>
        <v>0</v>
      </c>
      <c r="AC139" s="175">
        <f t="shared" si="228"/>
        <v>0</v>
      </c>
      <c r="AD139" s="175">
        <f>SUMIFS('1-2 人员岗位信息'!F:F,'1-2 人员岗位信息'!$C:$C,"专业外包",'1-2 人员岗位信息'!$B:$B,$D139)</f>
        <v>0</v>
      </c>
      <c r="AE139" s="298"/>
      <c r="AF139" s="175">
        <f t="shared" si="229"/>
        <v>0</v>
      </c>
      <c r="AG139" s="175">
        <f>SUMIFS('1-2 人员岗位信息'!G:G,'1-2 人员岗位信息'!$C:$C,"专业外包",'1-2 人员岗位信息'!$B:$B,$D139)</f>
        <v>0</v>
      </c>
      <c r="AH139" s="298"/>
      <c r="AI139" s="175">
        <f t="shared" si="230"/>
        <v>0</v>
      </c>
      <c r="AJ139" s="175">
        <f>SUMIFS('1-2 人员岗位信息'!H:H,'1-2 人员岗位信息'!$C:$C,"专业外包",'1-2 人员岗位信息'!$B:$B,$D139)</f>
        <v>0</v>
      </c>
      <c r="AK139" s="298"/>
      <c r="AL139" s="175">
        <f t="shared" si="231"/>
        <v>0</v>
      </c>
      <c r="AM139" s="175">
        <f>SUMIFS('1-2 人员岗位信息'!I:I,'1-2 人员岗位信息'!$C:$C,"专业外包",'1-2 人员岗位信息'!$B:$B,$D139)</f>
        <v>0</v>
      </c>
      <c r="AN139" s="298"/>
      <c r="AO139" s="175">
        <f t="shared" si="232"/>
        <v>0</v>
      </c>
      <c r="AP139" s="175">
        <f>SUMIFS('1-2 人员岗位信息'!J:J,'1-2 人员岗位信息'!$C:$C,"专业外包",'1-2 人员岗位信息'!$B:$B,$D139)</f>
        <v>0</v>
      </c>
      <c r="AQ139" s="298"/>
      <c r="AR139" s="175">
        <f t="shared" si="233"/>
        <v>0</v>
      </c>
      <c r="AS139" s="175">
        <f>SUMIFS('1-2 人员岗位信息'!K:K,'1-2 人员岗位信息'!$C:$C,"专业外包",'1-2 人员岗位信息'!$B:$B,$D139)</f>
        <v>0</v>
      </c>
      <c r="AT139" s="298"/>
      <c r="AU139" s="175">
        <f t="shared" si="234"/>
        <v>0</v>
      </c>
      <c r="AV139" s="175">
        <f>SUMIFS('1-2 人员岗位信息'!L:L,'1-2 人员岗位信息'!$C:$C,"专业外包",'1-2 人员岗位信息'!$B:$B,$D139)</f>
        <v>0</v>
      </c>
      <c r="AW139" s="298"/>
      <c r="AX139" s="175">
        <f t="shared" si="235"/>
        <v>0</v>
      </c>
      <c r="AY139" s="175">
        <f>SUMIFS('1-2 人员岗位信息'!M:M,'1-2 人员岗位信息'!$C:$C,"专业外包",'1-2 人员岗位信息'!$B:$B,$D139)</f>
        <v>0</v>
      </c>
      <c r="AZ139" s="298"/>
      <c r="BA139" s="175">
        <f t="shared" si="236"/>
        <v>0</v>
      </c>
      <c r="BB139" s="175">
        <f>SUMIFS('1-2 人员岗位信息'!N:N,'1-2 人员岗位信息'!$C:$C,"专业外包",'1-2 人员岗位信息'!$B:$B,$D139)</f>
        <v>0</v>
      </c>
      <c r="BC139" s="298"/>
      <c r="BD139" s="175">
        <f t="shared" si="237"/>
        <v>0</v>
      </c>
      <c r="BE139" s="175">
        <f>SUMIFS('1-2 人员岗位信息'!O:O,'1-2 人员岗位信息'!$C:$C,"专业外包",'1-2 人员岗位信息'!$B:$B,$D139)</f>
        <v>0</v>
      </c>
      <c r="BF139" s="298"/>
      <c r="BG139" s="175">
        <f t="shared" si="238"/>
        <v>0</v>
      </c>
      <c r="BH139" s="175">
        <f>SUMIFS('1-2 人员岗位信息'!P:P,'1-2 人员岗位信息'!$C:$C,"专业外包",'1-2 人员岗位信息'!$B:$B,$D139)</f>
        <v>0</v>
      </c>
      <c r="BI139" s="298"/>
      <c r="BJ139" s="175">
        <f t="shared" si="239"/>
        <v>0</v>
      </c>
      <c r="BK139" s="175">
        <f>SUMIFS('1-2 人员岗位信息'!Q:Q,'1-2 人员岗位信息'!$C:$C,"专业外包",'1-2 人员岗位信息'!$B:$B,$D139)</f>
        <v>0</v>
      </c>
      <c r="BL139" s="307"/>
      <c r="BM139" s="311"/>
      <c r="BN139" s="315"/>
    </row>
    <row r="140" s="263" customFormat="1" ht="33.95" customHeight="1" outlineLevel="5" spans="2:66">
      <c r="B140" s="175" t="s">
        <v>799</v>
      </c>
      <c r="C140" s="283" t="s">
        <v>1029</v>
      </c>
      <c r="D140" s="263" t="s">
        <v>1004</v>
      </c>
      <c r="E140" s="175" t="s">
        <v>1005</v>
      </c>
      <c r="F140" s="175"/>
      <c r="G140" s="175" t="s">
        <v>803</v>
      </c>
      <c r="H140" s="175">
        <f t="shared" si="223"/>
        <v>0</v>
      </c>
      <c r="I140" s="175" t="s">
        <v>804</v>
      </c>
      <c r="J140" s="175" t="e">
        <f t="shared" si="224"/>
        <v>#DIV/0!</v>
      </c>
      <c r="K140" s="175" t="s">
        <v>805</v>
      </c>
      <c r="L140" s="175" t="e">
        <f t="shared" si="225"/>
        <v>#DIV/0!</v>
      </c>
      <c r="M140" s="175" t="s">
        <v>806</v>
      </c>
      <c r="N140" s="175">
        <f t="shared" si="226"/>
        <v>0</v>
      </c>
      <c r="O140" s="175"/>
      <c r="P140" s="290"/>
      <c r="Q140" s="290"/>
      <c r="R140" s="290"/>
      <c r="S140" s="290"/>
      <c r="T140" s="290"/>
      <c r="U140" s="290"/>
      <c r="V140" s="290"/>
      <c r="W140" s="290"/>
      <c r="X140" s="290"/>
      <c r="Y140" s="290"/>
      <c r="Z140" s="290"/>
      <c r="AA140" s="290"/>
      <c r="AB140" s="175">
        <f t="shared" si="227"/>
        <v>0</v>
      </c>
      <c r="AC140" s="175">
        <f t="shared" si="228"/>
        <v>0</v>
      </c>
      <c r="AD140" s="175">
        <f>SUMIFS('1-2 人员岗位信息'!F:F,'1-2 人员岗位信息'!$C:$C,"专业外包",'1-2 人员岗位信息'!$B:$B,$D140)</f>
        <v>0</v>
      </c>
      <c r="AE140" s="298"/>
      <c r="AF140" s="175">
        <f t="shared" si="229"/>
        <v>0</v>
      </c>
      <c r="AG140" s="175">
        <f>SUMIFS('1-2 人员岗位信息'!G:G,'1-2 人员岗位信息'!$C:$C,"专业外包",'1-2 人员岗位信息'!$B:$B,$D140)</f>
        <v>0</v>
      </c>
      <c r="AH140" s="298"/>
      <c r="AI140" s="175">
        <f t="shared" si="230"/>
        <v>0</v>
      </c>
      <c r="AJ140" s="175">
        <f>SUMIFS('1-2 人员岗位信息'!H:H,'1-2 人员岗位信息'!$C:$C,"专业外包",'1-2 人员岗位信息'!$B:$B,$D140)</f>
        <v>0</v>
      </c>
      <c r="AK140" s="298"/>
      <c r="AL140" s="175">
        <f t="shared" si="231"/>
        <v>0</v>
      </c>
      <c r="AM140" s="175">
        <f>SUMIFS('1-2 人员岗位信息'!I:I,'1-2 人员岗位信息'!$C:$C,"专业外包",'1-2 人员岗位信息'!$B:$B,$D140)</f>
        <v>0</v>
      </c>
      <c r="AN140" s="298"/>
      <c r="AO140" s="175">
        <f t="shared" si="232"/>
        <v>0</v>
      </c>
      <c r="AP140" s="175">
        <f>SUMIFS('1-2 人员岗位信息'!J:J,'1-2 人员岗位信息'!$C:$C,"专业外包",'1-2 人员岗位信息'!$B:$B,$D140)</f>
        <v>0</v>
      </c>
      <c r="AQ140" s="298"/>
      <c r="AR140" s="175">
        <f t="shared" si="233"/>
        <v>0</v>
      </c>
      <c r="AS140" s="175">
        <f>SUMIFS('1-2 人员岗位信息'!K:K,'1-2 人员岗位信息'!$C:$C,"专业外包",'1-2 人员岗位信息'!$B:$B,$D140)</f>
        <v>0</v>
      </c>
      <c r="AT140" s="298"/>
      <c r="AU140" s="175">
        <f t="shared" si="234"/>
        <v>0</v>
      </c>
      <c r="AV140" s="175">
        <f>SUMIFS('1-2 人员岗位信息'!L:L,'1-2 人员岗位信息'!$C:$C,"专业外包",'1-2 人员岗位信息'!$B:$B,$D140)</f>
        <v>0</v>
      </c>
      <c r="AW140" s="298"/>
      <c r="AX140" s="175">
        <f t="shared" si="235"/>
        <v>0</v>
      </c>
      <c r="AY140" s="175">
        <f>SUMIFS('1-2 人员岗位信息'!M:M,'1-2 人员岗位信息'!$C:$C,"专业外包",'1-2 人员岗位信息'!$B:$B,$D140)</f>
        <v>0</v>
      </c>
      <c r="AZ140" s="298"/>
      <c r="BA140" s="175">
        <f t="shared" si="236"/>
        <v>0</v>
      </c>
      <c r="BB140" s="175">
        <f>SUMIFS('1-2 人员岗位信息'!N:N,'1-2 人员岗位信息'!$C:$C,"专业外包",'1-2 人员岗位信息'!$B:$B,$D140)</f>
        <v>0</v>
      </c>
      <c r="BC140" s="298"/>
      <c r="BD140" s="175">
        <f t="shared" si="237"/>
        <v>0</v>
      </c>
      <c r="BE140" s="175">
        <f>SUMIFS('1-2 人员岗位信息'!O:O,'1-2 人员岗位信息'!$C:$C,"专业外包",'1-2 人员岗位信息'!$B:$B,$D140)</f>
        <v>0</v>
      </c>
      <c r="BF140" s="298"/>
      <c r="BG140" s="175">
        <f t="shared" si="238"/>
        <v>0</v>
      </c>
      <c r="BH140" s="175">
        <f>SUMIFS('1-2 人员岗位信息'!P:P,'1-2 人员岗位信息'!$C:$C,"专业外包",'1-2 人员岗位信息'!$B:$B,$D140)</f>
        <v>0</v>
      </c>
      <c r="BI140" s="298"/>
      <c r="BJ140" s="175">
        <f t="shared" si="239"/>
        <v>0</v>
      </c>
      <c r="BK140" s="175">
        <f>SUMIFS('1-2 人员岗位信息'!Q:Q,'1-2 人员岗位信息'!$C:$C,"专业外包",'1-2 人员岗位信息'!$B:$B,$D140)</f>
        <v>0</v>
      </c>
      <c r="BL140" s="307"/>
      <c r="BM140" s="311"/>
      <c r="BN140" s="315"/>
    </row>
    <row r="141" s="263" customFormat="1" ht="33.95" customHeight="1" outlineLevel="5" spans="2:66">
      <c r="B141" s="175" t="s">
        <v>799</v>
      </c>
      <c r="C141" s="283" t="s">
        <v>1030</v>
      </c>
      <c r="D141" s="263" t="s">
        <v>1007</v>
      </c>
      <c r="E141" s="175" t="s">
        <v>821</v>
      </c>
      <c r="F141" s="175"/>
      <c r="G141" s="175" t="s">
        <v>803</v>
      </c>
      <c r="H141" s="175">
        <f t="shared" si="223"/>
        <v>0</v>
      </c>
      <c r="I141" s="175" t="s">
        <v>804</v>
      </c>
      <c r="J141" s="175" t="e">
        <f t="shared" si="224"/>
        <v>#DIV/0!</v>
      </c>
      <c r="K141" s="175" t="s">
        <v>805</v>
      </c>
      <c r="L141" s="175" t="e">
        <f t="shared" si="225"/>
        <v>#DIV/0!</v>
      </c>
      <c r="M141" s="175" t="s">
        <v>806</v>
      </c>
      <c r="N141" s="175">
        <f t="shared" si="226"/>
        <v>0</v>
      </c>
      <c r="O141" s="175"/>
      <c r="P141" s="290"/>
      <c r="Q141" s="290"/>
      <c r="R141" s="290"/>
      <c r="S141" s="290"/>
      <c r="T141" s="290"/>
      <c r="U141" s="290"/>
      <c r="V141" s="290"/>
      <c r="W141" s="290"/>
      <c r="X141" s="290"/>
      <c r="Y141" s="290"/>
      <c r="Z141" s="290"/>
      <c r="AA141" s="290"/>
      <c r="AB141" s="175">
        <f t="shared" ref="AB141:AB148" si="240">SUM(AC141,AF141,AI141,AL141,AO141,AR141,AU141,AX141,BA141,BD141,BG141,BJ141)</f>
        <v>0</v>
      </c>
      <c r="AC141" s="175">
        <f t="shared" si="228"/>
        <v>0</v>
      </c>
      <c r="AD141" s="175">
        <f>SUMIFS('1-2 人员岗位信息'!F:F,'1-2 人员岗位信息'!$C:$C,"专业外包",'1-2 人员岗位信息'!$B:$B,$D141)</f>
        <v>0</v>
      </c>
      <c r="AE141" s="298"/>
      <c r="AF141" s="175">
        <f t="shared" si="229"/>
        <v>0</v>
      </c>
      <c r="AG141" s="175">
        <f>SUMIFS('1-2 人员岗位信息'!G:G,'1-2 人员岗位信息'!$C:$C,"专业外包",'1-2 人员岗位信息'!$B:$B,$D141)</f>
        <v>0</v>
      </c>
      <c r="AH141" s="298"/>
      <c r="AI141" s="175">
        <f t="shared" si="230"/>
        <v>0</v>
      </c>
      <c r="AJ141" s="175">
        <f>SUMIFS('1-2 人员岗位信息'!H:H,'1-2 人员岗位信息'!$C:$C,"专业外包",'1-2 人员岗位信息'!$B:$B,$D141)</f>
        <v>0</v>
      </c>
      <c r="AK141" s="298"/>
      <c r="AL141" s="175">
        <f t="shared" si="231"/>
        <v>0</v>
      </c>
      <c r="AM141" s="175">
        <f>SUMIFS('1-2 人员岗位信息'!I:I,'1-2 人员岗位信息'!$C:$C,"专业外包",'1-2 人员岗位信息'!$B:$B,$D141)</f>
        <v>0</v>
      </c>
      <c r="AN141" s="298"/>
      <c r="AO141" s="175">
        <f t="shared" si="232"/>
        <v>0</v>
      </c>
      <c r="AP141" s="175">
        <f>SUMIFS('1-2 人员岗位信息'!J:J,'1-2 人员岗位信息'!$C:$C,"专业外包",'1-2 人员岗位信息'!$B:$B,$D141)</f>
        <v>0</v>
      </c>
      <c r="AQ141" s="298"/>
      <c r="AR141" s="175">
        <f t="shared" si="233"/>
        <v>0</v>
      </c>
      <c r="AS141" s="175">
        <f>SUMIFS('1-2 人员岗位信息'!K:K,'1-2 人员岗位信息'!$C:$C,"专业外包",'1-2 人员岗位信息'!$B:$B,$D141)</f>
        <v>0</v>
      </c>
      <c r="AT141" s="298"/>
      <c r="AU141" s="175">
        <f t="shared" si="234"/>
        <v>0</v>
      </c>
      <c r="AV141" s="175">
        <f>SUMIFS('1-2 人员岗位信息'!L:L,'1-2 人员岗位信息'!$C:$C,"专业外包",'1-2 人员岗位信息'!$B:$B,$D141)</f>
        <v>0</v>
      </c>
      <c r="AW141" s="298"/>
      <c r="AX141" s="175">
        <f t="shared" si="235"/>
        <v>0</v>
      </c>
      <c r="AY141" s="175">
        <f>SUMIFS('1-2 人员岗位信息'!M:M,'1-2 人员岗位信息'!$C:$C,"专业外包",'1-2 人员岗位信息'!$B:$B,$D141)</f>
        <v>0</v>
      </c>
      <c r="AZ141" s="298"/>
      <c r="BA141" s="175">
        <f t="shared" si="236"/>
        <v>0</v>
      </c>
      <c r="BB141" s="175">
        <f>SUMIFS('1-2 人员岗位信息'!N:N,'1-2 人员岗位信息'!$C:$C,"专业外包",'1-2 人员岗位信息'!$B:$B,$D141)</f>
        <v>0</v>
      </c>
      <c r="BC141" s="298"/>
      <c r="BD141" s="175">
        <f t="shared" si="237"/>
        <v>0</v>
      </c>
      <c r="BE141" s="175">
        <f>SUMIFS('1-2 人员岗位信息'!O:O,'1-2 人员岗位信息'!$C:$C,"专业外包",'1-2 人员岗位信息'!$B:$B,$D141)</f>
        <v>0</v>
      </c>
      <c r="BF141" s="298"/>
      <c r="BG141" s="175">
        <f t="shared" si="238"/>
        <v>0</v>
      </c>
      <c r="BH141" s="175">
        <f>SUMIFS('1-2 人员岗位信息'!P:P,'1-2 人员岗位信息'!$C:$C,"专业外包",'1-2 人员岗位信息'!$B:$B,$D141)</f>
        <v>0</v>
      </c>
      <c r="BI141" s="298"/>
      <c r="BJ141" s="175">
        <f t="shared" si="239"/>
        <v>0</v>
      </c>
      <c r="BK141" s="175">
        <f>SUMIFS('1-2 人员岗位信息'!Q:Q,'1-2 人员岗位信息'!$C:$C,"专业外包",'1-2 人员岗位信息'!$B:$B,$D141)</f>
        <v>0</v>
      </c>
      <c r="BL141" s="307"/>
      <c r="BM141" s="311"/>
      <c r="BN141" s="315"/>
    </row>
    <row r="142" s="118" customFormat="1" ht="33.95" customHeight="1" outlineLevel="4" spans="2:66">
      <c r="B142" s="119" t="s">
        <v>799</v>
      </c>
      <c r="C142" s="120" t="s">
        <v>1031</v>
      </c>
      <c r="D142" s="118" t="s">
        <v>25</v>
      </c>
      <c r="E142" s="119"/>
      <c r="F142" s="119"/>
      <c r="G142" s="119"/>
      <c r="H142" s="119">
        <f t="shared" si="223"/>
        <v>0</v>
      </c>
      <c r="I142" s="119" t="s">
        <v>1032</v>
      </c>
      <c r="J142" s="119">
        <f t="shared" si="224"/>
        <v>281758.63</v>
      </c>
      <c r="K142" s="119" t="s">
        <v>1033</v>
      </c>
      <c r="L142" s="119">
        <f t="shared" si="225"/>
        <v>0</v>
      </c>
      <c r="M142" s="119" t="s">
        <v>806</v>
      </c>
      <c r="N142" s="119">
        <f t="shared" si="226"/>
        <v>12</v>
      </c>
      <c r="O142" s="119"/>
      <c r="P142" s="289"/>
      <c r="Q142" s="289"/>
      <c r="R142" s="289"/>
      <c r="S142" s="289"/>
      <c r="T142" s="289"/>
      <c r="U142" s="289"/>
      <c r="V142" s="289"/>
      <c r="W142" s="289"/>
      <c r="X142" s="289"/>
      <c r="Y142" s="289"/>
      <c r="Z142" s="289"/>
      <c r="AA142" s="289"/>
      <c r="AB142" s="119">
        <f t="shared" si="240"/>
        <v>0</v>
      </c>
      <c r="AC142" s="119">
        <f t="shared" si="228"/>
        <v>0</v>
      </c>
      <c r="AD142" s="119">
        <f>VLOOKUP($I142,'1-1 项目基础信息'!$F:$S,3,FALSE)</f>
        <v>281758.63</v>
      </c>
      <c r="AE142" s="298"/>
      <c r="AF142" s="119">
        <f t="shared" si="229"/>
        <v>0</v>
      </c>
      <c r="AG142" s="119">
        <f>VLOOKUP($I142,'1-1 项目基础信息'!$F:$S,4,FALSE)</f>
        <v>281758.63</v>
      </c>
      <c r="AH142" s="298"/>
      <c r="AI142" s="119">
        <f t="shared" si="230"/>
        <v>0</v>
      </c>
      <c r="AJ142" s="119">
        <f>VLOOKUP($I142,'1-1 项目基础信息'!$F:$S,5,FALSE)</f>
        <v>281758.63</v>
      </c>
      <c r="AK142" s="298"/>
      <c r="AL142" s="119">
        <f t="shared" si="231"/>
        <v>0</v>
      </c>
      <c r="AM142" s="119">
        <f>VLOOKUP($I142,'1-1 项目基础信息'!$F:$S,6,FALSE)</f>
        <v>281758.63</v>
      </c>
      <c r="AN142" s="298"/>
      <c r="AO142" s="119">
        <f t="shared" si="232"/>
        <v>0</v>
      </c>
      <c r="AP142" s="119">
        <f>VLOOKUP($I142,'1-1 项目基础信息'!$F:$S,7,FALSE)</f>
        <v>281758.63</v>
      </c>
      <c r="AQ142" s="298"/>
      <c r="AR142" s="119">
        <f t="shared" si="233"/>
        <v>0</v>
      </c>
      <c r="AS142" s="119">
        <f>VLOOKUP($I142,'1-1 项目基础信息'!$F:$S,8,FALSE)</f>
        <v>281758.63</v>
      </c>
      <c r="AT142" s="298"/>
      <c r="AU142" s="119">
        <f t="shared" si="234"/>
        <v>0</v>
      </c>
      <c r="AV142" s="119">
        <f>VLOOKUP($I142,'1-1 项目基础信息'!$F:$S,9,FALSE)</f>
        <v>281758.63</v>
      </c>
      <c r="AW142" s="298"/>
      <c r="AX142" s="119">
        <f t="shared" si="235"/>
        <v>0</v>
      </c>
      <c r="AY142" s="119">
        <f>VLOOKUP($I142,'1-1 项目基础信息'!$F:$S,10,FALSE)</f>
        <v>281758.63</v>
      </c>
      <c r="AZ142" s="298"/>
      <c r="BA142" s="119">
        <f t="shared" si="236"/>
        <v>0</v>
      </c>
      <c r="BB142" s="119">
        <f>VLOOKUP($I142,'1-1 项目基础信息'!$F:$S,11,FALSE)</f>
        <v>281758.63</v>
      </c>
      <c r="BC142" s="298"/>
      <c r="BD142" s="119">
        <f t="shared" si="237"/>
        <v>0</v>
      </c>
      <c r="BE142" s="119">
        <f>VLOOKUP($I142,'1-1 项目基础信息'!$F:$S,12,FALSE)</f>
        <v>281758.63</v>
      </c>
      <c r="BF142" s="298"/>
      <c r="BG142" s="119">
        <f t="shared" si="238"/>
        <v>0</v>
      </c>
      <c r="BH142" s="119">
        <f>VLOOKUP($I142,'1-1 项目基础信息'!$F:$S,13,FALSE)</f>
        <v>281758.63</v>
      </c>
      <c r="BI142" s="298"/>
      <c r="BJ142" s="119">
        <f t="shared" si="239"/>
        <v>0</v>
      </c>
      <c r="BK142" s="119">
        <f>VLOOKUP($I142,'1-1 项目基础信息'!$F:$S,14,FALSE)</f>
        <v>281758.63</v>
      </c>
      <c r="BL142" s="307"/>
      <c r="BM142" s="311"/>
      <c r="BN142" s="314"/>
    </row>
    <row r="143" s="47" customFormat="1" ht="33.95" customHeight="1" outlineLevel="3" spans="2:66">
      <c r="B143" s="115" t="s">
        <v>794</v>
      </c>
      <c r="C143" s="116" t="s">
        <v>1034</v>
      </c>
      <c r="D143" s="47" t="s">
        <v>1035</v>
      </c>
      <c r="E143" s="115"/>
      <c r="F143" s="115"/>
      <c r="G143" s="115"/>
      <c r="H143" s="115">
        <f>H144+H149+H154</f>
        <v>1138723.46</v>
      </c>
      <c r="I143" s="115"/>
      <c r="J143" s="115"/>
      <c r="K143" s="115"/>
      <c r="L143" s="115"/>
      <c r="M143" s="115"/>
      <c r="N143" s="115"/>
      <c r="O143" s="115"/>
      <c r="P143" s="288"/>
      <c r="Q143" s="288"/>
      <c r="R143" s="288"/>
      <c r="S143" s="288"/>
      <c r="T143" s="288"/>
      <c r="U143" s="288"/>
      <c r="V143" s="288"/>
      <c r="W143" s="288"/>
      <c r="X143" s="288"/>
      <c r="Y143" s="288"/>
      <c r="Z143" s="288"/>
      <c r="AA143" s="288"/>
      <c r="AB143" s="115">
        <f t="shared" ref="AB143:AF143" si="241">AB144+AB149+AB154</f>
        <v>1138723.46</v>
      </c>
      <c r="AC143" s="115">
        <f t="shared" si="241"/>
        <v>79629.96</v>
      </c>
      <c r="AD143" s="115"/>
      <c r="AE143" s="115"/>
      <c r="AF143" s="115">
        <f t="shared" si="241"/>
        <v>79629.96</v>
      </c>
      <c r="AG143" s="115"/>
      <c r="AH143" s="115"/>
      <c r="AI143" s="115">
        <f>AI144+AI149+AI154</f>
        <v>79629.96</v>
      </c>
      <c r="AJ143" s="115"/>
      <c r="AK143" s="115"/>
      <c r="AL143" s="115">
        <f>AL144+AL149+AL154</f>
        <v>79629.96</v>
      </c>
      <c r="AM143" s="115"/>
      <c r="AN143" s="115"/>
      <c r="AO143" s="115">
        <f>AO144+AO149+AO154</f>
        <v>79629.96</v>
      </c>
      <c r="AP143" s="115"/>
      <c r="AQ143" s="115"/>
      <c r="AR143" s="115">
        <f>AR144+AR149+AR154</f>
        <v>79629.96</v>
      </c>
      <c r="AS143" s="115"/>
      <c r="AT143" s="115"/>
      <c r="AU143" s="115">
        <f>AU144+AU149+AU154</f>
        <v>79629.96</v>
      </c>
      <c r="AV143" s="115"/>
      <c r="AW143" s="115"/>
      <c r="AX143" s="115">
        <f>AX144+AX149+AX154</f>
        <v>79629.96</v>
      </c>
      <c r="AY143" s="115"/>
      <c r="AZ143" s="115"/>
      <c r="BA143" s="115">
        <f>BA144+BA149+BA154</f>
        <v>79629.96</v>
      </c>
      <c r="BB143" s="115"/>
      <c r="BC143" s="115"/>
      <c r="BD143" s="115">
        <f>BD144+BD149+BD154</f>
        <v>79629.96</v>
      </c>
      <c r="BE143" s="115"/>
      <c r="BF143" s="115"/>
      <c r="BG143" s="115">
        <f>BG144+BG149+BG154</f>
        <v>79629.96</v>
      </c>
      <c r="BH143" s="115"/>
      <c r="BI143" s="115"/>
      <c r="BJ143" s="115">
        <f>BJ144+BJ149+BJ154</f>
        <v>262793.9</v>
      </c>
      <c r="BK143" s="115"/>
      <c r="BL143" s="305"/>
      <c r="BM143" s="311"/>
      <c r="BN143" s="313"/>
    </row>
    <row r="144" s="118" customFormat="1" ht="33.95" customHeight="1" outlineLevel="4" spans="2:66">
      <c r="B144" s="119" t="s">
        <v>794</v>
      </c>
      <c r="C144" s="120" t="s">
        <v>121</v>
      </c>
      <c r="D144" s="118" t="s">
        <v>109</v>
      </c>
      <c r="E144" s="119"/>
      <c r="F144" s="119"/>
      <c r="G144" s="119"/>
      <c r="H144" s="119">
        <f>SUM(H145:H148)</f>
        <v>1138723.46</v>
      </c>
      <c r="I144" s="119"/>
      <c r="J144" s="119"/>
      <c r="K144" s="119"/>
      <c r="L144" s="119"/>
      <c r="M144" s="119"/>
      <c r="N144" s="119"/>
      <c r="O144" s="119"/>
      <c r="P144" s="289"/>
      <c r="Q144" s="289"/>
      <c r="R144" s="289"/>
      <c r="S144" s="289"/>
      <c r="T144" s="289"/>
      <c r="U144" s="289"/>
      <c r="V144" s="289"/>
      <c r="W144" s="289"/>
      <c r="X144" s="289"/>
      <c r="Y144" s="289"/>
      <c r="Z144" s="289"/>
      <c r="AA144" s="289"/>
      <c r="AB144" s="119">
        <f t="shared" ref="AB144:AF144" si="242">SUM(AB145:AB148)</f>
        <v>1138723.46</v>
      </c>
      <c r="AC144" s="119">
        <f t="shared" si="242"/>
        <v>79629.96</v>
      </c>
      <c r="AD144" s="119"/>
      <c r="AE144" s="119"/>
      <c r="AF144" s="119">
        <f t="shared" si="242"/>
        <v>79629.96</v>
      </c>
      <c r="AG144" s="119"/>
      <c r="AH144" s="119"/>
      <c r="AI144" s="119">
        <f>SUM(AI145:AI148)</f>
        <v>79629.96</v>
      </c>
      <c r="AJ144" s="119"/>
      <c r="AK144" s="119"/>
      <c r="AL144" s="119">
        <f>SUM(AL145:AL148)</f>
        <v>79629.96</v>
      </c>
      <c r="AM144" s="119"/>
      <c r="AN144" s="119"/>
      <c r="AO144" s="119">
        <f>SUM(AO145:AO148)</f>
        <v>79629.96</v>
      </c>
      <c r="AP144" s="119"/>
      <c r="AQ144" s="119"/>
      <c r="AR144" s="119">
        <f>SUM(AR145:AR148)</f>
        <v>79629.96</v>
      </c>
      <c r="AS144" s="119"/>
      <c r="AT144" s="119"/>
      <c r="AU144" s="119">
        <f>SUM(AU145:AU148)</f>
        <v>79629.96</v>
      </c>
      <c r="AV144" s="119"/>
      <c r="AW144" s="119"/>
      <c r="AX144" s="119">
        <f>SUM(AX145:AX148)</f>
        <v>79629.96</v>
      </c>
      <c r="AY144" s="119"/>
      <c r="AZ144" s="119"/>
      <c r="BA144" s="119">
        <f>SUM(BA145:BA148)</f>
        <v>79629.96</v>
      </c>
      <c r="BB144" s="119"/>
      <c r="BC144" s="119"/>
      <c r="BD144" s="119">
        <f>SUM(BD145:BD148)</f>
        <v>79629.96</v>
      </c>
      <c r="BE144" s="119"/>
      <c r="BF144" s="119"/>
      <c r="BG144" s="119">
        <f>SUM(BG145:BG148)</f>
        <v>79629.96</v>
      </c>
      <c r="BH144" s="119"/>
      <c r="BI144" s="119"/>
      <c r="BJ144" s="119">
        <f>SUM(BJ145:BJ148)</f>
        <v>262793.9</v>
      </c>
      <c r="BK144" s="119"/>
      <c r="BL144" s="306"/>
      <c r="BM144" s="311"/>
      <c r="BN144" s="314"/>
    </row>
    <row r="145" s="263" customFormat="1" ht="33.95" customHeight="1" outlineLevel="5" spans="2:66">
      <c r="B145" s="175" t="s">
        <v>799</v>
      </c>
      <c r="C145" s="283" t="s">
        <v>1036</v>
      </c>
      <c r="D145" s="263" t="s">
        <v>1037</v>
      </c>
      <c r="E145" s="175" t="s">
        <v>1038</v>
      </c>
      <c r="F145" s="175"/>
      <c r="G145" s="175" t="s">
        <v>803</v>
      </c>
      <c r="H145" s="175">
        <f t="shared" ref="H145:H148" si="243">AB145</f>
        <v>1138723.46</v>
      </c>
      <c r="I145" s="175" t="s">
        <v>804</v>
      </c>
      <c r="J145" s="175">
        <f t="shared" ref="J145:J148" si="244">SUM(AD145,AG145,AJ145,AM145,AP145,AS145,AV145,AY145,BB145,BE145,BH145,BK145)/N145</f>
        <v>6</v>
      </c>
      <c r="K145" s="175" t="s">
        <v>805</v>
      </c>
      <c r="L145" s="175">
        <f t="shared" ref="L145:L148" si="245">H145/N145/J145</f>
        <v>15815.6036111111</v>
      </c>
      <c r="M145" s="175" t="s">
        <v>806</v>
      </c>
      <c r="N145" s="175">
        <f t="shared" ref="N145:N148" si="246">COUNTIF(AD145,"&gt;0")+COUNTIF(AG145,"&gt;0")+COUNTIF(AJ145,"&gt;0")+COUNTIF(AM145,"&gt;0")+COUNTIF(AP145,"&gt;0")+COUNTIF(AS145,"&gt;0")+COUNTIF(AV145,"&gt;0")+COUNTIF(AY145,"&gt;0")+COUNTIF(BB145,"&gt;0")+COUNTIF(BE145,"&gt;0")+COUNTIF(BH145,"&gt;0")+COUNTIF(BK145,"&gt;0")</f>
        <v>12</v>
      </c>
      <c r="O145" s="175"/>
      <c r="P145" s="290"/>
      <c r="Q145" s="290"/>
      <c r="R145" s="290"/>
      <c r="S145" s="290"/>
      <c r="T145" s="290"/>
      <c r="U145" s="290"/>
      <c r="V145" s="290"/>
      <c r="W145" s="290"/>
      <c r="X145" s="290"/>
      <c r="Y145" s="290"/>
      <c r="Z145" s="290"/>
      <c r="AA145" s="290"/>
      <c r="AB145" s="175">
        <f t="shared" si="240"/>
        <v>1138723.46</v>
      </c>
      <c r="AC145" s="175">
        <f t="shared" ref="AC145:AC148" si="247">AD145*AE145</f>
        <v>79629.96</v>
      </c>
      <c r="AD145" s="175">
        <f>SUMIFS('1-2 人员岗位信息'!F:F,'1-2 人员岗位信息'!$C:$C,"自有人员",'1-2 人员岗位信息'!$B:$B,$D145)</f>
        <v>6</v>
      </c>
      <c r="AE145" s="298">
        <f>自有人工预算!E24/AD145</f>
        <v>13271.66</v>
      </c>
      <c r="AF145" s="175">
        <f t="shared" ref="AF145:AF148" si="248">AG145*AH145</f>
        <v>79629.96</v>
      </c>
      <c r="AG145" s="175">
        <f>SUMIFS('1-2 人员岗位信息'!G:G,'1-2 人员岗位信息'!$C:$C,"自有人员",'1-2 人员岗位信息'!$B:$B,$D145)</f>
        <v>6</v>
      </c>
      <c r="AH145" s="298">
        <f>自有人工预算!F24/AG145</f>
        <v>13271.66</v>
      </c>
      <c r="AI145" s="175">
        <f t="shared" ref="AI145:AI148" si="249">AJ145*AK145</f>
        <v>79629.96</v>
      </c>
      <c r="AJ145" s="175">
        <f>SUMIFS('1-2 人员岗位信息'!H:H,'1-2 人员岗位信息'!$C:$C,"自有人员",'1-2 人员岗位信息'!$B:$B,$D145)</f>
        <v>6</v>
      </c>
      <c r="AK145" s="298">
        <f>自有人工预算!G24/AJ145</f>
        <v>13271.66</v>
      </c>
      <c r="AL145" s="175">
        <f t="shared" ref="AL145:AL148" si="250">AM145*AN145</f>
        <v>79629.96</v>
      </c>
      <c r="AM145" s="175">
        <f>SUMIFS('1-2 人员岗位信息'!I:I,'1-2 人员岗位信息'!$C:$C,"自有人员",'1-2 人员岗位信息'!$B:$B,$D145)</f>
        <v>6</v>
      </c>
      <c r="AN145" s="298">
        <f>自有人工预算!H24/AM145</f>
        <v>13271.66</v>
      </c>
      <c r="AO145" s="175">
        <f t="shared" ref="AO145:AO148" si="251">AP145*AQ145</f>
        <v>79629.96</v>
      </c>
      <c r="AP145" s="175">
        <f>SUMIFS('1-2 人员岗位信息'!J:J,'1-2 人员岗位信息'!$C:$C,"自有人员",'1-2 人员岗位信息'!$B:$B,$D145)</f>
        <v>6</v>
      </c>
      <c r="AQ145" s="298">
        <f>自有人工预算!I24/AP145</f>
        <v>13271.66</v>
      </c>
      <c r="AR145" s="175">
        <f t="shared" ref="AR145:AR148" si="252">AS145*AT145</f>
        <v>79629.96</v>
      </c>
      <c r="AS145" s="175">
        <f>SUMIFS('1-2 人员岗位信息'!K:K,'1-2 人员岗位信息'!$C:$C,"自有人员",'1-2 人员岗位信息'!$B:$B,$D145)</f>
        <v>6</v>
      </c>
      <c r="AT145" s="298">
        <f>自有人工预算!J24/AS145</f>
        <v>13271.66</v>
      </c>
      <c r="AU145" s="175">
        <f t="shared" ref="AU145:AU148" si="253">AV145*AW145</f>
        <v>79629.96</v>
      </c>
      <c r="AV145" s="175">
        <f>SUMIFS('1-2 人员岗位信息'!L:L,'1-2 人员岗位信息'!$C:$C,"自有人员",'1-2 人员岗位信息'!$B:$B,$D145)</f>
        <v>6</v>
      </c>
      <c r="AW145" s="298">
        <f>自有人工预算!K24/AV145</f>
        <v>13271.66</v>
      </c>
      <c r="AX145" s="175">
        <f t="shared" ref="AX145:AX148" si="254">AY145*AZ145</f>
        <v>79629.96</v>
      </c>
      <c r="AY145" s="175">
        <f>SUMIFS('1-2 人员岗位信息'!M:M,'1-2 人员岗位信息'!$C:$C,"自有人员",'1-2 人员岗位信息'!$B:$B,$D145)</f>
        <v>6</v>
      </c>
      <c r="AZ145" s="298">
        <f>自有人工预算!L24/AY145</f>
        <v>13271.66</v>
      </c>
      <c r="BA145" s="175">
        <f t="shared" ref="BA145:BA148" si="255">BB145*BC145</f>
        <v>79629.96</v>
      </c>
      <c r="BB145" s="175">
        <f>SUMIFS('1-2 人员岗位信息'!N:N,'1-2 人员岗位信息'!$C:$C,"自有人员",'1-2 人员岗位信息'!$B:$B,$D145)</f>
        <v>6</v>
      </c>
      <c r="BC145" s="298">
        <f>自有人工预算!M24/BB145</f>
        <v>13271.66</v>
      </c>
      <c r="BD145" s="175">
        <f t="shared" ref="BD145:BD148" si="256">BE145*BF145</f>
        <v>79629.96</v>
      </c>
      <c r="BE145" s="175">
        <f>SUMIFS('1-2 人员岗位信息'!O:O,'1-2 人员岗位信息'!$C:$C,"自有人员",'1-2 人员岗位信息'!$B:$B,$D145)</f>
        <v>6</v>
      </c>
      <c r="BF145" s="298">
        <f>自有人工预算!N24/BE145</f>
        <v>13271.66</v>
      </c>
      <c r="BG145" s="175">
        <f t="shared" ref="BG145:BG148" si="257">BH145*BI145</f>
        <v>79629.96</v>
      </c>
      <c r="BH145" s="175">
        <f>SUMIFS('1-2 人员岗位信息'!P:P,'1-2 人员岗位信息'!$C:$C,"自有人员",'1-2 人员岗位信息'!$B:$B,$D145)</f>
        <v>6</v>
      </c>
      <c r="BI145" s="298">
        <f>自有人工预算!O24/BH145</f>
        <v>13271.66</v>
      </c>
      <c r="BJ145" s="175">
        <f t="shared" ref="BJ145:BJ148" si="258">BK145*BL145</f>
        <v>262793.9</v>
      </c>
      <c r="BK145" s="175">
        <f>SUMIFS('1-2 人员岗位信息'!Q:Q,'1-2 人员岗位信息'!$C:$C,"自有人员",'1-2 人员岗位信息'!$B:$B,$D145)</f>
        <v>6</v>
      </c>
      <c r="BL145" s="298">
        <f>自有人工预算!P24/BK145</f>
        <v>43798.9833333333</v>
      </c>
      <c r="BM145" s="311"/>
      <c r="BN145" s="315"/>
    </row>
    <row r="146" s="263" customFormat="1" ht="33.95" customHeight="1" outlineLevel="5" spans="2:66">
      <c r="B146" s="175" t="s">
        <v>799</v>
      </c>
      <c r="C146" s="283" t="s">
        <v>1039</v>
      </c>
      <c r="D146" s="263" t="s">
        <v>1040</v>
      </c>
      <c r="E146" s="175" t="s">
        <v>1041</v>
      </c>
      <c r="F146" s="175"/>
      <c r="G146" s="175" t="s">
        <v>803</v>
      </c>
      <c r="H146" s="175">
        <f t="shared" si="243"/>
        <v>0</v>
      </c>
      <c r="I146" s="175" t="s">
        <v>804</v>
      </c>
      <c r="J146" s="175" t="e">
        <f t="shared" si="244"/>
        <v>#DIV/0!</v>
      </c>
      <c r="K146" s="175" t="s">
        <v>805</v>
      </c>
      <c r="L146" s="175" t="e">
        <f t="shared" si="245"/>
        <v>#DIV/0!</v>
      </c>
      <c r="M146" s="175" t="s">
        <v>806</v>
      </c>
      <c r="N146" s="175">
        <f t="shared" si="246"/>
        <v>0</v>
      </c>
      <c r="O146" s="175"/>
      <c r="P146" s="290"/>
      <c r="Q146" s="290"/>
      <c r="R146" s="290"/>
      <c r="S146" s="290"/>
      <c r="T146" s="290"/>
      <c r="U146" s="290"/>
      <c r="V146" s="290"/>
      <c r="W146" s="290"/>
      <c r="X146" s="290"/>
      <c r="Y146" s="290"/>
      <c r="Z146" s="290"/>
      <c r="AA146" s="290"/>
      <c r="AB146" s="175">
        <f t="shared" si="240"/>
        <v>0</v>
      </c>
      <c r="AC146" s="175">
        <f t="shared" si="247"/>
        <v>0</v>
      </c>
      <c r="AD146" s="175">
        <f>SUMIFS('1-2 人员岗位信息'!F:F,'1-2 人员岗位信息'!$C:$C,"自有人员",'1-2 人员岗位信息'!$B:$B,$D146)</f>
        <v>0</v>
      </c>
      <c r="AE146" s="298"/>
      <c r="AF146" s="175">
        <f t="shared" si="248"/>
        <v>0</v>
      </c>
      <c r="AG146" s="175">
        <f>SUMIFS('1-2 人员岗位信息'!G:G,'1-2 人员岗位信息'!$C:$C,"自有人员",'1-2 人员岗位信息'!$B:$B,$D146)</f>
        <v>0</v>
      </c>
      <c r="AH146" s="298"/>
      <c r="AI146" s="175">
        <f t="shared" si="249"/>
        <v>0</v>
      </c>
      <c r="AJ146" s="175">
        <f>SUMIFS('1-2 人员岗位信息'!H:H,'1-2 人员岗位信息'!$C:$C,"自有人员",'1-2 人员岗位信息'!$B:$B,$D146)</f>
        <v>0</v>
      </c>
      <c r="AK146" s="298"/>
      <c r="AL146" s="175">
        <f t="shared" si="250"/>
        <v>0</v>
      </c>
      <c r="AM146" s="175">
        <f>SUMIFS('1-2 人员岗位信息'!I:I,'1-2 人员岗位信息'!$C:$C,"自有人员",'1-2 人员岗位信息'!$B:$B,$D146)</f>
        <v>0</v>
      </c>
      <c r="AN146" s="298"/>
      <c r="AO146" s="175">
        <f t="shared" si="251"/>
        <v>0</v>
      </c>
      <c r="AP146" s="175">
        <f>SUMIFS('1-2 人员岗位信息'!J:J,'1-2 人员岗位信息'!$C:$C,"自有人员",'1-2 人员岗位信息'!$B:$B,$D146)</f>
        <v>0</v>
      </c>
      <c r="AQ146" s="298"/>
      <c r="AR146" s="175">
        <f t="shared" si="252"/>
        <v>0</v>
      </c>
      <c r="AS146" s="175">
        <f>SUMIFS('1-2 人员岗位信息'!K:K,'1-2 人员岗位信息'!$C:$C,"自有人员",'1-2 人员岗位信息'!$B:$B,$D146)</f>
        <v>0</v>
      </c>
      <c r="AT146" s="298"/>
      <c r="AU146" s="175">
        <f t="shared" si="253"/>
        <v>0</v>
      </c>
      <c r="AV146" s="175">
        <f>SUMIFS('1-2 人员岗位信息'!L:L,'1-2 人员岗位信息'!$C:$C,"自有人员",'1-2 人员岗位信息'!$B:$B,$D146)</f>
        <v>0</v>
      </c>
      <c r="AW146" s="298"/>
      <c r="AX146" s="175">
        <f t="shared" si="254"/>
        <v>0</v>
      </c>
      <c r="AY146" s="175">
        <f>SUMIFS('1-2 人员岗位信息'!M:M,'1-2 人员岗位信息'!$C:$C,"自有人员",'1-2 人员岗位信息'!$B:$B,$D146)</f>
        <v>0</v>
      </c>
      <c r="AZ146" s="298"/>
      <c r="BA146" s="175">
        <f t="shared" si="255"/>
        <v>0</v>
      </c>
      <c r="BB146" s="175">
        <f>SUMIFS('1-2 人员岗位信息'!N:N,'1-2 人员岗位信息'!$C:$C,"自有人员",'1-2 人员岗位信息'!$B:$B,$D146)</f>
        <v>0</v>
      </c>
      <c r="BC146" s="298"/>
      <c r="BD146" s="175">
        <f t="shared" si="256"/>
        <v>0</v>
      </c>
      <c r="BE146" s="175">
        <f>SUMIFS('1-2 人员岗位信息'!O:O,'1-2 人员岗位信息'!$C:$C,"自有人员",'1-2 人员岗位信息'!$B:$B,$D146)</f>
        <v>0</v>
      </c>
      <c r="BF146" s="298"/>
      <c r="BG146" s="175">
        <f t="shared" si="257"/>
        <v>0</v>
      </c>
      <c r="BH146" s="175">
        <f>SUMIFS('1-2 人员岗位信息'!P:P,'1-2 人员岗位信息'!$C:$C,"自有人员",'1-2 人员岗位信息'!$B:$B,$D146)</f>
        <v>0</v>
      </c>
      <c r="BI146" s="298"/>
      <c r="BJ146" s="175">
        <f t="shared" si="258"/>
        <v>0</v>
      </c>
      <c r="BK146" s="175">
        <f>SUMIFS('1-2 人员岗位信息'!Q:Q,'1-2 人员岗位信息'!$C:$C,"自有人员",'1-2 人员岗位信息'!$B:$B,$D146)</f>
        <v>0</v>
      </c>
      <c r="BL146" s="307"/>
      <c r="BM146" s="311"/>
      <c r="BN146" s="315"/>
    </row>
    <row r="147" s="263" customFormat="1" ht="33.95" customHeight="1" outlineLevel="5" spans="2:66">
      <c r="B147" s="175" t="s">
        <v>799</v>
      </c>
      <c r="C147" s="283" t="s">
        <v>1042</v>
      </c>
      <c r="D147" s="263" t="s">
        <v>1043</v>
      </c>
      <c r="E147" s="175" t="s">
        <v>1044</v>
      </c>
      <c r="F147" s="175"/>
      <c r="G147" s="175" t="s">
        <v>803</v>
      </c>
      <c r="H147" s="175">
        <f t="shared" si="243"/>
        <v>0</v>
      </c>
      <c r="I147" s="175" t="s">
        <v>804</v>
      </c>
      <c r="J147" s="175" t="e">
        <f t="shared" si="244"/>
        <v>#DIV/0!</v>
      </c>
      <c r="K147" s="175" t="s">
        <v>805</v>
      </c>
      <c r="L147" s="175" t="e">
        <f t="shared" si="245"/>
        <v>#DIV/0!</v>
      </c>
      <c r="M147" s="175" t="s">
        <v>806</v>
      </c>
      <c r="N147" s="175">
        <f t="shared" si="246"/>
        <v>0</v>
      </c>
      <c r="O147" s="175"/>
      <c r="P147" s="290"/>
      <c r="Q147" s="290"/>
      <c r="R147" s="290"/>
      <c r="S147" s="290"/>
      <c r="T147" s="290"/>
      <c r="U147" s="290"/>
      <c r="V147" s="290"/>
      <c r="W147" s="290"/>
      <c r="X147" s="290"/>
      <c r="Y147" s="290"/>
      <c r="Z147" s="290"/>
      <c r="AA147" s="290"/>
      <c r="AB147" s="175">
        <f t="shared" si="240"/>
        <v>0</v>
      </c>
      <c r="AC147" s="175">
        <f t="shared" si="247"/>
        <v>0</v>
      </c>
      <c r="AD147" s="175">
        <f>SUMIFS('1-2 人员岗位信息'!F:F,'1-2 人员岗位信息'!$C:$C,"自有人员",'1-2 人员岗位信息'!$B:$B,$D147)</f>
        <v>0</v>
      </c>
      <c r="AE147" s="298"/>
      <c r="AF147" s="175">
        <f t="shared" si="248"/>
        <v>0</v>
      </c>
      <c r="AG147" s="175">
        <f>SUMIFS('1-2 人员岗位信息'!G:G,'1-2 人员岗位信息'!$C:$C,"自有人员",'1-2 人员岗位信息'!$B:$B,$D147)</f>
        <v>0</v>
      </c>
      <c r="AH147" s="298"/>
      <c r="AI147" s="175">
        <f t="shared" si="249"/>
        <v>0</v>
      </c>
      <c r="AJ147" s="175">
        <f>SUMIFS('1-2 人员岗位信息'!H:H,'1-2 人员岗位信息'!$C:$C,"自有人员",'1-2 人员岗位信息'!$B:$B,$D147)</f>
        <v>0</v>
      </c>
      <c r="AK147" s="298"/>
      <c r="AL147" s="175">
        <f t="shared" si="250"/>
        <v>0</v>
      </c>
      <c r="AM147" s="175">
        <f>SUMIFS('1-2 人员岗位信息'!I:I,'1-2 人员岗位信息'!$C:$C,"自有人员",'1-2 人员岗位信息'!$B:$B,$D147)</f>
        <v>0</v>
      </c>
      <c r="AN147" s="298"/>
      <c r="AO147" s="175">
        <f t="shared" si="251"/>
        <v>0</v>
      </c>
      <c r="AP147" s="175">
        <f>SUMIFS('1-2 人员岗位信息'!J:J,'1-2 人员岗位信息'!$C:$C,"自有人员",'1-2 人员岗位信息'!$B:$B,$D147)</f>
        <v>0</v>
      </c>
      <c r="AQ147" s="298"/>
      <c r="AR147" s="175">
        <f t="shared" si="252"/>
        <v>0</v>
      </c>
      <c r="AS147" s="175">
        <f>SUMIFS('1-2 人员岗位信息'!K:K,'1-2 人员岗位信息'!$C:$C,"自有人员",'1-2 人员岗位信息'!$B:$B,$D147)</f>
        <v>0</v>
      </c>
      <c r="AT147" s="298"/>
      <c r="AU147" s="175">
        <f t="shared" si="253"/>
        <v>0</v>
      </c>
      <c r="AV147" s="175">
        <f>SUMIFS('1-2 人员岗位信息'!L:L,'1-2 人员岗位信息'!$C:$C,"自有人员",'1-2 人员岗位信息'!$B:$B,$D147)</f>
        <v>0</v>
      </c>
      <c r="AW147" s="298"/>
      <c r="AX147" s="175">
        <f t="shared" si="254"/>
        <v>0</v>
      </c>
      <c r="AY147" s="175">
        <f>SUMIFS('1-2 人员岗位信息'!M:M,'1-2 人员岗位信息'!$C:$C,"自有人员",'1-2 人员岗位信息'!$B:$B,$D147)</f>
        <v>0</v>
      </c>
      <c r="AZ147" s="298"/>
      <c r="BA147" s="175">
        <f t="shared" si="255"/>
        <v>0</v>
      </c>
      <c r="BB147" s="175">
        <f>SUMIFS('1-2 人员岗位信息'!N:N,'1-2 人员岗位信息'!$C:$C,"自有人员",'1-2 人员岗位信息'!$B:$B,$D147)</f>
        <v>0</v>
      </c>
      <c r="BC147" s="298"/>
      <c r="BD147" s="175">
        <f t="shared" si="256"/>
        <v>0</v>
      </c>
      <c r="BE147" s="175">
        <f>SUMIFS('1-2 人员岗位信息'!O:O,'1-2 人员岗位信息'!$C:$C,"自有人员",'1-2 人员岗位信息'!$B:$B,$D147)</f>
        <v>0</v>
      </c>
      <c r="BF147" s="298"/>
      <c r="BG147" s="175">
        <f t="shared" si="257"/>
        <v>0</v>
      </c>
      <c r="BH147" s="175">
        <f>SUMIFS('1-2 人员岗位信息'!P:P,'1-2 人员岗位信息'!$C:$C,"自有人员",'1-2 人员岗位信息'!$B:$B,$D147)</f>
        <v>0</v>
      </c>
      <c r="BI147" s="298"/>
      <c r="BJ147" s="175">
        <f t="shared" si="258"/>
        <v>0</v>
      </c>
      <c r="BK147" s="175">
        <f>SUMIFS('1-2 人员岗位信息'!Q:Q,'1-2 人员岗位信息'!$C:$C,"自有人员",'1-2 人员岗位信息'!$B:$B,$D147)</f>
        <v>0</v>
      </c>
      <c r="BL147" s="307"/>
      <c r="BM147" s="311"/>
      <c r="BN147" s="315"/>
    </row>
    <row r="148" s="263" customFormat="1" ht="33.95" customHeight="1" outlineLevel="5" spans="2:66">
      <c r="B148" s="175" t="s">
        <v>799</v>
      </c>
      <c r="C148" s="283" t="s">
        <v>1045</v>
      </c>
      <c r="D148" s="263" t="s">
        <v>1046</v>
      </c>
      <c r="E148" s="175" t="s">
        <v>1047</v>
      </c>
      <c r="F148" s="175"/>
      <c r="G148" s="175" t="s">
        <v>803</v>
      </c>
      <c r="H148" s="175">
        <f t="shared" si="243"/>
        <v>0</v>
      </c>
      <c r="I148" s="175" t="s">
        <v>804</v>
      </c>
      <c r="J148" s="175" t="e">
        <f t="shared" si="244"/>
        <v>#DIV/0!</v>
      </c>
      <c r="K148" s="175" t="s">
        <v>805</v>
      </c>
      <c r="L148" s="175" t="e">
        <f t="shared" si="245"/>
        <v>#DIV/0!</v>
      </c>
      <c r="M148" s="175" t="s">
        <v>806</v>
      </c>
      <c r="N148" s="175">
        <f t="shared" si="246"/>
        <v>0</v>
      </c>
      <c r="O148" s="175"/>
      <c r="P148" s="290"/>
      <c r="Q148" s="290"/>
      <c r="R148" s="290"/>
      <c r="S148" s="290"/>
      <c r="T148" s="290"/>
      <c r="U148" s="290"/>
      <c r="V148" s="290"/>
      <c r="W148" s="290"/>
      <c r="X148" s="290"/>
      <c r="Y148" s="290"/>
      <c r="Z148" s="290"/>
      <c r="AA148" s="290"/>
      <c r="AB148" s="175">
        <f t="shared" si="240"/>
        <v>0</v>
      </c>
      <c r="AC148" s="175">
        <f t="shared" si="247"/>
        <v>0</v>
      </c>
      <c r="AD148" s="175">
        <f>SUMIFS('1-2 人员岗位信息'!F:F,'1-2 人员岗位信息'!$C:$C,"自有人员",'1-2 人员岗位信息'!$B:$B,$D148)</f>
        <v>0</v>
      </c>
      <c r="AE148" s="298"/>
      <c r="AF148" s="175">
        <f t="shared" si="248"/>
        <v>0</v>
      </c>
      <c r="AG148" s="175">
        <f>SUMIFS('1-2 人员岗位信息'!G:G,'1-2 人员岗位信息'!$C:$C,"自有人员",'1-2 人员岗位信息'!$B:$B,$D148)</f>
        <v>0</v>
      </c>
      <c r="AH148" s="298"/>
      <c r="AI148" s="175">
        <f t="shared" si="249"/>
        <v>0</v>
      </c>
      <c r="AJ148" s="175">
        <f>SUMIFS('1-2 人员岗位信息'!H:H,'1-2 人员岗位信息'!$C:$C,"自有人员",'1-2 人员岗位信息'!$B:$B,$D148)</f>
        <v>0</v>
      </c>
      <c r="AK148" s="298"/>
      <c r="AL148" s="175">
        <f t="shared" si="250"/>
        <v>0</v>
      </c>
      <c r="AM148" s="175">
        <f>SUMIFS('1-2 人员岗位信息'!I:I,'1-2 人员岗位信息'!$C:$C,"自有人员",'1-2 人员岗位信息'!$B:$B,$D148)</f>
        <v>0</v>
      </c>
      <c r="AN148" s="298"/>
      <c r="AO148" s="175">
        <f t="shared" si="251"/>
        <v>0</v>
      </c>
      <c r="AP148" s="175">
        <f>SUMIFS('1-2 人员岗位信息'!J:J,'1-2 人员岗位信息'!$C:$C,"自有人员",'1-2 人员岗位信息'!$B:$B,$D148)</f>
        <v>0</v>
      </c>
      <c r="AQ148" s="298"/>
      <c r="AR148" s="175">
        <f t="shared" si="252"/>
        <v>0</v>
      </c>
      <c r="AS148" s="175">
        <f>SUMIFS('1-2 人员岗位信息'!K:K,'1-2 人员岗位信息'!$C:$C,"自有人员",'1-2 人员岗位信息'!$B:$B,$D148)</f>
        <v>0</v>
      </c>
      <c r="AT148" s="298"/>
      <c r="AU148" s="175">
        <f t="shared" si="253"/>
        <v>0</v>
      </c>
      <c r="AV148" s="175">
        <f>SUMIFS('1-2 人员岗位信息'!L:L,'1-2 人员岗位信息'!$C:$C,"自有人员",'1-2 人员岗位信息'!$B:$B,$D148)</f>
        <v>0</v>
      </c>
      <c r="AW148" s="298"/>
      <c r="AX148" s="175">
        <f t="shared" si="254"/>
        <v>0</v>
      </c>
      <c r="AY148" s="175">
        <f>SUMIFS('1-2 人员岗位信息'!M:M,'1-2 人员岗位信息'!$C:$C,"自有人员",'1-2 人员岗位信息'!$B:$B,$D148)</f>
        <v>0</v>
      </c>
      <c r="AZ148" s="298"/>
      <c r="BA148" s="175">
        <f t="shared" si="255"/>
        <v>0</v>
      </c>
      <c r="BB148" s="175">
        <f>SUMIFS('1-2 人员岗位信息'!N:N,'1-2 人员岗位信息'!$C:$C,"自有人员",'1-2 人员岗位信息'!$B:$B,$D148)</f>
        <v>0</v>
      </c>
      <c r="BC148" s="298"/>
      <c r="BD148" s="175">
        <f t="shared" si="256"/>
        <v>0</v>
      </c>
      <c r="BE148" s="175">
        <f>SUMIFS('1-2 人员岗位信息'!O:O,'1-2 人员岗位信息'!$C:$C,"自有人员",'1-2 人员岗位信息'!$B:$B,$D148)</f>
        <v>0</v>
      </c>
      <c r="BF148" s="298"/>
      <c r="BG148" s="175">
        <f t="shared" si="257"/>
        <v>0</v>
      </c>
      <c r="BH148" s="175">
        <f>SUMIFS('1-2 人员岗位信息'!P:P,'1-2 人员岗位信息'!$C:$C,"自有人员",'1-2 人员岗位信息'!$B:$B,$D148)</f>
        <v>0</v>
      </c>
      <c r="BI148" s="298"/>
      <c r="BJ148" s="175">
        <f t="shared" si="258"/>
        <v>0</v>
      </c>
      <c r="BK148" s="175">
        <f>SUMIFS('1-2 人员岗位信息'!Q:Q,'1-2 人员岗位信息'!$C:$C,"自有人员",'1-2 人员岗位信息'!$B:$B,$D148)</f>
        <v>0</v>
      </c>
      <c r="BL148" s="307"/>
      <c r="BM148" s="311"/>
      <c r="BN148" s="315"/>
    </row>
    <row r="149" s="118" customFormat="1" ht="33.95" customHeight="1" outlineLevel="4" spans="2:66">
      <c r="B149" s="119" t="s">
        <v>794</v>
      </c>
      <c r="C149" s="120" t="s">
        <v>72</v>
      </c>
      <c r="D149" s="118" t="s">
        <v>68</v>
      </c>
      <c r="E149" s="119"/>
      <c r="F149" s="119"/>
      <c r="G149" s="119"/>
      <c r="H149" s="119">
        <f>SUM(H150:H153)</f>
        <v>0</v>
      </c>
      <c r="I149" s="119"/>
      <c r="J149" s="119"/>
      <c r="K149" s="119"/>
      <c r="L149" s="119"/>
      <c r="M149" s="119"/>
      <c r="N149" s="119"/>
      <c r="O149" s="119"/>
      <c r="P149" s="289"/>
      <c r="Q149" s="289"/>
      <c r="R149" s="289"/>
      <c r="S149" s="289"/>
      <c r="T149" s="289"/>
      <c r="U149" s="289"/>
      <c r="V149" s="289"/>
      <c r="W149" s="289"/>
      <c r="X149" s="289"/>
      <c r="Y149" s="289"/>
      <c r="Z149" s="289"/>
      <c r="AA149" s="289"/>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6"/>
      <c r="BM149" s="311"/>
      <c r="BN149" s="314"/>
    </row>
    <row r="150" s="263" customFormat="1" ht="33.95" customHeight="1" outlineLevel="5" spans="2:66">
      <c r="B150" s="175" t="s">
        <v>799</v>
      </c>
      <c r="C150" s="283" t="s">
        <v>1048</v>
      </c>
      <c r="D150" s="263" t="s">
        <v>1037</v>
      </c>
      <c r="E150" s="175" t="s">
        <v>1049</v>
      </c>
      <c r="F150" s="175"/>
      <c r="G150" s="175" t="s">
        <v>803</v>
      </c>
      <c r="H150" s="175">
        <f t="shared" ref="H150:H153" si="260">AB150</f>
        <v>0</v>
      </c>
      <c r="I150" s="175" t="s">
        <v>804</v>
      </c>
      <c r="J150" s="175" t="e">
        <f t="shared" ref="J150:J153" si="261">SUM(AD150,AG150,AJ150,AM150,AP150,AS150,AV150,AY150,BB150,BE150,BH150,BK150)/N150</f>
        <v>#DIV/0!</v>
      </c>
      <c r="K150" s="175" t="s">
        <v>805</v>
      </c>
      <c r="L150" s="175" t="e">
        <f t="shared" ref="L150:L153" si="262">H150/N150/J150</f>
        <v>#DIV/0!</v>
      </c>
      <c r="M150" s="175" t="s">
        <v>806</v>
      </c>
      <c r="N150" s="175">
        <f t="shared" ref="N150:N153" si="263">COUNTIF(AD150,"&gt;0")+COUNTIF(AG150,"&gt;0")+COUNTIF(AJ150,"&gt;0")+COUNTIF(AM150,"&gt;0")+COUNTIF(AP150,"&gt;0")+COUNTIF(AS150,"&gt;0")+COUNTIF(AV150,"&gt;0")+COUNTIF(AY150,"&gt;0")+COUNTIF(BB150,"&gt;0")+COUNTIF(BE150,"&gt;0")+COUNTIF(BH150,"&gt;0")+COUNTIF(BK150,"&gt;0")</f>
        <v>0</v>
      </c>
      <c r="O150" s="175"/>
      <c r="P150" s="290"/>
      <c r="Q150" s="290"/>
      <c r="R150" s="290"/>
      <c r="S150" s="290"/>
      <c r="T150" s="290"/>
      <c r="U150" s="290"/>
      <c r="V150" s="290"/>
      <c r="W150" s="290"/>
      <c r="X150" s="290"/>
      <c r="Y150" s="290"/>
      <c r="Z150" s="290"/>
      <c r="AA150" s="290"/>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298"/>
      <c r="AF150" s="175">
        <f t="shared" ref="AF150:AF153" si="266">AG150*AH150</f>
        <v>0</v>
      </c>
      <c r="AG150" s="175">
        <f>SUMIFS('1-2 人员岗位信息'!G:G,'1-2 人员岗位信息'!$C:$C,"劳务派遣",'1-2 人员岗位信息'!$B:$B,$D150)</f>
        <v>0</v>
      </c>
      <c r="AH150" s="298"/>
      <c r="AI150" s="175">
        <f t="shared" ref="AI150:AI153" si="267">AJ150*AK150</f>
        <v>0</v>
      </c>
      <c r="AJ150" s="175">
        <f>SUMIFS('1-2 人员岗位信息'!H:H,'1-2 人员岗位信息'!$C:$C,"劳务派遣",'1-2 人员岗位信息'!$B:$B,$D150)</f>
        <v>0</v>
      </c>
      <c r="AK150" s="298"/>
      <c r="AL150" s="175">
        <f t="shared" ref="AL150:AL153" si="268">AM150*AN150</f>
        <v>0</v>
      </c>
      <c r="AM150" s="175">
        <f>SUMIFS('1-2 人员岗位信息'!I:I,'1-2 人员岗位信息'!$C:$C,"劳务派遣",'1-2 人员岗位信息'!$B:$B,$D150)</f>
        <v>0</v>
      </c>
      <c r="AN150" s="298"/>
      <c r="AO150" s="175">
        <f t="shared" ref="AO150:AO153" si="269">AP150*AQ150</f>
        <v>0</v>
      </c>
      <c r="AP150" s="175">
        <f>SUMIFS('1-2 人员岗位信息'!J:J,'1-2 人员岗位信息'!$C:$C,"劳务派遣",'1-2 人员岗位信息'!$B:$B,$D150)</f>
        <v>0</v>
      </c>
      <c r="AQ150" s="298"/>
      <c r="AR150" s="175">
        <f t="shared" ref="AR150:AR153" si="270">AS150*AT150</f>
        <v>0</v>
      </c>
      <c r="AS150" s="175">
        <f>SUMIFS('1-2 人员岗位信息'!K:K,'1-2 人员岗位信息'!$C:$C,"劳务派遣",'1-2 人员岗位信息'!$B:$B,$D150)</f>
        <v>0</v>
      </c>
      <c r="AT150" s="298"/>
      <c r="AU150" s="175">
        <f t="shared" ref="AU150:AU153" si="271">AV150*AW150</f>
        <v>0</v>
      </c>
      <c r="AV150" s="175">
        <f>SUMIFS('1-2 人员岗位信息'!L:L,'1-2 人员岗位信息'!$C:$C,"劳务派遣",'1-2 人员岗位信息'!$B:$B,$D150)</f>
        <v>0</v>
      </c>
      <c r="AW150" s="298"/>
      <c r="AX150" s="175">
        <f t="shared" ref="AX150:AX153" si="272">AY150*AZ150</f>
        <v>0</v>
      </c>
      <c r="AY150" s="175">
        <f>SUMIFS('1-2 人员岗位信息'!M:M,'1-2 人员岗位信息'!$C:$C,"劳务派遣",'1-2 人员岗位信息'!$B:$B,$D150)</f>
        <v>0</v>
      </c>
      <c r="AZ150" s="298"/>
      <c r="BA150" s="175">
        <f t="shared" ref="BA150:BA153" si="273">BB150*BC150</f>
        <v>0</v>
      </c>
      <c r="BB150" s="175">
        <f>SUMIFS('1-2 人员岗位信息'!N:N,'1-2 人员岗位信息'!$C:$C,"劳务派遣",'1-2 人员岗位信息'!$B:$B,$D150)</f>
        <v>0</v>
      </c>
      <c r="BC150" s="298"/>
      <c r="BD150" s="175">
        <f t="shared" ref="BD150:BD153" si="274">BE150*BF150</f>
        <v>0</v>
      </c>
      <c r="BE150" s="175">
        <f>SUMIFS('1-2 人员岗位信息'!O:O,'1-2 人员岗位信息'!$C:$C,"劳务派遣",'1-2 人员岗位信息'!$B:$B,$D150)</f>
        <v>0</v>
      </c>
      <c r="BF150" s="298"/>
      <c r="BG150" s="175">
        <f t="shared" ref="BG150:BG153" si="275">BH150*BI150</f>
        <v>0</v>
      </c>
      <c r="BH150" s="175">
        <f>SUMIFS('1-2 人员岗位信息'!P:P,'1-2 人员岗位信息'!$C:$C,"劳务派遣",'1-2 人员岗位信息'!$B:$B,$D150)</f>
        <v>0</v>
      </c>
      <c r="BI150" s="298"/>
      <c r="BJ150" s="175">
        <f t="shared" ref="BJ150:BJ153" si="276">BK150*BL150</f>
        <v>0</v>
      </c>
      <c r="BK150" s="175">
        <f>SUMIFS('1-2 人员岗位信息'!Q:Q,'1-2 人员岗位信息'!$C:$C,"劳务派遣",'1-2 人员岗位信息'!$B:$B,$D150)</f>
        <v>0</v>
      </c>
      <c r="BL150" s="307"/>
      <c r="BM150" s="311"/>
      <c r="BN150" s="315"/>
    </row>
    <row r="151" s="263" customFormat="1" ht="33.95" customHeight="1" outlineLevel="5" spans="2:66">
      <c r="B151" s="175" t="s">
        <v>799</v>
      </c>
      <c r="C151" s="283" t="s">
        <v>1050</v>
      </c>
      <c r="D151" s="263" t="s">
        <v>1040</v>
      </c>
      <c r="E151" s="175" t="s">
        <v>1051</v>
      </c>
      <c r="F151" s="175"/>
      <c r="G151" s="175" t="s">
        <v>803</v>
      </c>
      <c r="H151" s="175">
        <f t="shared" si="260"/>
        <v>0</v>
      </c>
      <c r="I151" s="175" t="s">
        <v>804</v>
      </c>
      <c r="J151" s="175" t="e">
        <f t="shared" si="261"/>
        <v>#DIV/0!</v>
      </c>
      <c r="K151" s="175" t="s">
        <v>805</v>
      </c>
      <c r="L151" s="175" t="e">
        <f t="shared" si="262"/>
        <v>#DIV/0!</v>
      </c>
      <c r="M151" s="175" t="s">
        <v>806</v>
      </c>
      <c r="N151" s="175">
        <f t="shared" si="263"/>
        <v>0</v>
      </c>
      <c r="O151" s="175"/>
      <c r="P151" s="290"/>
      <c r="Q151" s="290"/>
      <c r="R151" s="290"/>
      <c r="S151" s="290"/>
      <c r="T151" s="290"/>
      <c r="U151" s="290"/>
      <c r="V151" s="290"/>
      <c r="W151" s="290"/>
      <c r="X151" s="290"/>
      <c r="Y151" s="290"/>
      <c r="Z151" s="290"/>
      <c r="AA151" s="290"/>
      <c r="AB151" s="175">
        <f t="shared" si="264"/>
        <v>0</v>
      </c>
      <c r="AC151" s="175">
        <f t="shared" si="265"/>
        <v>0</v>
      </c>
      <c r="AD151" s="175">
        <f>SUMIFS('1-2 人员岗位信息'!F:F,'1-2 人员岗位信息'!$C:$C,"劳务派遣",'1-2 人员岗位信息'!$B:$B,$D151)</f>
        <v>0</v>
      </c>
      <c r="AE151" s="298"/>
      <c r="AF151" s="175">
        <f t="shared" si="266"/>
        <v>0</v>
      </c>
      <c r="AG151" s="175">
        <f>SUMIFS('1-2 人员岗位信息'!G:G,'1-2 人员岗位信息'!$C:$C,"劳务派遣",'1-2 人员岗位信息'!$B:$B,$D151)</f>
        <v>0</v>
      </c>
      <c r="AH151" s="298"/>
      <c r="AI151" s="175">
        <f t="shared" si="267"/>
        <v>0</v>
      </c>
      <c r="AJ151" s="175">
        <f>SUMIFS('1-2 人员岗位信息'!H:H,'1-2 人员岗位信息'!$C:$C,"劳务派遣",'1-2 人员岗位信息'!$B:$B,$D151)</f>
        <v>0</v>
      </c>
      <c r="AK151" s="298"/>
      <c r="AL151" s="175">
        <f t="shared" si="268"/>
        <v>0</v>
      </c>
      <c r="AM151" s="175">
        <f>SUMIFS('1-2 人员岗位信息'!I:I,'1-2 人员岗位信息'!$C:$C,"劳务派遣",'1-2 人员岗位信息'!$B:$B,$D151)</f>
        <v>0</v>
      </c>
      <c r="AN151" s="298"/>
      <c r="AO151" s="175">
        <f t="shared" si="269"/>
        <v>0</v>
      </c>
      <c r="AP151" s="175">
        <f>SUMIFS('1-2 人员岗位信息'!J:J,'1-2 人员岗位信息'!$C:$C,"劳务派遣",'1-2 人员岗位信息'!$B:$B,$D151)</f>
        <v>0</v>
      </c>
      <c r="AQ151" s="298"/>
      <c r="AR151" s="175">
        <f t="shared" si="270"/>
        <v>0</v>
      </c>
      <c r="AS151" s="175">
        <f>SUMIFS('1-2 人员岗位信息'!K:K,'1-2 人员岗位信息'!$C:$C,"劳务派遣",'1-2 人员岗位信息'!$B:$B,$D151)</f>
        <v>0</v>
      </c>
      <c r="AT151" s="298"/>
      <c r="AU151" s="175">
        <f t="shared" si="271"/>
        <v>0</v>
      </c>
      <c r="AV151" s="175">
        <f>SUMIFS('1-2 人员岗位信息'!L:L,'1-2 人员岗位信息'!$C:$C,"劳务派遣",'1-2 人员岗位信息'!$B:$B,$D151)</f>
        <v>0</v>
      </c>
      <c r="AW151" s="298"/>
      <c r="AX151" s="175">
        <f t="shared" si="272"/>
        <v>0</v>
      </c>
      <c r="AY151" s="175">
        <f>SUMIFS('1-2 人员岗位信息'!M:M,'1-2 人员岗位信息'!$C:$C,"劳务派遣",'1-2 人员岗位信息'!$B:$B,$D151)</f>
        <v>0</v>
      </c>
      <c r="AZ151" s="298"/>
      <c r="BA151" s="175">
        <f t="shared" si="273"/>
        <v>0</v>
      </c>
      <c r="BB151" s="175">
        <f>SUMIFS('1-2 人员岗位信息'!N:N,'1-2 人员岗位信息'!$C:$C,"劳务派遣",'1-2 人员岗位信息'!$B:$B,$D151)</f>
        <v>0</v>
      </c>
      <c r="BC151" s="298"/>
      <c r="BD151" s="175">
        <f t="shared" si="274"/>
        <v>0</v>
      </c>
      <c r="BE151" s="175">
        <f>SUMIFS('1-2 人员岗位信息'!O:O,'1-2 人员岗位信息'!$C:$C,"劳务派遣",'1-2 人员岗位信息'!$B:$B,$D151)</f>
        <v>0</v>
      </c>
      <c r="BF151" s="298"/>
      <c r="BG151" s="175">
        <f t="shared" si="275"/>
        <v>0</v>
      </c>
      <c r="BH151" s="175">
        <f>SUMIFS('1-2 人员岗位信息'!P:P,'1-2 人员岗位信息'!$C:$C,"劳务派遣",'1-2 人员岗位信息'!$B:$B,$D151)</f>
        <v>0</v>
      </c>
      <c r="BI151" s="298"/>
      <c r="BJ151" s="175">
        <f t="shared" si="276"/>
        <v>0</v>
      </c>
      <c r="BK151" s="175">
        <f>SUMIFS('1-2 人员岗位信息'!Q:Q,'1-2 人员岗位信息'!$C:$C,"劳务派遣",'1-2 人员岗位信息'!$B:$B,$D151)</f>
        <v>0</v>
      </c>
      <c r="BL151" s="307"/>
      <c r="BM151" s="311"/>
      <c r="BN151" s="315"/>
    </row>
    <row r="152" s="263" customFormat="1" ht="33.95" customHeight="1" outlineLevel="5" spans="2:66">
      <c r="B152" s="175" t="s">
        <v>799</v>
      </c>
      <c r="C152" s="283" t="s">
        <v>1052</v>
      </c>
      <c r="D152" s="263" t="s">
        <v>1043</v>
      </c>
      <c r="E152" s="175" t="s">
        <v>1053</v>
      </c>
      <c r="F152" s="175"/>
      <c r="G152" s="175" t="s">
        <v>803</v>
      </c>
      <c r="H152" s="175">
        <f t="shared" si="260"/>
        <v>0</v>
      </c>
      <c r="I152" s="175" t="s">
        <v>804</v>
      </c>
      <c r="J152" s="175" t="e">
        <f t="shared" si="261"/>
        <v>#DIV/0!</v>
      </c>
      <c r="K152" s="175" t="s">
        <v>805</v>
      </c>
      <c r="L152" s="175" t="e">
        <f t="shared" si="262"/>
        <v>#DIV/0!</v>
      </c>
      <c r="M152" s="175" t="s">
        <v>806</v>
      </c>
      <c r="N152" s="175">
        <f t="shared" si="263"/>
        <v>0</v>
      </c>
      <c r="O152" s="175"/>
      <c r="P152" s="290"/>
      <c r="Q152" s="290"/>
      <c r="R152" s="290"/>
      <c r="S152" s="290"/>
      <c r="T152" s="290"/>
      <c r="U152" s="290"/>
      <c r="V152" s="290"/>
      <c r="W152" s="290"/>
      <c r="X152" s="290"/>
      <c r="Y152" s="290"/>
      <c r="Z152" s="290"/>
      <c r="AA152" s="290"/>
      <c r="AB152" s="175">
        <f t="shared" si="264"/>
        <v>0</v>
      </c>
      <c r="AC152" s="175">
        <f t="shared" si="265"/>
        <v>0</v>
      </c>
      <c r="AD152" s="175">
        <f>SUMIFS('1-2 人员岗位信息'!F:F,'1-2 人员岗位信息'!$C:$C,"劳务派遣",'1-2 人员岗位信息'!$B:$B,$D152)</f>
        <v>0</v>
      </c>
      <c r="AE152" s="298"/>
      <c r="AF152" s="175">
        <f t="shared" si="266"/>
        <v>0</v>
      </c>
      <c r="AG152" s="175">
        <f>SUMIFS('1-2 人员岗位信息'!G:G,'1-2 人员岗位信息'!$C:$C,"劳务派遣",'1-2 人员岗位信息'!$B:$B,$D152)</f>
        <v>0</v>
      </c>
      <c r="AH152" s="298"/>
      <c r="AI152" s="175">
        <f t="shared" si="267"/>
        <v>0</v>
      </c>
      <c r="AJ152" s="175">
        <f>SUMIFS('1-2 人员岗位信息'!H:H,'1-2 人员岗位信息'!$C:$C,"劳务派遣",'1-2 人员岗位信息'!$B:$B,$D152)</f>
        <v>0</v>
      </c>
      <c r="AK152" s="298"/>
      <c r="AL152" s="175">
        <f t="shared" si="268"/>
        <v>0</v>
      </c>
      <c r="AM152" s="175">
        <f>SUMIFS('1-2 人员岗位信息'!I:I,'1-2 人员岗位信息'!$C:$C,"劳务派遣",'1-2 人员岗位信息'!$B:$B,$D152)</f>
        <v>0</v>
      </c>
      <c r="AN152" s="298"/>
      <c r="AO152" s="175">
        <f t="shared" si="269"/>
        <v>0</v>
      </c>
      <c r="AP152" s="175">
        <f>SUMIFS('1-2 人员岗位信息'!J:J,'1-2 人员岗位信息'!$C:$C,"劳务派遣",'1-2 人员岗位信息'!$B:$B,$D152)</f>
        <v>0</v>
      </c>
      <c r="AQ152" s="298"/>
      <c r="AR152" s="175">
        <f t="shared" si="270"/>
        <v>0</v>
      </c>
      <c r="AS152" s="175">
        <f>SUMIFS('1-2 人员岗位信息'!K:K,'1-2 人员岗位信息'!$C:$C,"劳务派遣",'1-2 人员岗位信息'!$B:$B,$D152)</f>
        <v>0</v>
      </c>
      <c r="AT152" s="298"/>
      <c r="AU152" s="175">
        <f t="shared" si="271"/>
        <v>0</v>
      </c>
      <c r="AV152" s="175">
        <f>SUMIFS('1-2 人员岗位信息'!L:L,'1-2 人员岗位信息'!$C:$C,"劳务派遣",'1-2 人员岗位信息'!$B:$B,$D152)</f>
        <v>0</v>
      </c>
      <c r="AW152" s="298"/>
      <c r="AX152" s="175">
        <f t="shared" si="272"/>
        <v>0</v>
      </c>
      <c r="AY152" s="175">
        <f>SUMIFS('1-2 人员岗位信息'!M:M,'1-2 人员岗位信息'!$C:$C,"劳务派遣",'1-2 人员岗位信息'!$B:$B,$D152)</f>
        <v>0</v>
      </c>
      <c r="AZ152" s="298"/>
      <c r="BA152" s="175">
        <f t="shared" si="273"/>
        <v>0</v>
      </c>
      <c r="BB152" s="175">
        <f>SUMIFS('1-2 人员岗位信息'!N:N,'1-2 人员岗位信息'!$C:$C,"劳务派遣",'1-2 人员岗位信息'!$B:$B,$D152)</f>
        <v>0</v>
      </c>
      <c r="BC152" s="298"/>
      <c r="BD152" s="175">
        <f t="shared" si="274"/>
        <v>0</v>
      </c>
      <c r="BE152" s="175">
        <f>SUMIFS('1-2 人员岗位信息'!O:O,'1-2 人员岗位信息'!$C:$C,"劳务派遣",'1-2 人员岗位信息'!$B:$B,$D152)</f>
        <v>0</v>
      </c>
      <c r="BF152" s="298"/>
      <c r="BG152" s="175">
        <f t="shared" si="275"/>
        <v>0</v>
      </c>
      <c r="BH152" s="175">
        <f>SUMIFS('1-2 人员岗位信息'!P:P,'1-2 人员岗位信息'!$C:$C,"劳务派遣",'1-2 人员岗位信息'!$B:$B,$D152)</f>
        <v>0</v>
      </c>
      <c r="BI152" s="298"/>
      <c r="BJ152" s="175">
        <f t="shared" si="276"/>
        <v>0</v>
      </c>
      <c r="BK152" s="175">
        <f>SUMIFS('1-2 人员岗位信息'!Q:Q,'1-2 人员岗位信息'!$C:$C,"劳务派遣",'1-2 人员岗位信息'!$B:$B,$D152)</f>
        <v>0</v>
      </c>
      <c r="BL152" s="307"/>
      <c r="BM152" s="311"/>
      <c r="BN152" s="315"/>
    </row>
    <row r="153" s="263" customFormat="1" ht="33.95" customHeight="1" outlineLevel="5" spans="2:66">
      <c r="B153" s="175" t="s">
        <v>799</v>
      </c>
      <c r="C153" s="283" t="s">
        <v>1054</v>
      </c>
      <c r="D153" s="263" t="s">
        <v>1046</v>
      </c>
      <c r="E153" s="175" t="s">
        <v>1055</v>
      </c>
      <c r="F153" s="175"/>
      <c r="G153" s="175" t="s">
        <v>803</v>
      </c>
      <c r="H153" s="175">
        <f t="shared" si="260"/>
        <v>0</v>
      </c>
      <c r="I153" s="175" t="s">
        <v>804</v>
      </c>
      <c r="J153" s="175" t="e">
        <f t="shared" si="261"/>
        <v>#DIV/0!</v>
      </c>
      <c r="K153" s="175" t="s">
        <v>805</v>
      </c>
      <c r="L153" s="175" t="e">
        <f t="shared" si="262"/>
        <v>#DIV/0!</v>
      </c>
      <c r="M153" s="175" t="s">
        <v>806</v>
      </c>
      <c r="N153" s="175">
        <f t="shared" si="263"/>
        <v>0</v>
      </c>
      <c r="O153" s="175"/>
      <c r="P153" s="290"/>
      <c r="Q153" s="290"/>
      <c r="R153" s="290"/>
      <c r="S153" s="290"/>
      <c r="T153" s="290"/>
      <c r="U153" s="290"/>
      <c r="V153" s="290"/>
      <c r="W153" s="290"/>
      <c r="X153" s="290"/>
      <c r="Y153" s="290"/>
      <c r="Z153" s="290"/>
      <c r="AA153" s="290"/>
      <c r="AB153" s="175">
        <f t="shared" si="264"/>
        <v>0</v>
      </c>
      <c r="AC153" s="175">
        <f t="shared" si="265"/>
        <v>0</v>
      </c>
      <c r="AD153" s="175">
        <f>SUMIFS('1-2 人员岗位信息'!F:F,'1-2 人员岗位信息'!$C:$C,"劳务派遣",'1-2 人员岗位信息'!$B:$B,$D153)</f>
        <v>0</v>
      </c>
      <c r="AE153" s="298"/>
      <c r="AF153" s="175">
        <f t="shared" si="266"/>
        <v>0</v>
      </c>
      <c r="AG153" s="175">
        <f>SUMIFS('1-2 人员岗位信息'!G:G,'1-2 人员岗位信息'!$C:$C,"劳务派遣",'1-2 人员岗位信息'!$B:$B,$D153)</f>
        <v>0</v>
      </c>
      <c r="AH153" s="298"/>
      <c r="AI153" s="175">
        <f t="shared" si="267"/>
        <v>0</v>
      </c>
      <c r="AJ153" s="175">
        <f>SUMIFS('1-2 人员岗位信息'!H:H,'1-2 人员岗位信息'!$C:$C,"劳务派遣",'1-2 人员岗位信息'!$B:$B,$D153)</f>
        <v>0</v>
      </c>
      <c r="AK153" s="298"/>
      <c r="AL153" s="175">
        <f t="shared" si="268"/>
        <v>0</v>
      </c>
      <c r="AM153" s="175">
        <f>SUMIFS('1-2 人员岗位信息'!I:I,'1-2 人员岗位信息'!$C:$C,"劳务派遣",'1-2 人员岗位信息'!$B:$B,$D153)</f>
        <v>0</v>
      </c>
      <c r="AN153" s="298"/>
      <c r="AO153" s="175">
        <f t="shared" si="269"/>
        <v>0</v>
      </c>
      <c r="AP153" s="175">
        <f>SUMIFS('1-2 人员岗位信息'!J:J,'1-2 人员岗位信息'!$C:$C,"劳务派遣",'1-2 人员岗位信息'!$B:$B,$D153)</f>
        <v>0</v>
      </c>
      <c r="AQ153" s="298"/>
      <c r="AR153" s="175">
        <f t="shared" si="270"/>
        <v>0</v>
      </c>
      <c r="AS153" s="175">
        <f>SUMIFS('1-2 人员岗位信息'!K:K,'1-2 人员岗位信息'!$C:$C,"劳务派遣",'1-2 人员岗位信息'!$B:$B,$D153)</f>
        <v>0</v>
      </c>
      <c r="AT153" s="298"/>
      <c r="AU153" s="175">
        <f t="shared" si="271"/>
        <v>0</v>
      </c>
      <c r="AV153" s="175">
        <f>SUMIFS('1-2 人员岗位信息'!L:L,'1-2 人员岗位信息'!$C:$C,"劳务派遣",'1-2 人员岗位信息'!$B:$B,$D153)</f>
        <v>0</v>
      </c>
      <c r="AW153" s="298"/>
      <c r="AX153" s="175">
        <f t="shared" si="272"/>
        <v>0</v>
      </c>
      <c r="AY153" s="175">
        <f>SUMIFS('1-2 人员岗位信息'!M:M,'1-2 人员岗位信息'!$C:$C,"劳务派遣",'1-2 人员岗位信息'!$B:$B,$D153)</f>
        <v>0</v>
      </c>
      <c r="AZ153" s="298"/>
      <c r="BA153" s="175">
        <f t="shared" si="273"/>
        <v>0</v>
      </c>
      <c r="BB153" s="175">
        <f>SUMIFS('1-2 人员岗位信息'!N:N,'1-2 人员岗位信息'!$C:$C,"劳务派遣",'1-2 人员岗位信息'!$B:$B,$D153)</f>
        <v>0</v>
      </c>
      <c r="BC153" s="298"/>
      <c r="BD153" s="175">
        <f t="shared" si="274"/>
        <v>0</v>
      </c>
      <c r="BE153" s="175">
        <f>SUMIFS('1-2 人员岗位信息'!O:O,'1-2 人员岗位信息'!$C:$C,"劳务派遣",'1-2 人员岗位信息'!$B:$B,$D153)</f>
        <v>0</v>
      </c>
      <c r="BF153" s="298"/>
      <c r="BG153" s="175">
        <f t="shared" si="275"/>
        <v>0</v>
      </c>
      <c r="BH153" s="175">
        <f>SUMIFS('1-2 人员岗位信息'!P:P,'1-2 人员岗位信息'!$C:$C,"劳务派遣",'1-2 人员岗位信息'!$B:$B,$D153)</f>
        <v>0</v>
      </c>
      <c r="BI153" s="298"/>
      <c r="BJ153" s="175">
        <f t="shared" si="276"/>
        <v>0</v>
      </c>
      <c r="BK153" s="175">
        <f>SUMIFS('1-2 人员岗位信息'!Q:Q,'1-2 人员岗位信息'!$C:$C,"劳务派遣",'1-2 人员岗位信息'!$B:$B,$D153)</f>
        <v>0</v>
      </c>
      <c r="BL153" s="307"/>
      <c r="BM153" s="311"/>
      <c r="BN153" s="315"/>
    </row>
    <row r="154" s="118" customFormat="1" ht="33.95" customHeight="1" outlineLevel="4" spans="2:66">
      <c r="B154" s="119" t="s">
        <v>794</v>
      </c>
      <c r="C154" s="120" t="s">
        <v>1056</v>
      </c>
      <c r="D154" s="118" t="s">
        <v>19</v>
      </c>
      <c r="E154" s="119"/>
      <c r="F154" s="119"/>
      <c r="G154" s="119"/>
      <c r="H154" s="119">
        <f>SUM(H155:H158)</f>
        <v>0</v>
      </c>
      <c r="I154" s="119"/>
      <c r="J154" s="119"/>
      <c r="K154" s="119"/>
      <c r="L154" s="119"/>
      <c r="M154" s="119"/>
      <c r="N154" s="119"/>
      <c r="O154" s="119"/>
      <c r="P154" s="289"/>
      <c r="Q154" s="289"/>
      <c r="R154" s="289"/>
      <c r="S154" s="289"/>
      <c r="T154" s="289"/>
      <c r="U154" s="289"/>
      <c r="V154" s="289"/>
      <c r="W154" s="289"/>
      <c r="X154" s="289"/>
      <c r="Y154" s="289"/>
      <c r="Z154" s="289"/>
      <c r="AA154" s="289"/>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6"/>
      <c r="BM154" s="311"/>
      <c r="BN154" s="314"/>
    </row>
    <row r="155" s="263" customFormat="1" ht="33.95" customHeight="1" outlineLevel="5" spans="2:66">
      <c r="B155" s="175" t="s">
        <v>799</v>
      </c>
      <c r="C155" s="283" t="s">
        <v>1057</v>
      </c>
      <c r="D155" s="263" t="s">
        <v>1058</v>
      </c>
      <c r="E155" s="175" t="s">
        <v>1059</v>
      </c>
      <c r="F155" s="175"/>
      <c r="G155" s="175" t="s">
        <v>803</v>
      </c>
      <c r="H155" s="175">
        <f t="shared" ref="H155:H158" si="278">AB155</f>
        <v>0</v>
      </c>
      <c r="I155" s="175" t="s">
        <v>804</v>
      </c>
      <c r="J155" s="175" t="e">
        <f t="shared" ref="J155:J158" si="279">SUM(AD155,AG155,AJ155,AM155,AP155,AS155,AV155,AY155,BB155,BE155,BH155,BK155)/N155</f>
        <v>#DIV/0!</v>
      </c>
      <c r="K155" s="175" t="s">
        <v>805</v>
      </c>
      <c r="L155" s="175" t="e">
        <f t="shared" ref="L155:L158" si="280">H155/N155/J155</f>
        <v>#DIV/0!</v>
      </c>
      <c r="M155" s="175" t="s">
        <v>806</v>
      </c>
      <c r="N155" s="175">
        <f t="shared" ref="N155:N158" si="281">COUNTIF(AD155,"&gt;0")+COUNTIF(AG155,"&gt;0")+COUNTIF(AJ155,"&gt;0")+COUNTIF(AM155,"&gt;0")+COUNTIF(AP155,"&gt;0")+COUNTIF(AS155,"&gt;0")+COUNTIF(AV155,"&gt;0")+COUNTIF(AY155,"&gt;0")+COUNTIF(BB155,"&gt;0")+COUNTIF(BE155,"&gt;0")+COUNTIF(BH155,"&gt;0")+COUNTIF(BK155,"&gt;0")</f>
        <v>0</v>
      </c>
      <c r="O155" s="175"/>
      <c r="P155" s="290"/>
      <c r="Q155" s="290"/>
      <c r="R155" s="290"/>
      <c r="S155" s="290"/>
      <c r="T155" s="290"/>
      <c r="U155" s="290"/>
      <c r="V155" s="290"/>
      <c r="W155" s="290"/>
      <c r="X155" s="290"/>
      <c r="Y155" s="290"/>
      <c r="Z155" s="290"/>
      <c r="AA155" s="290"/>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298"/>
      <c r="AF155" s="175">
        <f t="shared" ref="AF155:AF158" si="284">AG155*AH155</f>
        <v>0</v>
      </c>
      <c r="AG155" s="175">
        <f>SUMIFS('1-2 人员岗位信息'!G:G,'1-2 人员岗位信息'!$C:$C,"专业外包",'1-2 人员岗位信息'!$B:$B,$D155)</f>
        <v>0</v>
      </c>
      <c r="AH155" s="298"/>
      <c r="AI155" s="175">
        <f t="shared" ref="AI155:AI158" si="285">AJ155*AK155</f>
        <v>0</v>
      </c>
      <c r="AJ155" s="175">
        <f>SUMIFS('1-2 人员岗位信息'!H:H,'1-2 人员岗位信息'!$C:$C,"专业外包",'1-2 人员岗位信息'!$B:$B,$D155)</f>
        <v>0</v>
      </c>
      <c r="AK155" s="298"/>
      <c r="AL155" s="175">
        <f t="shared" ref="AL155:AL158" si="286">AM155*AN155</f>
        <v>0</v>
      </c>
      <c r="AM155" s="175">
        <f>SUMIFS('1-2 人员岗位信息'!I:I,'1-2 人员岗位信息'!$C:$C,"专业外包",'1-2 人员岗位信息'!$B:$B,$D155)</f>
        <v>0</v>
      </c>
      <c r="AN155" s="298"/>
      <c r="AO155" s="175">
        <f t="shared" ref="AO155:AO158" si="287">AP155*AQ155</f>
        <v>0</v>
      </c>
      <c r="AP155" s="175">
        <f>SUMIFS('1-2 人员岗位信息'!J:J,'1-2 人员岗位信息'!$C:$C,"专业外包",'1-2 人员岗位信息'!$B:$B,$D155)</f>
        <v>0</v>
      </c>
      <c r="AQ155" s="298"/>
      <c r="AR155" s="175">
        <f t="shared" ref="AR155:AR158" si="288">AS155*AT155</f>
        <v>0</v>
      </c>
      <c r="AS155" s="175">
        <f>SUMIFS('1-2 人员岗位信息'!K:K,'1-2 人员岗位信息'!$C:$C,"专业外包",'1-2 人员岗位信息'!$B:$B,$D155)</f>
        <v>0</v>
      </c>
      <c r="AT155" s="298"/>
      <c r="AU155" s="175">
        <f t="shared" ref="AU155:AU158" si="289">AV155*AW155</f>
        <v>0</v>
      </c>
      <c r="AV155" s="175">
        <f>SUMIFS('1-2 人员岗位信息'!L:L,'1-2 人员岗位信息'!$C:$C,"专业外包",'1-2 人员岗位信息'!$B:$B,$D155)</f>
        <v>0</v>
      </c>
      <c r="AW155" s="298"/>
      <c r="AX155" s="175">
        <f t="shared" ref="AX155:AX158" si="290">AY155*AZ155</f>
        <v>0</v>
      </c>
      <c r="AY155" s="175">
        <f>SUMIFS('1-2 人员岗位信息'!M:M,'1-2 人员岗位信息'!$C:$C,"专业外包",'1-2 人员岗位信息'!$B:$B,$D155)</f>
        <v>0</v>
      </c>
      <c r="AZ155" s="298"/>
      <c r="BA155" s="175">
        <f t="shared" ref="BA155:BA158" si="291">BB155*BC155</f>
        <v>0</v>
      </c>
      <c r="BB155" s="175">
        <f>SUMIFS('1-2 人员岗位信息'!N:N,'1-2 人员岗位信息'!$C:$C,"专业外包",'1-2 人员岗位信息'!$B:$B,$D155)</f>
        <v>0</v>
      </c>
      <c r="BC155" s="298"/>
      <c r="BD155" s="175">
        <f t="shared" ref="BD155:BD158" si="292">BE155*BF155</f>
        <v>0</v>
      </c>
      <c r="BE155" s="175">
        <f>SUMIFS('1-2 人员岗位信息'!O:O,'1-2 人员岗位信息'!$C:$C,"专业外包",'1-2 人员岗位信息'!$B:$B,$D155)</f>
        <v>0</v>
      </c>
      <c r="BF155" s="298"/>
      <c r="BG155" s="175">
        <f t="shared" ref="BG155:BG158" si="293">BH155*BI155</f>
        <v>0</v>
      </c>
      <c r="BH155" s="175">
        <f>SUMIFS('1-2 人员岗位信息'!P:P,'1-2 人员岗位信息'!$C:$C,"专业外包",'1-2 人员岗位信息'!$B:$B,$D155)</f>
        <v>0</v>
      </c>
      <c r="BI155" s="298"/>
      <c r="BJ155" s="175">
        <f t="shared" ref="BJ155:BJ158" si="294">BK155*BL155</f>
        <v>0</v>
      </c>
      <c r="BK155" s="175">
        <f>SUMIFS('1-2 人员岗位信息'!Q:Q,'1-2 人员岗位信息'!$C:$C,"专业外包",'1-2 人员岗位信息'!$B:$B,$D155)</f>
        <v>0</v>
      </c>
      <c r="BL155" s="307"/>
      <c r="BM155" s="311"/>
      <c r="BN155" s="315"/>
    </row>
    <row r="156" s="263" customFormat="1" ht="33.95" customHeight="1" outlineLevel="5" spans="2:66">
      <c r="B156" s="175" t="s">
        <v>799</v>
      </c>
      <c r="C156" s="283" t="s">
        <v>1060</v>
      </c>
      <c r="D156" s="263" t="s">
        <v>1040</v>
      </c>
      <c r="E156" s="175" t="s">
        <v>1061</v>
      </c>
      <c r="F156" s="175"/>
      <c r="G156" s="175" t="s">
        <v>803</v>
      </c>
      <c r="H156" s="175">
        <f t="shared" si="278"/>
        <v>0</v>
      </c>
      <c r="I156" s="175" t="s">
        <v>804</v>
      </c>
      <c r="J156" s="175" t="e">
        <f t="shared" si="279"/>
        <v>#DIV/0!</v>
      </c>
      <c r="K156" s="175" t="s">
        <v>805</v>
      </c>
      <c r="L156" s="175" t="e">
        <f t="shared" si="280"/>
        <v>#DIV/0!</v>
      </c>
      <c r="M156" s="175" t="s">
        <v>806</v>
      </c>
      <c r="N156" s="175">
        <f t="shared" si="281"/>
        <v>0</v>
      </c>
      <c r="O156" s="175"/>
      <c r="P156" s="290"/>
      <c r="Q156" s="290"/>
      <c r="R156" s="290"/>
      <c r="S156" s="290"/>
      <c r="T156" s="290"/>
      <c r="U156" s="290"/>
      <c r="V156" s="290"/>
      <c r="W156" s="290"/>
      <c r="X156" s="290"/>
      <c r="Y156" s="290"/>
      <c r="Z156" s="290"/>
      <c r="AA156" s="290"/>
      <c r="AB156" s="175">
        <f t="shared" si="282"/>
        <v>0</v>
      </c>
      <c r="AC156" s="175">
        <f t="shared" si="283"/>
        <v>0</v>
      </c>
      <c r="AD156" s="175">
        <f>SUMIFS('1-2 人员岗位信息'!F:F,'1-2 人员岗位信息'!$C:$C,"专业外包",'1-2 人员岗位信息'!$B:$B,$D156)</f>
        <v>0</v>
      </c>
      <c r="AE156" s="298"/>
      <c r="AF156" s="175">
        <f t="shared" si="284"/>
        <v>0</v>
      </c>
      <c r="AG156" s="175">
        <f>SUMIFS('1-2 人员岗位信息'!G:G,'1-2 人员岗位信息'!$C:$C,"专业外包",'1-2 人员岗位信息'!$B:$B,$D156)</f>
        <v>0</v>
      </c>
      <c r="AH156" s="298"/>
      <c r="AI156" s="175">
        <f t="shared" si="285"/>
        <v>0</v>
      </c>
      <c r="AJ156" s="175">
        <f>SUMIFS('1-2 人员岗位信息'!H:H,'1-2 人员岗位信息'!$C:$C,"专业外包",'1-2 人员岗位信息'!$B:$B,$D156)</f>
        <v>0</v>
      </c>
      <c r="AK156" s="298"/>
      <c r="AL156" s="175">
        <f t="shared" si="286"/>
        <v>0</v>
      </c>
      <c r="AM156" s="175">
        <f>SUMIFS('1-2 人员岗位信息'!I:I,'1-2 人员岗位信息'!$C:$C,"专业外包",'1-2 人员岗位信息'!$B:$B,$D156)</f>
        <v>0</v>
      </c>
      <c r="AN156" s="298"/>
      <c r="AO156" s="175">
        <f t="shared" si="287"/>
        <v>0</v>
      </c>
      <c r="AP156" s="175">
        <f>SUMIFS('1-2 人员岗位信息'!J:J,'1-2 人员岗位信息'!$C:$C,"专业外包",'1-2 人员岗位信息'!$B:$B,$D156)</f>
        <v>0</v>
      </c>
      <c r="AQ156" s="298"/>
      <c r="AR156" s="175">
        <f t="shared" si="288"/>
        <v>0</v>
      </c>
      <c r="AS156" s="175">
        <f>SUMIFS('1-2 人员岗位信息'!K:K,'1-2 人员岗位信息'!$C:$C,"专业外包",'1-2 人员岗位信息'!$B:$B,$D156)</f>
        <v>0</v>
      </c>
      <c r="AT156" s="298"/>
      <c r="AU156" s="175">
        <f t="shared" si="289"/>
        <v>0</v>
      </c>
      <c r="AV156" s="175">
        <f>SUMIFS('1-2 人员岗位信息'!L:L,'1-2 人员岗位信息'!$C:$C,"专业外包",'1-2 人员岗位信息'!$B:$B,$D156)</f>
        <v>0</v>
      </c>
      <c r="AW156" s="298"/>
      <c r="AX156" s="175">
        <f t="shared" si="290"/>
        <v>0</v>
      </c>
      <c r="AY156" s="175">
        <f>SUMIFS('1-2 人员岗位信息'!M:M,'1-2 人员岗位信息'!$C:$C,"专业外包",'1-2 人员岗位信息'!$B:$B,$D156)</f>
        <v>0</v>
      </c>
      <c r="AZ156" s="298"/>
      <c r="BA156" s="175">
        <f t="shared" si="291"/>
        <v>0</v>
      </c>
      <c r="BB156" s="175">
        <f>SUMIFS('1-2 人员岗位信息'!N:N,'1-2 人员岗位信息'!$C:$C,"专业外包",'1-2 人员岗位信息'!$B:$B,$D156)</f>
        <v>0</v>
      </c>
      <c r="BC156" s="298"/>
      <c r="BD156" s="175">
        <f t="shared" si="292"/>
        <v>0</v>
      </c>
      <c r="BE156" s="175">
        <f>SUMIFS('1-2 人员岗位信息'!O:O,'1-2 人员岗位信息'!$C:$C,"专业外包",'1-2 人员岗位信息'!$B:$B,$D156)</f>
        <v>0</v>
      </c>
      <c r="BF156" s="298"/>
      <c r="BG156" s="175">
        <f t="shared" si="293"/>
        <v>0</v>
      </c>
      <c r="BH156" s="175">
        <f>SUMIFS('1-2 人员岗位信息'!P:P,'1-2 人员岗位信息'!$C:$C,"专业外包",'1-2 人员岗位信息'!$B:$B,$D156)</f>
        <v>0</v>
      </c>
      <c r="BI156" s="298"/>
      <c r="BJ156" s="175">
        <f t="shared" si="294"/>
        <v>0</v>
      </c>
      <c r="BK156" s="175">
        <f>SUMIFS('1-2 人员岗位信息'!Q:Q,'1-2 人员岗位信息'!$C:$C,"专业外包",'1-2 人员岗位信息'!$B:$B,$D156)</f>
        <v>0</v>
      </c>
      <c r="BL156" s="307"/>
      <c r="BM156" s="311"/>
      <c r="BN156" s="315"/>
    </row>
    <row r="157" s="263" customFormat="1" ht="33.95" customHeight="1" outlineLevel="5" spans="2:66">
      <c r="B157" s="175" t="s">
        <v>799</v>
      </c>
      <c r="C157" s="283" t="s">
        <v>1062</v>
      </c>
      <c r="D157" s="263" t="s">
        <v>1043</v>
      </c>
      <c r="E157" s="175" t="s">
        <v>1063</v>
      </c>
      <c r="F157" s="175"/>
      <c r="G157" s="175" t="s">
        <v>803</v>
      </c>
      <c r="H157" s="175">
        <f t="shared" si="278"/>
        <v>0</v>
      </c>
      <c r="I157" s="175" t="s">
        <v>804</v>
      </c>
      <c r="J157" s="175" t="e">
        <f t="shared" si="279"/>
        <v>#DIV/0!</v>
      </c>
      <c r="K157" s="175" t="s">
        <v>805</v>
      </c>
      <c r="L157" s="175" t="e">
        <f t="shared" si="280"/>
        <v>#DIV/0!</v>
      </c>
      <c r="M157" s="175" t="s">
        <v>806</v>
      </c>
      <c r="N157" s="175">
        <f t="shared" si="281"/>
        <v>0</v>
      </c>
      <c r="O157" s="175"/>
      <c r="P157" s="290"/>
      <c r="Q157" s="290"/>
      <c r="R157" s="290"/>
      <c r="S157" s="290"/>
      <c r="T157" s="290"/>
      <c r="U157" s="290"/>
      <c r="V157" s="290"/>
      <c r="W157" s="290"/>
      <c r="X157" s="290"/>
      <c r="Y157" s="290"/>
      <c r="Z157" s="290"/>
      <c r="AA157" s="290"/>
      <c r="AB157" s="175">
        <f t="shared" si="282"/>
        <v>0</v>
      </c>
      <c r="AC157" s="175">
        <f t="shared" si="283"/>
        <v>0</v>
      </c>
      <c r="AD157" s="175">
        <f>SUMIFS('1-2 人员岗位信息'!F:F,'1-2 人员岗位信息'!$C:$C,"专业外包",'1-2 人员岗位信息'!$B:$B,$D157)</f>
        <v>0</v>
      </c>
      <c r="AE157" s="298"/>
      <c r="AF157" s="175">
        <f t="shared" si="284"/>
        <v>0</v>
      </c>
      <c r="AG157" s="175">
        <f>SUMIFS('1-2 人员岗位信息'!G:G,'1-2 人员岗位信息'!$C:$C,"专业外包",'1-2 人员岗位信息'!$B:$B,$D157)</f>
        <v>0</v>
      </c>
      <c r="AH157" s="298"/>
      <c r="AI157" s="175">
        <f t="shared" si="285"/>
        <v>0</v>
      </c>
      <c r="AJ157" s="175">
        <f>SUMIFS('1-2 人员岗位信息'!H:H,'1-2 人员岗位信息'!$C:$C,"专业外包",'1-2 人员岗位信息'!$B:$B,$D157)</f>
        <v>0</v>
      </c>
      <c r="AK157" s="298"/>
      <c r="AL157" s="175">
        <f t="shared" si="286"/>
        <v>0</v>
      </c>
      <c r="AM157" s="175">
        <f>SUMIFS('1-2 人员岗位信息'!I:I,'1-2 人员岗位信息'!$C:$C,"专业外包",'1-2 人员岗位信息'!$B:$B,$D157)</f>
        <v>0</v>
      </c>
      <c r="AN157" s="298"/>
      <c r="AO157" s="175">
        <f t="shared" si="287"/>
        <v>0</v>
      </c>
      <c r="AP157" s="175">
        <f>SUMIFS('1-2 人员岗位信息'!J:J,'1-2 人员岗位信息'!$C:$C,"专业外包",'1-2 人员岗位信息'!$B:$B,$D157)</f>
        <v>0</v>
      </c>
      <c r="AQ157" s="298"/>
      <c r="AR157" s="175">
        <f t="shared" si="288"/>
        <v>0</v>
      </c>
      <c r="AS157" s="175">
        <f>SUMIFS('1-2 人员岗位信息'!K:K,'1-2 人员岗位信息'!$C:$C,"专业外包",'1-2 人员岗位信息'!$B:$B,$D157)</f>
        <v>0</v>
      </c>
      <c r="AT157" s="298"/>
      <c r="AU157" s="175">
        <f t="shared" si="289"/>
        <v>0</v>
      </c>
      <c r="AV157" s="175">
        <f>SUMIFS('1-2 人员岗位信息'!L:L,'1-2 人员岗位信息'!$C:$C,"专业外包",'1-2 人员岗位信息'!$B:$B,$D157)</f>
        <v>0</v>
      </c>
      <c r="AW157" s="298"/>
      <c r="AX157" s="175">
        <f t="shared" si="290"/>
        <v>0</v>
      </c>
      <c r="AY157" s="175">
        <f>SUMIFS('1-2 人员岗位信息'!M:M,'1-2 人员岗位信息'!$C:$C,"专业外包",'1-2 人员岗位信息'!$B:$B,$D157)</f>
        <v>0</v>
      </c>
      <c r="AZ157" s="298"/>
      <c r="BA157" s="175">
        <f t="shared" si="291"/>
        <v>0</v>
      </c>
      <c r="BB157" s="175">
        <f>SUMIFS('1-2 人员岗位信息'!N:N,'1-2 人员岗位信息'!$C:$C,"专业外包",'1-2 人员岗位信息'!$B:$B,$D157)</f>
        <v>0</v>
      </c>
      <c r="BC157" s="298"/>
      <c r="BD157" s="175">
        <f t="shared" si="292"/>
        <v>0</v>
      </c>
      <c r="BE157" s="175">
        <f>SUMIFS('1-2 人员岗位信息'!O:O,'1-2 人员岗位信息'!$C:$C,"专业外包",'1-2 人员岗位信息'!$B:$B,$D157)</f>
        <v>0</v>
      </c>
      <c r="BF157" s="298"/>
      <c r="BG157" s="175">
        <f t="shared" si="293"/>
        <v>0</v>
      </c>
      <c r="BH157" s="175">
        <f>SUMIFS('1-2 人员岗位信息'!P:P,'1-2 人员岗位信息'!$C:$C,"专业外包",'1-2 人员岗位信息'!$B:$B,$D157)</f>
        <v>0</v>
      </c>
      <c r="BI157" s="298"/>
      <c r="BJ157" s="175">
        <f t="shared" si="294"/>
        <v>0</v>
      </c>
      <c r="BK157" s="175">
        <f>SUMIFS('1-2 人员岗位信息'!Q:Q,'1-2 人员岗位信息'!$C:$C,"专业外包",'1-2 人员岗位信息'!$B:$B,$D157)</f>
        <v>0</v>
      </c>
      <c r="BL157" s="307"/>
      <c r="BM157" s="311"/>
      <c r="BN157" s="315"/>
    </row>
    <row r="158" s="263" customFormat="1" ht="33.95" customHeight="1" outlineLevel="5" spans="2:66">
      <c r="B158" s="175" t="s">
        <v>799</v>
      </c>
      <c r="C158" s="283" t="s">
        <v>1064</v>
      </c>
      <c r="D158" s="263" t="s">
        <v>1046</v>
      </c>
      <c r="E158" s="175" t="s">
        <v>1065</v>
      </c>
      <c r="F158" s="175"/>
      <c r="G158" s="175" t="s">
        <v>803</v>
      </c>
      <c r="H158" s="175">
        <f t="shared" si="278"/>
        <v>0</v>
      </c>
      <c r="I158" s="175" t="s">
        <v>804</v>
      </c>
      <c r="J158" s="175" t="e">
        <f t="shared" si="279"/>
        <v>#DIV/0!</v>
      </c>
      <c r="K158" s="175" t="s">
        <v>805</v>
      </c>
      <c r="L158" s="175" t="e">
        <f t="shared" si="280"/>
        <v>#DIV/0!</v>
      </c>
      <c r="M158" s="175" t="s">
        <v>806</v>
      </c>
      <c r="N158" s="175">
        <f t="shared" si="281"/>
        <v>0</v>
      </c>
      <c r="O158" s="175"/>
      <c r="P158" s="290"/>
      <c r="Q158" s="290"/>
      <c r="R158" s="290"/>
      <c r="S158" s="290"/>
      <c r="T158" s="290"/>
      <c r="U158" s="290"/>
      <c r="V158" s="290"/>
      <c r="W158" s="290"/>
      <c r="X158" s="290"/>
      <c r="Y158" s="290"/>
      <c r="Z158" s="290"/>
      <c r="AA158" s="290"/>
      <c r="AB158" s="175">
        <f t="shared" si="282"/>
        <v>0</v>
      </c>
      <c r="AC158" s="175">
        <f t="shared" si="283"/>
        <v>0</v>
      </c>
      <c r="AD158" s="175">
        <f>SUMIFS('1-2 人员岗位信息'!F:F,'1-2 人员岗位信息'!$C:$C,"专业外包",'1-2 人员岗位信息'!$B:$B,$D158)</f>
        <v>0</v>
      </c>
      <c r="AE158" s="298"/>
      <c r="AF158" s="175">
        <f t="shared" si="284"/>
        <v>0</v>
      </c>
      <c r="AG158" s="175">
        <f>SUMIFS('1-2 人员岗位信息'!G:G,'1-2 人员岗位信息'!$C:$C,"专业外包",'1-2 人员岗位信息'!$B:$B,$D158)</f>
        <v>0</v>
      </c>
      <c r="AH158" s="298"/>
      <c r="AI158" s="175">
        <f t="shared" si="285"/>
        <v>0</v>
      </c>
      <c r="AJ158" s="175">
        <f>SUMIFS('1-2 人员岗位信息'!H:H,'1-2 人员岗位信息'!$C:$C,"专业外包",'1-2 人员岗位信息'!$B:$B,$D158)</f>
        <v>0</v>
      </c>
      <c r="AK158" s="298"/>
      <c r="AL158" s="175">
        <f t="shared" si="286"/>
        <v>0</v>
      </c>
      <c r="AM158" s="175">
        <f>SUMIFS('1-2 人员岗位信息'!I:I,'1-2 人员岗位信息'!$C:$C,"专业外包",'1-2 人员岗位信息'!$B:$B,$D158)</f>
        <v>0</v>
      </c>
      <c r="AN158" s="298"/>
      <c r="AO158" s="175">
        <f t="shared" si="287"/>
        <v>0</v>
      </c>
      <c r="AP158" s="175">
        <f>SUMIFS('1-2 人员岗位信息'!J:J,'1-2 人员岗位信息'!$C:$C,"专业外包",'1-2 人员岗位信息'!$B:$B,$D158)</f>
        <v>0</v>
      </c>
      <c r="AQ158" s="298"/>
      <c r="AR158" s="175">
        <f t="shared" si="288"/>
        <v>0</v>
      </c>
      <c r="AS158" s="175">
        <f>SUMIFS('1-2 人员岗位信息'!K:K,'1-2 人员岗位信息'!$C:$C,"专业外包",'1-2 人员岗位信息'!$B:$B,$D158)</f>
        <v>0</v>
      </c>
      <c r="AT158" s="298"/>
      <c r="AU158" s="175">
        <f t="shared" si="289"/>
        <v>0</v>
      </c>
      <c r="AV158" s="175">
        <f>SUMIFS('1-2 人员岗位信息'!L:L,'1-2 人员岗位信息'!$C:$C,"专业外包",'1-2 人员岗位信息'!$B:$B,$D158)</f>
        <v>0</v>
      </c>
      <c r="AW158" s="298"/>
      <c r="AX158" s="175">
        <f t="shared" si="290"/>
        <v>0</v>
      </c>
      <c r="AY158" s="175">
        <f>SUMIFS('1-2 人员岗位信息'!M:M,'1-2 人员岗位信息'!$C:$C,"专业外包",'1-2 人员岗位信息'!$B:$B,$D158)</f>
        <v>0</v>
      </c>
      <c r="AZ158" s="298"/>
      <c r="BA158" s="175">
        <f t="shared" si="291"/>
        <v>0</v>
      </c>
      <c r="BB158" s="175">
        <f>SUMIFS('1-2 人员岗位信息'!N:N,'1-2 人员岗位信息'!$C:$C,"专业外包",'1-2 人员岗位信息'!$B:$B,$D158)</f>
        <v>0</v>
      </c>
      <c r="BC158" s="298"/>
      <c r="BD158" s="175">
        <f t="shared" si="292"/>
        <v>0</v>
      </c>
      <c r="BE158" s="175">
        <f>SUMIFS('1-2 人员岗位信息'!O:O,'1-2 人员岗位信息'!$C:$C,"专业外包",'1-2 人员岗位信息'!$B:$B,$D158)</f>
        <v>0</v>
      </c>
      <c r="BF158" s="298"/>
      <c r="BG158" s="175">
        <f t="shared" si="293"/>
        <v>0</v>
      </c>
      <c r="BH158" s="175">
        <f>SUMIFS('1-2 人员岗位信息'!P:P,'1-2 人员岗位信息'!$C:$C,"专业外包",'1-2 人员岗位信息'!$B:$B,$D158)</f>
        <v>0</v>
      </c>
      <c r="BI158" s="298"/>
      <c r="BJ158" s="175">
        <f t="shared" si="294"/>
        <v>0</v>
      </c>
      <c r="BK158" s="175">
        <f>SUMIFS('1-2 人员岗位信息'!Q:Q,'1-2 人员岗位信息'!$C:$C,"专业外包",'1-2 人员岗位信息'!$B:$B,$D158)</f>
        <v>0</v>
      </c>
      <c r="BL158" s="307"/>
      <c r="BM158" s="311"/>
      <c r="BN158" s="315"/>
    </row>
    <row r="159" s="47" customFormat="1" ht="33.95" customHeight="1" outlineLevel="3" spans="2:66">
      <c r="B159" s="115" t="s">
        <v>794</v>
      </c>
      <c r="C159" s="116" t="s">
        <v>1066</v>
      </c>
      <c r="D159" s="47" t="s">
        <v>1067</v>
      </c>
      <c r="E159" s="115"/>
      <c r="F159" s="115"/>
      <c r="G159" s="115"/>
      <c r="H159" s="115">
        <f>H160+H165+H170+H175</f>
        <v>7991805.48</v>
      </c>
      <c r="I159" s="115"/>
      <c r="J159" s="115"/>
      <c r="K159" s="115"/>
      <c r="L159" s="115"/>
      <c r="M159" s="115"/>
      <c r="N159" s="115"/>
      <c r="O159" s="115"/>
      <c r="P159" s="288"/>
      <c r="Q159" s="288"/>
      <c r="R159" s="288"/>
      <c r="S159" s="288"/>
      <c r="T159" s="288"/>
      <c r="U159" s="288"/>
      <c r="V159" s="288"/>
      <c r="W159" s="288"/>
      <c r="X159" s="288"/>
      <c r="Y159" s="288"/>
      <c r="Z159" s="288"/>
      <c r="AA159" s="288"/>
      <c r="AB159" s="115">
        <f t="shared" ref="AB159:AF159" si="295">AB160+AB165+AB170+AB175</f>
        <v>7991805.48</v>
      </c>
      <c r="AC159" s="115">
        <f t="shared" si="295"/>
        <v>654241.14</v>
      </c>
      <c r="AD159" s="115"/>
      <c r="AE159" s="115"/>
      <c r="AF159" s="115">
        <f t="shared" si="295"/>
        <v>654241.14</v>
      </c>
      <c r="AG159" s="115"/>
      <c r="AH159" s="115"/>
      <c r="AI159" s="115">
        <f>AI160+AI165+AI170+AI175</f>
        <v>654241.14</v>
      </c>
      <c r="AJ159" s="115"/>
      <c r="AK159" s="115"/>
      <c r="AL159" s="115">
        <f>AL160+AL165+AL170+AL175</f>
        <v>654241.14</v>
      </c>
      <c r="AM159" s="115"/>
      <c r="AN159" s="115"/>
      <c r="AO159" s="115">
        <f>AO160+AO165+AO170+AO175</f>
        <v>654241.14</v>
      </c>
      <c r="AP159" s="115"/>
      <c r="AQ159" s="115"/>
      <c r="AR159" s="115">
        <f>AR160+AR165+AR170+AR175</f>
        <v>654241.14</v>
      </c>
      <c r="AS159" s="115"/>
      <c r="AT159" s="115"/>
      <c r="AU159" s="115">
        <f>AU160+AU165+AU170+AU175</f>
        <v>654241.14</v>
      </c>
      <c r="AV159" s="115"/>
      <c r="AW159" s="115"/>
      <c r="AX159" s="115">
        <f>AX160+AX165+AX170+AX175</f>
        <v>654241.14</v>
      </c>
      <c r="AY159" s="115"/>
      <c r="AZ159" s="115"/>
      <c r="BA159" s="115">
        <f>BA160+BA165+BA170+BA175</f>
        <v>654241.14</v>
      </c>
      <c r="BB159" s="115"/>
      <c r="BC159" s="115"/>
      <c r="BD159" s="115">
        <f>BD160+BD165+BD170+BD175</f>
        <v>654241.14</v>
      </c>
      <c r="BE159" s="115"/>
      <c r="BF159" s="115"/>
      <c r="BG159" s="115">
        <f>BG160+BG165+BG170+BG175</f>
        <v>654241.14</v>
      </c>
      <c r="BH159" s="115"/>
      <c r="BI159" s="115"/>
      <c r="BJ159" s="115">
        <f>BJ160+BJ165+BJ170+BJ175</f>
        <v>795152.94</v>
      </c>
      <c r="BK159" s="115"/>
      <c r="BL159" s="305"/>
      <c r="BM159" s="311"/>
      <c r="BN159" s="313"/>
    </row>
    <row r="160" s="118" customFormat="1" ht="33.95" customHeight="1" outlineLevel="4" spans="2:66">
      <c r="B160" s="119" t="s">
        <v>794</v>
      </c>
      <c r="C160" s="120" t="s">
        <v>124</v>
      </c>
      <c r="D160" s="118" t="s">
        <v>109</v>
      </c>
      <c r="E160" s="119"/>
      <c r="F160" s="119"/>
      <c r="G160" s="119"/>
      <c r="H160" s="119">
        <f>SUM(H161:H164)</f>
        <v>7991805.48</v>
      </c>
      <c r="I160" s="119"/>
      <c r="J160" s="119"/>
      <c r="K160" s="119"/>
      <c r="L160" s="119"/>
      <c r="M160" s="119"/>
      <c r="N160" s="119"/>
      <c r="O160" s="119"/>
      <c r="P160" s="289"/>
      <c r="Q160" s="289"/>
      <c r="R160" s="289"/>
      <c r="S160" s="289"/>
      <c r="T160" s="289"/>
      <c r="U160" s="289"/>
      <c r="V160" s="289"/>
      <c r="W160" s="289"/>
      <c r="X160" s="289"/>
      <c r="Y160" s="289"/>
      <c r="Z160" s="289"/>
      <c r="AA160" s="289"/>
      <c r="AB160" s="119">
        <f t="shared" ref="AB160:AF160" si="296">SUM(AB161:AB164)</f>
        <v>7991805.48</v>
      </c>
      <c r="AC160" s="119">
        <f t="shared" si="296"/>
        <v>654241.14</v>
      </c>
      <c r="AD160" s="119"/>
      <c r="AE160" s="119"/>
      <c r="AF160" s="119">
        <f t="shared" si="296"/>
        <v>654241.14</v>
      </c>
      <c r="AG160" s="119"/>
      <c r="AH160" s="119"/>
      <c r="AI160" s="119">
        <f>SUM(AI161:AI164)</f>
        <v>654241.14</v>
      </c>
      <c r="AJ160" s="119"/>
      <c r="AK160" s="119"/>
      <c r="AL160" s="119">
        <f>SUM(AL161:AL164)</f>
        <v>654241.14</v>
      </c>
      <c r="AM160" s="119"/>
      <c r="AN160" s="119"/>
      <c r="AO160" s="119">
        <f>SUM(AO161:AO164)</f>
        <v>654241.14</v>
      </c>
      <c r="AP160" s="119"/>
      <c r="AQ160" s="119"/>
      <c r="AR160" s="119">
        <f>SUM(AR161:AR164)</f>
        <v>654241.14</v>
      </c>
      <c r="AS160" s="119"/>
      <c r="AT160" s="119"/>
      <c r="AU160" s="119">
        <f>SUM(AU161:AU164)</f>
        <v>654241.14</v>
      </c>
      <c r="AV160" s="119"/>
      <c r="AW160" s="119"/>
      <c r="AX160" s="119">
        <f>SUM(AX161:AX164)</f>
        <v>654241.14</v>
      </c>
      <c r="AY160" s="119"/>
      <c r="AZ160" s="119"/>
      <c r="BA160" s="119">
        <f>SUM(BA161:BA164)</f>
        <v>654241.14</v>
      </c>
      <c r="BB160" s="119"/>
      <c r="BC160" s="119"/>
      <c r="BD160" s="119">
        <f>SUM(BD161:BD164)</f>
        <v>654241.14</v>
      </c>
      <c r="BE160" s="119"/>
      <c r="BF160" s="119"/>
      <c r="BG160" s="119">
        <f>SUM(BG161:BG164)</f>
        <v>654241.14</v>
      </c>
      <c r="BH160" s="119"/>
      <c r="BI160" s="119"/>
      <c r="BJ160" s="119">
        <f>SUM(BJ161:BJ164)</f>
        <v>795152.94</v>
      </c>
      <c r="BK160" s="119"/>
      <c r="BL160" s="306"/>
      <c r="BM160" s="311"/>
      <c r="BN160" s="314"/>
    </row>
    <row r="161" s="263" customFormat="1" ht="33.95" customHeight="1" outlineLevel="5" spans="2:66">
      <c r="B161" s="175" t="s">
        <v>799</v>
      </c>
      <c r="C161" s="283" t="s">
        <v>1068</v>
      </c>
      <c r="D161" s="263" t="s">
        <v>1069</v>
      </c>
      <c r="E161" s="175" t="s">
        <v>1070</v>
      </c>
      <c r="F161" s="175"/>
      <c r="G161" s="175" t="s">
        <v>803</v>
      </c>
      <c r="H161" s="175">
        <f t="shared" ref="H161:H164" si="297">AB161</f>
        <v>7991805.48</v>
      </c>
      <c r="I161" s="175" t="s">
        <v>804</v>
      </c>
      <c r="J161" s="175">
        <f t="shared" ref="J161:J164" si="298">SUM(AD161,AG161,AJ161,AM161,AP161,AS161,AV161,AY161,BB161,BE161,BH161,BK161)/N161</f>
        <v>138</v>
      </c>
      <c r="K161" s="175" t="s">
        <v>805</v>
      </c>
      <c r="L161" s="175">
        <f t="shared" ref="L161:L164" si="299">H161/N161/J161</f>
        <v>4825.96949275362</v>
      </c>
      <c r="M161" s="175" t="s">
        <v>806</v>
      </c>
      <c r="N161" s="175">
        <f t="shared" ref="N161:N164" si="300">COUNTIF(AD161,"&gt;0")+COUNTIF(AG161,"&gt;0")+COUNTIF(AJ161,"&gt;0")+COUNTIF(AM161,"&gt;0")+COUNTIF(AP161,"&gt;0")+COUNTIF(AS161,"&gt;0")+COUNTIF(AV161,"&gt;0")+COUNTIF(AY161,"&gt;0")+COUNTIF(BB161,"&gt;0")+COUNTIF(BE161,"&gt;0")+COUNTIF(BH161,"&gt;0")+COUNTIF(BK161,"&gt;0")</f>
        <v>12</v>
      </c>
      <c r="O161" s="175"/>
      <c r="P161" s="290"/>
      <c r="Q161" s="290"/>
      <c r="R161" s="290"/>
      <c r="S161" s="290"/>
      <c r="T161" s="290"/>
      <c r="U161" s="290"/>
      <c r="V161" s="290"/>
      <c r="W161" s="290"/>
      <c r="X161" s="290"/>
      <c r="Y161" s="290"/>
      <c r="Z161" s="290"/>
      <c r="AA161" s="290"/>
      <c r="AB161" s="175">
        <f t="shared" ref="AB161:AB164" si="301">SUM(AC161,AF161,AI161,AL161,AO161,AR161,AU161,AX161,BA161,BD161,BG161,BJ161)</f>
        <v>7991805.48</v>
      </c>
      <c r="AC161" s="175">
        <f t="shared" ref="AC161:AC164" si="302">AD161*AE161</f>
        <v>654241.14</v>
      </c>
      <c r="AD161" s="175">
        <f>SUMIFS('1-2 人员岗位信息'!F:F,'1-2 人员岗位信息'!$C:$C,"自有人员",'1-2 人员岗位信息'!$B:$B,$D161)</f>
        <v>138</v>
      </c>
      <c r="AE161" s="298">
        <f>IFERROR(自有人工预算!E27/AD161,0)</f>
        <v>4740.87782608696</v>
      </c>
      <c r="AF161" s="175">
        <f t="shared" ref="AF161:AF164" si="303">AG161*AH161</f>
        <v>654241.14</v>
      </c>
      <c r="AG161" s="175">
        <f>SUMIFS('1-2 人员岗位信息'!G:G,'1-2 人员岗位信息'!$C:$C,"自有人员",'1-2 人员岗位信息'!$B:$B,$D161)</f>
        <v>138</v>
      </c>
      <c r="AH161" s="298">
        <f>IFERROR(自有人工预算!F27/AG161,0)</f>
        <v>4740.87782608696</v>
      </c>
      <c r="AI161" s="175">
        <f t="shared" ref="AI161:AI164" si="304">AJ161*AK161</f>
        <v>654241.14</v>
      </c>
      <c r="AJ161" s="175">
        <f>SUMIFS('1-2 人员岗位信息'!H:H,'1-2 人员岗位信息'!$C:$C,"自有人员",'1-2 人员岗位信息'!$B:$B,$D161)</f>
        <v>138</v>
      </c>
      <c r="AK161" s="298">
        <f>IFERROR(自有人工预算!G27/AJ161,0)</f>
        <v>4740.87782608696</v>
      </c>
      <c r="AL161" s="175">
        <f t="shared" ref="AL161:AL164" si="305">AM161*AN161</f>
        <v>654241.14</v>
      </c>
      <c r="AM161" s="175">
        <f>SUMIFS('1-2 人员岗位信息'!I:I,'1-2 人员岗位信息'!$C:$C,"自有人员",'1-2 人员岗位信息'!$B:$B,$D161)</f>
        <v>138</v>
      </c>
      <c r="AN161" s="298">
        <f>IFERROR(自有人工预算!H27/AM161,0)</f>
        <v>4740.87782608696</v>
      </c>
      <c r="AO161" s="175">
        <f t="shared" ref="AO161:AO164" si="306">AP161*AQ161</f>
        <v>654241.14</v>
      </c>
      <c r="AP161" s="175">
        <f>SUMIFS('1-2 人员岗位信息'!J:J,'1-2 人员岗位信息'!$C:$C,"自有人员",'1-2 人员岗位信息'!$B:$B,$D161)</f>
        <v>138</v>
      </c>
      <c r="AQ161" s="298">
        <f>IFERROR(自有人工预算!I27/AP161,0)</f>
        <v>4740.87782608696</v>
      </c>
      <c r="AR161" s="175">
        <f t="shared" ref="AR161:AR164" si="307">AS161*AT161</f>
        <v>654241.14</v>
      </c>
      <c r="AS161" s="175">
        <f>SUMIFS('1-2 人员岗位信息'!K:K,'1-2 人员岗位信息'!$C:$C,"自有人员",'1-2 人员岗位信息'!$B:$B,$D161)</f>
        <v>138</v>
      </c>
      <c r="AT161" s="298">
        <f>IFERROR(自有人工预算!J27/AS161,0)</f>
        <v>4740.87782608696</v>
      </c>
      <c r="AU161" s="175">
        <f t="shared" ref="AU161:AU164" si="308">AV161*AW161</f>
        <v>654241.14</v>
      </c>
      <c r="AV161" s="175">
        <f>SUMIFS('1-2 人员岗位信息'!L:L,'1-2 人员岗位信息'!$C:$C,"自有人员",'1-2 人员岗位信息'!$B:$B,$D161)</f>
        <v>138</v>
      </c>
      <c r="AW161" s="298">
        <f>IFERROR(自有人工预算!K27/AV161,0)</f>
        <v>4740.87782608696</v>
      </c>
      <c r="AX161" s="175">
        <f t="shared" ref="AX161:AX164" si="309">AY161*AZ161</f>
        <v>654241.14</v>
      </c>
      <c r="AY161" s="175">
        <f>SUMIFS('1-2 人员岗位信息'!M:M,'1-2 人员岗位信息'!$C:$C,"自有人员",'1-2 人员岗位信息'!$B:$B,$D161)</f>
        <v>138</v>
      </c>
      <c r="AZ161" s="298">
        <f>IFERROR(自有人工预算!L27/AY161,0)</f>
        <v>4740.87782608696</v>
      </c>
      <c r="BA161" s="175">
        <f t="shared" ref="BA161:BA164" si="310">BB161*BC161</f>
        <v>654241.14</v>
      </c>
      <c r="BB161" s="175">
        <f>SUMIFS('1-2 人员岗位信息'!N:N,'1-2 人员岗位信息'!$C:$C,"自有人员",'1-2 人员岗位信息'!$B:$B,$D161)</f>
        <v>138</v>
      </c>
      <c r="BC161" s="298">
        <f>IFERROR(自有人工预算!M27/BB161,0)</f>
        <v>4740.87782608696</v>
      </c>
      <c r="BD161" s="175">
        <f t="shared" ref="BD161:BD164" si="311">BE161*BF161</f>
        <v>654241.14</v>
      </c>
      <c r="BE161" s="175">
        <f>SUMIFS('1-2 人员岗位信息'!O:O,'1-2 人员岗位信息'!$C:$C,"自有人员",'1-2 人员岗位信息'!$B:$B,$D161)</f>
        <v>138</v>
      </c>
      <c r="BF161" s="298">
        <f>IFERROR(自有人工预算!N27/BE161,0)</f>
        <v>4740.87782608696</v>
      </c>
      <c r="BG161" s="175">
        <f t="shared" ref="BG161:BG164" si="312">BH161*BI161</f>
        <v>654241.14</v>
      </c>
      <c r="BH161" s="175">
        <f>SUMIFS('1-2 人员岗位信息'!P:P,'1-2 人员岗位信息'!$C:$C,"自有人员",'1-2 人员岗位信息'!$B:$B,$D161)</f>
        <v>138</v>
      </c>
      <c r="BI161" s="298">
        <f>IFERROR(自有人工预算!O27/BH161,0)</f>
        <v>4740.87782608696</v>
      </c>
      <c r="BJ161" s="175">
        <f t="shared" ref="BJ161:BJ164" si="313">BK161*BL161</f>
        <v>795152.94</v>
      </c>
      <c r="BK161" s="175">
        <f>SUMIFS('1-2 人员岗位信息'!Q:Q,'1-2 人员岗位信息'!$C:$C,"自有人员",'1-2 人员岗位信息'!$B:$B,$D161)</f>
        <v>138</v>
      </c>
      <c r="BL161" s="298">
        <f>IFERROR(自有人工预算!P27/BK161,0)</f>
        <v>5761.97782608696</v>
      </c>
      <c r="BM161" s="311"/>
      <c r="BN161" s="315"/>
    </row>
    <row r="162" s="263" customFormat="1" ht="33.95" customHeight="1" outlineLevel="5" spans="2:66">
      <c r="B162" s="175" t="s">
        <v>799</v>
      </c>
      <c r="C162" s="283" t="s">
        <v>1071</v>
      </c>
      <c r="D162" s="263" t="s">
        <v>1072</v>
      </c>
      <c r="E162" s="175" t="s">
        <v>1073</v>
      </c>
      <c r="F162" s="175"/>
      <c r="G162" s="175" t="s">
        <v>803</v>
      </c>
      <c r="H162" s="175">
        <f t="shared" si="297"/>
        <v>0</v>
      </c>
      <c r="I162" s="175" t="s">
        <v>804</v>
      </c>
      <c r="J162" s="175" t="e">
        <f t="shared" si="298"/>
        <v>#DIV/0!</v>
      </c>
      <c r="K162" s="175" t="s">
        <v>805</v>
      </c>
      <c r="L162" s="175" t="e">
        <f t="shared" si="299"/>
        <v>#DIV/0!</v>
      </c>
      <c r="M162" s="175" t="s">
        <v>806</v>
      </c>
      <c r="N162" s="175">
        <f t="shared" si="300"/>
        <v>0</v>
      </c>
      <c r="O162" s="175"/>
      <c r="P162" s="290"/>
      <c r="Q162" s="290"/>
      <c r="R162" s="290"/>
      <c r="S162" s="290"/>
      <c r="T162" s="290"/>
      <c r="U162" s="290"/>
      <c r="V162" s="290"/>
      <c r="W162" s="290"/>
      <c r="X162" s="290"/>
      <c r="Y162" s="290"/>
      <c r="Z162" s="290"/>
      <c r="AA162" s="290"/>
      <c r="AB162" s="175">
        <f t="shared" si="301"/>
        <v>0</v>
      </c>
      <c r="AC162" s="175">
        <f t="shared" si="302"/>
        <v>0</v>
      </c>
      <c r="AD162" s="175">
        <f>SUMIFS('1-2 人员岗位信息'!F:F,'1-2 人员岗位信息'!$C:$C,"自有人员",'1-2 人员岗位信息'!$B:$B,$D162)</f>
        <v>0</v>
      </c>
      <c r="AE162" s="298"/>
      <c r="AF162" s="175">
        <f t="shared" si="303"/>
        <v>0</v>
      </c>
      <c r="AG162" s="175">
        <f>SUMIFS('1-2 人员岗位信息'!G:G,'1-2 人员岗位信息'!$C:$C,"自有人员",'1-2 人员岗位信息'!$B:$B,$D162)</f>
        <v>0</v>
      </c>
      <c r="AH162" s="298"/>
      <c r="AI162" s="175">
        <f t="shared" si="304"/>
        <v>0</v>
      </c>
      <c r="AJ162" s="175">
        <f>SUMIFS('1-2 人员岗位信息'!H:H,'1-2 人员岗位信息'!$C:$C,"自有人员",'1-2 人员岗位信息'!$B:$B,$D162)</f>
        <v>0</v>
      </c>
      <c r="AK162" s="298"/>
      <c r="AL162" s="175">
        <f t="shared" si="305"/>
        <v>0</v>
      </c>
      <c r="AM162" s="175">
        <f>SUMIFS('1-2 人员岗位信息'!I:I,'1-2 人员岗位信息'!$C:$C,"自有人员",'1-2 人员岗位信息'!$B:$B,$D162)</f>
        <v>0</v>
      </c>
      <c r="AN162" s="298"/>
      <c r="AO162" s="175">
        <f t="shared" si="306"/>
        <v>0</v>
      </c>
      <c r="AP162" s="175">
        <f>SUMIFS('1-2 人员岗位信息'!J:J,'1-2 人员岗位信息'!$C:$C,"自有人员",'1-2 人员岗位信息'!$B:$B,$D162)</f>
        <v>0</v>
      </c>
      <c r="AQ162" s="298"/>
      <c r="AR162" s="175">
        <f t="shared" si="307"/>
        <v>0</v>
      </c>
      <c r="AS162" s="175">
        <f>SUMIFS('1-2 人员岗位信息'!K:K,'1-2 人员岗位信息'!$C:$C,"自有人员",'1-2 人员岗位信息'!$B:$B,$D162)</f>
        <v>0</v>
      </c>
      <c r="AT162" s="298"/>
      <c r="AU162" s="175">
        <f t="shared" si="308"/>
        <v>0</v>
      </c>
      <c r="AV162" s="175">
        <f>SUMIFS('1-2 人员岗位信息'!L:L,'1-2 人员岗位信息'!$C:$C,"自有人员",'1-2 人员岗位信息'!$B:$B,$D162)</f>
        <v>0</v>
      </c>
      <c r="AW162" s="298"/>
      <c r="AX162" s="175">
        <f t="shared" si="309"/>
        <v>0</v>
      </c>
      <c r="AY162" s="175">
        <f>SUMIFS('1-2 人员岗位信息'!M:M,'1-2 人员岗位信息'!$C:$C,"自有人员",'1-2 人员岗位信息'!$B:$B,$D162)</f>
        <v>0</v>
      </c>
      <c r="AZ162" s="298"/>
      <c r="BA162" s="175">
        <f t="shared" si="310"/>
        <v>0</v>
      </c>
      <c r="BB162" s="175">
        <f>SUMIFS('1-2 人员岗位信息'!N:N,'1-2 人员岗位信息'!$C:$C,"自有人员",'1-2 人员岗位信息'!$B:$B,$D162)</f>
        <v>0</v>
      </c>
      <c r="BC162" s="298"/>
      <c r="BD162" s="175">
        <f t="shared" si="311"/>
        <v>0</v>
      </c>
      <c r="BE162" s="175">
        <f>SUMIFS('1-2 人员岗位信息'!O:O,'1-2 人员岗位信息'!$C:$C,"自有人员",'1-2 人员岗位信息'!$B:$B,$D162)</f>
        <v>0</v>
      </c>
      <c r="BF162" s="298"/>
      <c r="BG162" s="175">
        <f t="shared" si="312"/>
        <v>0</v>
      </c>
      <c r="BH162" s="175">
        <f>SUMIFS('1-2 人员岗位信息'!P:P,'1-2 人员岗位信息'!$C:$C,"自有人员",'1-2 人员岗位信息'!$B:$B,$D162)</f>
        <v>0</v>
      </c>
      <c r="BI162" s="298"/>
      <c r="BJ162" s="175">
        <f t="shared" si="313"/>
        <v>0</v>
      </c>
      <c r="BK162" s="175">
        <f>SUMIFS('1-2 人员岗位信息'!Q:Q,'1-2 人员岗位信息'!$C:$C,"自有人员",'1-2 人员岗位信息'!$B:$B,$D162)</f>
        <v>0</v>
      </c>
      <c r="BL162" s="307"/>
      <c r="BM162" s="311"/>
      <c r="BN162" s="315"/>
    </row>
    <row r="163" s="263" customFormat="1" ht="33.95" customHeight="1" outlineLevel="5" spans="2:66">
      <c r="B163" s="175" t="s">
        <v>799</v>
      </c>
      <c r="C163" s="283" t="s">
        <v>1074</v>
      </c>
      <c r="D163" s="263" t="s">
        <v>1075</v>
      </c>
      <c r="E163" s="175" t="s">
        <v>1076</v>
      </c>
      <c r="F163" s="175"/>
      <c r="G163" s="175" t="s">
        <v>803</v>
      </c>
      <c r="H163" s="175">
        <f t="shared" si="297"/>
        <v>0</v>
      </c>
      <c r="I163" s="175" t="s">
        <v>804</v>
      </c>
      <c r="J163" s="175" t="e">
        <f t="shared" si="298"/>
        <v>#DIV/0!</v>
      </c>
      <c r="K163" s="175" t="s">
        <v>805</v>
      </c>
      <c r="L163" s="175" t="e">
        <f t="shared" si="299"/>
        <v>#DIV/0!</v>
      </c>
      <c r="M163" s="175" t="s">
        <v>806</v>
      </c>
      <c r="N163" s="175">
        <f t="shared" si="300"/>
        <v>0</v>
      </c>
      <c r="O163" s="175"/>
      <c r="P163" s="290"/>
      <c r="Q163" s="290"/>
      <c r="R163" s="290"/>
      <c r="S163" s="290"/>
      <c r="T163" s="290"/>
      <c r="U163" s="290"/>
      <c r="V163" s="290"/>
      <c r="W163" s="290"/>
      <c r="X163" s="290"/>
      <c r="Y163" s="290"/>
      <c r="Z163" s="290"/>
      <c r="AA163" s="290"/>
      <c r="AB163" s="175">
        <f t="shared" si="301"/>
        <v>0</v>
      </c>
      <c r="AC163" s="175">
        <f t="shared" si="302"/>
        <v>0</v>
      </c>
      <c r="AD163" s="175">
        <f>SUMIFS('1-2 人员岗位信息'!F:F,'1-2 人员岗位信息'!$C:$C,"自有人员",'1-2 人员岗位信息'!$B:$B,$D163)</f>
        <v>0</v>
      </c>
      <c r="AE163" s="298"/>
      <c r="AF163" s="175">
        <f t="shared" si="303"/>
        <v>0</v>
      </c>
      <c r="AG163" s="175">
        <f>SUMIFS('1-2 人员岗位信息'!G:G,'1-2 人员岗位信息'!$C:$C,"自有人员",'1-2 人员岗位信息'!$B:$B,$D163)</f>
        <v>0</v>
      </c>
      <c r="AH163" s="298"/>
      <c r="AI163" s="175">
        <f t="shared" si="304"/>
        <v>0</v>
      </c>
      <c r="AJ163" s="175">
        <f>SUMIFS('1-2 人员岗位信息'!H:H,'1-2 人员岗位信息'!$C:$C,"自有人员",'1-2 人员岗位信息'!$B:$B,$D163)</f>
        <v>0</v>
      </c>
      <c r="AK163" s="298"/>
      <c r="AL163" s="175">
        <f t="shared" si="305"/>
        <v>0</v>
      </c>
      <c r="AM163" s="175">
        <f>SUMIFS('1-2 人员岗位信息'!I:I,'1-2 人员岗位信息'!$C:$C,"自有人员",'1-2 人员岗位信息'!$B:$B,$D163)</f>
        <v>0</v>
      </c>
      <c r="AN163" s="298"/>
      <c r="AO163" s="175">
        <f t="shared" si="306"/>
        <v>0</v>
      </c>
      <c r="AP163" s="175">
        <f>SUMIFS('1-2 人员岗位信息'!J:J,'1-2 人员岗位信息'!$C:$C,"自有人员",'1-2 人员岗位信息'!$B:$B,$D163)</f>
        <v>0</v>
      </c>
      <c r="AQ163" s="298"/>
      <c r="AR163" s="175">
        <f t="shared" si="307"/>
        <v>0</v>
      </c>
      <c r="AS163" s="175">
        <f>SUMIFS('1-2 人员岗位信息'!K:K,'1-2 人员岗位信息'!$C:$C,"自有人员",'1-2 人员岗位信息'!$B:$B,$D163)</f>
        <v>0</v>
      </c>
      <c r="AT163" s="298"/>
      <c r="AU163" s="175">
        <f t="shared" si="308"/>
        <v>0</v>
      </c>
      <c r="AV163" s="175">
        <f>SUMIFS('1-2 人员岗位信息'!L:L,'1-2 人员岗位信息'!$C:$C,"自有人员",'1-2 人员岗位信息'!$B:$B,$D163)</f>
        <v>0</v>
      </c>
      <c r="AW163" s="298"/>
      <c r="AX163" s="175">
        <f t="shared" si="309"/>
        <v>0</v>
      </c>
      <c r="AY163" s="175">
        <f>SUMIFS('1-2 人员岗位信息'!M:M,'1-2 人员岗位信息'!$C:$C,"自有人员",'1-2 人员岗位信息'!$B:$B,$D163)</f>
        <v>0</v>
      </c>
      <c r="AZ163" s="298"/>
      <c r="BA163" s="175">
        <f t="shared" si="310"/>
        <v>0</v>
      </c>
      <c r="BB163" s="175">
        <f>SUMIFS('1-2 人员岗位信息'!N:N,'1-2 人员岗位信息'!$C:$C,"自有人员",'1-2 人员岗位信息'!$B:$B,$D163)</f>
        <v>0</v>
      </c>
      <c r="BC163" s="298"/>
      <c r="BD163" s="175">
        <f t="shared" si="311"/>
        <v>0</v>
      </c>
      <c r="BE163" s="175">
        <f>SUMIFS('1-2 人员岗位信息'!O:O,'1-2 人员岗位信息'!$C:$C,"自有人员",'1-2 人员岗位信息'!$B:$B,$D163)</f>
        <v>0</v>
      </c>
      <c r="BF163" s="298"/>
      <c r="BG163" s="175">
        <f t="shared" si="312"/>
        <v>0</v>
      </c>
      <c r="BH163" s="175">
        <f>SUMIFS('1-2 人员岗位信息'!P:P,'1-2 人员岗位信息'!$C:$C,"自有人员",'1-2 人员岗位信息'!$B:$B,$D163)</f>
        <v>0</v>
      </c>
      <c r="BI163" s="298"/>
      <c r="BJ163" s="175">
        <f t="shared" si="313"/>
        <v>0</v>
      </c>
      <c r="BK163" s="175">
        <f>SUMIFS('1-2 人员岗位信息'!Q:Q,'1-2 人员岗位信息'!$C:$C,"自有人员",'1-2 人员岗位信息'!$B:$B,$D163)</f>
        <v>0</v>
      </c>
      <c r="BL163" s="307"/>
      <c r="BM163" s="311"/>
      <c r="BN163" s="315"/>
    </row>
    <row r="164" s="263" customFormat="1" ht="33.95" customHeight="1" outlineLevel="5" spans="2:66">
      <c r="B164" s="175" t="s">
        <v>799</v>
      </c>
      <c r="C164" s="283" t="s">
        <v>1077</v>
      </c>
      <c r="D164" s="263" t="s">
        <v>1078</v>
      </c>
      <c r="E164" s="175" t="s">
        <v>1079</v>
      </c>
      <c r="F164" s="175"/>
      <c r="G164" s="175" t="s">
        <v>803</v>
      </c>
      <c r="H164" s="175">
        <f t="shared" si="297"/>
        <v>0</v>
      </c>
      <c r="I164" s="175" t="s">
        <v>804</v>
      </c>
      <c r="J164" s="175" t="e">
        <f t="shared" si="298"/>
        <v>#DIV/0!</v>
      </c>
      <c r="K164" s="175" t="s">
        <v>805</v>
      </c>
      <c r="L164" s="175" t="e">
        <f t="shared" si="299"/>
        <v>#DIV/0!</v>
      </c>
      <c r="M164" s="175" t="s">
        <v>806</v>
      </c>
      <c r="N164" s="175">
        <f t="shared" si="300"/>
        <v>0</v>
      </c>
      <c r="O164" s="175"/>
      <c r="P164" s="290"/>
      <c r="Q164" s="290"/>
      <c r="R164" s="290"/>
      <c r="S164" s="290"/>
      <c r="T164" s="290"/>
      <c r="U164" s="290"/>
      <c r="V164" s="290"/>
      <c r="W164" s="290"/>
      <c r="X164" s="290"/>
      <c r="Y164" s="290"/>
      <c r="Z164" s="290"/>
      <c r="AA164" s="290"/>
      <c r="AB164" s="175">
        <f t="shared" si="301"/>
        <v>0</v>
      </c>
      <c r="AC164" s="175">
        <f t="shared" si="302"/>
        <v>0</v>
      </c>
      <c r="AD164" s="175">
        <f>SUMIFS('1-2 人员岗位信息'!F:F,'1-2 人员岗位信息'!$C:$C,"自有人员",'1-2 人员岗位信息'!$B:$B,$D164)</f>
        <v>0</v>
      </c>
      <c r="AE164" s="298"/>
      <c r="AF164" s="175">
        <f t="shared" si="303"/>
        <v>0</v>
      </c>
      <c r="AG164" s="175">
        <f>SUMIFS('1-2 人员岗位信息'!G:G,'1-2 人员岗位信息'!$C:$C,"自有人员",'1-2 人员岗位信息'!$B:$B,$D164)</f>
        <v>0</v>
      </c>
      <c r="AH164" s="298"/>
      <c r="AI164" s="175">
        <f t="shared" si="304"/>
        <v>0</v>
      </c>
      <c r="AJ164" s="175">
        <f>SUMIFS('1-2 人员岗位信息'!H:H,'1-2 人员岗位信息'!$C:$C,"自有人员",'1-2 人员岗位信息'!$B:$B,$D164)</f>
        <v>0</v>
      </c>
      <c r="AK164" s="298"/>
      <c r="AL164" s="175">
        <f t="shared" si="305"/>
        <v>0</v>
      </c>
      <c r="AM164" s="175">
        <f>SUMIFS('1-2 人员岗位信息'!I:I,'1-2 人员岗位信息'!$C:$C,"自有人员",'1-2 人员岗位信息'!$B:$B,$D164)</f>
        <v>0</v>
      </c>
      <c r="AN164" s="298"/>
      <c r="AO164" s="175">
        <f t="shared" si="306"/>
        <v>0</v>
      </c>
      <c r="AP164" s="175">
        <f>SUMIFS('1-2 人员岗位信息'!J:J,'1-2 人员岗位信息'!$C:$C,"自有人员",'1-2 人员岗位信息'!$B:$B,$D164)</f>
        <v>0</v>
      </c>
      <c r="AQ164" s="298"/>
      <c r="AR164" s="175">
        <f t="shared" si="307"/>
        <v>0</v>
      </c>
      <c r="AS164" s="175">
        <f>SUMIFS('1-2 人员岗位信息'!K:K,'1-2 人员岗位信息'!$C:$C,"自有人员",'1-2 人员岗位信息'!$B:$B,$D164)</f>
        <v>0</v>
      </c>
      <c r="AT164" s="298"/>
      <c r="AU164" s="175">
        <f t="shared" si="308"/>
        <v>0</v>
      </c>
      <c r="AV164" s="175">
        <f>SUMIFS('1-2 人员岗位信息'!L:L,'1-2 人员岗位信息'!$C:$C,"自有人员",'1-2 人员岗位信息'!$B:$B,$D164)</f>
        <v>0</v>
      </c>
      <c r="AW164" s="298"/>
      <c r="AX164" s="175">
        <f t="shared" si="309"/>
        <v>0</v>
      </c>
      <c r="AY164" s="175">
        <f>SUMIFS('1-2 人员岗位信息'!M:M,'1-2 人员岗位信息'!$C:$C,"自有人员",'1-2 人员岗位信息'!$B:$B,$D164)</f>
        <v>0</v>
      </c>
      <c r="AZ164" s="298"/>
      <c r="BA164" s="175">
        <f t="shared" si="310"/>
        <v>0</v>
      </c>
      <c r="BB164" s="175">
        <f>SUMIFS('1-2 人员岗位信息'!N:N,'1-2 人员岗位信息'!$C:$C,"自有人员",'1-2 人员岗位信息'!$B:$B,$D164)</f>
        <v>0</v>
      </c>
      <c r="BC164" s="298"/>
      <c r="BD164" s="175">
        <f t="shared" si="311"/>
        <v>0</v>
      </c>
      <c r="BE164" s="175">
        <f>SUMIFS('1-2 人员岗位信息'!O:O,'1-2 人员岗位信息'!$C:$C,"自有人员",'1-2 人员岗位信息'!$B:$B,$D164)</f>
        <v>0</v>
      </c>
      <c r="BF164" s="298"/>
      <c r="BG164" s="175">
        <f t="shared" si="312"/>
        <v>0</v>
      </c>
      <c r="BH164" s="175">
        <f>SUMIFS('1-2 人员岗位信息'!P:P,'1-2 人员岗位信息'!$C:$C,"自有人员",'1-2 人员岗位信息'!$B:$B,$D164)</f>
        <v>0</v>
      </c>
      <c r="BI164" s="298"/>
      <c r="BJ164" s="175">
        <f t="shared" si="313"/>
        <v>0</v>
      </c>
      <c r="BK164" s="175">
        <f>SUMIFS('1-2 人员岗位信息'!Q:Q,'1-2 人员岗位信息'!$C:$C,"自有人员",'1-2 人员岗位信息'!$B:$B,$D164)</f>
        <v>0</v>
      </c>
      <c r="BL164" s="307"/>
      <c r="BM164" s="311"/>
      <c r="BN164" s="315"/>
    </row>
    <row r="165" s="118" customFormat="1" ht="33.95" customHeight="1" outlineLevel="4" spans="2:66">
      <c r="B165" s="119" t="s">
        <v>794</v>
      </c>
      <c r="C165" s="120" t="s">
        <v>73</v>
      </c>
      <c r="D165" s="118" t="s">
        <v>68</v>
      </c>
      <c r="E165" s="119"/>
      <c r="F165" s="119"/>
      <c r="G165" s="119"/>
      <c r="H165" s="119">
        <f>SUM(H166:H169)</f>
        <v>0</v>
      </c>
      <c r="I165" s="119"/>
      <c r="J165" s="119"/>
      <c r="K165" s="119"/>
      <c r="L165" s="119"/>
      <c r="M165" s="119"/>
      <c r="N165" s="119"/>
      <c r="O165" s="119"/>
      <c r="P165" s="289"/>
      <c r="Q165" s="289"/>
      <c r="R165" s="289"/>
      <c r="S165" s="289"/>
      <c r="T165" s="289"/>
      <c r="U165" s="289"/>
      <c r="V165" s="289"/>
      <c r="W165" s="289"/>
      <c r="X165" s="289"/>
      <c r="Y165" s="289"/>
      <c r="Z165" s="289"/>
      <c r="AA165" s="289"/>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6"/>
      <c r="BM165" s="311"/>
      <c r="BN165" s="314"/>
    </row>
    <row r="166" s="263" customFormat="1" ht="33.95" customHeight="1" outlineLevel="5" spans="2:66">
      <c r="B166" s="175" t="s">
        <v>799</v>
      </c>
      <c r="C166" s="283" t="s">
        <v>1080</v>
      </c>
      <c r="D166" s="263" t="s">
        <v>1069</v>
      </c>
      <c r="E166" s="175" t="s">
        <v>1081</v>
      </c>
      <c r="F166" s="175"/>
      <c r="G166" s="175" t="s">
        <v>803</v>
      </c>
      <c r="H166" s="175">
        <f t="shared" ref="H166:H169" si="315">AB166</f>
        <v>0</v>
      </c>
      <c r="I166" s="175" t="s">
        <v>804</v>
      </c>
      <c r="J166" s="175" t="e">
        <f t="shared" ref="J166:J169" si="316">SUM(AD166,AG166,AJ166,AM166,AP166,AS166,AV166,AY166,BB166,BE166,BH166,BK166)/N166</f>
        <v>#DIV/0!</v>
      </c>
      <c r="K166" s="175" t="s">
        <v>805</v>
      </c>
      <c r="L166" s="175" t="e">
        <f t="shared" ref="L166:L169" si="317">H166/N166/J166</f>
        <v>#DIV/0!</v>
      </c>
      <c r="M166" s="175" t="s">
        <v>806</v>
      </c>
      <c r="N166" s="175">
        <f t="shared" ref="N166:N169" si="318">COUNTIF(AD166,"&gt;0")+COUNTIF(AG166,"&gt;0")+COUNTIF(AJ166,"&gt;0")+COUNTIF(AM166,"&gt;0")+COUNTIF(AP166,"&gt;0")+COUNTIF(AS166,"&gt;0")+COUNTIF(AV166,"&gt;0")+COUNTIF(AY166,"&gt;0")+COUNTIF(BB166,"&gt;0")+COUNTIF(BE166,"&gt;0")+COUNTIF(BH166,"&gt;0")+COUNTIF(BK166,"&gt;0")</f>
        <v>0</v>
      </c>
      <c r="O166" s="175"/>
      <c r="P166" s="290"/>
      <c r="Q166" s="290"/>
      <c r="R166" s="290"/>
      <c r="S166" s="290"/>
      <c r="T166" s="290"/>
      <c r="U166" s="290"/>
      <c r="V166" s="290"/>
      <c r="W166" s="290"/>
      <c r="X166" s="290"/>
      <c r="Y166" s="290"/>
      <c r="Z166" s="290"/>
      <c r="AA166" s="290"/>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298"/>
      <c r="AF166" s="175">
        <f t="shared" ref="AF166:AF169" si="321">AG166*AH166</f>
        <v>0</v>
      </c>
      <c r="AG166" s="175">
        <f>SUMIFS('1-2 人员岗位信息'!G:G,'1-2 人员岗位信息'!$C:$C,"劳务派遣",'1-2 人员岗位信息'!$B:$B,$D166)</f>
        <v>0</v>
      </c>
      <c r="AH166" s="298"/>
      <c r="AI166" s="175">
        <f t="shared" ref="AI166:AI169" si="322">AJ166*AK166</f>
        <v>0</v>
      </c>
      <c r="AJ166" s="175">
        <f>SUMIFS('1-2 人员岗位信息'!H:H,'1-2 人员岗位信息'!$C:$C,"劳务派遣",'1-2 人员岗位信息'!$B:$B,$D166)</f>
        <v>0</v>
      </c>
      <c r="AK166" s="298"/>
      <c r="AL166" s="175">
        <f t="shared" ref="AL166:AL169" si="323">AM166*AN166</f>
        <v>0</v>
      </c>
      <c r="AM166" s="175">
        <f>SUMIFS('1-2 人员岗位信息'!I:I,'1-2 人员岗位信息'!$C:$C,"劳务派遣",'1-2 人员岗位信息'!$B:$B,$D166)</f>
        <v>0</v>
      </c>
      <c r="AN166" s="298"/>
      <c r="AO166" s="175">
        <f t="shared" ref="AO166:AO169" si="324">AP166*AQ166</f>
        <v>0</v>
      </c>
      <c r="AP166" s="175">
        <f>SUMIFS('1-2 人员岗位信息'!J:J,'1-2 人员岗位信息'!$C:$C,"劳务派遣",'1-2 人员岗位信息'!$B:$B,$D166)</f>
        <v>0</v>
      </c>
      <c r="AQ166" s="298"/>
      <c r="AR166" s="175">
        <f t="shared" ref="AR166:AR169" si="325">AS166*AT166</f>
        <v>0</v>
      </c>
      <c r="AS166" s="175">
        <f>SUMIFS('1-2 人员岗位信息'!K:K,'1-2 人员岗位信息'!$C:$C,"劳务派遣",'1-2 人员岗位信息'!$B:$B,$D166)</f>
        <v>0</v>
      </c>
      <c r="AT166" s="298"/>
      <c r="AU166" s="175">
        <f t="shared" ref="AU166:AU169" si="326">AV166*AW166</f>
        <v>0</v>
      </c>
      <c r="AV166" s="175">
        <f>SUMIFS('1-2 人员岗位信息'!L:L,'1-2 人员岗位信息'!$C:$C,"劳务派遣",'1-2 人员岗位信息'!$B:$B,$D166)</f>
        <v>0</v>
      </c>
      <c r="AW166" s="298"/>
      <c r="AX166" s="175">
        <f t="shared" ref="AX166:AX169" si="327">AY166*AZ166</f>
        <v>0</v>
      </c>
      <c r="AY166" s="175">
        <f>SUMIFS('1-2 人员岗位信息'!M:M,'1-2 人员岗位信息'!$C:$C,"劳务派遣",'1-2 人员岗位信息'!$B:$B,$D166)</f>
        <v>0</v>
      </c>
      <c r="AZ166" s="298"/>
      <c r="BA166" s="175">
        <f t="shared" ref="BA166:BA169" si="328">BB166*BC166</f>
        <v>0</v>
      </c>
      <c r="BB166" s="175">
        <f>SUMIFS('1-2 人员岗位信息'!N:N,'1-2 人员岗位信息'!$C:$C,"劳务派遣",'1-2 人员岗位信息'!$B:$B,$D166)</f>
        <v>0</v>
      </c>
      <c r="BC166" s="298"/>
      <c r="BD166" s="175">
        <f t="shared" ref="BD166:BD169" si="329">BE166*BF166</f>
        <v>0</v>
      </c>
      <c r="BE166" s="175">
        <f>SUMIFS('1-2 人员岗位信息'!O:O,'1-2 人员岗位信息'!$C:$C,"劳务派遣",'1-2 人员岗位信息'!$B:$B,$D166)</f>
        <v>0</v>
      </c>
      <c r="BF166" s="298"/>
      <c r="BG166" s="175">
        <f t="shared" ref="BG166:BG169" si="330">BH166*BI166</f>
        <v>0</v>
      </c>
      <c r="BH166" s="175">
        <f>SUMIFS('1-2 人员岗位信息'!P:P,'1-2 人员岗位信息'!$C:$C,"劳务派遣",'1-2 人员岗位信息'!$B:$B,$D166)</f>
        <v>0</v>
      </c>
      <c r="BI166" s="298"/>
      <c r="BJ166" s="175">
        <f t="shared" ref="BJ166:BJ169" si="331">BK166*BL166</f>
        <v>0</v>
      </c>
      <c r="BK166" s="175">
        <f>SUMIFS('1-2 人员岗位信息'!Q:Q,'1-2 人员岗位信息'!$C:$C,"劳务派遣",'1-2 人员岗位信息'!$B:$B,$D166)</f>
        <v>0</v>
      </c>
      <c r="BL166" s="307"/>
      <c r="BM166" s="311"/>
      <c r="BN166" s="315"/>
    </row>
    <row r="167" s="263" customFormat="1" ht="33.95" customHeight="1" outlineLevel="5" spans="2:66">
      <c r="B167" s="175" t="s">
        <v>799</v>
      </c>
      <c r="C167" s="283" t="s">
        <v>1082</v>
      </c>
      <c r="D167" s="263" t="s">
        <v>1072</v>
      </c>
      <c r="E167" s="175" t="s">
        <v>1083</v>
      </c>
      <c r="F167" s="175"/>
      <c r="G167" s="175" t="s">
        <v>803</v>
      </c>
      <c r="H167" s="175">
        <f t="shared" si="315"/>
        <v>0</v>
      </c>
      <c r="I167" s="175" t="s">
        <v>804</v>
      </c>
      <c r="J167" s="175" t="e">
        <f t="shared" si="316"/>
        <v>#DIV/0!</v>
      </c>
      <c r="K167" s="175" t="s">
        <v>805</v>
      </c>
      <c r="L167" s="175" t="e">
        <f t="shared" si="317"/>
        <v>#DIV/0!</v>
      </c>
      <c r="M167" s="175" t="s">
        <v>806</v>
      </c>
      <c r="N167" s="175">
        <f t="shared" si="318"/>
        <v>0</v>
      </c>
      <c r="O167" s="175"/>
      <c r="P167" s="290"/>
      <c r="Q167" s="290"/>
      <c r="R167" s="290"/>
      <c r="S167" s="290"/>
      <c r="T167" s="290"/>
      <c r="U167" s="290"/>
      <c r="V167" s="290"/>
      <c r="W167" s="290"/>
      <c r="X167" s="290"/>
      <c r="Y167" s="290"/>
      <c r="Z167" s="290"/>
      <c r="AA167" s="290"/>
      <c r="AB167" s="175">
        <f t="shared" si="319"/>
        <v>0</v>
      </c>
      <c r="AC167" s="175">
        <f t="shared" si="320"/>
        <v>0</v>
      </c>
      <c r="AD167" s="175">
        <f>SUMIFS('1-2 人员岗位信息'!F:F,'1-2 人员岗位信息'!$C:$C,"劳务派遣",'1-2 人员岗位信息'!$B:$B,$D167)</f>
        <v>0</v>
      </c>
      <c r="AE167" s="298"/>
      <c r="AF167" s="175">
        <f t="shared" si="321"/>
        <v>0</v>
      </c>
      <c r="AG167" s="175">
        <f>SUMIFS('1-2 人员岗位信息'!G:G,'1-2 人员岗位信息'!$C:$C,"劳务派遣",'1-2 人员岗位信息'!$B:$B,$D167)</f>
        <v>0</v>
      </c>
      <c r="AH167" s="298"/>
      <c r="AI167" s="175">
        <f t="shared" si="322"/>
        <v>0</v>
      </c>
      <c r="AJ167" s="175">
        <f>SUMIFS('1-2 人员岗位信息'!H:H,'1-2 人员岗位信息'!$C:$C,"劳务派遣",'1-2 人员岗位信息'!$B:$B,$D167)</f>
        <v>0</v>
      </c>
      <c r="AK167" s="298"/>
      <c r="AL167" s="175">
        <f t="shared" si="323"/>
        <v>0</v>
      </c>
      <c r="AM167" s="175">
        <f>SUMIFS('1-2 人员岗位信息'!I:I,'1-2 人员岗位信息'!$C:$C,"劳务派遣",'1-2 人员岗位信息'!$B:$B,$D167)</f>
        <v>0</v>
      </c>
      <c r="AN167" s="298"/>
      <c r="AO167" s="175">
        <f t="shared" si="324"/>
        <v>0</v>
      </c>
      <c r="AP167" s="175">
        <f>SUMIFS('1-2 人员岗位信息'!J:J,'1-2 人员岗位信息'!$C:$C,"劳务派遣",'1-2 人员岗位信息'!$B:$B,$D167)</f>
        <v>0</v>
      </c>
      <c r="AQ167" s="298"/>
      <c r="AR167" s="175">
        <f t="shared" si="325"/>
        <v>0</v>
      </c>
      <c r="AS167" s="175">
        <f>SUMIFS('1-2 人员岗位信息'!K:K,'1-2 人员岗位信息'!$C:$C,"劳务派遣",'1-2 人员岗位信息'!$B:$B,$D167)</f>
        <v>0</v>
      </c>
      <c r="AT167" s="298"/>
      <c r="AU167" s="175">
        <f t="shared" si="326"/>
        <v>0</v>
      </c>
      <c r="AV167" s="175">
        <f>SUMIFS('1-2 人员岗位信息'!L:L,'1-2 人员岗位信息'!$C:$C,"劳务派遣",'1-2 人员岗位信息'!$B:$B,$D167)</f>
        <v>0</v>
      </c>
      <c r="AW167" s="298"/>
      <c r="AX167" s="175">
        <f t="shared" si="327"/>
        <v>0</v>
      </c>
      <c r="AY167" s="175">
        <f>SUMIFS('1-2 人员岗位信息'!M:M,'1-2 人员岗位信息'!$C:$C,"劳务派遣",'1-2 人员岗位信息'!$B:$B,$D167)</f>
        <v>0</v>
      </c>
      <c r="AZ167" s="298"/>
      <c r="BA167" s="175">
        <f t="shared" si="328"/>
        <v>0</v>
      </c>
      <c r="BB167" s="175">
        <f>SUMIFS('1-2 人员岗位信息'!N:N,'1-2 人员岗位信息'!$C:$C,"劳务派遣",'1-2 人员岗位信息'!$B:$B,$D167)</f>
        <v>0</v>
      </c>
      <c r="BC167" s="298"/>
      <c r="BD167" s="175">
        <f t="shared" si="329"/>
        <v>0</v>
      </c>
      <c r="BE167" s="175">
        <f>SUMIFS('1-2 人员岗位信息'!O:O,'1-2 人员岗位信息'!$C:$C,"劳务派遣",'1-2 人员岗位信息'!$B:$B,$D167)</f>
        <v>0</v>
      </c>
      <c r="BF167" s="298"/>
      <c r="BG167" s="175">
        <f t="shared" si="330"/>
        <v>0</v>
      </c>
      <c r="BH167" s="175">
        <f>SUMIFS('1-2 人员岗位信息'!P:P,'1-2 人员岗位信息'!$C:$C,"劳务派遣",'1-2 人员岗位信息'!$B:$B,$D167)</f>
        <v>0</v>
      </c>
      <c r="BI167" s="298"/>
      <c r="BJ167" s="175">
        <f t="shared" si="331"/>
        <v>0</v>
      </c>
      <c r="BK167" s="175">
        <f>SUMIFS('1-2 人员岗位信息'!Q:Q,'1-2 人员岗位信息'!$C:$C,"劳务派遣",'1-2 人员岗位信息'!$B:$B,$D167)</f>
        <v>0</v>
      </c>
      <c r="BL167" s="307"/>
      <c r="BM167" s="311"/>
      <c r="BN167" s="315"/>
    </row>
    <row r="168" s="263" customFormat="1" ht="33.95" customHeight="1" outlineLevel="5" spans="2:66">
      <c r="B168" s="175" t="s">
        <v>799</v>
      </c>
      <c r="C168" s="283" t="s">
        <v>1084</v>
      </c>
      <c r="D168" s="263" t="s">
        <v>1075</v>
      </c>
      <c r="E168" s="175" t="s">
        <v>1085</v>
      </c>
      <c r="F168" s="175"/>
      <c r="G168" s="175" t="s">
        <v>803</v>
      </c>
      <c r="H168" s="175">
        <f t="shared" si="315"/>
        <v>0</v>
      </c>
      <c r="I168" s="175" t="s">
        <v>804</v>
      </c>
      <c r="J168" s="175" t="e">
        <f t="shared" si="316"/>
        <v>#DIV/0!</v>
      </c>
      <c r="K168" s="175" t="s">
        <v>805</v>
      </c>
      <c r="L168" s="175" t="e">
        <f t="shared" si="317"/>
        <v>#DIV/0!</v>
      </c>
      <c r="M168" s="175" t="s">
        <v>806</v>
      </c>
      <c r="N168" s="175">
        <f t="shared" si="318"/>
        <v>0</v>
      </c>
      <c r="O168" s="175"/>
      <c r="P168" s="290"/>
      <c r="Q168" s="290"/>
      <c r="R168" s="290"/>
      <c r="S168" s="290"/>
      <c r="T168" s="290"/>
      <c r="U168" s="290"/>
      <c r="V168" s="290"/>
      <c r="W168" s="290"/>
      <c r="X168" s="290"/>
      <c r="Y168" s="290"/>
      <c r="Z168" s="290"/>
      <c r="AA168" s="290"/>
      <c r="AB168" s="175">
        <f t="shared" si="319"/>
        <v>0</v>
      </c>
      <c r="AC168" s="175">
        <f t="shared" si="320"/>
        <v>0</v>
      </c>
      <c r="AD168" s="175">
        <f>SUMIFS('1-2 人员岗位信息'!F:F,'1-2 人员岗位信息'!$C:$C,"劳务派遣",'1-2 人员岗位信息'!$B:$B,$D168)</f>
        <v>0</v>
      </c>
      <c r="AE168" s="298"/>
      <c r="AF168" s="175">
        <f t="shared" si="321"/>
        <v>0</v>
      </c>
      <c r="AG168" s="175">
        <f>SUMIFS('1-2 人员岗位信息'!G:G,'1-2 人员岗位信息'!$C:$C,"劳务派遣",'1-2 人员岗位信息'!$B:$B,$D168)</f>
        <v>0</v>
      </c>
      <c r="AH168" s="298"/>
      <c r="AI168" s="175">
        <f t="shared" si="322"/>
        <v>0</v>
      </c>
      <c r="AJ168" s="175">
        <f>SUMIFS('1-2 人员岗位信息'!H:H,'1-2 人员岗位信息'!$C:$C,"劳务派遣",'1-2 人员岗位信息'!$B:$B,$D168)</f>
        <v>0</v>
      </c>
      <c r="AK168" s="298"/>
      <c r="AL168" s="175">
        <f t="shared" si="323"/>
        <v>0</v>
      </c>
      <c r="AM168" s="175">
        <f>SUMIFS('1-2 人员岗位信息'!I:I,'1-2 人员岗位信息'!$C:$C,"劳务派遣",'1-2 人员岗位信息'!$B:$B,$D168)</f>
        <v>0</v>
      </c>
      <c r="AN168" s="298"/>
      <c r="AO168" s="175">
        <f t="shared" si="324"/>
        <v>0</v>
      </c>
      <c r="AP168" s="175">
        <f>SUMIFS('1-2 人员岗位信息'!J:J,'1-2 人员岗位信息'!$C:$C,"劳务派遣",'1-2 人员岗位信息'!$B:$B,$D168)</f>
        <v>0</v>
      </c>
      <c r="AQ168" s="298"/>
      <c r="AR168" s="175">
        <f t="shared" si="325"/>
        <v>0</v>
      </c>
      <c r="AS168" s="175">
        <f>SUMIFS('1-2 人员岗位信息'!K:K,'1-2 人员岗位信息'!$C:$C,"劳务派遣",'1-2 人员岗位信息'!$B:$B,$D168)</f>
        <v>0</v>
      </c>
      <c r="AT168" s="298"/>
      <c r="AU168" s="175">
        <f t="shared" si="326"/>
        <v>0</v>
      </c>
      <c r="AV168" s="175">
        <f>SUMIFS('1-2 人员岗位信息'!L:L,'1-2 人员岗位信息'!$C:$C,"劳务派遣",'1-2 人员岗位信息'!$B:$B,$D168)</f>
        <v>0</v>
      </c>
      <c r="AW168" s="298"/>
      <c r="AX168" s="175">
        <f t="shared" si="327"/>
        <v>0</v>
      </c>
      <c r="AY168" s="175">
        <f>SUMIFS('1-2 人员岗位信息'!M:M,'1-2 人员岗位信息'!$C:$C,"劳务派遣",'1-2 人员岗位信息'!$B:$B,$D168)</f>
        <v>0</v>
      </c>
      <c r="AZ168" s="298"/>
      <c r="BA168" s="175">
        <f t="shared" si="328"/>
        <v>0</v>
      </c>
      <c r="BB168" s="175">
        <f>SUMIFS('1-2 人员岗位信息'!N:N,'1-2 人员岗位信息'!$C:$C,"劳务派遣",'1-2 人员岗位信息'!$B:$B,$D168)</f>
        <v>0</v>
      </c>
      <c r="BC168" s="298"/>
      <c r="BD168" s="175">
        <f t="shared" si="329"/>
        <v>0</v>
      </c>
      <c r="BE168" s="175">
        <f>SUMIFS('1-2 人员岗位信息'!O:O,'1-2 人员岗位信息'!$C:$C,"劳务派遣",'1-2 人员岗位信息'!$B:$B,$D168)</f>
        <v>0</v>
      </c>
      <c r="BF168" s="298"/>
      <c r="BG168" s="175">
        <f t="shared" si="330"/>
        <v>0</v>
      </c>
      <c r="BH168" s="175">
        <f>SUMIFS('1-2 人员岗位信息'!P:P,'1-2 人员岗位信息'!$C:$C,"劳务派遣",'1-2 人员岗位信息'!$B:$B,$D168)</f>
        <v>0</v>
      </c>
      <c r="BI168" s="298"/>
      <c r="BJ168" s="175">
        <f t="shared" si="331"/>
        <v>0</v>
      </c>
      <c r="BK168" s="175">
        <f>SUMIFS('1-2 人员岗位信息'!Q:Q,'1-2 人员岗位信息'!$C:$C,"劳务派遣",'1-2 人员岗位信息'!$B:$B,$D168)</f>
        <v>0</v>
      </c>
      <c r="BL168" s="307"/>
      <c r="BM168" s="311"/>
      <c r="BN168" s="315"/>
    </row>
    <row r="169" s="263" customFormat="1" ht="33.95" customHeight="1" outlineLevel="5" spans="2:66">
      <c r="B169" s="175" t="s">
        <v>799</v>
      </c>
      <c r="C169" s="283" t="s">
        <v>1086</v>
      </c>
      <c r="D169" s="263" t="s">
        <v>1078</v>
      </c>
      <c r="E169" s="175" t="s">
        <v>1087</v>
      </c>
      <c r="F169" s="175"/>
      <c r="G169" s="175" t="s">
        <v>803</v>
      </c>
      <c r="H169" s="175">
        <f t="shared" si="315"/>
        <v>0</v>
      </c>
      <c r="I169" s="175" t="s">
        <v>804</v>
      </c>
      <c r="J169" s="175" t="e">
        <f t="shared" si="316"/>
        <v>#DIV/0!</v>
      </c>
      <c r="K169" s="175" t="s">
        <v>805</v>
      </c>
      <c r="L169" s="175" t="e">
        <f t="shared" si="317"/>
        <v>#DIV/0!</v>
      </c>
      <c r="M169" s="175" t="s">
        <v>806</v>
      </c>
      <c r="N169" s="175">
        <f t="shared" si="318"/>
        <v>0</v>
      </c>
      <c r="O169" s="175"/>
      <c r="P169" s="290"/>
      <c r="Q169" s="290"/>
      <c r="R169" s="290"/>
      <c r="S169" s="290"/>
      <c r="T169" s="290"/>
      <c r="U169" s="290"/>
      <c r="V169" s="290"/>
      <c r="W169" s="290"/>
      <c r="X169" s="290"/>
      <c r="Y169" s="290"/>
      <c r="Z169" s="290"/>
      <c r="AA169" s="290"/>
      <c r="AB169" s="175">
        <f t="shared" si="319"/>
        <v>0</v>
      </c>
      <c r="AC169" s="175">
        <f t="shared" si="320"/>
        <v>0</v>
      </c>
      <c r="AD169" s="175">
        <f>SUMIFS('1-2 人员岗位信息'!F:F,'1-2 人员岗位信息'!$C:$C,"劳务派遣",'1-2 人员岗位信息'!$B:$B,$D169)</f>
        <v>0</v>
      </c>
      <c r="AE169" s="298"/>
      <c r="AF169" s="175">
        <f t="shared" si="321"/>
        <v>0</v>
      </c>
      <c r="AG169" s="175">
        <f>SUMIFS('1-2 人员岗位信息'!G:G,'1-2 人员岗位信息'!$C:$C,"劳务派遣",'1-2 人员岗位信息'!$B:$B,$D169)</f>
        <v>0</v>
      </c>
      <c r="AH169" s="298"/>
      <c r="AI169" s="175">
        <f t="shared" si="322"/>
        <v>0</v>
      </c>
      <c r="AJ169" s="175">
        <f>SUMIFS('1-2 人员岗位信息'!H:H,'1-2 人员岗位信息'!$C:$C,"劳务派遣",'1-2 人员岗位信息'!$B:$B,$D169)</f>
        <v>0</v>
      </c>
      <c r="AK169" s="298"/>
      <c r="AL169" s="175">
        <f t="shared" si="323"/>
        <v>0</v>
      </c>
      <c r="AM169" s="175">
        <f>SUMIFS('1-2 人员岗位信息'!I:I,'1-2 人员岗位信息'!$C:$C,"劳务派遣",'1-2 人员岗位信息'!$B:$B,$D169)</f>
        <v>0</v>
      </c>
      <c r="AN169" s="298"/>
      <c r="AO169" s="175">
        <f t="shared" si="324"/>
        <v>0</v>
      </c>
      <c r="AP169" s="175">
        <f>SUMIFS('1-2 人员岗位信息'!J:J,'1-2 人员岗位信息'!$C:$C,"劳务派遣",'1-2 人员岗位信息'!$B:$B,$D169)</f>
        <v>0</v>
      </c>
      <c r="AQ169" s="298"/>
      <c r="AR169" s="175">
        <f t="shared" si="325"/>
        <v>0</v>
      </c>
      <c r="AS169" s="175">
        <f>SUMIFS('1-2 人员岗位信息'!K:K,'1-2 人员岗位信息'!$C:$C,"劳务派遣",'1-2 人员岗位信息'!$B:$B,$D169)</f>
        <v>0</v>
      </c>
      <c r="AT169" s="298"/>
      <c r="AU169" s="175">
        <f t="shared" si="326"/>
        <v>0</v>
      </c>
      <c r="AV169" s="175">
        <f>SUMIFS('1-2 人员岗位信息'!L:L,'1-2 人员岗位信息'!$C:$C,"劳务派遣",'1-2 人员岗位信息'!$B:$B,$D169)</f>
        <v>0</v>
      </c>
      <c r="AW169" s="298"/>
      <c r="AX169" s="175">
        <f t="shared" si="327"/>
        <v>0</v>
      </c>
      <c r="AY169" s="175">
        <f>SUMIFS('1-2 人员岗位信息'!M:M,'1-2 人员岗位信息'!$C:$C,"劳务派遣",'1-2 人员岗位信息'!$B:$B,$D169)</f>
        <v>0</v>
      </c>
      <c r="AZ169" s="298"/>
      <c r="BA169" s="175">
        <f t="shared" si="328"/>
        <v>0</v>
      </c>
      <c r="BB169" s="175">
        <f>SUMIFS('1-2 人员岗位信息'!N:N,'1-2 人员岗位信息'!$C:$C,"劳务派遣",'1-2 人员岗位信息'!$B:$B,$D169)</f>
        <v>0</v>
      </c>
      <c r="BC169" s="298"/>
      <c r="BD169" s="175">
        <f t="shared" si="329"/>
        <v>0</v>
      </c>
      <c r="BE169" s="175">
        <f>SUMIFS('1-2 人员岗位信息'!O:O,'1-2 人员岗位信息'!$C:$C,"劳务派遣",'1-2 人员岗位信息'!$B:$B,$D169)</f>
        <v>0</v>
      </c>
      <c r="BF169" s="298"/>
      <c r="BG169" s="175">
        <f t="shared" si="330"/>
        <v>0</v>
      </c>
      <c r="BH169" s="175">
        <f>SUMIFS('1-2 人员岗位信息'!P:P,'1-2 人员岗位信息'!$C:$C,"劳务派遣",'1-2 人员岗位信息'!$B:$B,$D169)</f>
        <v>0</v>
      </c>
      <c r="BI169" s="298"/>
      <c r="BJ169" s="175">
        <f t="shared" si="331"/>
        <v>0</v>
      </c>
      <c r="BK169" s="175">
        <f>SUMIFS('1-2 人员岗位信息'!Q:Q,'1-2 人员岗位信息'!$C:$C,"劳务派遣",'1-2 人员岗位信息'!$B:$B,$D169)</f>
        <v>0</v>
      </c>
      <c r="BL169" s="307"/>
      <c r="BM169" s="311"/>
      <c r="BN169" s="315"/>
    </row>
    <row r="170" s="118" customFormat="1" ht="33.95" customHeight="1" outlineLevel="4" spans="2:66">
      <c r="B170" s="119" t="s">
        <v>794</v>
      </c>
      <c r="C170" s="120" t="s">
        <v>22</v>
      </c>
      <c r="D170" s="118" t="s">
        <v>23</v>
      </c>
      <c r="E170" s="119"/>
      <c r="F170" s="119"/>
      <c r="G170" s="119"/>
      <c r="H170" s="119">
        <f>SUM(H171:H174)</f>
        <v>0</v>
      </c>
      <c r="I170" s="119"/>
      <c r="J170" s="119"/>
      <c r="K170" s="119"/>
      <c r="L170" s="119"/>
      <c r="M170" s="119"/>
      <c r="N170" s="119"/>
      <c r="O170" s="119"/>
      <c r="P170" s="289"/>
      <c r="Q170" s="289"/>
      <c r="R170" s="289"/>
      <c r="S170" s="289"/>
      <c r="T170" s="289"/>
      <c r="U170" s="289"/>
      <c r="V170" s="289"/>
      <c r="W170" s="289"/>
      <c r="X170" s="289"/>
      <c r="Y170" s="289"/>
      <c r="Z170" s="289"/>
      <c r="AA170" s="289"/>
      <c r="AB170" s="119">
        <f t="shared" ref="AB170:AF170" si="332">SUM(AB171:AB174)</f>
        <v>0</v>
      </c>
      <c r="AC170" s="119">
        <f t="shared" si="332"/>
        <v>0</v>
      </c>
      <c r="AD170" s="119"/>
      <c r="AE170" s="119"/>
      <c r="AF170" s="119">
        <f t="shared" si="332"/>
        <v>0</v>
      </c>
      <c r="AG170" s="119"/>
      <c r="AH170" s="119"/>
      <c r="AI170" s="119">
        <f>SUM(AI171:AI174)</f>
        <v>0</v>
      </c>
      <c r="AJ170" s="119"/>
      <c r="AK170" s="119"/>
      <c r="AL170" s="119">
        <f>SUM(AL171:AL174)</f>
        <v>0</v>
      </c>
      <c r="AM170" s="119"/>
      <c r="AN170" s="119"/>
      <c r="AO170" s="119">
        <f>SUM(AO171:AO174)</f>
        <v>0</v>
      </c>
      <c r="AP170" s="119"/>
      <c r="AQ170" s="119"/>
      <c r="AR170" s="119">
        <f>SUM(AR171:AR174)</f>
        <v>0</v>
      </c>
      <c r="AS170" s="119"/>
      <c r="AT170" s="119"/>
      <c r="AU170" s="119">
        <f>SUM(AU171:AU174)</f>
        <v>0</v>
      </c>
      <c r="AV170" s="119"/>
      <c r="AW170" s="119"/>
      <c r="AX170" s="119">
        <f>SUM(AX171:AX174)</f>
        <v>0</v>
      </c>
      <c r="AY170" s="119"/>
      <c r="AZ170" s="119"/>
      <c r="BA170" s="119">
        <f>SUM(BA171:BA174)</f>
        <v>0</v>
      </c>
      <c r="BB170" s="119"/>
      <c r="BC170" s="119"/>
      <c r="BD170" s="119">
        <f>SUM(BD171:BD174)</f>
        <v>0</v>
      </c>
      <c r="BE170" s="119"/>
      <c r="BF170" s="119"/>
      <c r="BG170" s="119">
        <f>SUM(BG171:BG174)</f>
        <v>0</v>
      </c>
      <c r="BH170" s="119"/>
      <c r="BI170" s="119"/>
      <c r="BJ170" s="119">
        <f>SUM(BJ171:BJ174)</f>
        <v>0</v>
      </c>
      <c r="BK170" s="119"/>
      <c r="BL170" s="306"/>
      <c r="BM170" s="311"/>
      <c r="BN170" s="314"/>
    </row>
    <row r="171" s="263" customFormat="1" ht="33.95" customHeight="1" outlineLevel="5" spans="2:66">
      <c r="B171" s="175" t="s">
        <v>799</v>
      </c>
      <c r="C171" s="283" t="s">
        <v>1088</v>
      </c>
      <c r="D171" s="263" t="s">
        <v>1069</v>
      </c>
      <c r="E171" s="175" t="s">
        <v>1089</v>
      </c>
      <c r="F171" s="175"/>
      <c r="G171" s="175" t="s">
        <v>803</v>
      </c>
      <c r="H171" s="175">
        <f t="shared" ref="H171:H175" si="333">AB171</f>
        <v>0</v>
      </c>
      <c r="I171" s="175" t="s">
        <v>804</v>
      </c>
      <c r="J171" s="175" t="e">
        <f t="shared" ref="J171:J175" si="334">SUM(AD171,AG171,AJ171,AM171,AP171,AS171,AV171,AY171,BB171,BE171,BH171,BK171)/N171</f>
        <v>#DIV/0!</v>
      </c>
      <c r="K171" s="175" t="s">
        <v>805</v>
      </c>
      <c r="L171" s="175" t="e">
        <f t="shared" ref="L171:L175" si="335">H171/N171/J171</f>
        <v>#DIV/0!</v>
      </c>
      <c r="M171" s="175" t="s">
        <v>806</v>
      </c>
      <c r="N171" s="175">
        <f t="shared" ref="N171:N175" si="336">COUNTIF(AD171,"&gt;0")+COUNTIF(AG171,"&gt;0")+COUNTIF(AJ171,"&gt;0")+COUNTIF(AM171,"&gt;0")+COUNTIF(AP171,"&gt;0")+COUNTIF(AS171,"&gt;0")+COUNTIF(AV171,"&gt;0")+COUNTIF(AY171,"&gt;0")+COUNTIF(BB171,"&gt;0")+COUNTIF(BE171,"&gt;0")+COUNTIF(BH171,"&gt;0")+COUNTIF(BK171,"&gt;0")</f>
        <v>0</v>
      </c>
      <c r="O171" s="175"/>
      <c r="P171" s="290"/>
      <c r="Q171" s="290"/>
      <c r="R171" s="290"/>
      <c r="S171" s="290"/>
      <c r="T171" s="290"/>
      <c r="U171" s="290"/>
      <c r="V171" s="290"/>
      <c r="W171" s="290"/>
      <c r="X171" s="290"/>
      <c r="Y171" s="290"/>
      <c r="Z171" s="290"/>
      <c r="AA171" s="290"/>
      <c r="AB171" s="175">
        <f t="shared" ref="AB171:AB175" si="337">SUM(AC171,AF171,AI171,AL171,AO171,AR171,AU171,AX171,BA171,BD171,BG171,BJ171)</f>
        <v>0</v>
      </c>
      <c r="AC171" s="175">
        <f t="shared" ref="AC171:AC175" si="338">AD171*AE171</f>
        <v>0</v>
      </c>
      <c r="AD171" s="175">
        <f>SUMIFS('1-2 人员岗位信息'!F:F,'1-2 人员岗位信息'!$C:$C,"专业外包",'1-2 人员岗位信息'!$B:$B,$D171)</f>
        <v>0</v>
      </c>
      <c r="AE171" s="298">
        <f>IFERROR(预算主表!P81/(12*AD171),0)</f>
        <v>0</v>
      </c>
      <c r="AF171" s="175">
        <f t="shared" ref="AF171:AF175" si="339">AG171*AH171</f>
        <v>0</v>
      </c>
      <c r="AG171" s="175">
        <f>SUMIFS('1-2 人员岗位信息'!G:G,'1-2 人员岗位信息'!$C:$C,"专业外包",'1-2 人员岗位信息'!$B:$B,$D171)</f>
        <v>0</v>
      </c>
      <c r="AH171" s="298">
        <f>AE171</f>
        <v>0</v>
      </c>
      <c r="AI171" s="175">
        <f t="shared" ref="AI171:AI175" si="340">AJ171*AK171</f>
        <v>0</v>
      </c>
      <c r="AJ171" s="175">
        <f>SUMIFS('1-2 人员岗位信息'!H:H,'1-2 人员岗位信息'!$C:$C,"专业外包",'1-2 人员岗位信息'!$B:$B,$D171)</f>
        <v>0</v>
      </c>
      <c r="AK171" s="298">
        <f>AE171</f>
        <v>0</v>
      </c>
      <c r="AL171" s="175">
        <f t="shared" ref="AL171:AL175" si="341">AM171*AN171</f>
        <v>0</v>
      </c>
      <c r="AM171" s="175">
        <f>SUMIFS('1-2 人员岗位信息'!I:I,'1-2 人员岗位信息'!$C:$C,"专业外包",'1-2 人员岗位信息'!$B:$B,$D171)</f>
        <v>0</v>
      </c>
      <c r="AN171" s="298">
        <f>AE171</f>
        <v>0</v>
      </c>
      <c r="AO171" s="175">
        <f t="shared" ref="AO171:AO175" si="342">AP171*AQ171</f>
        <v>0</v>
      </c>
      <c r="AP171" s="175">
        <f>SUMIFS('1-2 人员岗位信息'!J:J,'1-2 人员岗位信息'!$C:$C,"专业外包",'1-2 人员岗位信息'!$B:$B,$D171)</f>
        <v>0</v>
      </c>
      <c r="AQ171" s="298">
        <f>AE171</f>
        <v>0</v>
      </c>
      <c r="AR171" s="175">
        <f t="shared" ref="AR171:AR175" si="343">AS171*AT171</f>
        <v>0</v>
      </c>
      <c r="AS171" s="175">
        <f>SUMIFS('1-2 人员岗位信息'!K:K,'1-2 人员岗位信息'!$C:$C,"专业外包",'1-2 人员岗位信息'!$B:$B,$D171)</f>
        <v>0</v>
      </c>
      <c r="AT171" s="298">
        <f>AE171</f>
        <v>0</v>
      </c>
      <c r="AU171" s="175">
        <f t="shared" ref="AU171:AU175" si="344">AV171*AW171</f>
        <v>0</v>
      </c>
      <c r="AV171" s="175">
        <f>SUMIFS('1-2 人员岗位信息'!L:L,'1-2 人员岗位信息'!$C:$C,"专业外包",'1-2 人员岗位信息'!$B:$B,$D171)</f>
        <v>0</v>
      </c>
      <c r="AW171" s="298">
        <f>AE171</f>
        <v>0</v>
      </c>
      <c r="AX171" s="175">
        <f t="shared" ref="AX171:AX175" si="345">AY171*AZ171</f>
        <v>0</v>
      </c>
      <c r="AY171" s="175">
        <f>SUMIFS('1-2 人员岗位信息'!M:M,'1-2 人员岗位信息'!$C:$C,"专业外包",'1-2 人员岗位信息'!$B:$B,$D171)</f>
        <v>0</v>
      </c>
      <c r="AZ171" s="298">
        <f>AE171</f>
        <v>0</v>
      </c>
      <c r="BA171" s="175">
        <f t="shared" ref="BA171:BA175" si="346">BB171*BC171</f>
        <v>0</v>
      </c>
      <c r="BB171" s="175">
        <f>SUMIFS('1-2 人员岗位信息'!N:N,'1-2 人员岗位信息'!$C:$C,"专业外包",'1-2 人员岗位信息'!$B:$B,$D171)</f>
        <v>0</v>
      </c>
      <c r="BC171" s="298">
        <f>AE171</f>
        <v>0</v>
      </c>
      <c r="BD171" s="175">
        <f t="shared" ref="BD171:BD175" si="347">BE171*BF171</f>
        <v>0</v>
      </c>
      <c r="BE171" s="175">
        <f>SUMIFS('1-2 人员岗位信息'!O:O,'1-2 人员岗位信息'!$C:$C,"专业外包",'1-2 人员岗位信息'!$B:$B,$D171)</f>
        <v>0</v>
      </c>
      <c r="BF171" s="298">
        <f>AE171</f>
        <v>0</v>
      </c>
      <c r="BG171" s="175">
        <f t="shared" ref="BG171:BG175" si="348">BH171*BI171</f>
        <v>0</v>
      </c>
      <c r="BH171" s="175">
        <f>SUMIFS('1-2 人员岗位信息'!P:P,'1-2 人员岗位信息'!$C:$C,"专业外包",'1-2 人员岗位信息'!$B:$B,$D171)</f>
        <v>0</v>
      </c>
      <c r="BI171" s="298">
        <f>AE171</f>
        <v>0</v>
      </c>
      <c r="BJ171" s="175">
        <f t="shared" ref="BJ171:BJ175" si="349">BK171*BL171</f>
        <v>0</v>
      </c>
      <c r="BK171" s="175">
        <f>SUMIFS('1-2 人员岗位信息'!Q:Q,'1-2 人员岗位信息'!$C:$C,"专业外包",'1-2 人员岗位信息'!$B:$B,$D171)</f>
        <v>0</v>
      </c>
      <c r="BL171" s="307">
        <f>AE171</f>
        <v>0</v>
      </c>
      <c r="BM171" s="311"/>
      <c r="BN171" s="315"/>
    </row>
    <row r="172" s="263" customFormat="1" ht="33.95" customHeight="1" outlineLevel="5" spans="2:66">
      <c r="B172" s="175" t="s">
        <v>799</v>
      </c>
      <c r="C172" s="283" t="s">
        <v>1090</v>
      </c>
      <c r="D172" s="263" t="s">
        <v>1072</v>
      </c>
      <c r="E172" s="175" t="s">
        <v>1091</v>
      </c>
      <c r="F172" s="175"/>
      <c r="G172" s="175" t="s">
        <v>803</v>
      </c>
      <c r="H172" s="175">
        <f t="shared" si="333"/>
        <v>0</v>
      </c>
      <c r="I172" s="175" t="s">
        <v>804</v>
      </c>
      <c r="J172" s="175" t="e">
        <f t="shared" si="334"/>
        <v>#DIV/0!</v>
      </c>
      <c r="K172" s="175" t="s">
        <v>805</v>
      </c>
      <c r="L172" s="175" t="e">
        <f t="shared" si="335"/>
        <v>#DIV/0!</v>
      </c>
      <c r="M172" s="175" t="s">
        <v>806</v>
      </c>
      <c r="N172" s="175">
        <f t="shared" si="336"/>
        <v>0</v>
      </c>
      <c r="O172" s="175"/>
      <c r="P172" s="290"/>
      <c r="Q172" s="290"/>
      <c r="R172" s="290"/>
      <c r="S172" s="290"/>
      <c r="T172" s="290"/>
      <c r="U172" s="290"/>
      <c r="V172" s="290"/>
      <c r="W172" s="290"/>
      <c r="X172" s="290"/>
      <c r="Y172" s="290"/>
      <c r="Z172" s="290"/>
      <c r="AA172" s="290"/>
      <c r="AB172" s="175">
        <f t="shared" si="337"/>
        <v>0</v>
      </c>
      <c r="AC172" s="175">
        <f t="shared" si="338"/>
        <v>0</v>
      </c>
      <c r="AD172" s="175">
        <f>SUMIFS('1-2 人员岗位信息'!F:F,'1-2 人员岗位信息'!$C:$C,"专业外包",'1-2 人员岗位信息'!$B:$B,$D172)</f>
        <v>0</v>
      </c>
      <c r="AE172" s="298">
        <f>IFERROR(预算主表!P81/(12*AD172),0)</f>
        <v>0</v>
      </c>
      <c r="AF172" s="175">
        <f t="shared" si="339"/>
        <v>0</v>
      </c>
      <c r="AG172" s="175">
        <f>SUMIFS('1-2 人员岗位信息'!G:G,'1-2 人员岗位信息'!$C:$C,"专业外包",'1-2 人员岗位信息'!$B:$B,$D172)</f>
        <v>0</v>
      </c>
      <c r="AH172" s="298">
        <f>AE172</f>
        <v>0</v>
      </c>
      <c r="AI172" s="175">
        <f t="shared" si="340"/>
        <v>0</v>
      </c>
      <c r="AJ172" s="175">
        <f>SUMIFS('1-2 人员岗位信息'!H:H,'1-2 人员岗位信息'!$C:$C,"专业外包",'1-2 人员岗位信息'!$B:$B,$D172)</f>
        <v>0</v>
      </c>
      <c r="AK172" s="298">
        <f>AE172</f>
        <v>0</v>
      </c>
      <c r="AL172" s="175">
        <f t="shared" si="341"/>
        <v>0</v>
      </c>
      <c r="AM172" s="175">
        <f>SUMIFS('1-2 人员岗位信息'!I:I,'1-2 人员岗位信息'!$C:$C,"专业外包",'1-2 人员岗位信息'!$B:$B,$D172)</f>
        <v>0</v>
      </c>
      <c r="AN172" s="298">
        <f>AE172</f>
        <v>0</v>
      </c>
      <c r="AO172" s="175">
        <f t="shared" si="342"/>
        <v>0</v>
      </c>
      <c r="AP172" s="175">
        <f>SUMIFS('1-2 人员岗位信息'!J:J,'1-2 人员岗位信息'!$C:$C,"专业外包",'1-2 人员岗位信息'!$B:$B,$D172)</f>
        <v>0</v>
      </c>
      <c r="AQ172" s="298">
        <f>AE172</f>
        <v>0</v>
      </c>
      <c r="AR172" s="175">
        <f t="shared" si="343"/>
        <v>0</v>
      </c>
      <c r="AS172" s="175">
        <f>SUMIFS('1-2 人员岗位信息'!K:K,'1-2 人员岗位信息'!$C:$C,"专业外包",'1-2 人员岗位信息'!$B:$B,$D172)</f>
        <v>0</v>
      </c>
      <c r="AT172" s="298">
        <f>AE172</f>
        <v>0</v>
      </c>
      <c r="AU172" s="175">
        <f t="shared" si="344"/>
        <v>0</v>
      </c>
      <c r="AV172" s="175">
        <f>SUMIFS('1-2 人员岗位信息'!L:L,'1-2 人员岗位信息'!$C:$C,"专业外包",'1-2 人员岗位信息'!$B:$B,$D172)</f>
        <v>0</v>
      </c>
      <c r="AW172" s="298">
        <f>AE172</f>
        <v>0</v>
      </c>
      <c r="AX172" s="175">
        <f t="shared" si="345"/>
        <v>0</v>
      </c>
      <c r="AY172" s="175">
        <f>SUMIFS('1-2 人员岗位信息'!M:M,'1-2 人员岗位信息'!$C:$C,"专业外包",'1-2 人员岗位信息'!$B:$B,$D172)</f>
        <v>0</v>
      </c>
      <c r="AZ172" s="298">
        <f>AE172</f>
        <v>0</v>
      </c>
      <c r="BA172" s="175">
        <f t="shared" si="346"/>
        <v>0</v>
      </c>
      <c r="BB172" s="175">
        <f>SUMIFS('1-2 人员岗位信息'!N:N,'1-2 人员岗位信息'!$C:$C,"专业外包",'1-2 人员岗位信息'!$B:$B,$D172)</f>
        <v>0</v>
      </c>
      <c r="BC172" s="298">
        <f>AE172</f>
        <v>0</v>
      </c>
      <c r="BD172" s="175">
        <f t="shared" si="347"/>
        <v>0</v>
      </c>
      <c r="BE172" s="175">
        <f>SUMIFS('1-2 人员岗位信息'!O:O,'1-2 人员岗位信息'!$C:$C,"专业外包",'1-2 人员岗位信息'!$B:$B,$D172)</f>
        <v>0</v>
      </c>
      <c r="BF172" s="298">
        <f>AE172</f>
        <v>0</v>
      </c>
      <c r="BG172" s="175">
        <f t="shared" si="348"/>
        <v>0</v>
      </c>
      <c r="BH172" s="175">
        <f>SUMIFS('1-2 人员岗位信息'!P:P,'1-2 人员岗位信息'!$C:$C,"专业外包",'1-2 人员岗位信息'!$B:$B,$D172)</f>
        <v>0</v>
      </c>
      <c r="BI172" s="298">
        <f>AE172</f>
        <v>0</v>
      </c>
      <c r="BJ172" s="175">
        <f t="shared" si="349"/>
        <v>0</v>
      </c>
      <c r="BK172" s="175">
        <f>SUMIFS('1-2 人员岗位信息'!Q:Q,'1-2 人员岗位信息'!$C:$C,"专业外包",'1-2 人员岗位信息'!$B:$B,$D172)</f>
        <v>0</v>
      </c>
      <c r="BL172" s="307">
        <f>AE172</f>
        <v>0</v>
      </c>
      <c r="BM172" s="311"/>
      <c r="BN172" s="315"/>
    </row>
    <row r="173" s="263" customFormat="1" ht="33.95" customHeight="1" outlineLevel="5" spans="2:66">
      <c r="B173" s="175" t="s">
        <v>799</v>
      </c>
      <c r="C173" s="283" t="s">
        <v>1092</v>
      </c>
      <c r="D173" s="263" t="s">
        <v>1075</v>
      </c>
      <c r="E173" s="175" t="s">
        <v>1093</v>
      </c>
      <c r="F173" s="175"/>
      <c r="G173" s="175" t="s">
        <v>803</v>
      </c>
      <c r="H173" s="175">
        <f t="shared" si="333"/>
        <v>0</v>
      </c>
      <c r="I173" s="175" t="s">
        <v>804</v>
      </c>
      <c r="J173" s="175" t="e">
        <f t="shared" si="334"/>
        <v>#DIV/0!</v>
      </c>
      <c r="K173" s="175" t="s">
        <v>805</v>
      </c>
      <c r="L173" s="175" t="e">
        <f t="shared" si="335"/>
        <v>#DIV/0!</v>
      </c>
      <c r="M173" s="175" t="s">
        <v>806</v>
      </c>
      <c r="N173" s="175">
        <f t="shared" si="336"/>
        <v>0</v>
      </c>
      <c r="O173" s="175"/>
      <c r="P173" s="290"/>
      <c r="Q173" s="290"/>
      <c r="R173" s="290"/>
      <c r="S173" s="290"/>
      <c r="T173" s="290"/>
      <c r="U173" s="290"/>
      <c r="V173" s="290"/>
      <c r="W173" s="290"/>
      <c r="X173" s="290"/>
      <c r="Y173" s="290"/>
      <c r="Z173" s="290"/>
      <c r="AA173" s="290"/>
      <c r="AB173" s="175">
        <f t="shared" si="337"/>
        <v>0</v>
      </c>
      <c r="AC173" s="175">
        <f t="shared" si="338"/>
        <v>0</v>
      </c>
      <c r="AD173" s="175">
        <f>SUMIFS('1-2 人员岗位信息'!F:F,'1-2 人员岗位信息'!$C:$C,"专业外包",'1-2 人员岗位信息'!$B:$B,$D173)</f>
        <v>0</v>
      </c>
      <c r="AE173" s="298"/>
      <c r="AF173" s="175">
        <f t="shared" si="339"/>
        <v>0</v>
      </c>
      <c r="AG173" s="175">
        <f>SUMIFS('1-2 人员岗位信息'!G:G,'1-2 人员岗位信息'!$C:$C,"专业外包",'1-2 人员岗位信息'!$B:$B,$D173)</f>
        <v>0</v>
      </c>
      <c r="AH173" s="298"/>
      <c r="AI173" s="175">
        <f t="shared" si="340"/>
        <v>0</v>
      </c>
      <c r="AJ173" s="175">
        <f>SUMIFS('1-2 人员岗位信息'!H:H,'1-2 人员岗位信息'!$C:$C,"专业外包",'1-2 人员岗位信息'!$B:$B,$D173)</f>
        <v>0</v>
      </c>
      <c r="AK173" s="298"/>
      <c r="AL173" s="175">
        <f t="shared" si="341"/>
        <v>0</v>
      </c>
      <c r="AM173" s="175">
        <f>SUMIFS('1-2 人员岗位信息'!I:I,'1-2 人员岗位信息'!$C:$C,"专业外包",'1-2 人员岗位信息'!$B:$B,$D173)</f>
        <v>0</v>
      </c>
      <c r="AN173" s="298"/>
      <c r="AO173" s="175">
        <f t="shared" si="342"/>
        <v>0</v>
      </c>
      <c r="AP173" s="175">
        <f>SUMIFS('1-2 人员岗位信息'!J:J,'1-2 人员岗位信息'!$C:$C,"专业外包",'1-2 人员岗位信息'!$B:$B,$D173)</f>
        <v>0</v>
      </c>
      <c r="AQ173" s="298"/>
      <c r="AR173" s="175">
        <f t="shared" si="343"/>
        <v>0</v>
      </c>
      <c r="AS173" s="175">
        <f>SUMIFS('1-2 人员岗位信息'!K:K,'1-2 人员岗位信息'!$C:$C,"专业外包",'1-2 人员岗位信息'!$B:$B,$D173)</f>
        <v>0</v>
      </c>
      <c r="AT173" s="298"/>
      <c r="AU173" s="175">
        <f t="shared" si="344"/>
        <v>0</v>
      </c>
      <c r="AV173" s="175">
        <f>SUMIFS('1-2 人员岗位信息'!L:L,'1-2 人员岗位信息'!$C:$C,"专业外包",'1-2 人员岗位信息'!$B:$B,$D173)</f>
        <v>0</v>
      </c>
      <c r="AW173" s="298"/>
      <c r="AX173" s="175">
        <f t="shared" si="345"/>
        <v>0</v>
      </c>
      <c r="AY173" s="175">
        <f>SUMIFS('1-2 人员岗位信息'!M:M,'1-2 人员岗位信息'!$C:$C,"专业外包",'1-2 人员岗位信息'!$B:$B,$D173)</f>
        <v>0</v>
      </c>
      <c r="AZ173" s="298"/>
      <c r="BA173" s="175">
        <f t="shared" si="346"/>
        <v>0</v>
      </c>
      <c r="BB173" s="175">
        <f>SUMIFS('1-2 人员岗位信息'!N:N,'1-2 人员岗位信息'!$C:$C,"专业外包",'1-2 人员岗位信息'!$B:$B,$D173)</f>
        <v>0</v>
      </c>
      <c r="BC173" s="298"/>
      <c r="BD173" s="175">
        <f t="shared" si="347"/>
        <v>0</v>
      </c>
      <c r="BE173" s="175">
        <f>SUMIFS('1-2 人员岗位信息'!O:O,'1-2 人员岗位信息'!$C:$C,"专业外包",'1-2 人员岗位信息'!$B:$B,$D173)</f>
        <v>0</v>
      </c>
      <c r="BF173" s="298"/>
      <c r="BG173" s="175">
        <f t="shared" si="348"/>
        <v>0</v>
      </c>
      <c r="BH173" s="175">
        <f>SUMIFS('1-2 人员岗位信息'!P:P,'1-2 人员岗位信息'!$C:$C,"专业外包",'1-2 人员岗位信息'!$B:$B,$D173)</f>
        <v>0</v>
      </c>
      <c r="BI173" s="298"/>
      <c r="BJ173" s="175">
        <f t="shared" si="349"/>
        <v>0</v>
      </c>
      <c r="BK173" s="175">
        <f>SUMIFS('1-2 人员岗位信息'!Q:Q,'1-2 人员岗位信息'!$C:$C,"专业外包",'1-2 人员岗位信息'!$B:$B,$D173)</f>
        <v>0</v>
      </c>
      <c r="BL173" s="307"/>
      <c r="BM173" s="311"/>
      <c r="BN173" s="315"/>
    </row>
    <row r="174" s="263" customFormat="1" ht="33.95" customHeight="1" outlineLevel="5" spans="2:66">
      <c r="B174" s="175" t="s">
        <v>799</v>
      </c>
      <c r="C174" s="283" t="s">
        <v>1094</v>
      </c>
      <c r="D174" s="263" t="s">
        <v>1078</v>
      </c>
      <c r="E174" s="175" t="s">
        <v>1095</v>
      </c>
      <c r="F174" s="175"/>
      <c r="G174" s="175" t="s">
        <v>803</v>
      </c>
      <c r="H174" s="175">
        <f t="shared" si="333"/>
        <v>0</v>
      </c>
      <c r="I174" s="175" t="s">
        <v>804</v>
      </c>
      <c r="J174" s="175" t="e">
        <f t="shared" si="334"/>
        <v>#DIV/0!</v>
      </c>
      <c r="K174" s="175" t="s">
        <v>805</v>
      </c>
      <c r="L174" s="175" t="e">
        <f t="shared" si="335"/>
        <v>#DIV/0!</v>
      </c>
      <c r="M174" s="175" t="s">
        <v>806</v>
      </c>
      <c r="N174" s="175">
        <f t="shared" si="336"/>
        <v>0</v>
      </c>
      <c r="O174" s="175"/>
      <c r="P174" s="290"/>
      <c r="Q174" s="290"/>
      <c r="R174" s="290"/>
      <c r="S174" s="290"/>
      <c r="T174" s="290"/>
      <c r="U174" s="290"/>
      <c r="V174" s="290"/>
      <c r="W174" s="290"/>
      <c r="X174" s="290"/>
      <c r="Y174" s="290"/>
      <c r="Z174" s="290"/>
      <c r="AA174" s="290"/>
      <c r="AB174" s="175">
        <f t="shared" si="337"/>
        <v>0</v>
      </c>
      <c r="AC174" s="175">
        <f t="shared" si="338"/>
        <v>0</v>
      </c>
      <c r="AD174" s="175">
        <f>SUMIFS('1-2 人员岗位信息'!F:F,'1-2 人员岗位信息'!$C:$C,"专业外包",'1-2 人员岗位信息'!$B:$B,$D174)</f>
        <v>0</v>
      </c>
      <c r="AE174" s="298"/>
      <c r="AF174" s="175">
        <f t="shared" si="339"/>
        <v>0</v>
      </c>
      <c r="AG174" s="175">
        <f>SUMIFS('1-2 人员岗位信息'!G:G,'1-2 人员岗位信息'!$C:$C,"专业外包",'1-2 人员岗位信息'!$B:$B,$D174)</f>
        <v>0</v>
      </c>
      <c r="AH174" s="298"/>
      <c r="AI174" s="175">
        <f t="shared" si="340"/>
        <v>0</v>
      </c>
      <c r="AJ174" s="175">
        <f>SUMIFS('1-2 人员岗位信息'!H:H,'1-2 人员岗位信息'!$C:$C,"专业外包",'1-2 人员岗位信息'!$B:$B,$D174)</f>
        <v>0</v>
      </c>
      <c r="AK174" s="298"/>
      <c r="AL174" s="175">
        <f t="shared" si="341"/>
        <v>0</v>
      </c>
      <c r="AM174" s="175">
        <f>SUMIFS('1-2 人员岗位信息'!I:I,'1-2 人员岗位信息'!$C:$C,"专业外包",'1-2 人员岗位信息'!$B:$B,$D174)</f>
        <v>0</v>
      </c>
      <c r="AN174" s="298"/>
      <c r="AO174" s="175">
        <f t="shared" si="342"/>
        <v>0</v>
      </c>
      <c r="AP174" s="175">
        <f>SUMIFS('1-2 人员岗位信息'!J:J,'1-2 人员岗位信息'!$C:$C,"专业外包",'1-2 人员岗位信息'!$B:$B,$D174)</f>
        <v>0</v>
      </c>
      <c r="AQ174" s="298"/>
      <c r="AR174" s="175">
        <f t="shared" si="343"/>
        <v>0</v>
      </c>
      <c r="AS174" s="175">
        <f>SUMIFS('1-2 人员岗位信息'!K:K,'1-2 人员岗位信息'!$C:$C,"专业外包",'1-2 人员岗位信息'!$B:$B,$D174)</f>
        <v>0</v>
      </c>
      <c r="AT174" s="298"/>
      <c r="AU174" s="175">
        <f t="shared" si="344"/>
        <v>0</v>
      </c>
      <c r="AV174" s="175">
        <f>SUMIFS('1-2 人员岗位信息'!L:L,'1-2 人员岗位信息'!$C:$C,"专业外包",'1-2 人员岗位信息'!$B:$B,$D174)</f>
        <v>0</v>
      </c>
      <c r="AW174" s="298"/>
      <c r="AX174" s="175">
        <f t="shared" si="345"/>
        <v>0</v>
      </c>
      <c r="AY174" s="175">
        <f>SUMIFS('1-2 人员岗位信息'!M:M,'1-2 人员岗位信息'!$C:$C,"专业外包",'1-2 人员岗位信息'!$B:$B,$D174)</f>
        <v>0</v>
      </c>
      <c r="AZ174" s="298"/>
      <c r="BA174" s="175">
        <f t="shared" si="346"/>
        <v>0</v>
      </c>
      <c r="BB174" s="175">
        <f>SUMIFS('1-2 人员岗位信息'!N:N,'1-2 人员岗位信息'!$C:$C,"专业外包",'1-2 人员岗位信息'!$B:$B,$D174)</f>
        <v>0</v>
      </c>
      <c r="BC174" s="298"/>
      <c r="BD174" s="175">
        <f t="shared" si="347"/>
        <v>0</v>
      </c>
      <c r="BE174" s="175">
        <f>SUMIFS('1-2 人员岗位信息'!O:O,'1-2 人员岗位信息'!$C:$C,"专业外包",'1-2 人员岗位信息'!$B:$B,$D174)</f>
        <v>0</v>
      </c>
      <c r="BF174" s="298"/>
      <c r="BG174" s="175">
        <f t="shared" si="348"/>
        <v>0</v>
      </c>
      <c r="BH174" s="175">
        <f>SUMIFS('1-2 人员岗位信息'!P:P,'1-2 人员岗位信息'!$C:$C,"专业外包",'1-2 人员岗位信息'!$B:$B,$D174)</f>
        <v>0</v>
      </c>
      <c r="BI174" s="298"/>
      <c r="BJ174" s="175">
        <f t="shared" si="349"/>
        <v>0</v>
      </c>
      <c r="BK174" s="175">
        <f>SUMIFS('1-2 人员岗位信息'!Q:Q,'1-2 人员岗位信息'!$C:$C,"专业外包",'1-2 人员岗位信息'!$B:$B,$D174)</f>
        <v>0</v>
      </c>
      <c r="BL174" s="307"/>
      <c r="BM174" s="311"/>
      <c r="BN174" s="315"/>
    </row>
    <row r="175" s="118" customFormat="1" ht="33.95" customHeight="1" outlineLevel="4" spans="2:66">
      <c r="B175" s="119" t="s">
        <v>799</v>
      </c>
      <c r="C175" s="120" t="s">
        <v>24</v>
      </c>
      <c r="D175" s="118" t="s">
        <v>25</v>
      </c>
      <c r="E175" s="119"/>
      <c r="F175" s="119"/>
      <c r="G175" s="119"/>
      <c r="H175" s="119">
        <f t="shared" si="333"/>
        <v>0</v>
      </c>
      <c r="I175" s="119" t="s">
        <v>1096</v>
      </c>
      <c r="J175" s="119" t="e">
        <f t="shared" si="334"/>
        <v>#DIV/0!</v>
      </c>
      <c r="K175" s="119" t="s">
        <v>1033</v>
      </c>
      <c r="L175" s="119" t="e">
        <f t="shared" si="335"/>
        <v>#DIV/0!</v>
      </c>
      <c r="M175" s="119" t="s">
        <v>806</v>
      </c>
      <c r="N175" s="119">
        <f t="shared" si="336"/>
        <v>0</v>
      </c>
      <c r="O175" s="119"/>
      <c r="P175" s="289"/>
      <c r="Q175" s="289"/>
      <c r="R175" s="289"/>
      <c r="S175" s="289"/>
      <c r="T175" s="289"/>
      <c r="U175" s="289"/>
      <c r="V175" s="289"/>
      <c r="W175" s="289"/>
      <c r="X175" s="289"/>
      <c r="Y175" s="289"/>
      <c r="Z175" s="289"/>
      <c r="AA175" s="289"/>
      <c r="AB175" s="119">
        <f t="shared" si="337"/>
        <v>0</v>
      </c>
      <c r="AC175" s="119">
        <f t="shared" si="338"/>
        <v>0</v>
      </c>
      <c r="AD175" s="119">
        <f>VLOOKUP($I175,'1-1 项目基础信息'!$F:$S,3,FALSE)</f>
        <v>0</v>
      </c>
      <c r="AE175" s="298"/>
      <c r="AF175" s="119">
        <f t="shared" si="339"/>
        <v>0</v>
      </c>
      <c r="AG175" s="119">
        <f>VLOOKUP($I175,'1-1 项目基础信息'!$F:$S,4,FALSE)</f>
        <v>0</v>
      </c>
      <c r="AH175" s="298"/>
      <c r="AI175" s="119">
        <f t="shared" si="340"/>
        <v>0</v>
      </c>
      <c r="AJ175" s="119">
        <f>VLOOKUP($I175,'1-1 项目基础信息'!$F:$S,5,FALSE)</f>
        <v>0</v>
      </c>
      <c r="AK175" s="298"/>
      <c r="AL175" s="119">
        <f t="shared" si="341"/>
        <v>0</v>
      </c>
      <c r="AM175" s="119">
        <f>VLOOKUP($I175,'1-1 项目基础信息'!$F:$S,6,FALSE)</f>
        <v>0</v>
      </c>
      <c r="AN175" s="298"/>
      <c r="AO175" s="119">
        <f t="shared" si="342"/>
        <v>0</v>
      </c>
      <c r="AP175" s="119">
        <f>VLOOKUP($I175,'1-1 项目基础信息'!$F:$S,7,FALSE)</f>
        <v>0</v>
      </c>
      <c r="AQ175" s="298"/>
      <c r="AR175" s="119">
        <f t="shared" si="343"/>
        <v>0</v>
      </c>
      <c r="AS175" s="119">
        <f>VLOOKUP($I175,'1-1 项目基础信息'!$F:$S,8,FALSE)</f>
        <v>0</v>
      </c>
      <c r="AT175" s="298"/>
      <c r="AU175" s="119">
        <f t="shared" si="344"/>
        <v>0</v>
      </c>
      <c r="AV175" s="119">
        <f>VLOOKUP($I175,'1-1 项目基础信息'!$F:$S,9,FALSE)</f>
        <v>0</v>
      </c>
      <c r="AW175" s="298"/>
      <c r="AX175" s="119">
        <f t="shared" si="345"/>
        <v>0</v>
      </c>
      <c r="AY175" s="119">
        <f>VLOOKUP($I175,'1-1 项目基础信息'!$F:$S,10,FALSE)</f>
        <v>0</v>
      </c>
      <c r="AZ175" s="298"/>
      <c r="BA175" s="119">
        <f t="shared" si="346"/>
        <v>0</v>
      </c>
      <c r="BB175" s="119">
        <f>VLOOKUP($I175,'1-1 项目基础信息'!$F:$S,11,FALSE)</f>
        <v>0</v>
      </c>
      <c r="BC175" s="298"/>
      <c r="BD175" s="119">
        <f t="shared" si="347"/>
        <v>0</v>
      </c>
      <c r="BE175" s="119">
        <f>VLOOKUP($I175,'1-1 项目基础信息'!$F:$S,12,FALSE)</f>
        <v>0</v>
      </c>
      <c r="BF175" s="298"/>
      <c r="BG175" s="119">
        <f t="shared" si="348"/>
        <v>0</v>
      </c>
      <c r="BH175" s="119">
        <f>VLOOKUP($I175,'1-1 项目基础信息'!$F:$S,13,FALSE)</f>
        <v>0</v>
      </c>
      <c r="BI175" s="298"/>
      <c r="BJ175" s="119">
        <f t="shared" si="349"/>
        <v>0</v>
      </c>
      <c r="BK175" s="119">
        <f>VLOOKUP($I175,'1-1 项目基础信息'!$F:$S,14,FALSE)</f>
        <v>0</v>
      </c>
      <c r="BL175" s="307"/>
      <c r="BM175" s="311"/>
      <c r="BN175" s="314"/>
    </row>
    <row r="176" s="47" customFormat="1" ht="33.95" customHeight="1" outlineLevel="3" spans="2:66">
      <c r="B176" s="115" t="s">
        <v>794</v>
      </c>
      <c r="C176" s="116" t="s">
        <v>1097</v>
      </c>
      <c r="D176" s="47" t="s">
        <v>1098</v>
      </c>
      <c r="E176" s="115"/>
      <c r="F176" s="115"/>
      <c r="G176" s="115"/>
      <c r="H176" s="115">
        <f>H177+H181+H185</f>
        <v>0</v>
      </c>
      <c r="I176" s="115"/>
      <c r="J176" s="115"/>
      <c r="K176" s="115"/>
      <c r="L176" s="115"/>
      <c r="M176" s="115"/>
      <c r="N176" s="115"/>
      <c r="O176" s="115"/>
      <c r="P176" s="288"/>
      <c r="Q176" s="288"/>
      <c r="R176" s="288"/>
      <c r="S176" s="288"/>
      <c r="T176" s="288"/>
      <c r="U176" s="288"/>
      <c r="V176" s="288"/>
      <c r="W176" s="288"/>
      <c r="X176" s="288"/>
      <c r="Y176" s="288"/>
      <c r="Z176" s="288"/>
      <c r="AA176" s="288"/>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5"/>
      <c r="BM176" s="311"/>
      <c r="BN176" s="313"/>
    </row>
    <row r="177" s="118" customFormat="1" ht="33.95" customHeight="1" outlineLevel="4" spans="2:66">
      <c r="B177" s="119" t="s">
        <v>794</v>
      </c>
      <c r="C177" s="120" t="s">
        <v>127</v>
      </c>
      <c r="D177" s="118" t="s">
        <v>109</v>
      </c>
      <c r="E177" s="119"/>
      <c r="F177" s="119"/>
      <c r="G177" s="119"/>
      <c r="H177" s="119">
        <f>SUM(H178:H180)</f>
        <v>0</v>
      </c>
      <c r="I177" s="119"/>
      <c r="J177" s="119"/>
      <c r="K177" s="119"/>
      <c r="L177" s="119"/>
      <c r="M177" s="119"/>
      <c r="N177" s="119"/>
      <c r="O177" s="119"/>
      <c r="P177" s="289"/>
      <c r="Q177" s="289"/>
      <c r="R177" s="289"/>
      <c r="S177" s="289"/>
      <c r="T177" s="289"/>
      <c r="U177" s="289"/>
      <c r="V177" s="289"/>
      <c r="W177" s="289"/>
      <c r="X177" s="289"/>
      <c r="Y177" s="289"/>
      <c r="Z177" s="289"/>
      <c r="AA177" s="289"/>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6"/>
      <c r="BM177" s="311"/>
      <c r="BN177" s="314"/>
    </row>
    <row r="178" s="263" customFormat="1" ht="33.95" customHeight="1" outlineLevel="5" spans="2:66">
      <c r="B178" s="175" t="s">
        <v>799</v>
      </c>
      <c r="C178" s="283" t="s">
        <v>1099</v>
      </c>
      <c r="D178" s="263" t="s">
        <v>1100</v>
      </c>
      <c r="E178" s="175" t="s">
        <v>1101</v>
      </c>
      <c r="F178" s="175"/>
      <c r="G178" s="175" t="s">
        <v>803</v>
      </c>
      <c r="H178" s="175">
        <f t="shared" ref="H178:H180" si="352">AB178</f>
        <v>0</v>
      </c>
      <c r="I178" s="175" t="s">
        <v>804</v>
      </c>
      <c r="J178" s="175" t="e">
        <f t="shared" ref="J178:J180" si="353">SUM(AD178,AG178,AJ178,AM178,AP178,AS178,AV178,AY178,BB178,BE178,BH178,BK178)/N178</f>
        <v>#DIV/0!</v>
      </c>
      <c r="K178" s="175" t="s">
        <v>805</v>
      </c>
      <c r="L178" s="175" t="e">
        <f t="shared" ref="L178:L180" si="354">H178/N178/J178</f>
        <v>#DIV/0!</v>
      </c>
      <c r="M178" s="175" t="s">
        <v>806</v>
      </c>
      <c r="N178" s="175">
        <f t="shared" ref="N178:N180" si="355">COUNTIF(AD178,"&gt;0")+COUNTIF(AG178,"&gt;0")+COUNTIF(AJ178,"&gt;0")+COUNTIF(AM178,"&gt;0")+COUNTIF(AP178,"&gt;0")+COUNTIF(AS178,"&gt;0")+COUNTIF(AV178,"&gt;0")+COUNTIF(AY178,"&gt;0")+COUNTIF(BB178,"&gt;0")+COUNTIF(BE178,"&gt;0")+COUNTIF(BH178,"&gt;0")+COUNTIF(BK178,"&gt;0")</f>
        <v>0</v>
      </c>
      <c r="O178" s="175"/>
      <c r="P178" s="290"/>
      <c r="Q178" s="290"/>
      <c r="R178" s="290"/>
      <c r="S178" s="290"/>
      <c r="T178" s="290"/>
      <c r="U178" s="290"/>
      <c r="V178" s="290"/>
      <c r="W178" s="290"/>
      <c r="X178" s="290"/>
      <c r="Y178" s="290"/>
      <c r="Z178" s="290"/>
      <c r="AA178" s="290"/>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298"/>
      <c r="AF178" s="175">
        <f t="shared" ref="AF178:AF180" si="358">AG178*AH178</f>
        <v>0</v>
      </c>
      <c r="AG178" s="175">
        <f>SUMIFS('1-2 人员岗位信息'!G:G,'1-2 人员岗位信息'!$C:$C,"自有人员",'1-2 人员岗位信息'!$B:$B,$D178)</f>
        <v>0</v>
      </c>
      <c r="AH178" s="298"/>
      <c r="AI178" s="175">
        <f t="shared" ref="AI178:AI180" si="359">AJ178*AK178</f>
        <v>0</v>
      </c>
      <c r="AJ178" s="175">
        <f>SUMIFS('1-2 人员岗位信息'!H:H,'1-2 人员岗位信息'!$C:$C,"自有人员",'1-2 人员岗位信息'!$B:$B,$D178)</f>
        <v>0</v>
      </c>
      <c r="AK178" s="298"/>
      <c r="AL178" s="175">
        <f t="shared" ref="AL178:AL180" si="360">AM178*AN178</f>
        <v>0</v>
      </c>
      <c r="AM178" s="175">
        <f>SUMIFS('1-2 人员岗位信息'!I:I,'1-2 人员岗位信息'!$C:$C,"自有人员",'1-2 人员岗位信息'!$B:$B,$D178)</f>
        <v>0</v>
      </c>
      <c r="AN178" s="298"/>
      <c r="AO178" s="175">
        <f t="shared" ref="AO178:AO180" si="361">AP178*AQ178</f>
        <v>0</v>
      </c>
      <c r="AP178" s="175">
        <f>SUMIFS('1-2 人员岗位信息'!J:J,'1-2 人员岗位信息'!$C:$C,"自有人员",'1-2 人员岗位信息'!$B:$B,$D178)</f>
        <v>0</v>
      </c>
      <c r="AQ178" s="298"/>
      <c r="AR178" s="175">
        <f t="shared" ref="AR178:AR180" si="362">AS178*AT178</f>
        <v>0</v>
      </c>
      <c r="AS178" s="175">
        <f>SUMIFS('1-2 人员岗位信息'!K:K,'1-2 人员岗位信息'!$C:$C,"自有人员",'1-2 人员岗位信息'!$B:$B,$D178)</f>
        <v>0</v>
      </c>
      <c r="AT178" s="298"/>
      <c r="AU178" s="175">
        <f t="shared" ref="AU178:AU180" si="363">AV178*AW178</f>
        <v>0</v>
      </c>
      <c r="AV178" s="175">
        <f>SUMIFS('1-2 人员岗位信息'!L:L,'1-2 人员岗位信息'!$C:$C,"自有人员",'1-2 人员岗位信息'!$B:$B,$D178)</f>
        <v>0</v>
      </c>
      <c r="AW178" s="298"/>
      <c r="AX178" s="175">
        <f t="shared" ref="AX178:AX180" si="364">AY178*AZ178</f>
        <v>0</v>
      </c>
      <c r="AY178" s="175">
        <f>SUMIFS('1-2 人员岗位信息'!M:M,'1-2 人员岗位信息'!$C:$C,"自有人员",'1-2 人员岗位信息'!$B:$B,$D178)</f>
        <v>0</v>
      </c>
      <c r="AZ178" s="298"/>
      <c r="BA178" s="175">
        <f t="shared" ref="BA178:BA180" si="365">BB178*BC178</f>
        <v>0</v>
      </c>
      <c r="BB178" s="175">
        <f>SUMIFS('1-2 人员岗位信息'!N:N,'1-2 人员岗位信息'!$C:$C,"自有人员",'1-2 人员岗位信息'!$B:$B,$D178)</f>
        <v>0</v>
      </c>
      <c r="BC178" s="298"/>
      <c r="BD178" s="175">
        <f t="shared" ref="BD178:BD180" si="366">BE178*BF178</f>
        <v>0</v>
      </c>
      <c r="BE178" s="175">
        <f>SUMIFS('1-2 人员岗位信息'!O:O,'1-2 人员岗位信息'!$C:$C,"自有人员",'1-2 人员岗位信息'!$B:$B,$D178)</f>
        <v>0</v>
      </c>
      <c r="BF178" s="298"/>
      <c r="BG178" s="175">
        <f t="shared" ref="BG178:BG180" si="367">BH178*BI178</f>
        <v>0</v>
      </c>
      <c r="BH178" s="175">
        <f>SUMIFS('1-2 人员岗位信息'!P:P,'1-2 人员岗位信息'!$C:$C,"自有人员",'1-2 人员岗位信息'!$B:$B,$D178)</f>
        <v>0</v>
      </c>
      <c r="BI178" s="298"/>
      <c r="BJ178" s="175">
        <f t="shared" ref="BJ178:BJ180" si="368">BK178*BL178</f>
        <v>0</v>
      </c>
      <c r="BK178" s="175">
        <f>SUMIFS('1-2 人员岗位信息'!Q:Q,'1-2 人员岗位信息'!$C:$C,"自有人员",'1-2 人员岗位信息'!$B:$B,$D178)</f>
        <v>0</v>
      </c>
      <c r="BL178" s="307"/>
      <c r="BM178" s="311"/>
      <c r="BN178" s="315"/>
    </row>
    <row r="179" s="263" customFormat="1" ht="33.95" customHeight="1" outlineLevel="5" spans="2:66">
      <c r="B179" s="175" t="s">
        <v>799</v>
      </c>
      <c r="C179" s="283" t="s">
        <v>1102</v>
      </c>
      <c r="D179" s="263" t="s">
        <v>1098</v>
      </c>
      <c r="E179" s="175" t="s">
        <v>1103</v>
      </c>
      <c r="F179" s="175"/>
      <c r="G179" s="175" t="s">
        <v>803</v>
      </c>
      <c r="H179" s="175">
        <f t="shared" si="352"/>
        <v>0</v>
      </c>
      <c r="I179" s="175" t="s">
        <v>804</v>
      </c>
      <c r="J179" s="175" t="e">
        <f t="shared" si="353"/>
        <v>#DIV/0!</v>
      </c>
      <c r="K179" s="175" t="s">
        <v>805</v>
      </c>
      <c r="L179" s="175" t="e">
        <f t="shared" si="354"/>
        <v>#DIV/0!</v>
      </c>
      <c r="M179" s="175" t="s">
        <v>806</v>
      </c>
      <c r="N179" s="175">
        <f t="shared" si="355"/>
        <v>0</v>
      </c>
      <c r="O179" s="175"/>
      <c r="P179" s="290"/>
      <c r="Q179" s="290"/>
      <c r="R179" s="290"/>
      <c r="S179" s="290"/>
      <c r="T179" s="290"/>
      <c r="U179" s="290"/>
      <c r="V179" s="290"/>
      <c r="W179" s="290"/>
      <c r="X179" s="290"/>
      <c r="Y179" s="290"/>
      <c r="Z179" s="290"/>
      <c r="AA179" s="290"/>
      <c r="AB179" s="175">
        <f t="shared" si="356"/>
        <v>0</v>
      </c>
      <c r="AC179" s="175">
        <f t="shared" si="357"/>
        <v>0</v>
      </c>
      <c r="AD179" s="175">
        <f>SUMIFS('1-2 人员岗位信息'!F:F,'1-2 人员岗位信息'!$C:$C,"自有人员",'1-2 人员岗位信息'!$B:$B,$D179)</f>
        <v>0</v>
      </c>
      <c r="AE179" s="298"/>
      <c r="AF179" s="175">
        <f t="shared" si="358"/>
        <v>0</v>
      </c>
      <c r="AG179" s="175">
        <f>SUMIFS('1-2 人员岗位信息'!G:G,'1-2 人员岗位信息'!$C:$C,"自有人员",'1-2 人员岗位信息'!$B:$B,$D179)</f>
        <v>0</v>
      </c>
      <c r="AH179" s="298"/>
      <c r="AI179" s="175">
        <f t="shared" si="359"/>
        <v>0</v>
      </c>
      <c r="AJ179" s="175">
        <f>SUMIFS('1-2 人员岗位信息'!H:H,'1-2 人员岗位信息'!$C:$C,"自有人员",'1-2 人员岗位信息'!$B:$B,$D179)</f>
        <v>0</v>
      </c>
      <c r="AK179" s="298"/>
      <c r="AL179" s="175">
        <f t="shared" si="360"/>
        <v>0</v>
      </c>
      <c r="AM179" s="175">
        <f>SUMIFS('1-2 人员岗位信息'!I:I,'1-2 人员岗位信息'!$C:$C,"自有人员",'1-2 人员岗位信息'!$B:$B,$D179)</f>
        <v>0</v>
      </c>
      <c r="AN179" s="298"/>
      <c r="AO179" s="175">
        <f t="shared" si="361"/>
        <v>0</v>
      </c>
      <c r="AP179" s="175">
        <f>SUMIFS('1-2 人员岗位信息'!J:J,'1-2 人员岗位信息'!$C:$C,"自有人员",'1-2 人员岗位信息'!$B:$B,$D179)</f>
        <v>0</v>
      </c>
      <c r="AQ179" s="298"/>
      <c r="AR179" s="175">
        <f t="shared" si="362"/>
        <v>0</v>
      </c>
      <c r="AS179" s="175">
        <f>SUMIFS('1-2 人员岗位信息'!K:K,'1-2 人员岗位信息'!$C:$C,"自有人员",'1-2 人员岗位信息'!$B:$B,$D179)</f>
        <v>0</v>
      </c>
      <c r="AT179" s="298"/>
      <c r="AU179" s="175">
        <f t="shared" si="363"/>
        <v>0</v>
      </c>
      <c r="AV179" s="175">
        <f>SUMIFS('1-2 人员岗位信息'!L:L,'1-2 人员岗位信息'!$C:$C,"自有人员",'1-2 人员岗位信息'!$B:$B,$D179)</f>
        <v>0</v>
      </c>
      <c r="AW179" s="298"/>
      <c r="AX179" s="175">
        <f t="shared" si="364"/>
        <v>0</v>
      </c>
      <c r="AY179" s="175">
        <f>SUMIFS('1-2 人员岗位信息'!M:M,'1-2 人员岗位信息'!$C:$C,"自有人员",'1-2 人员岗位信息'!$B:$B,$D179)</f>
        <v>0</v>
      </c>
      <c r="AZ179" s="298"/>
      <c r="BA179" s="175">
        <f t="shared" si="365"/>
        <v>0</v>
      </c>
      <c r="BB179" s="175">
        <f>SUMIFS('1-2 人员岗位信息'!N:N,'1-2 人员岗位信息'!$C:$C,"自有人员",'1-2 人员岗位信息'!$B:$B,$D179)</f>
        <v>0</v>
      </c>
      <c r="BC179" s="298"/>
      <c r="BD179" s="175">
        <f t="shared" si="366"/>
        <v>0</v>
      </c>
      <c r="BE179" s="175">
        <f>SUMIFS('1-2 人员岗位信息'!O:O,'1-2 人员岗位信息'!$C:$C,"自有人员",'1-2 人员岗位信息'!$B:$B,$D179)</f>
        <v>0</v>
      </c>
      <c r="BF179" s="298"/>
      <c r="BG179" s="175">
        <f t="shared" si="367"/>
        <v>0</v>
      </c>
      <c r="BH179" s="175">
        <f>SUMIFS('1-2 人员岗位信息'!P:P,'1-2 人员岗位信息'!$C:$C,"自有人员",'1-2 人员岗位信息'!$B:$B,$D179)</f>
        <v>0</v>
      </c>
      <c r="BI179" s="298"/>
      <c r="BJ179" s="175">
        <f t="shared" si="368"/>
        <v>0</v>
      </c>
      <c r="BK179" s="175">
        <f>SUMIFS('1-2 人员岗位信息'!Q:Q,'1-2 人员岗位信息'!$C:$C,"自有人员",'1-2 人员岗位信息'!$B:$B,$D179)</f>
        <v>0</v>
      </c>
      <c r="BL179" s="307"/>
      <c r="BM179" s="311"/>
      <c r="BN179" s="315"/>
    </row>
    <row r="180" s="263" customFormat="1" ht="33.95" customHeight="1" outlineLevel="5" spans="2:66">
      <c r="B180" s="175" t="s">
        <v>799</v>
      </c>
      <c r="C180" s="283" t="s">
        <v>1104</v>
      </c>
      <c r="D180" s="263" t="s">
        <v>1105</v>
      </c>
      <c r="E180" s="175" t="s">
        <v>1106</v>
      </c>
      <c r="F180" s="175"/>
      <c r="G180" s="175" t="s">
        <v>803</v>
      </c>
      <c r="H180" s="175">
        <f t="shared" si="352"/>
        <v>0</v>
      </c>
      <c r="I180" s="175" t="s">
        <v>804</v>
      </c>
      <c r="J180" s="175" t="e">
        <f t="shared" si="353"/>
        <v>#DIV/0!</v>
      </c>
      <c r="K180" s="175" t="s">
        <v>805</v>
      </c>
      <c r="L180" s="175" t="e">
        <f t="shared" si="354"/>
        <v>#DIV/0!</v>
      </c>
      <c r="M180" s="175" t="s">
        <v>806</v>
      </c>
      <c r="N180" s="175">
        <f t="shared" si="355"/>
        <v>0</v>
      </c>
      <c r="O180" s="175"/>
      <c r="P180" s="290"/>
      <c r="Q180" s="290"/>
      <c r="R180" s="290"/>
      <c r="S180" s="290"/>
      <c r="T180" s="290"/>
      <c r="U180" s="290"/>
      <c r="V180" s="290"/>
      <c r="W180" s="290"/>
      <c r="X180" s="290"/>
      <c r="Y180" s="290"/>
      <c r="Z180" s="290"/>
      <c r="AA180" s="290"/>
      <c r="AB180" s="175">
        <f t="shared" si="356"/>
        <v>0</v>
      </c>
      <c r="AC180" s="175">
        <f t="shared" si="357"/>
        <v>0</v>
      </c>
      <c r="AD180" s="175">
        <f>SUMIFS('1-2 人员岗位信息'!F:F,'1-2 人员岗位信息'!$C:$C,"自有人员",'1-2 人员岗位信息'!$B:$B,$D180)</f>
        <v>0</v>
      </c>
      <c r="AE180" s="298"/>
      <c r="AF180" s="175">
        <f t="shared" si="358"/>
        <v>0</v>
      </c>
      <c r="AG180" s="175">
        <f>SUMIFS('1-2 人员岗位信息'!G:G,'1-2 人员岗位信息'!$C:$C,"自有人员",'1-2 人员岗位信息'!$B:$B,$D180)</f>
        <v>0</v>
      </c>
      <c r="AH180" s="298"/>
      <c r="AI180" s="175">
        <f t="shared" si="359"/>
        <v>0</v>
      </c>
      <c r="AJ180" s="175">
        <f>SUMIFS('1-2 人员岗位信息'!H:H,'1-2 人员岗位信息'!$C:$C,"自有人员",'1-2 人员岗位信息'!$B:$B,$D180)</f>
        <v>0</v>
      </c>
      <c r="AK180" s="298"/>
      <c r="AL180" s="175">
        <f t="shared" si="360"/>
        <v>0</v>
      </c>
      <c r="AM180" s="175">
        <f>SUMIFS('1-2 人员岗位信息'!I:I,'1-2 人员岗位信息'!$C:$C,"自有人员",'1-2 人员岗位信息'!$B:$B,$D180)</f>
        <v>0</v>
      </c>
      <c r="AN180" s="298"/>
      <c r="AO180" s="175">
        <f t="shared" si="361"/>
        <v>0</v>
      </c>
      <c r="AP180" s="175">
        <f>SUMIFS('1-2 人员岗位信息'!J:J,'1-2 人员岗位信息'!$C:$C,"自有人员",'1-2 人员岗位信息'!$B:$B,$D180)</f>
        <v>0</v>
      </c>
      <c r="AQ180" s="298"/>
      <c r="AR180" s="175">
        <f t="shared" si="362"/>
        <v>0</v>
      </c>
      <c r="AS180" s="175">
        <f>SUMIFS('1-2 人员岗位信息'!K:K,'1-2 人员岗位信息'!$C:$C,"自有人员",'1-2 人员岗位信息'!$B:$B,$D180)</f>
        <v>0</v>
      </c>
      <c r="AT180" s="298"/>
      <c r="AU180" s="175">
        <f t="shared" si="363"/>
        <v>0</v>
      </c>
      <c r="AV180" s="175">
        <f>SUMIFS('1-2 人员岗位信息'!L:L,'1-2 人员岗位信息'!$C:$C,"自有人员",'1-2 人员岗位信息'!$B:$B,$D180)</f>
        <v>0</v>
      </c>
      <c r="AW180" s="298"/>
      <c r="AX180" s="175">
        <f t="shared" si="364"/>
        <v>0</v>
      </c>
      <c r="AY180" s="175">
        <f>SUMIFS('1-2 人员岗位信息'!M:M,'1-2 人员岗位信息'!$C:$C,"自有人员",'1-2 人员岗位信息'!$B:$B,$D180)</f>
        <v>0</v>
      </c>
      <c r="AZ180" s="298"/>
      <c r="BA180" s="175">
        <f t="shared" si="365"/>
        <v>0</v>
      </c>
      <c r="BB180" s="175">
        <f>SUMIFS('1-2 人员岗位信息'!N:N,'1-2 人员岗位信息'!$C:$C,"自有人员",'1-2 人员岗位信息'!$B:$B,$D180)</f>
        <v>0</v>
      </c>
      <c r="BC180" s="298"/>
      <c r="BD180" s="175">
        <f t="shared" si="366"/>
        <v>0</v>
      </c>
      <c r="BE180" s="175">
        <f>SUMIFS('1-2 人员岗位信息'!O:O,'1-2 人员岗位信息'!$C:$C,"自有人员",'1-2 人员岗位信息'!$B:$B,$D180)</f>
        <v>0</v>
      </c>
      <c r="BF180" s="298"/>
      <c r="BG180" s="175">
        <f t="shared" si="367"/>
        <v>0</v>
      </c>
      <c r="BH180" s="175">
        <f>SUMIFS('1-2 人员岗位信息'!P:P,'1-2 人员岗位信息'!$C:$C,"自有人员",'1-2 人员岗位信息'!$B:$B,$D180)</f>
        <v>0</v>
      </c>
      <c r="BI180" s="298"/>
      <c r="BJ180" s="175">
        <f t="shared" si="368"/>
        <v>0</v>
      </c>
      <c r="BK180" s="175">
        <f>SUMIFS('1-2 人员岗位信息'!Q:Q,'1-2 人员岗位信息'!$C:$C,"自有人员",'1-2 人员岗位信息'!$B:$B,$D180)</f>
        <v>0</v>
      </c>
      <c r="BL180" s="307"/>
      <c r="BM180" s="311"/>
      <c r="BN180" s="315"/>
    </row>
    <row r="181" s="118" customFormat="1" ht="33.95" customHeight="1" outlineLevel="4" spans="2:66">
      <c r="B181" s="119" t="s">
        <v>794</v>
      </c>
      <c r="C181" s="120" t="s">
        <v>74</v>
      </c>
      <c r="D181" s="118" t="s">
        <v>68</v>
      </c>
      <c r="E181" s="119"/>
      <c r="F181" s="119"/>
      <c r="G181" s="119"/>
      <c r="H181" s="119">
        <f>SUM(H182:H184)</f>
        <v>0</v>
      </c>
      <c r="I181" s="119"/>
      <c r="J181" s="119"/>
      <c r="K181" s="119"/>
      <c r="L181" s="119"/>
      <c r="M181" s="119"/>
      <c r="N181" s="119"/>
      <c r="O181" s="119"/>
      <c r="P181" s="289"/>
      <c r="Q181" s="289"/>
      <c r="R181" s="289"/>
      <c r="S181" s="289"/>
      <c r="T181" s="289"/>
      <c r="U181" s="289"/>
      <c r="V181" s="289"/>
      <c r="W181" s="289"/>
      <c r="X181" s="289"/>
      <c r="Y181" s="289"/>
      <c r="Z181" s="289"/>
      <c r="AA181" s="289"/>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6"/>
      <c r="BM181" s="311"/>
      <c r="BN181" s="314"/>
    </row>
    <row r="182" s="263" customFormat="1" ht="33.95" customHeight="1" outlineLevel="5" spans="2:66">
      <c r="B182" s="175" t="s">
        <v>799</v>
      </c>
      <c r="C182" s="283" t="s">
        <v>1107</v>
      </c>
      <c r="D182" s="263" t="s">
        <v>1100</v>
      </c>
      <c r="E182" s="175" t="s">
        <v>1108</v>
      </c>
      <c r="F182" s="175"/>
      <c r="G182" s="175" t="s">
        <v>803</v>
      </c>
      <c r="H182" s="175">
        <f t="shared" ref="H182:H184" si="370">AB182</f>
        <v>0</v>
      </c>
      <c r="I182" s="175" t="s">
        <v>804</v>
      </c>
      <c r="J182" s="175" t="e">
        <f t="shared" ref="J182:J184" si="371">SUM(AD182,AG182,AJ182,AM182,AP182,AS182,AV182,AY182,BB182,BE182,BH182,BK182)/N182</f>
        <v>#DIV/0!</v>
      </c>
      <c r="K182" s="175" t="s">
        <v>805</v>
      </c>
      <c r="L182" s="175" t="e">
        <f t="shared" ref="L182:L184" si="372">H182/N182/J182</f>
        <v>#DIV/0!</v>
      </c>
      <c r="M182" s="175" t="s">
        <v>806</v>
      </c>
      <c r="N182" s="175">
        <f t="shared" ref="N182:N184" si="373">COUNTIF(AD182,"&gt;0")+COUNTIF(AG182,"&gt;0")+COUNTIF(AJ182,"&gt;0")+COUNTIF(AM182,"&gt;0")+COUNTIF(AP182,"&gt;0")+COUNTIF(AS182,"&gt;0")+COUNTIF(AV182,"&gt;0")+COUNTIF(AY182,"&gt;0")+COUNTIF(BB182,"&gt;0")+COUNTIF(BE182,"&gt;0")+COUNTIF(BH182,"&gt;0")+COUNTIF(BK182,"&gt;0")</f>
        <v>0</v>
      </c>
      <c r="O182" s="175"/>
      <c r="P182" s="290"/>
      <c r="Q182" s="290"/>
      <c r="R182" s="290"/>
      <c r="S182" s="290"/>
      <c r="T182" s="290"/>
      <c r="U182" s="290"/>
      <c r="V182" s="290"/>
      <c r="W182" s="290"/>
      <c r="X182" s="290"/>
      <c r="Y182" s="290"/>
      <c r="Z182" s="290"/>
      <c r="AA182" s="290"/>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298"/>
      <c r="AF182" s="175">
        <f t="shared" ref="AF182:AF184" si="376">AG182*AH182</f>
        <v>0</v>
      </c>
      <c r="AG182" s="175">
        <f>SUMIFS('1-2 人员岗位信息'!G:G,'1-2 人员岗位信息'!$C:$C,"劳务派遣",'1-2 人员岗位信息'!$B:$B,$D182)</f>
        <v>0</v>
      </c>
      <c r="AH182" s="298"/>
      <c r="AI182" s="175">
        <f t="shared" ref="AI182:AI184" si="377">AJ182*AK182</f>
        <v>0</v>
      </c>
      <c r="AJ182" s="175">
        <f>SUMIFS('1-2 人员岗位信息'!H:H,'1-2 人员岗位信息'!$C:$C,"劳务派遣",'1-2 人员岗位信息'!$B:$B,$D182)</f>
        <v>0</v>
      </c>
      <c r="AK182" s="298"/>
      <c r="AL182" s="175">
        <f t="shared" ref="AL182:AL184" si="378">AM182*AN182</f>
        <v>0</v>
      </c>
      <c r="AM182" s="175">
        <f>SUMIFS('1-2 人员岗位信息'!I:I,'1-2 人员岗位信息'!$C:$C,"劳务派遣",'1-2 人员岗位信息'!$B:$B,$D182)</f>
        <v>0</v>
      </c>
      <c r="AN182" s="298"/>
      <c r="AO182" s="175">
        <f t="shared" ref="AO182:AO184" si="379">AP182*AQ182</f>
        <v>0</v>
      </c>
      <c r="AP182" s="175">
        <f>SUMIFS('1-2 人员岗位信息'!J:J,'1-2 人员岗位信息'!$C:$C,"劳务派遣",'1-2 人员岗位信息'!$B:$B,$D182)</f>
        <v>0</v>
      </c>
      <c r="AQ182" s="298"/>
      <c r="AR182" s="175">
        <f t="shared" ref="AR182:AR184" si="380">AS182*AT182</f>
        <v>0</v>
      </c>
      <c r="AS182" s="175">
        <f>SUMIFS('1-2 人员岗位信息'!K:K,'1-2 人员岗位信息'!$C:$C,"劳务派遣",'1-2 人员岗位信息'!$B:$B,$D182)</f>
        <v>0</v>
      </c>
      <c r="AT182" s="298"/>
      <c r="AU182" s="175">
        <f t="shared" ref="AU182:AU184" si="381">AV182*AW182</f>
        <v>0</v>
      </c>
      <c r="AV182" s="175">
        <f>SUMIFS('1-2 人员岗位信息'!L:L,'1-2 人员岗位信息'!$C:$C,"劳务派遣",'1-2 人员岗位信息'!$B:$B,$D182)</f>
        <v>0</v>
      </c>
      <c r="AW182" s="298"/>
      <c r="AX182" s="175">
        <f t="shared" ref="AX182:AX184" si="382">AY182*AZ182</f>
        <v>0</v>
      </c>
      <c r="AY182" s="175">
        <f>SUMIFS('1-2 人员岗位信息'!M:M,'1-2 人员岗位信息'!$C:$C,"劳务派遣",'1-2 人员岗位信息'!$B:$B,$D182)</f>
        <v>0</v>
      </c>
      <c r="AZ182" s="298"/>
      <c r="BA182" s="175">
        <f t="shared" ref="BA182:BA184" si="383">BB182*BC182</f>
        <v>0</v>
      </c>
      <c r="BB182" s="175">
        <f>SUMIFS('1-2 人员岗位信息'!N:N,'1-2 人员岗位信息'!$C:$C,"劳务派遣",'1-2 人员岗位信息'!$B:$B,$D182)</f>
        <v>0</v>
      </c>
      <c r="BC182" s="298"/>
      <c r="BD182" s="175">
        <f t="shared" ref="BD182:BD184" si="384">BE182*BF182</f>
        <v>0</v>
      </c>
      <c r="BE182" s="175">
        <f>SUMIFS('1-2 人员岗位信息'!O:O,'1-2 人员岗位信息'!$C:$C,"劳务派遣",'1-2 人员岗位信息'!$B:$B,$D182)</f>
        <v>0</v>
      </c>
      <c r="BF182" s="298"/>
      <c r="BG182" s="175">
        <f t="shared" ref="BG182:BG184" si="385">BH182*BI182</f>
        <v>0</v>
      </c>
      <c r="BH182" s="175">
        <f>SUMIFS('1-2 人员岗位信息'!P:P,'1-2 人员岗位信息'!$C:$C,"劳务派遣",'1-2 人员岗位信息'!$B:$B,$D182)</f>
        <v>0</v>
      </c>
      <c r="BI182" s="298"/>
      <c r="BJ182" s="175">
        <f t="shared" ref="BJ182:BJ184" si="386">BK182*BL182</f>
        <v>0</v>
      </c>
      <c r="BK182" s="175">
        <f>SUMIFS('1-2 人员岗位信息'!Q:Q,'1-2 人员岗位信息'!$C:$C,"劳务派遣",'1-2 人员岗位信息'!$B:$B,$D182)</f>
        <v>0</v>
      </c>
      <c r="BL182" s="307"/>
      <c r="BM182" s="311"/>
      <c r="BN182" s="315"/>
    </row>
    <row r="183" s="263" customFormat="1" ht="33.95" customHeight="1" outlineLevel="5" spans="2:66">
      <c r="B183" s="175" t="s">
        <v>799</v>
      </c>
      <c r="C183" s="283" t="s">
        <v>1109</v>
      </c>
      <c r="D183" s="263" t="s">
        <v>1098</v>
      </c>
      <c r="E183" s="175" t="s">
        <v>1110</v>
      </c>
      <c r="F183" s="175"/>
      <c r="G183" s="175" t="s">
        <v>803</v>
      </c>
      <c r="H183" s="175">
        <f t="shared" si="370"/>
        <v>0</v>
      </c>
      <c r="I183" s="175" t="s">
        <v>804</v>
      </c>
      <c r="J183" s="175" t="e">
        <f t="shared" si="371"/>
        <v>#DIV/0!</v>
      </c>
      <c r="K183" s="175" t="s">
        <v>805</v>
      </c>
      <c r="L183" s="175" t="e">
        <f t="shared" si="372"/>
        <v>#DIV/0!</v>
      </c>
      <c r="M183" s="175" t="s">
        <v>806</v>
      </c>
      <c r="N183" s="175">
        <f t="shared" si="373"/>
        <v>0</v>
      </c>
      <c r="O183" s="175"/>
      <c r="P183" s="290"/>
      <c r="Q183" s="290"/>
      <c r="R183" s="290"/>
      <c r="S183" s="290"/>
      <c r="T183" s="290"/>
      <c r="U183" s="290"/>
      <c r="V183" s="290"/>
      <c r="W183" s="290"/>
      <c r="X183" s="290"/>
      <c r="Y183" s="290"/>
      <c r="Z183" s="290"/>
      <c r="AA183" s="290"/>
      <c r="AB183" s="175">
        <f t="shared" si="374"/>
        <v>0</v>
      </c>
      <c r="AC183" s="175">
        <f t="shared" si="375"/>
        <v>0</v>
      </c>
      <c r="AD183" s="175">
        <f>SUMIFS('1-2 人员岗位信息'!F:F,'1-2 人员岗位信息'!$C:$C,"劳务派遣",'1-2 人员岗位信息'!$B:$B,$D183)</f>
        <v>0</v>
      </c>
      <c r="AE183" s="298"/>
      <c r="AF183" s="175">
        <f t="shared" si="376"/>
        <v>0</v>
      </c>
      <c r="AG183" s="175">
        <f>SUMIFS('1-2 人员岗位信息'!G:G,'1-2 人员岗位信息'!$C:$C,"劳务派遣",'1-2 人员岗位信息'!$B:$B,$D183)</f>
        <v>0</v>
      </c>
      <c r="AH183" s="298"/>
      <c r="AI183" s="175">
        <f t="shared" si="377"/>
        <v>0</v>
      </c>
      <c r="AJ183" s="175">
        <f>SUMIFS('1-2 人员岗位信息'!H:H,'1-2 人员岗位信息'!$C:$C,"劳务派遣",'1-2 人员岗位信息'!$B:$B,$D183)</f>
        <v>0</v>
      </c>
      <c r="AK183" s="298"/>
      <c r="AL183" s="175">
        <f t="shared" si="378"/>
        <v>0</v>
      </c>
      <c r="AM183" s="175">
        <f>SUMIFS('1-2 人员岗位信息'!I:I,'1-2 人员岗位信息'!$C:$C,"劳务派遣",'1-2 人员岗位信息'!$B:$B,$D183)</f>
        <v>0</v>
      </c>
      <c r="AN183" s="298"/>
      <c r="AO183" s="175">
        <f t="shared" si="379"/>
        <v>0</v>
      </c>
      <c r="AP183" s="175">
        <f>SUMIFS('1-2 人员岗位信息'!J:J,'1-2 人员岗位信息'!$C:$C,"劳务派遣",'1-2 人员岗位信息'!$B:$B,$D183)</f>
        <v>0</v>
      </c>
      <c r="AQ183" s="298"/>
      <c r="AR183" s="175">
        <f t="shared" si="380"/>
        <v>0</v>
      </c>
      <c r="AS183" s="175">
        <f>SUMIFS('1-2 人员岗位信息'!K:K,'1-2 人员岗位信息'!$C:$C,"劳务派遣",'1-2 人员岗位信息'!$B:$B,$D183)</f>
        <v>0</v>
      </c>
      <c r="AT183" s="298"/>
      <c r="AU183" s="175">
        <f t="shared" si="381"/>
        <v>0</v>
      </c>
      <c r="AV183" s="175">
        <f>SUMIFS('1-2 人员岗位信息'!L:L,'1-2 人员岗位信息'!$C:$C,"劳务派遣",'1-2 人员岗位信息'!$B:$B,$D183)</f>
        <v>0</v>
      </c>
      <c r="AW183" s="298"/>
      <c r="AX183" s="175">
        <f t="shared" si="382"/>
        <v>0</v>
      </c>
      <c r="AY183" s="175">
        <f>SUMIFS('1-2 人员岗位信息'!M:M,'1-2 人员岗位信息'!$C:$C,"劳务派遣",'1-2 人员岗位信息'!$B:$B,$D183)</f>
        <v>0</v>
      </c>
      <c r="AZ183" s="298"/>
      <c r="BA183" s="175">
        <f t="shared" si="383"/>
        <v>0</v>
      </c>
      <c r="BB183" s="175">
        <f>SUMIFS('1-2 人员岗位信息'!N:N,'1-2 人员岗位信息'!$C:$C,"劳务派遣",'1-2 人员岗位信息'!$B:$B,$D183)</f>
        <v>0</v>
      </c>
      <c r="BC183" s="298"/>
      <c r="BD183" s="175">
        <f t="shared" si="384"/>
        <v>0</v>
      </c>
      <c r="BE183" s="175">
        <f>SUMIFS('1-2 人员岗位信息'!O:O,'1-2 人员岗位信息'!$C:$C,"劳务派遣",'1-2 人员岗位信息'!$B:$B,$D183)</f>
        <v>0</v>
      </c>
      <c r="BF183" s="298"/>
      <c r="BG183" s="175">
        <f t="shared" si="385"/>
        <v>0</v>
      </c>
      <c r="BH183" s="175">
        <f>SUMIFS('1-2 人员岗位信息'!P:P,'1-2 人员岗位信息'!$C:$C,"劳务派遣",'1-2 人员岗位信息'!$B:$B,$D183)</f>
        <v>0</v>
      </c>
      <c r="BI183" s="298"/>
      <c r="BJ183" s="175">
        <f t="shared" si="386"/>
        <v>0</v>
      </c>
      <c r="BK183" s="175">
        <f>SUMIFS('1-2 人员岗位信息'!Q:Q,'1-2 人员岗位信息'!$C:$C,"劳务派遣",'1-2 人员岗位信息'!$B:$B,$D183)</f>
        <v>0</v>
      </c>
      <c r="BL183" s="307"/>
      <c r="BM183" s="311"/>
      <c r="BN183" s="315"/>
    </row>
    <row r="184" s="263" customFormat="1" ht="33.95" customHeight="1" outlineLevel="5" spans="2:66">
      <c r="B184" s="175" t="s">
        <v>799</v>
      </c>
      <c r="C184" s="283" t="s">
        <v>1111</v>
      </c>
      <c r="D184" s="263" t="s">
        <v>1105</v>
      </c>
      <c r="E184" s="175" t="s">
        <v>1112</v>
      </c>
      <c r="F184" s="175"/>
      <c r="G184" s="175" t="s">
        <v>803</v>
      </c>
      <c r="H184" s="175">
        <f t="shared" si="370"/>
        <v>0</v>
      </c>
      <c r="I184" s="175" t="s">
        <v>804</v>
      </c>
      <c r="J184" s="175" t="e">
        <f t="shared" si="371"/>
        <v>#DIV/0!</v>
      </c>
      <c r="K184" s="175" t="s">
        <v>805</v>
      </c>
      <c r="L184" s="175" t="e">
        <f t="shared" si="372"/>
        <v>#DIV/0!</v>
      </c>
      <c r="M184" s="175" t="s">
        <v>806</v>
      </c>
      <c r="N184" s="175">
        <f t="shared" si="373"/>
        <v>0</v>
      </c>
      <c r="O184" s="175"/>
      <c r="P184" s="290"/>
      <c r="Q184" s="290"/>
      <c r="R184" s="290"/>
      <c r="S184" s="290"/>
      <c r="T184" s="290"/>
      <c r="U184" s="290"/>
      <c r="V184" s="290"/>
      <c r="W184" s="290"/>
      <c r="X184" s="290"/>
      <c r="Y184" s="290"/>
      <c r="Z184" s="290"/>
      <c r="AA184" s="290"/>
      <c r="AB184" s="175">
        <f t="shared" si="374"/>
        <v>0</v>
      </c>
      <c r="AC184" s="175">
        <f t="shared" si="375"/>
        <v>0</v>
      </c>
      <c r="AD184" s="175">
        <f>SUMIFS('1-2 人员岗位信息'!F:F,'1-2 人员岗位信息'!$C:$C,"劳务派遣",'1-2 人员岗位信息'!$B:$B,$D184)</f>
        <v>0</v>
      </c>
      <c r="AE184" s="298"/>
      <c r="AF184" s="175">
        <f t="shared" si="376"/>
        <v>0</v>
      </c>
      <c r="AG184" s="175">
        <f>SUMIFS('1-2 人员岗位信息'!G:G,'1-2 人员岗位信息'!$C:$C,"劳务派遣",'1-2 人员岗位信息'!$B:$B,$D184)</f>
        <v>0</v>
      </c>
      <c r="AH184" s="298"/>
      <c r="AI184" s="175">
        <f t="shared" si="377"/>
        <v>0</v>
      </c>
      <c r="AJ184" s="175">
        <f>SUMIFS('1-2 人员岗位信息'!H:H,'1-2 人员岗位信息'!$C:$C,"劳务派遣",'1-2 人员岗位信息'!$B:$B,$D184)</f>
        <v>0</v>
      </c>
      <c r="AK184" s="298"/>
      <c r="AL184" s="175">
        <f t="shared" si="378"/>
        <v>0</v>
      </c>
      <c r="AM184" s="175">
        <f>SUMIFS('1-2 人员岗位信息'!I:I,'1-2 人员岗位信息'!$C:$C,"劳务派遣",'1-2 人员岗位信息'!$B:$B,$D184)</f>
        <v>0</v>
      </c>
      <c r="AN184" s="298"/>
      <c r="AO184" s="175">
        <f t="shared" si="379"/>
        <v>0</v>
      </c>
      <c r="AP184" s="175">
        <f>SUMIFS('1-2 人员岗位信息'!J:J,'1-2 人员岗位信息'!$C:$C,"劳务派遣",'1-2 人员岗位信息'!$B:$B,$D184)</f>
        <v>0</v>
      </c>
      <c r="AQ184" s="298"/>
      <c r="AR184" s="175">
        <f t="shared" si="380"/>
        <v>0</v>
      </c>
      <c r="AS184" s="175">
        <f>SUMIFS('1-2 人员岗位信息'!K:K,'1-2 人员岗位信息'!$C:$C,"劳务派遣",'1-2 人员岗位信息'!$B:$B,$D184)</f>
        <v>0</v>
      </c>
      <c r="AT184" s="298"/>
      <c r="AU184" s="175">
        <f t="shared" si="381"/>
        <v>0</v>
      </c>
      <c r="AV184" s="175">
        <f>SUMIFS('1-2 人员岗位信息'!L:L,'1-2 人员岗位信息'!$C:$C,"劳务派遣",'1-2 人员岗位信息'!$B:$B,$D184)</f>
        <v>0</v>
      </c>
      <c r="AW184" s="298"/>
      <c r="AX184" s="175">
        <f t="shared" si="382"/>
        <v>0</v>
      </c>
      <c r="AY184" s="175">
        <f>SUMIFS('1-2 人员岗位信息'!M:M,'1-2 人员岗位信息'!$C:$C,"劳务派遣",'1-2 人员岗位信息'!$B:$B,$D184)</f>
        <v>0</v>
      </c>
      <c r="AZ184" s="298"/>
      <c r="BA184" s="175">
        <f t="shared" si="383"/>
        <v>0</v>
      </c>
      <c r="BB184" s="175">
        <f>SUMIFS('1-2 人员岗位信息'!N:N,'1-2 人员岗位信息'!$C:$C,"劳务派遣",'1-2 人员岗位信息'!$B:$B,$D184)</f>
        <v>0</v>
      </c>
      <c r="BC184" s="298"/>
      <c r="BD184" s="175">
        <f t="shared" si="384"/>
        <v>0</v>
      </c>
      <c r="BE184" s="175">
        <f>SUMIFS('1-2 人员岗位信息'!O:O,'1-2 人员岗位信息'!$C:$C,"劳务派遣",'1-2 人员岗位信息'!$B:$B,$D184)</f>
        <v>0</v>
      </c>
      <c r="BF184" s="298"/>
      <c r="BG184" s="175">
        <f t="shared" si="385"/>
        <v>0</v>
      </c>
      <c r="BH184" s="175">
        <f>SUMIFS('1-2 人员岗位信息'!P:P,'1-2 人员岗位信息'!$C:$C,"劳务派遣",'1-2 人员岗位信息'!$B:$B,$D184)</f>
        <v>0</v>
      </c>
      <c r="BI184" s="298"/>
      <c r="BJ184" s="175">
        <f t="shared" si="386"/>
        <v>0</v>
      </c>
      <c r="BK184" s="175">
        <f>SUMIFS('1-2 人员岗位信息'!Q:Q,'1-2 人员岗位信息'!$C:$C,"劳务派遣",'1-2 人员岗位信息'!$B:$B,$D184)</f>
        <v>0</v>
      </c>
      <c r="BL184" s="307"/>
      <c r="BM184" s="311"/>
      <c r="BN184" s="315"/>
    </row>
    <row r="185" s="118" customFormat="1" ht="33.95" customHeight="1" outlineLevel="4" spans="2:66">
      <c r="B185" s="119" t="s">
        <v>794</v>
      </c>
      <c r="C185" s="120" t="s">
        <v>1113</v>
      </c>
      <c r="D185" s="118" t="s">
        <v>19</v>
      </c>
      <c r="E185" s="119"/>
      <c r="F185" s="119"/>
      <c r="G185" s="119"/>
      <c r="H185" s="119">
        <f>SUM(H186:H188)</f>
        <v>0</v>
      </c>
      <c r="I185" s="119"/>
      <c r="J185" s="119"/>
      <c r="K185" s="119"/>
      <c r="L185" s="119"/>
      <c r="M185" s="119"/>
      <c r="N185" s="119"/>
      <c r="O185" s="119"/>
      <c r="P185" s="289"/>
      <c r="Q185" s="289"/>
      <c r="R185" s="289"/>
      <c r="S185" s="289"/>
      <c r="T185" s="289"/>
      <c r="U185" s="289"/>
      <c r="V185" s="289"/>
      <c r="W185" s="289"/>
      <c r="X185" s="289"/>
      <c r="Y185" s="289"/>
      <c r="Z185" s="289"/>
      <c r="AA185" s="289"/>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6"/>
      <c r="BM185" s="311"/>
      <c r="BN185" s="314"/>
    </row>
    <row r="186" s="263" customFormat="1" ht="33.95" customHeight="1" outlineLevel="5" spans="2:66">
      <c r="B186" s="175" t="s">
        <v>799</v>
      </c>
      <c r="C186" s="283" t="s">
        <v>1114</v>
      </c>
      <c r="D186" s="263" t="s">
        <v>1100</v>
      </c>
      <c r="E186" s="175" t="s">
        <v>1115</v>
      </c>
      <c r="F186" s="175"/>
      <c r="G186" s="175" t="s">
        <v>803</v>
      </c>
      <c r="H186" s="175">
        <f t="shared" ref="H186:H188" si="388">AB186</f>
        <v>0</v>
      </c>
      <c r="I186" s="175" t="s">
        <v>804</v>
      </c>
      <c r="J186" s="175" t="e">
        <f t="shared" ref="J186:J188" si="389">SUM(AD186,AG186,AJ186,AM186,AP186,AS186,AV186,AY186,BB186,BE186,BH186,BK186)/N186</f>
        <v>#DIV/0!</v>
      </c>
      <c r="K186" s="175" t="s">
        <v>805</v>
      </c>
      <c r="L186" s="175" t="e">
        <f t="shared" ref="L186:L188" si="390">H186/N186/J186</f>
        <v>#DIV/0!</v>
      </c>
      <c r="M186" s="175" t="s">
        <v>806</v>
      </c>
      <c r="N186" s="175">
        <f t="shared" ref="N186:N188" si="391">COUNTIF(AD186,"&gt;0")+COUNTIF(AG186,"&gt;0")+COUNTIF(AJ186,"&gt;0")+COUNTIF(AM186,"&gt;0")+COUNTIF(AP186,"&gt;0")+COUNTIF(AS186,"&gt;0")+COUNTIF(AV186,"&gt;0")+COUNTIF(AY186,"&gt;0")+COUNTIF(BB186,"&gt;0")+COUNTIF(BE186,"&gt;0")+COUNTIF(BH186,"&gt;0")+COUNTIF(BK186,"&gt;0")</f>
        <v>0</v>
      </c>
      <c r="O186" s="175"/>
      <c r="P186" s="290"/>
      <c r="Q186" s="290"/>
      <c r="R186" s="290"/>
      <c r="S186" s="290"/>
      <c r="T186" s="290"/>
      <c r="U186" s="290"/>
      <c r="V186" s="290"/>
      <c r="W186" s="290"/>
      <c r="X186" s="290"/>
      <c r="Y186" s="290"/>
      <c r="Z186" s="290"/>
      <c r="AA186" s="290"/>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298"/>
      <c r="AF186" s="175">
        <f t="shared" ref="AF186:AF188" si="394">AG186*AH186</f>
        <v>0</v>
      </c>
      <c r="AG186" s="175">
        <f>SUMIFS('1-2 人员岗位信息'!G:G,'1-2 人员岗位信息'!$C:$C,"专业外包",'1-2 人员岗位信息'!$B:$B,$D186)</f>
        <v>0</v>
      </c>
      <c r="AH186" s="298"/>
      <c r="AI186" s="175">
        <f t="shared" ref="AI186:AI188" si="395">AJ186*AK186</f>
        <v>0</v>
      </c>
      <c r="AJ186" s="175">
        <f>SUMIFS('1-2 人员岗位信息'!H:H,'1-2 人员岗位信息'!$C:$C,"专业外包",'1-2 人员岗位信息'!$B:$B,$D186)</f>
        <v>0</v>
      </c>
      <c r="AK186" s="298"/>
      <c r="AL186" s="175">
        <f t="shared" ref="AL186:AL188" si="396">AM186*AN186</f>
        <v>0</v>
      </c>
      <c r="AM186" s="175">
        <f>SUMIFS('1-2 人员岗位信息'!I:I,'1-2 人员岗位信息'!$C:$C,"专业外包",'1-2 人员岗位信息'!$B:$B,$D186)</f>
        <v>0</v>
      </c>
      <c r="AN186" s="298"/>
      <c r="AO186" s="175">
        <f t="shared" ref="AO186:AO188" si="397">AP186*AQ186</f>
        <v>0</v>
      </c>
      <c r="AP186" s="175">
        <f>SUMIFS('1-2 人员岗位信息'!J:J,'1-2 人员岗位信息'!$C:$C,"专业外包",'1-2 人员岗位信息'!$B:$B,$D186)</f>
        <v>0</v>
      </c>
      <c r="AQ186" s="298"/>
      <c r="AR186" s="175">
        <f t="shared" ref="AR186:AR188" si="398">AS186*AT186</f>
        <v>0</v>
      </c>
      <c r="AS186" s="175">
        <f>SUMIFS('1-2 人员岗位信息'!K:K,'1-2 人员岗位信息'!$C:$C,"专业外包",'1-2 人员岗位信息'!$B:$B,$D186)</f>
        <v>0</v>
      </c>
      <c r="AT186" s="298"/>
      <c r="AU186" s="175">
        <f t="shared" ref="AU186:AU188" si="399">AV186*AW186</f>
        <v>0</v>
      </c>
      <c r="AV186" s="175">
        <f>SUMIFS('1-2 人员岗位信息'!L:L,'1-2 人员岗位信息'!$C:$C,"专业外包",'1-2 人员岗位信息'!$B:$B,$D186)</f>
        <v>0</v>
      </c>
      <c r="AW186" s="298"/>
      <c r="AX186" s="175">
        <f t="shared" ref="AX186:AX188" si="400">AY186*AZ186</f>
        <v>0</v>
      </c>
      <c r="AY186" s="175">
        <f>SUMIFS('1-2 人员岗位信息'!M:M,'1-2 人员岗位信息'!$C:$C,"专业外包",'1-2 人员岗位信息'!$B:$B,$D186)</f>
        <v>0</v>
      </c>
      <c r="AZ186" s="298"/>
      <c r="BA186" s="175">
        <f t="shared" ref="BA186:BA188" si="401">BB186*BC186</f>
        <v>0</v>
      </c>
      <c r="BB186" s="175">
        <f>SUMIFS('1-2 人员岗位信息'!N:N,'1-2 人员岗位信息'!$C:$C,"专业外包",'1-2 人员岗位信息'!$B:$B,$D186)</f>
        <v>0</v>
      </c>
      <c r="BC186" s="298"/>
      <c r="BD186" s="175">
        <f t="shared" ref="BD186:BD188" si="402">BE186*BF186</f>
        <v>0</v>
      </c>
      <c r="BE186" s="175">
        <f>SUMIFS('1-2 人员岗位信息'!O:O,'1-2 人员岗位信息'!$C:$C,"专业外包",'1-2 人员岗位信息'!$B:$B,$D186)</f>
        <v>0</v>
      </c>
      <c r="BF186" s="298"/>
      <c r="BG186" s="175">
        <f t="shared" ref="BG186:BG188" si="403">BH186*BI186</f>
        <v>0</v>
      </c>
      <c r="BH186" s="175">
        <f>SUMIFS('1-2 人员岗位信息'!P:P,'1-2 人员岗位信息'!$C:$C,"专业外包",'1-2 人员岗位信息'!$B:$B,$D186)</f>
        <v>0</v>
      </c>
      <c r="BI186" s="298"/>
      <c r="BJ186" s="175">
        <f t="shared" ref="BJ186:BJ188" si="404">BK186*BL186</f>
        <v>0</v>
      </c>
      <c r="BK186" s="175">
        <f>SUMIFS('1-2 人员岗位信息'!Q:Q,'1-2 人员岗位信息'!$C:$C,"专业外包",'1-2 人员岗位信息'!$B:$B,$D186)</f>
        <v>0</v>
      </c>
      <c r="BL186" s="307"/>
      <c r="BM186" s="311"/>
      <c r="BN186" s="315"/>
    </row>
    <row r="187" s="263" customFormat="1" ht="33.95" customHeight="1" outlineLevel="5" spans="2:66">
      <c r="B187" s="175" t="s">
        <v>799</v>
      </c>
      <c r="C187" s="283" t="s">
        <v>1116</v>
      </c>
      <c r="D187" s="263" t="s">
        <v>1098</v>
      </c>
      <c r="E187" s="175" t="s">
        <v>1117</v>
      </c>
      <c r="F187" s="175"/>
      <c r="G187" s="175" t="s">
        <v>803</v>
      </c>
      <c r="H187" s="175">
        <f t="shared" si="388"/>
        <v>0</v>
      </c>
      <c r="I187" s="175" t="s">
        <v>804</v>
      </c>
      <c r="J187" s="175" t="e">
        <f t="shared" si="389"/>
        <v>#DIV/0!</v>
      </c>
      <c r="K187" s="175" t="s">
        <v>805</v>
      </c>
      <c r="L187" s="175" t="e">
        <f t="shared" si="390"/>
        <v>#DIV/0!</v>
      </c>
      <c r="M187" s="175" t="s">
        <v>806</v>
      </c>
      <c r="N187" s="175">
        <f t="shared" si="391"/>
        <v>0</v>
      </c>
      <c r="O187" s="175"/>
      <c r="P187" s="290"/>
      <c r="Q187" s="290"/>
      <c r="R187" s="290"/>
      <c r="S187" s="290"/>
      <c r="T187" s="290"/>
      <c r="U187" s="290"/>
      <c r="V187" s="290"/>
      <c r="W187" s="290"/>
      <c r="X187" s="290"/>
      <c r="Y187" s="290"/>
      <c r="Z187" s="290"/>
      <c r="AA187" s="290"/>
      <c r="AB187" s="175">
        <f t="shared" si="392"/>
        <v>0</v>
      </c>
      <c r="AC187" s="175">
        <f t="shared" si="393"/>
        <v>0</v>
      </c>
      <c r="AD187" s="175">
        <f>SUMIFS('1-2 人员岗位信息'!F:F,'1-2 人员岗位信息'!$C:$C,"专业外包",'1-2 人员岗位信息'!$B:$B,$D187)</f>
        <v>0</v>
      </c>
      <c r="AE187" s="298"/>
      <c r="AF187" s="175">
        <f t="shared" si="394"/>
        <v>0</v>
      </c>
      <c r="AG187" s="175">
        <f>SUMIFS('1-2 人员岗位信息'!G:G,'1-2 人员岗位信息'!$C:$C,"专业外包",'1-2 人员岗位信息'!$B:$B,$D187)</f>
        <v>0</v>
      </c>
      <c r="AH187" s="298"/>
      <c r="AI187" s="175">
        <f t="shared" si="395"/>
        <v>0</v>
      </c>
      <c r="AJ187" s="175">
        <f>SUMIFS('1-2 人员岗位信息'!H:H,'1-2 人员岗位信息'!$C:$C,"专业外包",'1-2 人员岗位信息'!$B:$B,$D187)</f>
        <v>0</v>
      </c>
      <c r="AK187" s="298"/>
      <c r="AL187" s="175">
        <f t="shared" si="396"/>
        <v>0</v>
      </c>
      <c r="AM187" s="175">
        <f>SUMIFS('1-2 人员岗位信息'!I:I,'1-2 人员岗位信息'!$C:$C,"专业外包",'1-2 人员岗位信息'!$B:$B,$D187)</f>
        <v>0</v>
      </c>
      <c r="AN187" s="298"/>
      <c r="AO187" s="175">
        <f t="shared" si="397"/>
        <v>0</v>
      </c>
      <c r="AP187" s="175">
        <f>SUMIFS('1-2 人员岗位信息'!J:J,'1-2 人员岗位信息'!$C:$C,"专业外包",'1-2 人员岗位信息'!$B:$B,$D187)</f>
        <v>0</v>
      </c>
      <c r="AQ187" s="298"/>
      <c r="AR187" s="175">
        <f t="shared" si="398"/>
        <v>0</v>
      </c>
      <c r="AS187" s="175">
        <f>SUMIFS('1-2 人员岗位信息'!K:K,'1-2 人员岗位信息'!$C:$C,"专业外包",'1-2 人员岗位信息'!$B:$B,$D187)</f>
        <v>0</v>
      </c>
      <c r="AT187" s="298"/>
      <c r="AU187" s="175">
        <f t="shared" si="399"/>
        <v>0</v>
      </c>
      <c r="AV187" s="175">
        <f>SUMIFS('1-2 人员岗位信息'!L:L,'1-2 人员岗位信息'!$C:$C,"专业外包",'1-2 人员岗位信息'!$B:$B,$D187)</f>
        <v>0</v>
      </c>
      <c r="AW187" s="298"/>
      <c r="AX187" s="175">
        <f t="shared" si="400"/>
        <v>0</v>
      </c>
      <c r="AY187" s="175">
        <f>SUMIFS('1-2 人员岗位信息'!M:M,'1-2 人员岗位信息'!$C:$C,"专业外包",'1-2 人员岗位信息'!$B:$B,$D187)</f>
        <v>0</v>
      </c>
      <c r="AZ187" s="298"/>
      <c r="BA187" s="175">
        <f t="shared" si="401"/>
        <v>0</v>
      </c>
      <c r="BB187" s="175">
        <f>SUMIFS('1-2 人员岗位信息'!N:N,'1-2 人员岗位信息'!$C:$C,"专业外包",'1-2 人员岗位信息'!$B:$B,$D187)</f>
        <v>0</v>
      </c>
      <c r="BC187" s="298"/>
      <c r="BD187" s="175">
        <f t="shared" si="402"/>
        <v>0</v>
      </c>
      <c r="BE187" s="175">
        <f>SUMIFS('1-2 人员岗位信息'!O:O,'1-2 人员岗位信息'!$C:$C,"专业外包",'1-2 人员岗位信息'!$B:$B,$D187)</f>
        <v>0</v>
      </c>
      <c r="BF187" s="298"/>
      <c r="BG187" s="175">
        <f t="shared" si="403"/>
        <v>0</v>
      </c>
      <c r="BH187" s="175">
        <f>SUMIFS('1-2 人员岗位信息'!P:P,'1-2 人员岗位信息'!$C:$C,"专业外包",'1-2 人员岗位信息'!$B:$B,$D187)</f>
        <v>0</v>
      </c>
      <c r="BI187" s="298"/>
      <c r="BJ187" s="175">
        <f t="shared" si="404"/>
        <v>0</v>
      </c>
      <c r="BK187" s="175">
        <f>SUMIFS('1-2 人员岗位信息'!Q:Q,'1-2 人员岗位信息'!$C:$C,"专业外包",'1-2 人员岗位信息'!$B:$B,$D187)</f>
        <v>0</v>
      </c>
      <c r="BL187" s="307"/>
      <c r="BM187" s="311"/>
      <c r="BN187" s="315"/>
    </row>
    <row r="188" s="263" customFormat="1" ht="33.95" customHeight="1" outlineLevel="5" spans="2:66">
      <c r="B188" s="175" t="s">
        <v>799</v>
      </c>
      <c r="C188" s="283" t="s">
        <v>1118</v>
      </c>
      <c r="D188" s="263" t="s">
        <v>1105</v>
      </c>
      <c r="E188" s="175" t="s">
        <v>1119</v>
      </c>
      <c r="F188" s="175"/>
      <c r="G188" s="175" t="s">
        <v>803</v>
      </c>
      <c r="H188" s="175">
        <f t="shared" si="388"/>
        <v>0</v>
      </c>
      <c r="I188" s="175" t="s">
        <v>804</v>
      </c>
      <c r="J188" s="175" t="e">
        <f t="shared" si="389"/>
        <v>#DIV/0!</v>
      </c>
      <c r="K188" s="175" t="s">
        <v>805</v>
      </c>
      <c r="L188" s="175" t="e">
        <f t="shared" si="390"/>
        <v>#DIV/0!</v>
      </c>
      <c r="M188" s="175" t="s">
        <v>806</v>
      </c>
      <c r="N188" s="175">
        <f t="shared" si="391"/>
        <v>0</v>
      </c>
      <c r="O188" s="175"/>
      <c r="P188" s="290"/>
      <c r="Q188" s="290"/>
      <c r="R188" s="290"/>
      <c r="S188" s="290"/>
      <c r="T188" s="290"/>
      <c r="U188" s="290"/>
      <c r="V188" s="290"/>
      <c r="W188" s="290"/>
      <c r="X188" s="290"/>
      <c r="Y188" s="290"/>
      <c r="Z188" s="290"/>
      <c r="AA188" s="290"/>
      <c r="AB188" s="175">
        <f t="shared" si="392"/>
        <v>0</v>
      </c>
      <c r="AC188" s="175">
        <f t="shared" si="393"/>
        <v>0</v>
      </c>
      <c r="AD188" s="175">
        <f>SUMIFS('1-2 人员岗位信息'!F:F,'1-2 人员岗位信息'!$C:$C,"专业外包",'1-2 人员岗位信息'!$B:$B,$D188)</f>
        <v>0</v>
      </c>
      <c r="AE188" s="298"/>
      <c r="AF188" s="175">
        <f t="shared" si="394"/>
        <v>0</v>
      </c>
      <c r="AG188" s="175">
        <f>SUMIFS('1-2 人员岗位信息'!G:G,'1-2 人员岗位信息'!$C:$C,"专业外包",'1-2 人员岗位信息'!$B:$B,$D188)</f>
        <v>0</v>
      </c>
      <c r="AH188" s="298"/>
      <c r="AI188" s="175">
        <f t="shared" si="395"/>
        <v>0</v>
      </c>
      <c r="AJ188" s="175">
        <f>SUMIFS('1-2 人员岗位信息'!H:H,'1-2 人员岗位信息'!$C:$C,"专业外包",'1-2 人员岗位信息'!$B:$B,$D188)</f>
        <v>0</v>
      </c>
      <c r="AK188" s="298"/>
      <c r="AL188" s="175">
        <f t="shared" si="396"/>
        <v>0</v>
      </c>
      <c r="AM188" s="175">
        <f>SUMIFS('1-2 人员岗位信息'!I:I,'1-2 人员岗位信息'!$C:$C,"专业外包",'1-2 人员岗位信息'!$B:$B,$D188)</f>
        <v>0</v>
      </c>
      <c r="AN188" s="298"/>
      <c r="AO188" s="175">
        <f t="shared" si="397"/>
        <v>0</v>
      </c>
      <c r="AP188" s="175">
        <f>SUMIFS('1-2 人员岗位信息'!J:J,'1-2 人员岗位信息'!$C:$C,"专业外包",'1-2 人员岗位信息'!$B:$B,$D188)</f>
        <v>0</v>
      </c>
      <c r="AQ188" s="298"/>
      <c r="AR188" s="175">
        <f t="shared" si="398"/>
        <v>0</v>
      </c>
      <c r="AS188" s="175">
        <f>SUMIFS('1-2 人员岗位信息'!K:K,'1-2 人员岗位信息'!$C:$C,"专业外包",'1-2 人员岗位信息'!$B:$B,$D188)</f>
        <v>0</v>
      </c>
      <c r="AT188" s="298"/>
      <c r="AU188" s="175">
        <f t="shared" si="399"/>
        <v>0</v>
      </c>
      <c r="AV188" s="175">
        <f>SUMIFS('1-2 人员岗位信息'!L:L,'1-2 人员岗位信息'!$C:$C,"专业外包",'1-2 人员岗位信息'!$B:$B,$D188)</f>
        <v>0</v>
      </c>
      <c r="AW188" s="298"/>
      <c r="AX188" s="175">
        <f t="shared" si="400"/>
        <v>0</v>
      </c>
      <c r="AY188" s="175">
        <f>SUMIFS('1-2 人员岗位信息'!M:M,'1-2 人员岗位信息'!$C:$C,"专业外包",'1-2 人员岗位信息'!$B:$B,$D188)</f>
        <v>0</v>
      </c>
      <c r="AZ188" s="298"/>
      <c r="BA188" s="175">
        <f t="shared" si="401"/>
        <v>0</v>
      </c>
      <c r="BB188" s="175">
        <f>SUMIFS('1-2 人员岗位信息'!N:N,'1-2 人员岗位信息'!$C:$C,"专业外包",'1-2 人员岗位信息'!$B:$B,$D188)</f>
        <v>0</v>
      </c>
      <c r="BC188" s="298"/>
      <c r="BD188" s="175">
        <f t="shared" si="402"/>
        <v>0</v>
      </c>
      <c r="BE188" s="175">
        <f>SUMIFS('1-2 人员岗位信息'!O:O,'1-2 人员岗位信息'!$C:$C,"专业外包",'1-2 人员岗位信息'!$B:$B,$D188)</f>
        <v>0</v>
      </c>
      <c r="BF188" s="298"/>
      <c r="BG188" s="175">
        <f t="shared" si="403"/>
        <v>0</v>
      </c>
      <c r="BH188" s="175">
        <f>SUMIFS('1-2 人员岗位信息'!P:P,'1-2 人员岗位信息'!$C:$C,"专业外包",'1-2 人员岗位信息'!$B:$B,$D188)</f>
        <v>0</v>
      </c>
      <c r="BI188" s="298"/>
      <c r="BJ188" s="175">
        <f t="shared" si="404"/>
        <v>0</v>
      </c>
      <c r="BK188" s="175">
        <f>SUMIFS('1-2 人员岗位信息'!Q:Q,'1-2 人员岗位信息'!$C:$C,"专业外包",'1-2 人员岗位信息'!$B:$B,$D188)</f>
        <v>0</v>
      </c>
      <c r="BL188" s="307"/>
      <c r="BM188" s="311"/>
      <c r="BN188" s="315"/>
    </row>
    <row r="189" s="47" customFormat="1" ht="33.95" customHeight="1" outlineLevel="3" spans="2:66">
      <c r="B189" s="115" t="s">
        <v>794</v>
      </c>
      <c r="C189" s="116" t="s">
        <v>1120</v>
      </c>
      <c r="D189" s="47" t="s">
        <v>1121</v>
      </c>
      <c r="E189" s="115"/>
      <c r="F189" s="115"/>
      <c r="G189" s="115"/>
      <c r="H189" s="115">
        <f>H190+H196+H202</f>
        <v>17668376.02</v>
      </c>
      <c r="I189" s="115"/>
      <c r="J189" s="115"/>
      <c r="K189" s="115"/>
      <c r="L189" s="115"/>
      <c r="M189" s="115"/>
      <c r="N189" s="115"/>
      <c r="O189" s="115"/>
      <c r="P189" s="288"/>
      <c r="Q189" s="288"/>
      <c r="R189" s="288"/>
      <c r="S189" s="288"/>
      <c r="T189" s="288"/>
      <c r="U189" s="288"/>
      <c r="V189" s="288"/>
      <c r="W189" s="288"/>
      <c r="X189" s="288"/>
      <c r="Y189" s="288"/>
      <c r="Z189" s="288"/>
      <c r="AA189" s="288"/>
      <c r="AB189" s="115">
        <f t="shared" ref="AB189:AF189" si="405">AB190+AB196+AB202</f>
        <v>17668376.02</v>
      </c>
      <c r="AC189" s="115">
        <f t="shared" si="405"/>
        <v>1452538.31</v>
      </c>
      <c r="AD189" s="115"/>
      <c r="AE189" s="115"/>
      <c r="AF189" s="115">
        <f t="shared" si="405"/>
        <v>1452538.31</v>
      </c>
      <c r="AG189" s="115"/>
      <c r="AH189" s="115"/>
      <c r="AI189" s="115">
        <f>AI190+AI196+AI202</f>
        <v>1452538.31</v>
      </c>
      <c r="AJ189" s="115"/>
      <c r="AK189" s="115"/>
      <c r="AL189" s="115">
        <f>AL190+AL196+AL202</f>
        <v>1452538.31</v>
      </c>
      <c r="AM189" s="115"/>
      <c r="AN189" s="115"/>
      <c r="AO189" s="115">
        <f>AO190+AO196+AO202</f>
        <v>1452538.31</v>
      </c>
      <c r="AP189" s="115"/>
      <c r="AQ189" s="115"/>
      <c r="AR189" s="115">
        <f>AR190+AR196+AR202</f>
        <v>1452538.31</v>
      </c>
      <c r="AS189" s="115"/>
      <c r="AT189" s="115"/>
      <c r="AU189" s="115">
        <f>AU190+AU196+AU202</f>
        <v>1452538.31</v>
      </c>
      <c r="AV189" s="115"/>
      <c r="AW189" s="115"/>
      <c r="AX189" s="115">
        <f>AX190+AX196+AX202</f>
        <v>1452538.31</v>
      </c>
      <c r="AY189" s="115"/>
      <c r="AZ189" s="115"/>
      <c r="BA189" s="115">
        <f>BA190+BA196+BA202</f>
        <v>1452538.31</v>
      </c>
      <c r="BB189" s="115"/>
      <c r="BC189" s="115"/>
      <c r="BD189" s="115">
        <f>BD190+BD196+BD202</f>
        <v>1452538.31</v>
      </c>
      <c r="BE189" s="115"/>
      <c r="BF189" s="115"/>
      <c r="BG189" s="115">
        <f>BG190+BG196+BG202</f>
        <v>1452538.31</v>
      </c>
      <c r="BH189" s="115"/>
      <c r="BI189" s="115"/>
      <c r="BJ189" s="115">
        <f>BJ190+BJ196+BJ202</f>
        <v>1690454.61</v>
      </c>
      <c r="BK189" s="115"/>
      <c r="BL189" s="305"/>
      <c r="BM189" s="311"/>
      <c r="BN189" s="313"/>
    </row>
    <row r="190" s="118" customFormat="1" ht="33.95" customHeight="1" outlineLevel="4" spans="2:66">
      <c r="B190" s="119" t="s">
        <v>794</v>
      </c>
      <c r="C190" s="120" t="s">
        <v>130</v>
      </c>
      <c r="D190" s="118" t="s">
        <v>109</v>
      </c>
      <c r="E190" s="119"/>
      <c r="F190" s="119"/>
      <c r="G190" s="119"/>
      <c r="H190" s="119">
        <f>SUM(H191:H195)</f>
        <v>17668376.02</v>
      </c>
      <c r="I190" s="119"/>
      <c r="J190" s="119"/>
      <c r="K190" s="119"/>
      <c r="L190" s="119"/>
      <c r="M190" s="119"/>
      <c r="N190" s="119"/>
      <c r="O190" s="119"/>
      <c r="P190" s="289"/>
      <c r="Q190" s="289"/>
      <c r="R190" s="289"/>
      <c r="S190" s="289"/>
      <c r="T190" s="289"/>
      <c r="U190" s="289"/>
      <c r="V190" s="289"/>
      <c r="W190" s="289"/>
      <c r="X190" s="289"/>
      <c r="Y190" s="289"/>
      <c r="Z190" s="289"/>
      <c r="AA190" s="289"/>
      <c r="AB190" s="119">
        <f t="shared" ref="AB190:AF190" si="406">SUM(AB191:AB195)</f>
        <v>17668376.02</v>
      </c>
      <c r="AC190" s="119">
        <f t="shared" si="406"/>
        <v>1452538.31</v>
      </c>
      <c r="AD190" s="119"/>
      <c r="AE190" s="119"/>
      <c r="AF190" s="119">
        <f t="shared" si="406"/>
        <v>1452538.31</v>
      </c>
      <c r="AG190" s="119"/>
      <c r="AH190" s="119"/>
      <c r="AI190" s="119">
        <f>SUM(AI191:AI195)</f>
        <v>1452538.31</v>
      </c>
      <c r="AJ190" s="119"/>
      <c r="AK190" s="119"/>
      <c r="AL190" s="119">
        <f>SUM(AL191:AL195)</f>
        <v>1452538.31</v>
      </c>
      <c r="AM190" s="119"/>
      <c r="AN190" s="119"/>
      <c r="AO190" s="119">
        <f>SUM(AO191:AO195)</f>
        <v>1452538.31</v>
      </c>
      <c r="AP190" s="119"/>
      <c r="AQ190" s="119"/>
      <c r="AR190" s="119">
        <f>SUM(AR191:AR195)</f>
        <v>1452538.31</v>
      </c>
      <c r="AS190" s="119"/>
      <c r="AT190" s="119"/>
      <c r="AU190" s="119">
        <f>SUM(AU191:AU195)</f>
        <v>1452538.31</v>
      </c>
      <c r="AV190" s="119"/>
      <c r="AW190" s="119"/>
      <c r="AX190" s="119">
        <f>SUM(AX191:AX195)</f>
        <v>1452538.31</v>
      </c>
      <c r="AY190" s="119"/>
      <c r="AZ190" s="119"/>
      <c r="BA190" s="119">
        <f>SUM(BA191:BA195)</f>
        <v>1452538.31</v>
      </c>
      <c r="BB190" s="119"/>
      <c r="BC190" s="119"/>
      <c r="BD190" s="119">
        <f>SUM(BD191:BD195)</f>
        <v>1452538.31</v>
      </c>
      <c r="BE190" s="119"/>
      <c r="BF190" s="119"/>
      <c r="BG190" s="119">
        <f>SUM(BG191:BG195)</f>
        <v>1452538.31</v>
      </c>
      <c r="BH190" s="119"/>
      <c r="BI190" s="119"/>
      <c r="BJ190" s="119">
        <f>SUM(BJ191:BJ195)</f>
        <v>1690454.61</v>
      </c>
      <c r="BK190" s="119"/>
      <c r="BL190" s="306"/>
      <c r="BM190" s="311"/>
      <c r="BN190" s="314"/>
    </row>
    <row r="191" s="263" customFormat="1" ht="33.95" customHeight="1" outlineLevel="5" spans="2:66">
      <c r="B191" s="175" t="s">
        <v>799</v>
      </c>
      <c r="C191" s="283" t="s">
        <v>1122</v>
      </c>
      <c r="D191" s="263" t="s">
        <v>1123</v>
      </c>
      <c r="E191" s="175" t="s">
        <v>1124</v>
      </c>
      <c r="F191" s="175"/>
      <c r="G191" s="175" t="s">
        <v>803</v>
      </c>
      <c r="H191" s="175">
        <f t="shared" ref="H191:H195" si="407">AB191</f>
        <v>17668376.02</v>
      </c>
      <c r="I191" s="175" t="s">
        <v>804</v>
      </c>
      <c r="J191" s="175">
        <f t="shared" ref="J191:J195" si="408">SUM(AD191,AG191,AJ191,AM191,AP191,AS191,AV191,AY191,BB191,BE191,BH191,BK191)/N191</f>
        <v>233</v>
      </c>
      <c r="K191" s="175" t="s">
        <v>805</v>
      </c>
      <c r="L191" s="175">
        <f t="shared" ref="L191:L195" si="409">H191/N191/J191</f>
        <v>6319.16166666667</v>
      </c>
      <c r="M191" s="175" t="s">
        <v>806</v>
      </c>
      <c r="N191" s="175">
        <f t="shared" ref="N191:N195" si="410">COUNTIF(AD191,"&gt;0")+COUNTIF(AG191,"&gt;0")+COUNTIF(AJ191,"&gt;0")+COUNTIF(AM191,"&gt;0")+COUNTIF(AP191,"&gt;0")+COUNTIF(AS191,"&gt;0")+COUNTIF(AV191,"&gt;0")+COUNTIF(AY191,"&gt;0")+COUNTIF(BB191,"&gt;0")+COUNTIF(BE191,"&gt;0")+COUNTIF(BH191,"&gt;0")+COUNTIF(BK191,"&gt;0")</f>
        <v>12</v>
      </c>
      <c r="O191" s="175"/>
      <c r="P191" s="290"/>
      <c r="Q191" s="290"/>
      <c r="R191" s="290"/>
      <c r="S191" s="290"/>
      <c r="T191" s="290"/>
      <c r="U191" s="290"/>
      <c r="V191" s="290"/>
      <c r="W191" s="290"/>
      <c r="X191" s="290"/>
      <c r="Y191" s="290"/>
      <c r="Z191" s="290"/>
      <c r="AA191" s="290"/>
      <c r="AB191" s="175">
        <f t="shared" ref="AB191:AB195" si="411">SUM(AC191,AF191,AI191,AL191,AO191,AR191,AU191,AX191,BA191,BD191,BG191,BJ191)</f>
        <v>17668376.02</v>
      </c>
      <c r="AC191" s="175">
        <f t="shared" ref="AC191:AC195" si="412">AD191*AE191</f>
        <v>1452538.31</v>
      </c>
      <c r="AD191" s="175">
        <f>SUMIFS('1-2 人员岗位信息'!F:F,'1-2 人员岗位信息'!$C:$C,"自有人员",'1-2 人员岗位信息'!$B:$B,$D191)</f>
        <v>233</v>
      </c>
      <c r="AE191" s="298">
        <f>IFERROR(自有人工预算!E29/AD191,0)</f>
        <v>6234.07</v>
      </c>
      <c r="AF191" s="175">
        <f t="shared" ref="AF191:AF195" si="413">AG191*AH191</f>
        <v>1452538.31</v>
      </c>
      <c r="AG191" s="175">
        <f>SUMIFS('1-2 人员岗位信息'!G:G,'1-2 人员岗位信息'!$C:$C,"自有人员",'1-2 人员岗位信息'!$B:$B,$D191)</f>
        <v>233</v>
      </c>
      <c r="AH191" s="298">
        <f>IFERROR(自有人工预算!F29/AG191,0)</f>
        <v>6234.07</v>
      </c>
      <c r="AI191" s="175">
        <f t="shared" ref="AI191:AI195" si="414">AJ191*AK191</f>
        <v>1452538.31</v>
      </c>
      <c r="AJ191" s="175">
        <f>SUMIFS('1-2 人员岗位信息'!H:H,'1-2 人员岗位信息'!$C:$C,"自有人员",'1-2 人员岗位信息'!$B:$B,$D191)</f>
        <v>233</v>
      </c>
      <c r="AK191" s="298">
        <f>IFERROR(自有人工预算!G29/AJ191,0)</f>
        <v>6234.07</v>
      </c>
      <c r="AL191" s="175">
        <f t="shared" ref="AL191:AL195" si="415">AM191*AN191</f>
        <v>1452538.31</v>
      </c>
      <c r="AM191" s="175">
        <f>SUMIFS('1-2 人员岗位信息'!I:I,'1-2 人员岗位信息'!$C:$C,"自有人员",'1-2 人员岗位信息'!$B:$B,$D191)</f>
        <v>233</v>
      </c>
      <c r="AN191" s="298">
        <f>IFERROR(自有人工预算!H29/AM191,0)</f>
        <v>6234.07</v>
      </c>
      <c r="AO191" s="175">
        <f t="shared" ref="AO191:AO195" si="416">AP191*AQ191</f>
        <v>1452538.31</v>
      </c>
      <c r="AP191" s="175">
        <f>SUMIFS('1-2 人员岗位信息'!J:J,'1-2 人员岗位信息'!$C:$C,"自有人员",'1-2 人员岗位信息'!$B:$B,$D191)</f>
        <v>233</v>
      </c>
      <c r="AQ191" s="298">
        <f>IFERROR(自有人工预算!I29/AP191,0)</f>
        <v>6234.07</v>
      </c>
      <c r="AR191" s="175">
        <f t="shared" ref="AR191:AR195" si="417">AS191*AT191</f>
        <v>1452538.31</v>
      </c>
      <c r="AS191" s="175">
        <f>SUMIFS('1-2 人员岗位信息'!K:K,'1-2 人员岗位信息'!$C:$C,"自有人员",'1-2 人员岗位信息'!$B:$B,$D191)</f>
        <v>233</v>
      </c>
      <c r="AT191" s="298">
        <f>IFERROR(自有人工预算!J29/AS191,0)</f>
        <v>6234.07</v>
      </c>
      <c r="AU191" s="175">
        <f t="shared" ref="AU191:AU195" si="418">AV191*AW191</f>
        <v>1452538.31</v>
      </c>
      <c r="AV191" s="175">
        <f>SUMIFS('1-2 人员岗位信息'!L:L,'1-2 人员岗位信息'!$C:$C,"自有人员",'1-2 人员岗位信息'!$B:$B,$D191)</f>
        <v>233</v>
      </c>
      <c r="AW191" s="298">
        <f>IFERROR(自有人工预算!K29/AV191,0)</f>
        <v>6234.07</v>
      </c>
      <c r="AX191" s="175">
        <f t="shared" ref="AX191:AX195" si="419">AY191*AZ191</f>
        <v>1452538.31</v>
      </c>
      <c r="AY191" s="175">
        <f>SUMIFS('1-2 人员岗位信息'!M:M,'1-2 人员岗位信息'!$C:$C,"自有人员",'1-2 人员岗位信息'!$B:$B,$D191)</f>
        <v>233</v>
      </c>
      <c r="AZ191" s="298">
        <f>IFERROR(自有人工预算!L29/AY191,0)</f>
        <v>6234.07</v>
      </c>
      <c r="BA191" s="175">
        <f t="shared" ref="BA191:BA195" si="420">BB191*BC191</f>
        <v>1452538.31</v>
      </c>
      <c r="BB191" s="175">
        <f>SUMIFS('1-2 人员岗位信息'!N:N,'1-2 人员岗位信息'!$C:$C,"自有人员",'1-2 人员岗位信息'!$B:$B,$D191)</f>
        <v>233</v>
      </c>
      <c r="BC191" s="298">
        <f>IFERROR(自有人工预算!M29/BB191,0)</f>
        <v>6234.07</v>
      </c>
      <c r="BD191" s="175">
        <f t="shared" ref="BD191:BD195" si="421">BE191*BF191</f>
        <v>1452538.31</v>
      </c>
      <c r="BE191" s="175">
        <f>SUMIFS('1-2 人员岗位信息'!O:O,'1-2 人员岗位信息'!$C:$C,"自有人员",'1-2 人员岗位信息'!$B:$B,$D191)</f>
        <v>233</v>
      </c>
      <c r="BF191" s="298">
        <f>IFERROR(自有人工预算!N29/BE191,0)</f>
        <v>6234.07</v>
      </c>
      <c r="BG191" s="175">
        <f t="shared" ref="BG191:BG195" si="422">BH191*BI191</f>
        <v>1452538.31</v>
      </c>
      <c r="BH191" s="175">
        <f>SUMIFS('1-2 人员岗位信息'!P:P,'1-2 人员岗位信息'!$C:$C,"自有人员",'1-2 人员岗位信息'!$B:$B,$D191)</f>
        <v>233</v>
      </c>
      <c r="BI191" s="298">
        <f>IFERROR(自有人工预算!O29/BH191,0)</f>
        <v>6234.07</v>
      </c>
      <c r="BJ191" s="175">
        <f t="shared" ref="BJ191:BJ195" si="423">BK191*BL191</f>
        <v>1690454.61</v>
      </c>
      <c r="BK191" s="175">
        <f>SUMIFS('1-2 人员岗位信息'!Q:Q,'1-2 人员岗位信息'!$C:$C,"自有人员",'1-2 人员岗位信息'!$B:$B,$D191)</f>
        <v>233</v>
      </c>
      <c r="BL191" s="298">
        <f>IFERROR(自有人工预算!P29/BK191,0)</f>
        <v>7255.17</v>
      </c>
      <c r="BM191" s="311"/>
      <c r="BN191" s="315"/>
    </row>
    <row r="192" s="263" customFormat="1" ht="33.95" customHeight="1" outlineLevel="5" spans="2:66">
      <c r="B192" s="175" t="s">
        <v>799</v>
      </c>
      <c r="C192" s="283" t="s">
        <v>1125</v>
      </c>
      <c r="D192" s="263" t="s">
        <v>1126</v>
      </c>
      <c r="E192" s="175" t="s">
        <v>1124</v>
      </c>
      <c r="F192" s="175"/>
      <c r="G192" s="175" t="s">
        <v>803</v>
      </c>
      <c r="H192" s="175">
        <f t="shared" si="407"/>
        <v>0</v>
      </c>
      <c r="I192" s="175" t="s">
        <v>804</v>
      </c>
      <c r="J192" s="175" t="e">
        <f t="shared" si="408"/>
        <v>#DIV/0!</v>
      </c>
      <c r="K192" s="175" t="s">
        <v>805</v>
      </c>
      <c r="L192" s="175" t="e">
        <f t="shared" si="409"/>
        <v>#DIV/0!</v>
      </c>
      <c r="M192" s="175" t="s">
        <v>806</v>
      </c>
      <c r="N192" s="175">
        <f t="shared" si="410"/>
        <v>0</v>
      </c>
      <c r="O192" s="175"/>
      <c r="P192" s="290"/>
      <c r="Q192" s="290"/>
      <c r="R192" s="290"/>
      <c r="S192" s="290"/>
      <c r="T192" s="290"/>
      <c r="U192" s="290"/>
      <c r="V192" s="290"/>
      <c r="W192" s="290"/>
      <c r="X192" s="290"/>
      <c r="Y192" s="290"/>
      <c r="Z192" s="290"/>
      <c r="AA192" s="290"/>
      <c r="AB192" s="175">
        <f t="shared" si="411"/>
        <v>0</v>
      </c>
      <c r="AC192" s="175">
        <f t="shared" si="412"/>
        <v>0</v>
      </c>
      <c r="AD192" s="175">
        <f>SUMIFS('1-2 人员岗位信息'!F:F,'1-2 人员岗位信息'!$C:$C,"自有人员",'1-2 人员岗位信息'!$B:$B,$D192)</f>
        <v>0</v>
      </c>
      <c r="AE192" s="298"/>
      <c r="AF192" s="175">
        <f t="shared" si="413"/>
        <v>0</v>
      </c>
      <c r="AG192" s="175">
        <f>SUMIFS('1-2 人员岗位信息'!G:G,'1-2 人员岗位信息'!$C:$C,"自有人员",'1-2 人员岗位信息'!$B:$B,$D192)</f>
        <v>0</v>
      </c>
      <c r="AH192" s="298"/>
      <c r="AI192" s="175">
        <f t="shared" si="414"/>
        <v>0</v>
      </c>
      <c r="AJ192" s="175">
        <f>SUMIFS('1-2 人员岗位信息'!H:H,'1-2 人员岗位信息'!$C:$C,"自有人员",'1-2 人员岗位信息'!$B:$B,$D192)</f>
        <v>0</v>
      </c>
      <c r="AK192" s="298"/>
      <c r="AL192" s="175">
        <f t="shared" si="415"/>
        <v>0</v>
      </c>
      <c r="AM192" s="175">
        <f>SUMIFS('1-2 人员岗位信息'!I:I,'1-2 人员岗位信息'!$C:$C,"自有人员",'1-2 人员岗位信息'!$B:$B,$D192)</f>
        <v>0</v>
      </c>
      <c r="AN192" s="298"/>
      <c r="AO192" s="175">
        <f t="shared" si="416"/>
        <v>0</v>
      </c>
      <c r="AP192" s="175">
        <f>SUMIFS('1-2 人员岗位信息'!J:J,'1-2 人员岗位信息'!$C:$C,"自有人员",'1-2 人员岗位信息'!$B:$B,$D192)</f>
        <v>0</v>
      </c>
      <c r="AQ192" s="298"/>
      <c r="AR192" s="175">
        <f t="shared" si="417"/>
        <v>0</v>
      </c>
      <c r="AS192" s="175">
        <f>SUMIFS('1-2 人员岗位信息'!K:K,'1-2 人员岗位信息'!$C:$C,"自有人员",'1-2 人员岗位信息'!$B:$B,$D192)</f>
        <v>0</v>
      </c>
      <c r="AT192" s="298"/>
      <c r="AU192" s="175">
        <f t="shared" si="418"/>
        <v>0</v>
      </c>
      <c r="AV192" s="175">
        <f>SUMIFS('1-2 人员岗位信息'!L:L,'1-2 人员岗位信息'!$C:$C,"自有人员",'1-2 人员岗位信息'!$B:$B,$D192)</f>
        <v>0</v>
      </c>
      <c r="AW192" s="298"/>
      <c r="AX192" s="175">
        <f t="shared" si="419"/>
        <v>0</v>
      </c>
      <c r="AY192" s="175">
        <f>SUMIFS('1-2 人员岗位信息'!M:M,'1-2 人员岗位信息'!$C:$C,"自有人员",'1-2 人员岗位信息'!$B:$B,$D192)</f>
        <v>0</v>
      </c>
      <c r="AZ192" s="298"/>
      <c r="BA192" s="175">
        <f t="shared" si="420"/>
        <v>0</v>
      </c>
      <c r="BB192" s="175">
        <f>SUMIFS('1-2 人员岗位信息'!N:N,'1-2 人员岗位信息'!$C:$C,"自有人员",'1-2 人员岗位信息'!$B:$B,$D192)</f>
        <v>0</v>
      </c>
      <c r="BC192" s="298"/>
      <c r="BD192" s="175">
        <f t="shared" si="421"/>
        <v>0</v>
      </c>
      <c r="BE192" s="175">
        <f>SUMIFS('1-2 人员岗位信息'!O:O,'1-2 人员岗位信息'!$C:$C,"自有人员",'1-2 人员岗位信息'!$B:$B,$D192)</f>
        <v>0</v>
      </c>
      <c r="BF192" s="298"/>
      <c r="BG192" s="175">
        <f t="shared" si="422"/>
        <v>0</v>
      </c>
      <c r="BH192" s="175">
        <f>SUMIFS('1-2 人员岗位信息'!P:P,'1-2 人员岗位信息'!$C:$C,"自有人员",'1-2 人员岗位信息'!$B:$B,$D192)</f>
        <v>0</v>
      </c>
      <c r="BI192" s="298"/>
      <c r="BJ192" s="175">
        <f t="shared" si="423"/>
        <v>0</v>
      </c>
      <c r="BK192" s="175">
        <f>SUMIFS('1-2 人员岗位信息'!Q:Q,'1-2 人员岗位信息'!$C:$C,"自有人员",'1-2 人员岗位信息'!$B:$B,$D192)</f>
        <v>0</v>
      </c>
      <c r="BL192" s="307"/>
      <c r="BM192" s="311"/>
      <c r="BN192" s="315"/>
    </row>
    <row r="193" s="263" customFormat="1" ht="33.95" customHeight="1" outlineLevel="5" spans="2:66">
      <c r="B193" s="175" t="s">
        <v>799</v>
      </c>
      <c r="C193" s="283" t="s">
        <v>1127</v>
      </c>
      <c r="D193" s="263" t="s">
        <v>1128</v>
      </c>
      <c r="E193" s="175" t="s">
        <v>1124</v>
      </c>
      <c r="F193" s="175"/>
      <c r="G193" s="175" t="s">
        <v>803</v>
      </c>
      <c r="H193" s="175">
        <f t="shared" si="407"/>
        <v>0</v>
      </c>
      <c r="I193" s="175" t="s">
        <v>804</v>
      </c>
      <c r="J193" s="175" t="e">
        <f t="shared" si="408"/>
        <v>#DIV/0!</v>
      </c>
      <c r="K193" s="175" t="s">
        <v>805</v>
      </c>
      <c r="L193" s="175" t="e">
        <f t="shared" si="409"/>
        <v>#DIV/0!</v>
      </c>
      <c r="M193" s="175" t="s">
        <v>806</v>
      </c>
      <c r="N193" s="175">
        <f t="shared" si="410"/>
        <v>0</v>
      </c>
      <c r="O193" s="175"/>
      <c r="P193" s="290"/>
      <c r="Q193" s="290"/>
      <c r="R193" s="290"/>
      <c r="S193" s="290"/>
      <c r="T193" s="290"/>
      <c r="U193" s="290"/>
      <c r="V193" s="290"/>
      <c r="W193" s="290"/>
      <c r="X193" s="290"/>
      <c r="Y193" s="290"/>
      <c r="Z193" s="290"/>
      <c r="AA193" s="290"/>
      <c r="AB193" s="175">
        <f t="shared" si="411"/>
        <v>0</v>
      </c>
      <c r="AC193" s="175">
        <f t="shared" si="412"/>
        <v>0</v>
      </c>
      <c r="AD193" s="175">
        <f>SUMIFS('1-2 人员岗位信息'!F:F,'1-2 人员岗位信息'!$C:$C,"自有人员",'1-2 人员岗位信息'!$B:$B,$D193)</f>
        <v>0</v>
      </c>
      <c r="AE193" s="298"/>
      <c r="AF193" s="175">
        <f t="shared" si="413"/>
        <v>0</v>
      </c>
      <c r="AG193" s="175">
        <f>SUMIFS('1-2 人员岗位信息'!G:G,'1-2 人员岗位信息'!$C:$C,"自有人员",'1-2 人员岗位信息'!$B:$B,$D193)</f>
        <v>0</v>
      </c>
      <c r="AH193" s="298"/>
      <c r="AI193" s="175">
        <f t="shared" si="414"/>
        <v>0</v>
      </c>
      <c r="AJ193" s="175">
        <f>SUMIFS('1-2 人员岗位信息'!H:H,'1-2 人员岗位信息'!$C:$C,"自有人员",'1-2 人员岗位信息'!$B:$B,$D193)</f>
        <v>0</v>
      </c>
      <c r="AK193" s="298"/>
      <c r="AL193" s="175">
        <f t="shared" si="415"/>
        <v>0</v>
      </c>
      <c r="AM193" s="175">
        <f>SUMIFS('1-2 人员岗位信息'!I:I,'1-2 人员岗位信息'!$C:$C,"自有人员",'1-2 人员岗位信息'!$B:$B,$D193)</f>
        <v>0</v>
      </c>
      <c r="AN193" s="298"/>
      <c r="AO193" s="175">
        <f t="shared" si="416"/>
        <v>0</v>
      </c>
      <c r="AP193" s="175">
        <f>SUMIFS('1-2 人员岗位信息'!J:J,'1-2 人员岗位信息'!$C:$C,"自有人员",'1-2 人员岗位信息'!$B:$B,$D193)</f>
        <v>0</v>
      </c>
      <c r="AQ193" s="298"/>
      <c r="AR193" s="175">
        <f t="shared" si="417"/>
        <v>0</v>
      </c>
      <c r="AS193" s="175">
        <f>SUMIFS('1-2 人员岗位信息'!K:K,'1-2 人员岗位信息'!$C:$C,"自有人员",'1-2 人员岗位信息'!$B:$B,$D193)</f>
        <v>0</v>
      </c>
      <c r="AT193" s="298"/>
      <c r="AU193" s="175">
        <f t="shared" si="418"/>
        <v>0</v>
      </c>
      <c r="AV193" s="175">
        <f>SUMIFS('1-2 人员岗位信息'!L:L,'1-2 人员岗位信息'!$C:$C,"自有人员",'1-2 人员岗位信息'!$B:$B,$D193)</f>
        <v>0</v>
      </c>
      <c r="AW193" s="298"/>
      <c r="AX193" s="175">
        <f t="shared" si="419"/>
        <v>0</v>
      </c>
      <c r="AY193" s="175">
        <f>SUMIFS('1-2 人员岗位信息'!M:M,'1-2 人员岗位信息'!$C:$C,"自有人员",'1-2 人员岗位信息'!$B:$B,$D193)</f>
        <v>0</v>
      </c>
      <c r="AZ193" s="298"/>
      <c r="BA193" s="175">
        <f t="shared" si="420"/>
        <v>0</v>
      </c>
      <c r="BB193" s="175">
        <f>SUMIFS('1-2 人员岗位信息'!N:N,'1-2 人员岗位信息'!$C:$C,"自有人员",'1-2 人员岗位信息'!$B:$B,$D193)</f>
        <v>0</v>
      </c>
      <c r="BC193" s="298"/>
      <c r="BD193" s="175">
        <f t="shared" si="421"/>
        <v>0</v>
      </c>
      <c r="BE193" s="175">
        <f>SUMIFS('1-2 人员岗位信息'!O:O,'1-2 人员岗位信息'!$C:$C,"自有人员",'1-2 人员岗位信息'!$B:$B,$D193)</f>
        <v>0</v>
      </c>
      <c r="BF193" s="298"/>
      <c r="BG193" s="175">
        <f t="shared" si="422"/>
        <v>0</v>
      </c>
      <c r="BH193" s="175">
        <f>SUMIFS('1-2 人员岗位信息'!P:P,'1-2 人员岗位信息'!$C:$C,"自有人员",'1-2 人员岗位信息'!$B:$B,$D193)</f>
        <v>0</v>
      </c>
      <c r="BI193" s="298"/>
      <c r="BJ193" s="175">
        <f t="shared" si="423"/>
        <v>0</v>
      </c>
      <c r="BK193" s="175">
        <f>SUMIFS('1-2 人员岗位信息'!Q:Q,'1-2 人员岗位信息'!$C:$C,"自有人员",'1-2 人员岗位信息'!$B:$B,$D193)</f>
        <v>0</v>
      </c>
      <c r="BL193" s="307"/>
      <c r="BM193" s="311"/>
      <c r="BN193" s="315"/>
    </row>
    <row r="194" s="263" customFormat="1" ht="33.95" customHeight="1" outlineLevel="5" spans="2:66">
      <c r="B194" s="175" t="s">
        <v>799</v>
      </c>
      <c r="C194" s="283" t="s">
        <v>1129</v>
      </c>
      <c r="D194" s="263" t="s">
        <v>1130</v>
      </c>
      <c r="E194" s="175" t="s">
        <v>1124</v>
      </c>
      <c r="F194" s="175"/>
      <c r="G194" s="175" t="s">
        <v>803</v>
      </c>
      <c r="H194" s="175">
        <f t="shared" si="407"/>
        <v>0</v>
      </c>
      <c r="I194" s="175" t="s">
        <v>804</v>
      </c>
      <c r="J194" s="175" t="e">
        <f t="shared" si="408"/>
        <v>#DIV/0!</v>
      </c>
      <c r="K194" s="175" t="s">
        <v>805</v>
      </c>
      <c r="L194" s="175" t="e">
        <f t="shared" si="409"/>
        <v>#DIV/0!</v>
      </c>
      <c r="M194" s="175" t="s">
        <v>806</v>
      </c>
      <c r="N194" s="175">
        <f t="shared" si="410"/>
        <v>0</v>
      </c>
      <c r="O194" s="175"/>
      <c r="P194" s="290"/>
      <c r="Q194" s="290"/>
      <c r="R194" s="290"/>
      <c r="S194" s="290"/>
      <c r="T194" s="290"/>
      <c r="U194" s="290"/>
      <c r="V194" s="290"/>
      <c r="W194" s="290"/>
      <c r="X194" s="290"/>
      <c r="Y194" s="290"/>
      <c r="Z194" s="290"/>
      <c r="AA194" s="290"/>
      <c r="AB194" s="175">
        <f t="shared" si="411"/>
        <v>0</v>
      </c>
      <c r="AC194" s="175">
        <f t="shared" si="412"/>
        <v>0</v>
      </c>
      <c r="AD194" s="175">
        <f>SUMIFS('1-2 人员岗位信息'!F:F,'1-2 人员岗位信息'!$C:$C,"自有人员",'1-2 人员岗位信息'!$B:$B,$D194)</f>
        <v>0</v>
      </c>
      <c r="AE194" s="298"/>
      <c r="AF194" s="175">
        <f t="shared" si="413"/>
        <v>0</v>
      </c>
      <c r="AG194" s="175">
        <f>SUMIFS('1-2 人员岗位信息'!G:G,'1-2 人员岗位信息'!$C:$C,"自有人员",'1-2 人员岗位信息'!$B:$B,$D194)</f>
        <v>0</v>
      </c>
      <c r="AH194" s="298"/>
      <c r="AI194" s="175">
        <f t="shared" si="414"/>
        <v>0</v>
      </c>
      <c r="AJ194" s="175">
        <f>SUMIFS('1-2 人员岗位信息'!H:H,'1-2 人员岗位信息'!$C:$C,"自有人员",'1-2 人员岗位信息'!$B:$B,$D194)</f>
        <v>0</v>
      </c>
      <c r="AK194" s="298"/>
      <c r="AL194" s="175">
        <f t="shared" si="415"/>
        <v>0</v>
      </c>
      <c r="AM194" s="175">
        <f>SUMIFS('1-2 人员岗位信息'!I:I,'1-2 人员岗位信息'!$C:$C,"自有人员",'1-2 人员岗位信息'!$B:$B,$D194)</f>
        <v>0</v>
      </c>
      <c r="AN194" s="298"/>
      <c r="AO194" s="175">
        <f t="shared" si="416"/>
        <v>0</v>
      </c>
      <c r="AP194" s="175">
        <f>SUMIFS('1-2 人员岗位信息'!J:J,'1-2 人员岗位信息'!$C:$C,"自有人员",'1-2 人员岗位信息'!$B:$B,$D194)</f>
        <v>0</v>
      </c>
      <c r="AQ194" s="298"/>
      <c r="AR194" s="175">
        <f t="shared" si="417"/>
        <v>0</v>
      </c>
      <c r="AS194" s="175">
        <f>SUMIFS('1-2 人员岗位信息'!K:K,'1-2 人员岗位信息'!$C:$C,"自有人员",'1-2 人员岗位信息'!$B:$B,$D194)</f>
        <v>0</v>
      </c>
      <c r="AT194" s="298"/>
      <c r="AU194" s="175">
        <f t="shared" si="418"/>
        <v>0</v>
      </c>
      <c r="AV194" s="175">
        <f>SUMIFS('1-2 人员岗位信息'!L:L,'1-2 人员岗位信息'!$C:$C,"自有人员",'1-2 人员岗位信息'!$B:$B,$D194)</f>
        <v>0</v>
      </c>
      <c r="AW194" s="298"/>
      <c r="AX194" s="175">
        <f t="shared" si="419"/>
        <v>0</v>
      </c>
      <c r="AY194" s="175">
        <f>SUMIFS('1-2 人员岗位信息'!M:M,'1-2 人员岗位信息'!$C:$C,"自有人员",'1-2 人员岗位信息'!$B:$B,$D194)</f>
        <v>0</v>
      </c>
      <c r="AZ194" s="298"/>
      <c r="BA194" s="175">
        <f t="shared" si="420"/>
        <v>0</v>
      </c>
      <c r="BB194" s="175">
        <f>SUMIFS('1-2 人员岗位信息'!N:N,'1-2 人员岗位信息'!$C:$C,"自有人员",'1-2 人员岗位信息'!$B:$B,$D194)</f>
        <v>0</v>
      </c>
      <c r="BC194" s="298"/>
      <c r="BD194" s="175">
        <f t="shared" si="421"/>
        <v>0</v>
      </c>
      <c r="BE194" s="175">
        <f>SUMIFS('1-2 人员岗位信息'!O:O,'1-2 人员岗位信息'!$C:$C,"自有人员",'1-2 人员岗位信息'!$B:$B,$D194)</f>
        <v>0</v>
      </c>
      <c r="BF194" s="298"/>
      <c r="BG194" s="175">
        <f t="shared" si="422"/>
        <v>0</v>
      </c>
      <c r="BH194" s="175">
        <f>SUMIFS('1-2 人员岗位信息'!P:P,'1-2 人员岗位信息'!$C:$C,"自有人员",'1-2 人员岗位信息'!$B:$B,$D194)</f>
        <v>0</v>
      </c>
      <c r="BI194" s="298"/>
      <c r="BJ194" s="175">
        <f t="shared" si="423"/>
        <v>0</v>
      </c>
      <c r="BK194" s="175">
        <f>SUMIFS('1-2 人员岗位信息'!Q:Q,'1-2 人员岗位信息'!$C:$C,"自有人员",'1-2 人员岗位信息'!$B:$B,$D194)</f>
        <v>0</v>
      </c>
      <c r="BL194" s="307"/>
      <c r="BM194" s="311"/>
      <c r="BN194" s="315"/>
    </row>
    <row r="195" s="263" customFormat="1" ht="33.95" customHeight="1" outlineLevel="5" spans="2:66">
      <c r="B195" s="175" t="s">
        <v>799</v>
      </c>
      <c r="C195" s="283" t="s">
        <v>1131</v>
      </c>
      <c r="D195" s="263" t="s">
        <v>1132</v>
      </c>
      <c r="E195" s="175" t="s">
        <v>1124</v>
      </c>
      <c r="F195" s="175"/>
      <c r="G195" s="175" t="s">
        <v>803</v>
      </c>
      <c r="H195" s="175">
        <f t="shared" si="407"/>
        <v>0</v>
      </c>
      <c r="I195" s="175" t="s">
        <v>804</v>
      </c>
      <c r="J195" s="175" t="e">
        <f t="shared" si="408"/>
        <v>#DIV/0!</v>
      </c>
      <c r="K195" s="175" t="s">
        <v>805</v>
      </c>
      <c r="L195" s="175" t="e">
        <f t="shared" si="409"/>
        <v>#DIV/0!</v>
      </c>
      <c r="M195" s="175" t="s">
        <v>806</v>
      </c>
      <c r="N195" s="175">
        <f t="shared" si="410"/>
        <v>0</v>
      </c>
      <c r="O195" s="175"/>
      <c r="P195" s="290"/>
      <c r="Q195" s="290"/>
      <c r="R195" s="290"/>
      <c r="S195" s="290"/>
      <c r="T195" s="290"/>
      <c r="U195" s="290"/>
      <c r="V195" s="290"/>
      <c r="W195" s="290"/>
      <c r="X195" s="290"/>
      <c r="Y195" s="290"/>
      <c r="Z195" s="290"/>
      <c r="AA195" s="290"/>
      <c r="AB195" s="175">
        <f t="shared" si="411"/>
        <v>0</v>
      </c>
      <c r="AC195" s="175">
        <f t="shared" si="412"/>
        <v>0</v>
      </c>
      <c r="AD195" s="175">
        <f>SUMIFS('1-2 人员岗位信息'!F:F,'1-2 人员岗位信息'!$C:$C,"自有人员",'1-2 人员岗位信息'!$B:$B,$D195)</f>
        <v>0</v>
      </c>
      <c r="AE195" s="298"/>
      <c r="AF195" s="175">
        <f t="shared" si="413"/>
        <v>0</v>
      </c>
      <c r="AG195" s="175">
        <f>SUMIFS('1-2 人员岗位信息'!G:G,'1-2 人员岗位信息'!$C:$C,"自有人员",'1-2 人员岗位信息'!$B:$B,$D195)</f>
        <v>0</v>
      </c>
      <c r="AH195" s="298"/>
      <c r="AI195" s="175">
        <f t="shared" si="414"/>
        <v>0</v>
      </c>
      <c r="AJ195" s="175">
        <f>SUMIFS('1-2 人员岗位信息'!H:H,'1-2 人员岗位信息'!$C:$C,"自有人员",'1-2 人员岗位信息'!$B:$B,$D195)</f>
        <v>0</v>
      </c>
      <c r="AK195" s="298"/>
      <c r="AL195" s="175">
        <f t="shared" si="415"/>
        <v>0</v>
      </c>
      <c r="AM195" s="175">
        <f>SUMIFS('1-2 人员岗位信息'!I:I,'1-2 人员岗位信息'!$C:$C,"自有人员",'1-2 人员岗位信息'!$B:$B,$D195)</f>
        <v>0</v>
      </c>
      <c r="AN195" s="298"/>
      <c r="AO195" s="175">
        <f t="shared" si="416"/>
        <v>0</v>
      </c>
      <c r="AP195" s="175">
        <f>SUMIFS('1-2 人员岗位信息'!J:J,'1-2 人员岗位信息'!$C:$C,"自有人员",'1-2 人员岗位信息'!$B:$B,$D195)</f>
        <v>0</v>
      </c>
      <c r="AQ195" s="298"/>
      <c r="AR195" s="175">
        <f t="shared" si="417"/>
        <v>0</v>
      </c>
      <c r="AS195" s="175">
        <f>SUMIFS('1-2 人员岗位信息'!K:K,'1-2 人员岗位信息'!$C:$C,"自有人员",'1-2 人员岗位信息'!$B:$B,$D195)</f>
        <v>0</v>
      </c>
      <c r="AT195" s="298"/>
      <c r="AU195" s="175">
        <f t="shared" si="418"/>
        <v>0</v>
      </c>
      <c r="AV195" s="175">
        <f>SUMIFS('1-2 人员岗位信息'!L:L,'1-2 人员岗位信息'!$C:$C,"自有人员",'1-2 人员岗位信息'!$B:$B,$D195)</f>
        <v>0</v>
      </c>
      <c r="AW195" s="298"/>
      <c r="AX195" s="175">
        <f t="shared" si="419"/>
        <v>0</v>
      </c>
      <c r="AY195" s="175">
        <f>SUMIFS('1-2 人员岗位信息'!M:M,'1-2 人员岗位信息'!$C:$C,"自有人员",'1-2 人员岗位信息'!$B:$B,$D195)</f>
        <v>0</v>
      </c>
      <c r="AZ195" s="298"/>
      <c r="BA195" s="175">
        <f t="shared" si="420"/>
        <v>0</v>
      </c>
      <c r="BB195" s="175">
        <f>SUMIFS('1-2 人员岗位信息'!N:N,'1-2 人员岗位信息'!$C:$C,"自有人员",'1-2 人员岗位信息'!$B:$B,$D195)</f>
        <v>0</v>
      </c>
      <c r="BC195" s="298"/>
      <c r="BD195" s="175">
        <f t="shared" si="421"/>
        <v>0</v>
      </c>
      <c r="BE195" s="175">
        <f>SUMIFS('1-2 人员岗位信息'!O:O,'1-2 人员岗位信息'!$C:$C,"自有人员",'1-2 人员岗位信息'!$B:$B,$D195)</f>
        <v>0</v>
      </c>
      <c r="BF195" s="298"/>
      <c r="BG195" s="175">
        <f t="shared" si="422"/>
        <v>0</v>
      </c>
      <c r="BH195" s="175">
        <f>SUMIFS('1-2 人员岗位信息'!P:P,'1-2 人员岗位信息'!$C:$C,"自有人员",'1-2 人员岗位信息'!$B:$B,$D195)</f>
        <v>0</v>
      </c>
      <c r="BI195" s="298"/>
      <c r="BJ195" s="175">
        <f t="shared" si="423"/>
        <v>0</v>
      </c>
      <c r="BK195" s="175">
        <f>SUMIFS('1-2 人员岗位信息'!Q:Q,'1-2 人员岗位信息'!$C:$C,"自有人员",'1-2 人员岗位信息'!$B:$B,$D195)</f>
        <v>0</v>
      </c>
      <c r="BL195" s="307"/>
      <c r="BM195" s="311"/>
      <c r="BN195" s="315"/>
    </row>
    <row r="196" s="118" customFormat="1" ht="33.95" customHeight="1" outlineLevel="4" spans="2:66">
      <c r="B196" s="119" t="s">
        <v>794</v>
      </c>
      <c r="C196" s="120" t="s">
        <v>75</v>
      </c>
      <c r="D196" s="118" t="s">
        <v>68</v>
      </c>
      <c r="E196" s="119"/>
      <c r="F196" s="119"/>
      <c r="G196" s="119"/>
      <c r="H196" s="119">
        <f>SUM(H197:H201)</f>
        <v>0</v>
      </c>
      <c r="I196" s="119"/>
      <c r="J196" s="119"/>
      <c r="K196" s="119"/>
      <c r="L196" s="119"/>
      <c r="M196" s="119"/>
      <c r="N196" s="119"/>
      <c r="O196" s="119"/>
      <c r="P196" s="289"/>
      <c r="Q196" s="289"/>
      <c r="R196" s="289"/>
      <c r="S196" s="289"/>
      <c r="T196" s="289"/>
      <c r="U196" s="289"/>
      <c r="V196" s="289"/>
      <c r="W196" s="289"/>
      <c r="X196" s="289"/>
      <c r="Y196" s="289"/>
      <c r="Z196" s="289"/>
      <c r="AA196" s="289"/>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6"/>
      <c r="BM196" s="311"/>
      <c r="BN196" s="314"/>
    </row>
    <row r="197" s="263" customFormat="1" ht="33.95" customHeight="1" outlineLevel="5" spans="2:66">
      <c r="B197" s="175" t="s">
        <v>799</v>
      </c>
      <c r="C197" s="283" t="s">
        <v>1133</v>
      </c>
      <c r="D197" s="263" t="s">
        <v>1123</v>
      </c>
      <c r="E197" s="175" t="s">
        <v>1134</v>
      </c>
      <c r="F197" s="175"/>
      <c r="G197" s="175" t="s">
        <v>803</v>
      </c>
      <c r="H197" s="175">
        <f t="shared" ref="H197:H201" si="425">AB197</f>
        <v>0</v>
      </c>
      <c r="I197" s="175" t="s">
        <v>804</v>
      </c>
      <c r="J197" s="175" t="e">
        <f t="shared" ref="J197:J201" si="426">SUM(AD197,AG197,AJ197,AM197,AP197,AS197,AV197,AY197,BB197,BE197,BH197,BK197)/N197</f>
        <v>#DIV/0!</v>
      </c>
      <c r="K197" s="175" t="s">
        <v>805</v>
      </c>
      <c r="L197" s="175" t="e">
        <f t="shared" ref="L197:L201" si="427">H197/N197/J197</f>
        <v>#DIV/0!</v>
      </c>
      <c r="M197" s="175" t="s">
        <v>806</v>
      </c>
      <c r="N197" s="175">
        <f t="shared" ref="N197:N201" si="428">COUNTIF(AD197,"&gt;0")+COUNTIF(AG197,"&gt;0")+COUNTIF(AJ197,"&gt;0")+COUNTIF(AM197,"&gt;0")+COUNTIF(AP197,"&gt;0")+COUNTIF(AS197,"&gt;0")+COUNTIF(AV197,"&gt;0")+COUNTIF(AY197,"&gt;0")+COUNTIF(BB197,"&gt;0")+COUNTIF(BE197,"&gt;0")+COUNTIF(BH197,"&gt;0")+COUNTIF(BK197,"&gt;0")</f>
        <v>0</v>
      </c>
      <c r="O197" s="175"/>
      <c r="P197" s="290"/>
      <c r="Q197" s="290"/>
      <c r="R197" s="290"/>
      <c r="S197" s="290"/>
      <c r="T197" s="290"/>
      <c r="U197" s="290"/>
      <c r="V197" s="290"/>
      <c r="W197" s="290"/>
      <c r="X197" s="290"/>
      <c r="Y197" s="290"/>
      <c r="Z197" s="290"/>
      <c r="AA197" s="290"/>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298"/>
      <c r="AF197" s="175">
        <f t="shared" ref="AF197:AF201" si="431">AG197*AH197</f>
        <v>0</v>
      </c>
      <c r="AG197" s="175">
        <f>SUMIFS('1-2 人员岗位信息'!G:G,'1-2 人员岗位信息'!$C:$C,"劳务派遣",'1-2 人员岗位信息'!$B:$B,$D197)</f>
        <v>0</v>
      </c>
      <c r="AH197" s="298"/>
      <c r="AI197" s="175">
        <f t="shared" ref="AI197:AI201" si="432">AJ197*AK197</f>
        <v>0</v>
      </c>
      <c r="AJ197" s="175">
        <f>SUMIFS('1-2 人员岗位信息'!H:H,'1-2 人员岗位信息'!$C:$C,"劳务派遣",'1-2 人员岗位信息'!$B:$B,$D197)</f>
        <v>0</v>
      </c>
      <c r="AK197" s="298"/>
      <c r="AL197" s="175">
        <f t="shared" ref="AL197:AL201" si="433">AM197*AN197</f>
        <v>0</v>
      </c>
      <c r="AM197" s="175">
        <f>SUMIFS('1-2 人员岗位信息'!I:I,'1-2 人员岗位信息'!$C:$C,"劳务派遣",'1-2 人员岗位信息'!$B:$B,$D197)</f>
        <v>0</v>
      </c>
      <c r="AN197" s="298"/>
      <c r="AO197" s="175">
        <f t="shared" ref="AO197:AO201" si="434">AP197*AQ197</f>
        <v>0</v>
      </c>
      <c r="AP197" s="175">
        <f>SUMIFS('1-2 人员岗位信息'!J:J,'1-2 人员岗位信息'!$C:$C,"劳务派遣",'1-2 人员岗位信息'!$B:$B,$D197)</f>
        <v>0</v>
      </c>
      <c r="AQ197" s="298"/>
      <c r="AR197" s="175">
        <f t="shared" ref="AR197:AR201" si="435">AS197*AT197</f>
        <v>0</v>
      </c>
      <c r="AS197" s="175">
        <f>SUMIFS('1-2 人员岗位信息'!K:K,'1-2 人员岗位信息'!$C:$C,"劳务派遣",'1-2 人员岗位信息'!$B:$B,$D197)</f>
        <v>0</v>
      </c>
      <c r="AT197" s="298"/>
      <c r="AU197" s="175">
        <f t="shared" ref="AU197:AU201" si="436">AV197*AW197</f>
        <v>0</v>
      </c>
      <c r="AV197" s="175">
        <f>SUMIFS('1-2 人员岗位信息'!L:L,'1-2 人员岗位信息'!$C:$C,"劳务派遣",'1-2 人员岗位信息'!$B:$B,$D197)</f>
        <v>0</v>
      </c>
      <c r="AW197" s="298"/>
      <c r="AX197" s="175">
        <f t="shared" ref="AX197:AX201" si="437">AY197*AZ197</f>
        <v>0</v>
      </c>
      <c r="AY197" s="175">
        <f>SUMIFS('1-2 人员岗位信息'!M:M,'1-2 人员岗位信息'!$C:$C,"劳务派遣",'1-2 人员岗位信息'!$B:$B,$D197)</f>
        <v>0</v>
      </c>
      <c r="AZ197" s="298"/>
      <c r="BA197" s="175">
        <f t="shared" ref="BA197:BA201" si="438">BB197*BC197</f>
        <v>0</v>
      </c>
      <c r="BB197" s="175">
        <f>SUMIFS('1-2 人员岗位信息'!N:N,'1-2 人员岗位信息'!$C:$C,"劳务派遣",'1-2 人员岗位信息'!$B:$B,$D197)</f>
        <v>0</v>
      </c>
      <c r="BC197" s="298"/>
      <c r="BD197" s="175">
        <f t="shared" ref="BD197:BD201" si="439">BE197*BF197</f>
        <v>0</v>
      </c>
      <c r="BE197" s="175">
        <f>SUMIFS('1-2 人员岗位信息'!O:O,'1-2 人员岗位信息'!$C:$C,"劳务派遣",'1-2 人员岗位信息'!$B:$B,$D197)</f>
        <v>0</v>
      </c>
      <c r="BF197" s="298"/>
      <c r="BG197" s="175">
        <f t="shared" ref="BG197:BG201" si="440">BH197*BI197</f>
        <v>0</v>
      </c>
      <c r="BH197" s="175">
        <f>SUMIFS('1-2 人员岗位信息'!P:P,'1-2 人员岗位信息'!$C:$C,"劳务派遣",'1-2 人员岗位信息'!$B:$B,$D197)</f>
        <v>0</v>
      </c>
      <c r="BI197" s="298"/>
      <c r="BJ197" s="175">
        <f t="shared" ref="BJ197:BJ201" si="441">BK197*BL197</f>
        <v>0</v>
      </c>
      <c r="BK197" s="175">
        <f>SUMIFS('1-2 人员岗位信息'!Q:Q,'1-2 人员岗位信息'!$C:$C,"劳务派遣",'1-2 人员岗位信息'!$B:$B,$D197)</f>
        <v>0</v>
      </c>
      <c r="BL197" s="307"/>
      <c r="BM197" s="311"/>
      <c r="BN197" s="315"/>
    </row>
    <row r="198" s="263" customFormat="1" ht="33.95" customHeight="1" outlineLevel="5" spans="2:66">
      <c r="B198" s="175" t="s">
        <v>799</v>
      </c>
      <c r="C198" s="283" t="s">
        <v>1135</v>
      </c>
      <c r="D198" s="263" t="s">
        <v>1126</v>
      </c>
      <c r="E198" s="175" t="s">
        <v>1134</v>
      </c>
      <c r="F198" s="175"/>
      <c r="G198" s="175" t="s">
        <v>803</v>
      </c>
      <c r="H198" s="175">
        <f t="shared" si="425"/>
        <v>0</v>
      </c>
      <c r="I198" s="175" t="s">
        <v>804</v>
      </c>
      <c r="J198" s="175" t="e">
        <f t="shared" si="426"/>
        <v>#DIV/0!</v>
      </c>
      <c r="K198" s="175" t="s">
        <v>805</v>
      </c>
      <c r="L198" s="175" t="e">
        <f t="shared" si="427"/>
        <v>#DIV/0!</v>
      </c>
      <c r="M198" s="175" t="s">
        <v>806</v>
      </c>
      <c r="N198" s="175">
        <f t="shared" si="428"/>
        <v>0</v>
      </c>
      <c r="O198" s="175"/>
      <c r="P198" s="290"/>
      <c r="Q198" s="290"/>
      <c r="R198" s="290"/>
      <c r="S198" s="290"/>
      <c r="T198" s="290"/>
      <c r="U198" s="290"/>
      <c r="V198" s="290"/>
      <c r="W198" s="290"/>
      <c r="X198" s="290"/>
      <c r="Y198" s="290"/>
      <c r="Z198" s="290"/>
      <c r="AA198" s="290"/>
      <c r="AB198" s="175">
        <f t="shared" si="429"/>
        <v>0</v>
      </c>
      <c r="AC198" s="175">
        <f t="shared" si="430"/>
        <v>0</v>
      </c>
      <c r="AD198" s="175">
        <f>SUMIFS('1-2 人员岗位信息'!F:F,'1-2 人员岗位信息'!$C:$C,"劳务派遣",'1-2 人员岗位信息'!$B:$B,$D198)</f>
        <v>0</v>
      </c>
      <c r="AE198" s="298"/>
      <c r="AF198" s="175">
        <f t="shared" si="431"/>
        <v>0</v>
      </c>
      <c r="AG198" s="175">
        <f>SUMIFS('1-2 人员岗位信息'!G:G,'1-2 人员岗位信息'!$C:$C,"劳务派遣",'1-2 人员岗位信息'!$B:$B,$D198)</f>
        <v>0</v>
      </c>
      <c r="AH198" s="298"/>
      <c r="AI198" s="175">
        <f t="shared" si="432"/>
        <v>0</v>
      </c>
      <c r="AJ198" s="175">
        <f>SUMIFS('1-2 人员岗位信息'!H:H,'1-2 人员岗位信息'!$C:$C,"劳务派遣",'1-2 人员岗位信息'!$B:$B,$D198)</f>
        <v>0</v>
      </c>
      <c r="AK198" s="298"/>
      <c r="AL198" s="175">
        <f t="shared" si="433"/>
        <v>0</v>
      </c>
      <c r="AM198" s="175">
        <f>SUMIFS('1-2 人员岗位信息'!I:I,'1-2 人员岗位信息'!$C:$C,"劳务派遣",'1-2 人员岗位信息'!$B:$B,$D198)</f>
        <v>0</v>
      </c>
      <c r="AN198" s="298"/>
      <c r="AO198" s="175">
        <f t="shared" si="434"/>
        <v>0</v>
      </c>
      <c r="AP198" s="175">
        <f>SUMIFS('1-2 人员岗位信息'!J:J,'1-2 人员岗位信息'!$C:$C,"劳务派遣",'1-2 人员岗位信息'!$B:$B,$D198)</f>
        <v>0</v>
      </c>
      <c r="AQ198" s="298"/>
      <c r="AR198" s="175">
        <f t="shared" si="435"/>
        <v>0</v>
      </c>
      <c r="AS198" s="175">
        <f>SUMIFS('1-2 人员岗位信息'!K:K,'1-2 人员岗位信息'!$C:$C,"劳务派遣",'1-2 人员岗位信息'!$B:$B,$D198)</f>
        <v>0</v>
      </c>
      <c r="AT198" s="298"/>
      <c r="AU198" s="175">
        <f t="shared" si="436"/>
        <v>0</v>
      </c>
      <c r="AV198" s="175">
        <f>SUMIFS('1-2 人员岗位信息'!L:L,'1-2 人员岗位信息'!$C:$C,"劳务派遣",'1-2 人员岗位信息'!$B:$B,$D198)</f>
        <v>0</v>
      </c>
      <c r="AW198" s="298"/>
      <c r="AX198" s="175">
        <f t="shared" si="437"/>
        <v>0</v>
      </c>
      <c r="AY198" s="175">
        <f>SUMIFS('1-2 人员岗位信息'!M:M,'1-2 人员岗位信息'!$C:$C,"劳务派遣",'1-2 人员岗位信息'!$B:$B,$D198)</f>
        <v>0</v>
      </c>
      <c r="AZ198" s="298"/>
      <c r="BA198" s="175">
        <f t="shared" si="438"/>
        <v>0</v>
      </c>
      <c r="BB198" s="175">
        <f>SUMIFS('1-2 人员岗位信息'!N:N,'1-2 人员岗位信息'!$C:$C,"劳务派遣",'1-2 人员岗位信息'!$B:$B,$D198)</f>
        <v>0</v>
      </c>
      <c r="BC198" s="298"/>
      <c r="BD198" s="175">
        <f t="shared" si="439"/>
        <v>0</v>
      </c>
      <c r="BE198" s="175">
        <f>SUMIFS('1-2 人员岗位信息'!O:O,'1-2 人员岗位信息'!$C:$C,"劳务派遣",'1-2 人员岗位信息'!$B:$B,$D198)</f>
        <v>0</v>
      </c>
      <c r="BF198" s="298"/>
      <c r="BG198" s="175">
        <f t="shared" si="440"/>
        <v>0</v>
      </c>
      <c r="BH198" s="175">
        <f>SUMIFS('1-2 人员岗位信息'!P:P,'1-2 人员岗位信息'!$C:$C,"劳务派遣",'1-2 人员岗位信息'!$B:$B,$D198)</f>
        <v>0</v>
      </c>
      <c r="BI198" s="298"/>
      <c r="BJ198" s="175">
        <f t="shared" si="441"/>
        <v>0</v>
      </c>
      <c r="BK198" s="175">
        <f>SUMIFS('1-2 人员岗位信息'!Q:Q,'1-2 人员岗位信息'!$C:$C,"劳务派遣",'1-2 人员岗位信息'!$B:$B,$D198)</f>
        <v>0</v>
      </c>
      <c r="BL198" s="307"/>
      <c r="BM198" s="311"/>
      <c r="BN198" s="315"/>
    </row>
    <row r="199" s="263" customFormat="1" ht="33.95" customHeight="1" outlineLevel="5" spans="2:66">
      <c r="B199" s="175" t="s">
        <v>799</v>
      </c>
      <c r="C199" s="283" t="s">
        <v>1136</v>
      </c>
      <c r="D199" s="263" t="s">
        <v>1128</v>
      </c>
      <c r="E199" s="175" t="s">
        <v>1134</v>
      </c>
      <c r="F199" s="175"/>
      <c r="G199" s="175" t="s">
        <v>803</v>
      </c>
      <c r="H199" s="175">
        <f t="shared" si="425"/>
        <v>0</v>
      </c>
      <c r="I199" s="175" t="s">
        <v>804</v>
      </c>
      <c r="J199" s="175" t="e">
        <f t="shared" si="426"/>
        <v>#DIV/0!</v>
      </c>
      <c r="K199" s="175" t="s">
        <v>805</v>
      </c>
      <c r="L199" s="175" t="e">
        <f t="shared" si="427"/>
        <v>#DIV/0!</v>
      </c>
      <c r="M199" s="175" t="s">
        <v>806</v>
      </c>
      <c r="N199" s="175">
        <f t="shared" si="428"/>
        <v>0</v>
      </c>
      <c r="O199" s="175"/>
      <c r="P199" s="290"/>
      <c r="Q199" s="290"/>
      <c r="R199" s="290"/>
      <c r="S199" s="290"/>
      <c r="T199" s="290"/>
      <c r="U199" s="290"/>
      <c r="V199" s="290"/>
      <c r="W199" s="290"/>
      <c r="X199" s="290"/>
      <c r="Y199" s="290"/>
      <c r="Z199" s="290"/>
      <c r="AA199" s="290"/>
      <c r="AB199" s="175">
        <f t="shared" si="429"/>
        <v>0</v>
      </c>
      <c r="AC199" s="175">
        <f t="shared" si="430"/>
        <v>0</v>
      </c>
      <c r="AD199" s="175">
        <f>SUMIFS('1-2 人员岗位信息'!F:F,'1-2 人员岗位信息'!$C:$C,"劳务派遣",'1-2 人员岗位信息'!$B:$B,$D199)</f>
        <v>0</v>
      </c>
      <c r="AE199" s="298"/>
      <c r="AF199" s="175">
        <f t="shared" si="431"/>
        <v>0</v>
      </c>
      <c r="AG199" s="175">
        <f>SUMIFS('1-2 人员岗位信息'!G:G,'1-2 人员岗位信息'!$C:$C,"劳务派遣",'1-2 人员岗位信息'!$B:$B,$D199)</f>
        <v>0</v>
      </c>
      <c r="AH199" s="298"/>
      <c r="AI199" s="175">
        <f t="shared" si="432"/>
        <v>0</v>
      </c>
      <c r="AJ199" s="175">
        <f>SUMIFS('1-2 人员岗位信息'!H:H,'1-2 人员岗位信息'!$C:$C,"劳务派遣",'1-2 人员岗位信息'!$B:$B,$D199)</f>
        <v>0</v>
      </c>
      <c r="AK199" s="298"/>
      <c r="AL199" s="175">
        <f t="shared" si="433"/>
        <v>0</v>
      </c>
      <c r="AM199" s="175">
        <f>SUMIFS('1-2 人员岗位信息'!I:I,'1-2 人员岗位信息'!$C:$C,"劳务派遣",'1-2 人员岗位信息'!$B:$B,$D199)</f>
        <v>0</v>
      </c>
      <c r="AN199" s="298"/>
      <c r="AO199" s="175">
        <f t="shared" si="434"/>
        <v>0</v>
      </c>
      <c r="AP199" s="175">
        <f>SUMIFS('1-2 人员岗位信息'!J:J,'1-2 人员岗位信息'!$C:$C,"劳务派遣",'1-2 人员岗位信息'!$B:$B,$D199)</f>
        <v>0</v>
      </c>
      <c r="AQ199" s="298"/>
      <c r="AR199" s="175">
        <f t="shared" si="435"/>
        <v>0</v>
      </c>
      <c r="AS199" s="175">
        <f>SUMIFS('1-2 人员岗位信息'!K:K,'1-2 人员岗位信息'!$C:$C,"劳务派遣",'1-2 人员岗位信息'!$B:$B,$D199)</f>
        <v>0</v>
      </c>
      <c r="AT199" s="298"/>
      <c r="AU199" s="175">
        <f t="shared" si="436"/>
        <v>0</v>
      </c>
      <c r="AV199" s="175">
        <f>SUMIFS('1-2 人员岗位信息'!L:L,'1-2 人员岗位信息'!$C:$C,"劳务派遣",'1-2 人员岗位信息'!$B:$B,$D199)</f>
        <v>0</v>
      </c>
      <c r="AW199" s="298"/>
      <c r="AX199" s="175">
        <f t="shared" si="437"/>
        <v>0</v>
      </c>
      <c r="AY199" s="175">
        <f>SUMIFS('1-2 人员岗位信息'!M:M,'1-2 人员岗位信息'!$C:$C,"劳务派遣",'1-2 人员岗位信息'!$B:$B,$D199)</f>
        <v>0</v>
      </c>
      <c r="AZ199" s="298"/>
      <c r="BA199" s="175">
        <f t="shared" si="438"/>
        <v>0</v>
      </c>
      <c r="BB199" s="175">
        <f>SUMIFS('1-2 人员岗位信息'!N:N,'1-2 人员岗位信息'!$C:$C,"劳务派遣",'1-2 人员岗位信息'!$B:$B,$D199)</f>
        <v>0</v>
      </c>
      <c r="BC199" s="298"/>
      <c r="BD199" s="175">
        <f t="shared" si="439"/>
        <v>0</v>
      </c>
      <c r="BE199" s="175">
        <f>SUMIFS('1-2 人员岗位信息'!O:O,'1-2 人员岗位信息'!$C:$C,"劳务派遣",'1-2 人员岗位信息'!$B:$B,$D199)</f>
        <v>0</v>
      </c>
      <c r="BF199" s="298"/>
      <c r="BG199" s="175">
        <f t="shared" si="440"/>
        <v>0</v>
      </c>
      <c r="BH199" s="175">
        <f>SUMIFS('1-2 人员岗位信息'!P:P,'1-2 人员岗位信息'!$C:$C,"劳务派遣",'1-2 人员岗位信息'!$B:$B,$D199)</f>
        <v>0</v>
      </c>
      <c r="BI199" s="298"/>
      <c r="BJ199" s="175">
        <f t="shared" si="441"/>
        <v>0</v>
      </c>
      <c r="BK199" s="175">
        <f>SUMIFS('1-2 人员岗位信息'!Q:Q,'1-2 人员岗位信息'!$C:$C,"劳务派遣",'1-2 人员岗位信息'!$B:$B,$D199)</f>
        <v>0</v>
      </c>
      <c r="BL199" s="307"/>
      <c r="BM199" s="311"/>
      <c r="BN199" s="315"/>
    </row>
    <row r="200" s="263" customFormat="1" ht="33.95" customHeight="1" outlineLevel="5" spans="2:66">
      <c r="B200" s="175" t="s">
        <v>799</v>
      </c>
      <c r="C200" s="283" t="s">
        <v>1137</v>
      </c>
      <c r="D200" s="263" t="s">
        <v>1130</v>
      </c>
      <c r="E200" s="175" t="s">
        <v>1134</v>
      </c>
      <c r="F200" s="175"/>
      <c r="G200" s="175" t="s">
        <v>803</v>
      </c>
      <c r="H200" s="175">
        <f t="shared" si="425"/>
        <v>0</v>
      </c>
      <c r="I200" s="175" t="s">
        <v>804</v>
      </c>
      <c r="J200" s="175" t="e">
        <f t="shared" si="426"/>
        <v>#DIV/0!</v>
      </c>
      <c r="K200" s="175" t="s">
        <v>805</v>
      </c>
      <c r="L200" s="175" t="e">
        <f t="shared" si="427"/>
        <v>#DIV/0!</v>
      </c>
      <c r="M200" s="175" t="s">
        <v>806</v>
      </c>
      <c r="N200" s="175">
        <f t="shared" si="428"/>
        <v>0</v>
      </c>
      <c r="O200" s="175"/>
      <c r="P200" s="290"/>
      <c r="Q200" s="290"/>
      <c r="R200" s="290"/>
      <c r="S200" s="290"/>
      <c r="T200" s="290"/>
      <c r="U200" s="290"/>
      <c r="V200" s="290"/>
      <c r="W200" s="290"/>
      <c r="X200" s="290"/>
      <c r="Y200" s="290"/>
      <c r="Z200" s="290"/>
      <c r="AA200" s="290"/>
      <c r="AB200" s="175">
        <f t="shared" si="429"/>
        <v>0</v>
      </c>
      <c r="AC200" s="175">
        <f t="shared" si="430"/>
        <v>0</v>
      </c>
      <c r="AD200" s="175">
        <f>SUMIFS('1-2 人员岗位信息'!F:F,'1-2 人员岗位信息'!$C:$C,"劳务派遣",'1-2 人员岗位信息'!$B:$B,$D200)</f>
        <v>0</v>
      </c>
      <c r="AE200" s="298"/>
      <c r="AF200" s="175">
        <f t="shared" si="431"/>
        <v>0</v>
      </c>
      <c r="AG200" s="175">
        <f>SUMIFS('1-2 人员岗位信息'!G:G,'1-2 人员岗位信息'!$C:$C,"劳务派遣",'1-2 人员岗位信息'!$B:$B,$D200)</f>
        <v>0</v>
      </c>
      <c r="AH200" s="298"/>
      <c r="AI200" s="175">
        <f t="shared" si="432"/>
        <v>0</v>
      </c>
      <c r="AJ200" s="175">
        <f>SUMIFS('1-2 人员岗位信息'!H:H,'1-2 人员岗位信息'!$C:$C,"劳务派遣",'1-2 人员岗位信息'!$B:$B,$D200)</f>
        <v>0</v>
      </c>
      <c r="AK200" s="298"/>
      <c r="AL200" s="175">
        <f t="shared" si="433"/>
        <v>0</v>
      </c>
      <c r="AM200" s="175">
        <f>SUMIFS('1-2 人员岗位信息'!I:I,'1-2 人员岗位信息'!$C:$C,"劳务派遣",'1-2 人员岗位信息'!$B:$B,$D200)</f>
        <v>0</v>
      </c>
      <c r="AN200" s="298"/>
      <c r="AO200" s="175">
        <f t="shared" si="434"/>
        <v>0</v>
      </c>
      <c r="AP200" s="175">
        <f>SUMIFS('1-2 人员岗位信息'!J:J,'1-2 人员岗位信息'!$C:$C,"劳务派遣",'1-2 人员岗位信息'!$B:$B,$D200)</f>
        <v>0</v>
      </c>
      <c r="AQ200" s="298"/>
      <c r="AR200" s="175">
        <f t="shared" si="435"/>
        <v>0</v>
      </c>
      <c r="AS200" s="175">
        <f>SUMIFS('1-2 人员岗位信息'!K:K,'1-2 人员岗位信息'!$C:$C,"劳务派遣",'1-2 人员岗位信息'!$B:$B,$D200)</f>
        <v>0</v>
      </c>
      <c r="AT200" s="298"/>
      <c r="AU200" s="175">
        <f t="shared" si="436"/>
        <v>0</v>
      </c>
      <c r="AV200" s="175">
        <f>SUMIFS('1-2 人员岗位信息'!L:L,'1-2 人员岗位信息'!$C:$C,"劳务派遣",'1-2 人员岗位信息'!$B:$B,$D200)</f>
        <v>0</v>
      </c>
      <c r="AW200" s="298"/>
      <c r="AX200" s="175">
        <f t="shared" si="437"/>
        <v>0</v>
      </c>
      <c r="AY200" s="175">
        <f>SUMIFS('1-2 人员岗位信息'!M:M,'1-2 人员岗位信息'!$C:$C,"劳务派遣",'1-2 人员岗位信息'!$B:$B,$D200)</f>
        <v>0</v>
      </c>
      <c r="AZ200" s="298"/>
      <c r="BA200" s="175">
        <f t="shared" si="438"/>
        <v>0</v>
      </c>
      <c r="BB200" s="175">
        <f>SUMIFS('1-2 人员岗位信息'!N:N,'1-2 人员岗位信息'!$C:$C,"劳务派遣",'1-2 人员岗位信息'!$B:$B,$D200)</f>
        <v>0</v>
      </c>
      <c r="BC200" s="298"/>
      <c r="BD200" s="175">
        <f t="shared" si="439"/>
        <v>0</v>
      </c>
      <c r="BE200" s="175">
        <f>SUMIFS('1-2 人员岗位信息'!O:O,'1-2 人员岗位信息'!$C:$C,"劳务派遣",'1-2 人员岗位信息'!$B:$B,$D200)</f>
        <v>0</v>
      </c>
      <c r="BF200" s="298"/>
      <c r="BG200" s="175">
        <f t="shared" si="440"/>
        <v>0</v>
      </c>
      <c r="BH200" s="175">
        <f>SUMIFS('1-2 人员岗位信息'!P:P,'1-2 人员岗位信息'!$C:$C,"劳务派遣",'1-2 人员岗位信息'!$B:$B,$D200)</f>
        <v>0</v>
      </c>
      <c r="BI200" s="298"/>
      <c r="BJ200" s="175">
        <f t="shared" si="441"/>
        <v>0</v>
      </c>
      <c r="BK200" s="175">
        <f>SUMIFS('1-2 人员岗位信息'!Q:Q,'1-2 人员岗位信息'!$C:$C,"劳务派遣",'1-2 人员岗位信息'!$B:$B,$D200)</f>
        <v>0</v>
      </c>
      <c r="BL200" s="307"/>
      <c r="BM200" s="311"/>
      <c r="BN200" s="315"/>
    </row>
    <row r="201" s="263" customFormat="1" ht="33.95" customHeight="1" outlineLevel="5" spans="2:66">
      <c r="B201" s="175" t="s">
        <v>799</v>
      </c>
      <c r="C201" s="283" t="s">
        <v>1138</v>
      </c>
      <c r="D201" s="263" t="s">
        <v>1132</v>
      </c>
      <c r="E201" s="175" t="s">
        <v>1134</v>
      </c>
      <c r="F201" s="175"/>
      <c r="G201" s="175" t="s">
        <v>803</v>
      </c>
      <c r="H201" s="175">
        <f t="shared" si="425"/>
        <v>0</v>
      </c>
      <c r="I201" s="175" t="s">
        <v>804</v>
      </c>
      <c r="J201" s="175" t="e">
        <f t="shared" si="426"/>
        <v>#DIV/0!</v>
      </c>
      <c r="K201" s="175" t="s">
        <v>805</v>
      </c>
      <c r="L201" s="175" t="e">
        <f t="shared" si="427"/>
        <v>#DIV/0!</v>
      </c>
      <c r="M201" s="175" t="s">
        <v>806</v>
      </c>
      <c r="N201" s="175">
        <f t="shared" si="428"/>
        <v>0</v>
      </c>
      <c r="O201" s="175"/>
      <c r="P201" s="290"/>
      <c r="Q201" s="290"/>
      <c r="R201" s="290"/>
      <c r="S201" s="290"/>
      <c r="T201" s="290"/>
      <c r="U201" s="290"/>
      <c r="V201" s="290"/>
      <c r="W201" s="290"/>
      <c r="X201" s="290"/>
      <c r="Y201" s="290"/>
      <c r="Z201" s="290"/>
      <c r="AA201" s="290"/>
      <c r="AB201" s="175">
        <f t="shared" si="429"/>
        <v>0</v>
      </c>
      <c r="AC201" s="175">
        <f t="shared" si="430"/>
        <v>0</v>
      </c>
      <c r="AD201" s="175">
        <f>SUMIFS('1-2 人员岗位信息'!F:F,'1-2 人员岗位信息'!$C:$C,"劳务派遣",'1-2 人员岗位信息'!$B:$B,$D201)</f>
        <v>0</v>
      </c>
      <c r="AE201" s="298"/>
      <c r="AF201" s="175">
        <f t="shared" si="431"/>
        <v>0</v>
      </c>
      <c r="AG201" s="175">
        <f>SUMIFS('1-2 人员岗位信息'!G:G,'1-2 人员岗位信息'!$C:$C,"劳务派遣",'1-2 人员岗位信息'!$B:$B,$D201)</f>
        <v>0</v>
      </c>
      <c r="AH201" s="298"/>
      <c r="AI201" s="175">
        <f t="shared" si="432"/>
        <v>0</v>
      </c>
      <c r="AJ201" s="175">
        <f>SUMIFS('1-2 人员岗位信息'!H:H,'1-2 人员岗位信息'!$C:$C,"劳务派遣",'1-2 人员岗位信息'!$B:$B,$D201)</f>
        <v>0</v>
      </c>
      <c r="AK201" s="298"/>
      <c r="AL201" s="175">
        <f t="shared" si="433"/>
        <v>0</v>
      </c>
      <c r="AM201" s="175">
        <f>SUMIFS('1-2 人员岗位信息'!I:I,'1-2 人员岗位信息'!$C:$C,"劳务派遣",'1-2 人员岗位信息'!$B:$B,$D201)</f>
        <v>0</v>
      </c>
      <c r="AN201" s="298"/>
      <c r="AO201" s="175">
        <f t="shared" si="434"/>
        <v>0</v>
      </c>
      <c r="AP201" s="175">
        <f>SUMIFS('1-2 人员岗位信息'!J:J,'1-2 人员岗位信息'!$C:$C,"劳务派遣",'1-2 人员岗位信息'!$B:$B,$D201)</f>
        <v>0</v>
      </c>
      <c r="AQ201" s="298"/>
      <c r="AR201" s="175">
        <f t="shared" si="435"/>
        <v>0</v>
      </c>
      <c r="AS201" s="175">
        <f>SUMIFS('1-2 人员岗位信息'!K:K,'1-2 人员岗位信息'!$C:$C,"劳务派遣",'1-2 人员岗位信息'!$B:$B,$D201)</f>
        <v>0</v>
      </c>
      <c r="AT201" s="298"/>
      <c r="AU201" s="175">
        <f t="shared" si="436"/>
        <v>0</v>
      </c>
      <c r="AV201" s="175">
        <f>SUMIFS('1-2 人员岗位信息'!L:L,'1-2 人员岗位信息'!$C:$C,"劳务派遣",'1-2 人员岗位信息'!$B:$B,$D201)</f>
        <v>0</v>
      </c>
      <c r="AW201" s="298"/>
      <c r="AX201" s="175">
        <f t="shared" si="437"/>
        <v>0</v>
      </c>
      <c r="AY201" s="175">
        <f>SUMIFS('1-2 人员岗位信息'!M:M,'1-2 人员岗位信息'!$C:$C,"劳务派遣",'1-2 人员岗位信息'!$B:$B,$D201)</f>
        <v>0</v>
      </c>
      <c r="AZ201" s="298"/>
      <c r="BA201" s="175">
        <f t="shared" si="438"/>
        <v>0</v>
      </c>
      <c r="BB201" s="175">
        <f>SUMIFS('1-2 人员岗位信息'!N:N,'1-2 人员岗位信息'!$C:$C,"劳务派遣",'1-2 人员岗位信息'!$B:$B,$D201)</f>
        <v>0</v>
      </c>
      <c r="BC201" s="298"/>
      <c r="BD201" s="175">
        <f t="shared" si="439"/>
        <v>0</v>
      </c>
      <c r="BE201" s="175">
        <f>SUMIFS('1-2 人员岗位信息'!O:O,'1-2 人员岗位信息'!$C:$C,"劳务派遣",'1-2 人员岗位信息'!$B:$B,$D201)</f>
        <v>0</v>
      </c>
      <c r="BF201" s="298"/>
      <c r="BG201" s="175">
        <f t="shared" si="440"/>
        <v>0</v>
      </c>
      <c r="BH201" s="175">
        <f>SUMIFS('1-2 人员岗位信息'!P:P,'1-2 人员岗位信息'!$C:$C,"劳务派遣",'1-2 人员岗位信息'!$B:$B,$D201)</f>
        <v>0</v>
      </c>
      <c r="BI201" s="298"/>
      <c r="BJ201" s="175">
        <f t="shared" si="441"/>
        <v>0</v>
      </c>
      <c r="BK201" s="175">
        <f>SUMIFS('1-2 人员岗位信息'!Q:Q,'1-2 人员岗位信息'!$C:$C,"劳务派遣",'1-2 人员岗位信息'!$B:$B,$D201)</f>
        <v>0</v>
      </c>
      <c r="BL201" s="307"/>
      <c r="BM201" s="311"/>
      <c r="BN201" s="315"/>
    </row>
    <row r="202" s="118" customFormat="1" ht="33.95" customHeight="1" outlineLevel="4" spans="2:66">
      <c r="B202" s="119" t="s">
        <v>794</v>
      </c>
      <c r="C202" s="120" t="s">
        <v>1139</v>
      </c>
      <c r="D202" s="118" t="s">
        <v>19</v>
      </c>
      <c r="E202" s="119"/>
      <c r="F202" s="119"/>
      <c r="G202" s="119"/>
      <c r="H202" s="119">
        <f>SUM(H203:H207)</f>
        <v>0</v>
      </c>
      <c r="I202" s="119"/>
      <c r="J202" s="119"/>
      <c r="K202" s="119"/>
      <c r="L202" s="119"/>
      <c r="M202" s="119"/>
      <c r="N202" s="119"/>
      <c r="O202" s="119"/>
      <c r="P202" s="289"/>
      <c r="Q202" s="289"/>
      <c r="R202" s="289"/>
      <c r="S202" s="289"/>
      <c r="T202" s="289"/>
      <c r="U202" s="289"/>
      <c r="V202" s="289"/>
      <c r="W202" s="289"/>
      <c r="X202" s="289"/>
      <c r="Y202" s="289"/>
      <c r="Z202" s="289"/>
      <c r="AA202" s="289"/>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6"/>
      <c r="BM202" s="311"/>
      <c r="BN202" s="314"/>
    </row>
    <row r="203" s="263" customFormat="1" ht="33.95" customHeight="1" outlineLevel="5" spans="2:66">
      <c r="B203" s="175" t="s">
        <v>799</v>
      </c>
      <c r="C203" s="283" t="s">
        <v>1140</v>
      </c>
      <c r="D203" s="263" t="s">
        <v>1123</v>
      </c>
      <c r="E203" s="175" t="s">
        <v>1141</v>
      </c>
      <c r="F203" s="175"/>
      <c r="G203" s="175" t="s">
        <v>803</v>
      </c>
      <c r="H203" s="175">
        <f t="shared" ref="H203:H207" si="443">AB203</f>
        <v>0</v>
      </c>
      <c r="I203" s="175" t="s">
        <v>804</v>
      </c>
      <c r="J203" s="175" t="e">
        <f t="shared" ref="J203:J207" si="444">SUM(AD203,AG203,AJ203,AM203,AP203,AS203,AV203,AY203,BB203,BE203,BH203,BK203)/N203</f>
        <v>#DIV/0!</v>
      </c>
      <c r="K203" s="175" t="s">
        <v>805</v>
      </c>
      <c r="L203" s="175" t="e">
        <f t="shared" ref="L203:L207" si="445">H203/N203/J203</f>
        <v>#DIV/0!</v>
      </c>
      <c r="M203" s="175" t="s">
        <v>806</v>
      </c>
      <c r="N203" s="175">
        <f t="shared" ref="N203:N207" si="446">COUNTIF(AD203,"&gt;0")+COUNTIF(AG203,"&gt;0")+COUNTIF(AJ203,"&gt;0")+COUNTIF(AM203,"&gt;0")+COUNTIF(AP203,"&gt;0")+COUNTIF(AS203,"&gt;0")+COUNTIF(AV203,"&gt;0")+COUNTIF(AY203,"&gt;0")+COUNTIF(BB203,"&gt;0")+COUNTIF(BE203,"&gt;0")+COUNTIF(BH203,"&gt;0")+COUNTIF(BK203,"&gt;0")</f>
        <v>0</v>
      </c>
      <c r="O203" s="175"/>
      <c r="P203" s="290"/>
      <c r="Q203" s="290"/>
      <c r="R203" s="290"/>
      <c r="S203" s="290"/>
      <c r="T203" s="290"/>
      <c r="U203" s="290"/>
      <c r="V203" s="290"/>
      <c r="W203" s="290"/>
      <c r="X203" s="290"/>
      <c r="Y203" s="290"/>
      <c r="Z203" s="290"/>
      <c r="AA203" s="290"/>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298"/>
      <c r="AF203" s="175">
        <f t="shared" ref="AF203:AF207" si="449">AG203*AH203</f>
        <v>0</v>
      </c>
      <c r="AG203" s="175">
        <f>SUMIFS('1-2 人员岗位信息'!G:G,'1-2 人员岗位信息'!$C:$C,"专业外包",'1-2 人员岗位信息'!$B:$B,$D203)</f>
        <v>0</v>
      </c>
      <c r="AH203" s="298"/>
      <c r="AI203" s="175">
        <f t="shared" ref="AI203:AI207" si="450">AJ203*AK203</f>
        <v>0</v>
      </c>
      <c r="AJ203" s="175">
        <f>SUMIFS('1-2 人员岗位信息'!H:H,'1-2 人员岗位信息'!$C:$C,"专业外包",'1-2 人员岗位信息'!$B:$B,$D203)</f>
        <v>0</v>
      </c>
      <c r="AK203" s="298"/>
      <c r="AL203" s="175">
        <f t="shared" ref="AL203:AL207" si="451">AM203*AN203</f>
        <v>0</v>
      </c>
      <c r="AM203" s="175">
        <f>SUMIFS('1-2 人员岗位信息'!I:I,'1-2 人员岗位信息'!$C:$C,"专业外包",'1-2 人员岗位信息'!$B:$B,$D203)</f>
        <v>0</v>
      </c>
      <c r="AN203" s="298"/>
      <c r="AO203" s="175">
        <f t="shared" ref="AO203:AO207" si="452">AP203*AQ203</f>
        <v>0</v>
      </c>
      <c r="AP203" s="175">
        <f>SUMIFS('1-2 人员岗位信息'!J:J,'1-2 人员岗位信息'!$C:$C,"专业外包",'1-2 人员岗位信息'!$B:$B,$D203)</f>
        <v>0</v>
      </c>
      <c r="AQ203" s="298"/>
      <c r="AR203" s="175">
        <f t="shared" ref="AR203:AR207" si="453">AS203*AT203</f>
        <v>0</v>
      </c>
      <c r="AS203" s="175">
        <f>SUMIFS('1-2 人员岗位信息'!K:K,'1-2 人员岗位信息'!$C:$C,"专业外包",'1-2 人员岗位信息'!$B:$B,$D203)</f>
        <v>0</v>
      </c>
      <c r="AT203" s="298"/>
      <c r="AU203" s="175">
        <f t="shared" ref="AU203:AU207" si="454">AV203*AW203</f>
        <v>0</v>
      </c>
      <c r="AV203" s="175">
        <f>SUMIFS('1-2 人员岗位信息'!L:L,'1-2 人员岗位信息'!$C:$C,"专业外包",'1-2 人员岗位信息'!$B:$B,$D203)</f>
        <v>0</v>
      </c>
      <c r="AW203" s="298"/>
      <c r="AX203" s="175">
        <f t="shared" ref="AX203:AX207" si="455">AY203*AZ203</f>
        <v>0</v>
      </c>
      <c r="AY203" s="175">
        <f>SUMIFS('1-2 人员岗位信息'!M:M,'1-2 人员岗位信息'!$C:$C,"专业外包",'1-2 人员岗位信息'!$B:$B,$D203)</f>
        <v>0</v>
      </c>
      <c r="AZ203" s="298"/>
      <c r="BA203" s="175">
        <f t="shared" ref="BA203:BA207" si="456">BB203*BC203</f>
        <v>0</v>
      </c>
      <c r="BB203" s="175">
        <f>SUMIFS('1-2 人员岗位信息'!N:N,'1-2 人员岗位信息'!$C:$C,"专业外包",'1-2 人员岗位信息'!$B:$B,$D203)</f>
        <v>0</v>
      </c>
      <c r="BC203" s="298"/>
      <c r="BD203" s="175">
        <f t="shared" ref="BD203:BD207" si="457">BE203*BF203</f>
        <v>0</v>
      </c>
      <c r="BE203" s="175">
        <f>SUMIFS('1-2 人员岗位信息'!O:O,'1-2 人员岗位信息'!$C:$C,"专业外包",'1-2 人员岗位信息'!$B:$B,$D203)</f>
        <v>0</v>
      </c>
      <c r="BF203" s="298"/>
      <c r="BG203" s="175">
        <f t="shared" ref="BG203:BG207" si="458">BH203*BI203</f>
        <v>0</v>
      </c>
      <c r="BH203" s="175">
        <f>SUMIFS('1-2 人员岗位信息'!P:P,'1-2 人员岗位信息'!$C:$C,"专业外包",'1-2 人员岗位信息'!$B:$B,$D203)</f>
        <v>0</v>
      </c>
      <c r="BI203" s="298"/>
      <c r="BJ203" s="175">
        <f t="shared" ref="BJ203:BJ207" si="459">BK203*BL203</f>
        <v>0</v>
      </c>
      <c r="BK203" s="175">
        <f>SUMIFS('1-2 人员岗位信息'!Q:Q,'1-2 人员岗位信息'!$C:$C,"专业外包",'1-2 人员岗位信息'!$B:$B,$D203)</f>
        <v>0</v>
      </c>
      <c r="BL203" s="298"/>
      <c r="BM203" s="311"/>
      <c r="BN203" s="315"/>
    </row>
    <row r="204" s="263" customFormat="1" ht="33.95" customHeight="1" outlineLevel="5" spans="2:66">
      <c r="B204" s="175" t="s">
        <v>799</v>
      </c>
      <c r="C204" s="283" t="s">
        <v>1142</v>
      </c>
      <c r="D204" s="263" t="s">
        <v>1126</v>
      </c>
      <c r="E204" s="175" t="s">
        <v>1141</v>
      </c>
      <c r="F204" s="175"/>
      <c r="G204" s="175" t="s">
        <v>803</v>
      </c>
      <c r="H204" s="175">
        <f t="shared" si="443"/>
        <v>0</v>
      </c>
      <c r="I204" s="175" t="s">
        <v>804</v>
      </c>
      <c r="J204" s="175" t="e">
        <f t="shared" si="444"/>
        <v>#DIV/0!</v>
      </c>
      <c r="K204" s="175" t="s">
        <v>805</v>
      </c>
      <c r="L204" s="175" t="e">
        <f t="shared" si="445"/>
        <v>#DIV/0!</v>
      </c>
      <c r="M204" s="175" t="s">
        <v>806</v>
      </c>
      <c r="N204" s="175">
        <f t="shared" si="446"/>
        <v>0</v>
      </c>
      <c r="O204" s="175"/>
      <c r="P204" s="290"/>
      <c r="Q204" s="290"/>
      <c r="R204" s="290"/>
      <c r="S204" s="290"/>
      <c r="T204" s="290"/>
      <c r="U204" s="290"/>
      <c r="V204" s="290"/>
      <c r="W204" s="290"/>
      <c r="X204" s="290"/>
      <c r="Y204" s="290"/>
      <c r="Z204" s="290"/>
      <c r="AA204" s="290"/>
      <c r="AB204" s="175">
        <f t="shared" si="447"/>
        <v>0</v>
      </c>
      <c r="AC204" s="175">
        <f t="shared" si="448"/>
        <v>0</v>
      </c>
      <c r="AD204" s="175">
        <f>SUMIFS('1-2 人员岗位信息'!F:F,'1-2 人员岗位信息'!$C:$C,"专业外包",'1-2 人员岗位信息'!$B:$B,$D204)</f>
        <v>0</v>
      </c>
      <c r="AE204" s="298"/>
      <c r="AF204" s="175">
        <f t="shared" si="449"/>
        <v>0</v>
      </c>
      <c r="AG204" s="175">
        <f>SUMIFS('1-2 人员岗位信息'!G:G,'1-2 人员岗位信息'!$C:$C,"专业外包",'1-2 人员岗位信息'!$B:$B,$D204)</f>
        <v>0</v>
      </c>
      <c r="AH204" s="298"/>
      <c r="AI204" s="175">
        <f t="shared" si="450"/>
        <v>0</v>
      </c>
      <c r="AJ204" s="175">
        <f>SUMIFS('1-2 人员岗位信息'!H:H,'1-2 人员岗位信息'!$C:$C,"专业外包",'1-2 人员岗位信息'!$B:$B,$D204)</f>
        <v>0</v>
      </c>
      <c r="AK204" s="298"/>
      <c r="AL204" s="175">
        <f t="shared" si="451"/>
        <v>0</v>
      </c>
      <c r="AM204" s="175">
        <f>SUMIFS('1-2 人员岗位信息'!I:I,'1-2 人员岗位信息'!$C:$C,"专业外包",'1-2 人员岗位信息'!$B:$B,$D204)</f>
        <v>0</v>
      </c>
      <c r="AN204" s="298"/>
      <c r="AO204" s="175">
        <f t="shared" si="452"/>
        <v>0</v>
      </c>
      <c r="AP204" s="175">
        <f>SUMIFS('1-2 人员岗位信息'!J:J,'1-2 人员岗位信息'!$C:$C,"专业外包",'1-2 人员岗位信息'!$B:$B,$D204)</f>
        <v>0</v>
      </c>
      <c r="AQ204" s="298"/>
      <c r="AR204" s="175">
        <f t="shared" si="453"/>
        <v>0</v>
      </c>
      <c r="AS204" s="175">
        <f>SUMIFS('1-2 人员岗位信息'!K:K,'1-2 人员岗位信息'!$C:$C,"专业外包",'1-2 人员岗位信息'!$B:$B,$D204)</f>
        <v>0</v>
      </c>
      <c r="AT204" s="298"/>
      <c r="AU204" s="175">
        <f t="shared" si="454"/>
        <v>0</v>
      </c>
      <c r="AV204" s="175">
        <f>SUMIFS('1-2 人员岗位信息'!L:L,'1-2 人员岗位信息'!$C:$C,"专业外包",'1-2 人员岗位信息'!$B:$B,$D204)</f>
        <v>0</v>
      </c>
      <c r="AW204" s="298"/>
      <c r="AX204" s="175">
        <f t="shared" si="455"/>
        <v>0</v>
      </c>
      <c r="AY204" s="175">
        <f>SUMIFS('1-2 人员岗位信息'!M:M,'1-2 人员岗位信息'!$C:$C,"专业外包",'1-2 人员岗位信息'!$B:$B,$D204)</f>
        <v>0</v>
      </c>
      <c r="AZ204" s="298"/>
      <c r="BA204" s="175">
        <f t="shared" si="456"/>
        <v>0</v>
      </c>
      <c r="BB204" s="175">
        <f>SUMIFS('1-2 人员岗位信息'!N:N,'1-2 人员岗位信息'!$C:$C,"专业外包",'1-2 人员岗位信息'!$B:$B,$D204)</f>
        <v>0</v>
      </c>
      <c r="BC204" s="298"/>
      <c r="BD204" s="175">
        <f t="shared" si="457"/>
        <v>0</v>
      </c>
      <c r="BE204" s="175">
        <f>SUMIFS('1-2 人员岗位信息'!O:O,'1-2 人员岗位信息'!$C:$C,"专业外包",'1-2 人员岗位信息'!$B:$B,$D204)</f>
        <v>0</v>
      </c>
      <c r="BF204" s="298"/>
      <c r="BG204" s="175">
        <f t="shared" si="458"/>
        <v>0</v>
      </c>
      <c r="BH204" s="175">
        <f>SUMIFS('1-2 人员岗位信息'!P:P,'1-2 人员岗位信息'!$C:$C,"专业外包",'1-2 人员岗位信息'!$B:$B,$D204)</f>
        <v>0</v>
      </c>
      <c r="BI204" s="298"/>
      <c r="BJ204" s="175">
        <f t="shared" si="459"/>
        <v>0</v>
      </c>
      <c r="BK204" s="175">
        <f>SUMIFS('1-2 人员岗位信息'!Q:Q,'1-2 人员岗位信息'!$C:$C,"专业外包",'1-2 人员岗位信息'!$B:$B,$D204)</f>
        <v>0</v>
      </c>
      <c r="BL204" s="307"/>
      <c r="BM204" s="311"/>
      <c r="BN204" s="315"/>
    </row>
    <row r="205" s="263" customFormat="1" ht="33.95" customHeight="1" outlineLevel="5" spans="2:66">
      <c r="B205" s="175" t="s">
        <v>799</v>
      </c>
      <c r="C205" s="283" t="s">
        <v>1143</v>
      </c>
      <c r="D205" s="263" t="s">
        <v>1128</v>
      </c>
      <c r="E205" s="175" t="s">
        <v>1141</v>
      </c>
      <c r="F205" s="175"/>
      <c r="G205" s="175" t="s">
        <v>803</v>
      </c>
      <c r="H205" s="175">
        <f t="shared" si="443"/>
        <v>0</v>
      </c>
      <c r="I205" s="175" t="s">
        <v>804</v>
      </c>
      <c r="J205" s="175" t="e">
        <f t="shared" si="444"/>
        <v>#DIV/0!</v>
      </c>
      <c r="K205" s="175" t="s">
        <v>805</v>
      </c>
      <c r="L205" s="175" t="e">
        <f t="shared" si="445"/>
        <v>#DIV/0!</v>
      </c>
      <c r="M205" s="175" t="s">
        <v>806</v>
      </c>
      <c r="N205" s="175">
        <f t="shared" si="446"/>
        <v>0</v>
      </c>
      <c r="O205" s="175"/>
      <c r="P205" s="290"/>
      <c r="Q205" s="290"/>
      <c r="R205" s="290"/>
      <c r="S205" s="290"/>
      <c r="T205" s="290"/>
      <c r="U205" s="290"/>
      <c r="V205" s="290"/>
      <c r="W205" s="290"/>
      <c r="X205" s="290"/>
      <c r="Y205" s="290"/>
      <c r="Z205" s="290"/>
      <c r="AA205" s="290"/>
      <c r="AB205" s="175">
        <f t="shared" si="447"/>
        <v>0</v>
      </c>
      <c r="AC205" s="175">
        <f t="shared" si="448"/>
        <v>0</v>
      </c>
      <c r="AD205" s="175">
        <f>SUMIFS('1-2 人员岗位信息'!F:F,'1-2 人员岗位信息'!$C:$C,"专业外包",'1-2 人员岗位信息'!$B:$B,$D205)</f>
        <v>0</v>
      </c>
      <c r="AE205" s="298"/>
      <c r="AF205" s="175">
        <f t="shared" si="449"/>
        <v>0</v>
      </c>
      <c r="AG205" s="175">
        <f>SUMIFS('1-2 人员岗位信息'!G:G,'1-2 人员岗位信息'!$C:$C,"专业外包",'1-2 人员岗位信息'!$B:$B,$D205)</f>
        <v>0</v>
      </c>
      <c r="AH205" s="298"/>
      <c r="AI205" s="175">
        <f t="shared" si="450"/>
        <v>0</v>
      </c>
      <c r="AJ205" s="175">
        <f>SUMIFS('1-2 人员岗位信息'!H:H,'1-2 人员岗位信息'!$C:$C,"专业外包",'1-2 人员岗位信息'!$B:$B,$D205)</f>
        <v>0</v>
      </c>
      <c r="AK205" s="298"/>
      <c r="AL205" s="175">
        <f t="shared" si="451"/>
        <v>0</v>
      </c>
      <c r="AM205" s="175">
        <f>SUMIFS('1-2 人员岗位信息'!I:I,'1-2 人员岗位信息'!$C:$C,"专业外包",'1-2 人员岗位信息'!$B:$B,$D205)</f>
        <v>0</v>
      </c>
      <c r="AN205" s="298"/>
      <c r="AO205" s="175">
        <f t="shared" si="452"/>
        <v>0</v>
      </c>
      <c r="AP205" s="175">
        <f>SUMIFS('1-2 人员岗位信息'!J:J,'1-2 人员岗位信息'!$C:$C,"专业外包",'1-2 人员岗位信息'!$B:$B,$D205)</f>
        <v>0</v>
      </c>
      <c r="AQ205" s="298"/>
      <c r="AR205" s="175">
        <f t="shared" si="453"/>
        <v>0</v>
      </c>
      <c r="AS205" s="175">
        <f>SUMIFS('1-2 人员岗位信息'!K:K,'1-2 人员岗位信息'!$C:$C,"专业外包",'1-2 人员岗位信息'!$B:$B,$D205)</f>
        <v>0</v>
      </c>
      <c r="AT205" s="298"/>
      <c r="AU205" s="175">
        <f t="shared" si="454"/>
        <v>0</v>
      </c>
      <c r="AV205" s="175">
        <f>SUMIFS('1-2 人员岗位信息'!L:L,'1-2 人员岗位信息'!$C:$C,"专业外包",'1-2 人员岗位信息'!$B:$B,$D205)</f>
        <v>0</v>
      </c>
      <c r="AW205" s="298"/>
      <c r="AX205" s="175">
        <f t="shared" si="455"/>
        <v>0</v>
      </c>
      <c r="AY205" s="175">
        <f>SUMIFS('1-2 人员岗位信息'!M:M,'1-2 人员岗位信息'!$C:$C,"专业外包",'1-2 人员岗位信息'!$B:$B,$D205)</f>
        <v>0</v>
      </c>
      <c r="AZ205" s="298"/>
      <c r="BA205" s="175">
        <f t="shared" si="456"/>
        <v>0</v>
      </c>
      <c r="BB205" s="175">
        <f>SUMIFS('1-2 人员岗位信息'!N:N,'1-2 人员岗位信息'!$C:$C,"专业外包",'1-2 人员岗位信息'!$B:$B,$D205)</f>
        <v>0</v>
      </c>
      <c r="BC205" s="298"/>
      <c r="BD205" s="175">
        <f t="shared" si="457"/>
        <v>0</v>
      </c>
      <c r="BE205" s="175">
        <f>SUMIFS('1-2 人员岗位信息'!O:O,'1-2 人员岗位信息'!$C:$C,"专业外包",'1-2 人员岗位信息'!$B:$B,$D205)</f>
        <v>0</v>
      </c>
      <c r="BF205" s="298"/>
      <c r="BG205" s="175">
        <f t="shared" si="458"/>
        <v>0</v>
      </c>
      <c r="BH205" s="175">
        <f>SUMIFS('1-2 人员岗位信息'!P:P,'1-2 人员岗位信息'!$C:$C,"专业外包",'1-2 人员岗位信息'!$B:$B,$D205)</f>
        <v>0</v>
      </c>
      <c r="BI205" s="298"/>
      <c r="BJ205" s="175">
        <f t="shared" si="459"/>
        <v>0</v>
      </c>
      <c r="BK205" s="175">
        <f>SUMIFS('1-2 人员岗位信息'!Q:Q,'1-2 人员岗位信息'!$C:$C,"专业外包",'1-2 人员岗位信息'!$B:$B,$D205)</f>
        <v>0</v>
      </c>
      <c r="BL205" s="307"/>
      <c r="BM205" s="311"/>
      <c r="BN205" s="315"/>
    </row>
    <row r="206" s="263" customFormat="1" ht="33.95" customHeight="1" outlineLevel="5" spans="2:66">
      <c r="B206" s="175" t="s">
        <v>799</v>
      </c>
      <c r="C206" s="283" t="s">
        <v>1144</v>
      </c>
      <c r="D206" s="263" t="s">
        <v>1130</v>
      </c>
      <c r="E206" s="175" t="s">
        <v>1141</v>
      </c>
      <c r="F206" s="175"/>
      <c r="G206" s="175" t="s">
        <v>803</v>
      </c>
      <c r="H206" s="175">
        <f t="shared" si="443"/>
        <v>0</v>
      </c>
      <c r="I206" s="175" t="s">
        <v>804</v>
      </c>
      <c r="J206" s="175" t="e">
        <f t="shared" si="444"/>
        <v>#DIV/0!</v>
      </c>
      <c r="K206" s="175" t="s">
        <v>805</v>
      </c>
      <c r="L206" s="175" t="e">
        <f t="shared" si="445"/>
        <v>#DIV/0!</v>
      </c>
      <c r="M206" s="175" t="s">
        <v>806</v>
      </c>
      <c r="N206" s="175">
        <f t="shared" si="446"/>
        <v>0</v>
      </c>
      <c r="O206" s="175"/>
      <c r="P206" s="290"/>
      <c r="Q206" s="290"/>
      <c r="R206" s="290"/>
      <c r="S206" s="290"/>
      <c r="T206" s="290"/>
      <c r="U206" s="290"/>
      <c r="V206" s="290"/>
      <c r="W206" s="290"/>
      <c r="X206" s="290"/>
      <c r="Y206" s="290"/>
      <c r="Z206" s="290"/>
      <c r="AA206" s="290"/>
      <c r="AB206" s="175">
        <f t="shared" si="447"/>
        <v>0</v>
      </c>
      <c r="AC206" s="175">
        <f t="shared" si="448"/>
        <v>0</v>
      </c>
      <c r="AD206" s="175">
        <f>SUMIFS('1-2 人员岗位信息'!F:F,'1-2 人员岗位信息'!$C:$C,"专业外包",'1-2 人员岗位信息'!$B:$B,$D206)</f>
        <v>0</v>
      </c>
      <c r="AE206" s="298"/>
      <c r="AF206" s="175">
        <f t="shared" si="449"/>
        <v>0</v>
      </c>
      <c r="AG206" s="175">
        <f>SUMIFS('1-2 人员岗位信息'!G:G,'1-2 人员岗位信息'!$C:$C,"专业外包",'1-2 人员岗位信息'!$B:$B,$D206)</f>
        <v>0</v>
      </c>
      <c r="AH206" s="298"/>
      <c r="AI206" s="175">
        <f t="shared" si="450"/>
        <v>0</v>
      </c>
      <c r="AJ206" s="175">
        <f>SUMIFS('1-2 人员岗位信息'!H:H,'1-2 人员岗位信息'!$C:$C,"专业外包",'1-2 人员岗位信息'!$B:$B,$D206)</f>
        <v>0</v>
      </c>
      <c r="AK206" s="298"/>
      <c r="AL206" s="175">
        <f t="shared" si="451"/>
        <v>0</v>
      </c>
      <c r="AM206" s="175">
        <f>SUMIFS('1-2 人员岗位信息'!I:I,'1-2 人员岗位信息'!$C:$C,"专业外包",'1-2 人员岗位信息'!$B:$B,$D206)</f>
        <v>0</v>
      </c>
      <c r="AN206" s="298"/>
      <c r="AO206" s="175">
        <f t="shared" si="452"/>
        <v>0</v>
      </c>
      <c r="AP206" s="175">
        <f>SUMIFS('1-2 人员岗位信息'!J:J,'1-2 人员岗位信息'!$C:$C,"专业外包",'1-2 人员岗位信息'!$B:$B,$D206)</f>
        <v>0</v>
      </c>
      <c r="AQ206" s="298"/>
      <c r="AR206" s="175">
        <f t="shared" si="453"/>
        <v>0</v>
      </c>
      <c r="AS206" s="175">
        <f>SUMIFS('1-2 人员岗位信息'!K:K,'1-2 人员岗位信息'!$C:$C,"专业外包",'1-2 人员岗位信息'!$B:$B,$D206)</f>
        <v>0</v>
      </c>
      <c r="AT206" s="298"/>
      <c r="AU206" s="175">
        <f t="shared" si="454"/>
        <v>0</v>
      </c>
      <c r="AV206" s="175">
        <f>SUMIFS('1-2 人员岗位信息'!L:L,'1-2 人员岗位信息'!$C:$C,"专业外包",'1-2 人员岗位信息'!$B:$B,$D206)</f>
        <v>0</v>
      </c>
      <c r="AW206" s="298"/>
      <c r="AX206" s="175">
        <f t="shared" si="455"/>
        <v>0</v>
      </c>
      <c r="AY206" s="175">
        <f>SUMIFS('1-2 人员岗位信息'!M:M,'1-2 人员岗位信息'!$C:$C,"专业外包",'1-2 人员岗位信息'!$B:$B,$D206)</f>
        <v>0</v>
      </c>
      <c r="AZ206" s="298"/>
      <c r="BA206" s="175">
        <f t="shared" si="456"/>
        <v>0</v>
      </c>
      <c r="BB206" s="175">
        <f>SUMIFS('1-2 人员岗位信息'!N:N,'1-2 人员岗位信息'!$C:$C,"专业外包",'1-2 人员岗位信息'!$B:$B,$D206)</f>
        <v>0</v>
      </c>
      <c r="BC206" s="298"/>
      <c r="BD206" s="175">
        <f t="shared" si="457"/>
        <v>0</v>
      </c>
      <c r="BE206" s="175">
        <f>SUMIFS('1-2 人员岗位信息'!O:O,'1-2 人员岗位信息'!$C:$C,"专业外包",'1-2 人员岗位信息'!$B:$B,$D206)</f>
        <v>0</v>
      </c>
      <c r="BF206" s="298"/>
      <c r="BG206" s="175">
        <f t="shared" si="458"/>
        <v>0</v>
      </c>
      <c r="BH206" s="175">
        <f>SUMIFS('1-2 人员岗位信息'!P:P,'1-2 人员岗位信息'!$C:$C,"专业外包",'1-2 人员岗位信息'!$B:$B,$D206)</f>
        <v>0</v>
      </c>
      <c r="BI206" s="298"/>
      <c r="BJ206" s="175">
        <f t="shared" si="459"/>
        <v>0</v>
      </c>
      <c r="BK206" s="175">
        <f>SUMIFS('1-2 人员岗位信息'!Q:Q,'1-2 人员岗位信息'!$C:$C,"专业外包",'1-2 人员岗位信息'!$B:$B,$D206)</f>
        <v>0</v>
      </c>
      <c r="BL206" s="307"/>
      <c r="BM206" s="311"/>
      <c r="BN206" s="315"/>
    </row>
    <row r="207" s="263" customFormat="1" ht="33.95" customHeight="1" outlineLevel="5" spans="2:66">
      <c r="B207" s="175" t="s">
        <v>799</v>
      </c>
      <c r="C207" s="283" t="s">
        <v>1145</v>
      </c>
      <c r="D207" s="263" t="s">
        <v>1132</v>
      </c>
      <c r="E207" s="175" t="s">
        <v>1141</v>
      </c>
      <c r="F207" s="175"/>
      <c r="G207" s="175" t="s">
        <v>803</v>
      </c>
      <c r="H207" s="175">
        <f t="shared" si="443"/>
        <v>0</v>
      </c>
      <c r="I207" s="175" t="s">
        <v>804</v>
      </c>
      <c r="J207" s="175" t="e">
        <f t="shared" si="444"/>
        <v>#DIV/0!</v>
      </c>
      <c r="K207" s="175" t="s">
        <v>805</v>
      </c>
      <c r="L207" s="175" t="e">
        <f t="shared" si="445"/>
        <v>#DIV/0!</v>
      </c>
      <c r="M207" s="175" t="s">
        <v>806</v>
      </c>
      <c r="N207" s="175">
        <f t="shared" si="446"/>
        <v>0</v>
      </c>
      <c r="O207" s="175"/>
      <c r="P207" s="290"/>
      <c r="Q207" s="290"/>
      <c r="R207" s="290"/>
      <c r="S207" s="290"/>
      <c r="T207" s="290"/>
      <c r="U207" s="290"/>
      <c r="V207" s="290"/>
      <c r="W207" s="290"/>
      <c r="X207" s="290"/>
      <c r="Y207" s="290"/>
      <c r="Z207" s="290"/>
      <c r="AA207" s="290"/>
      <c r="AB207" s="175">
        <f t="shared" si="447"/>
        <v>0</v>
      </c>
      <c r="AC207" s="175">
        <f t="shared" si="448"/>
        <v>0</v>
      </c>
      <c r="AD207" s="175">
        <f>SUMIFS('1-2 人员岗位信息'!F:F,'1-2 人员岗位信息'!$C:$C,"专业外包",'1-2 人员岗位信息'!$B:$B,$D207)</f>
        <v>0</v>
      </c>
      <c r="AE207" s="298"/>
      <c r="AF207" s="175">
        <f t="shared" si="449"/>
        <v>0</v>
      </c>
      <c r="AG207" s="175">
        <f>SUMIFS('1-2 人员岗位信息'!G:G,'1-2 人员岗位信息'!$C:$C,"专业外包",'1-2 人员岗位信息'!$B:$B,$D207)</f>
        <v>0</v>
      </c>
      <c r="AH207" s="298"/>
      <c r="AI207" s="175">
        <f t="shared" si="450"/>
        <v>0</v>
      </c>
      <c r="AJ207" s="175">
        <f>SUMIFS('1-2 人员岗位信息'!H:H,'1-2 人员岗位信息'!$C:$C,"专业外包",'1-2 人员岗位信息'!$B:$B,$D207)</f>
        <v>0</v>
      </c>
      <c r="AK207" s="298"/>
      <c r="AL207" s="175">
        <f t="shared" si="451"/>
        <v>0</v>
      </c>
      <c r="AM207" s="175">
        <f>SUMIFS('1-2 人员岗位信息'!I:I,'1-2 人员岗位信息'!$C:$C,"专业外包",'1-2 人员岗位信息'!$B:$B,$D207)</f>
        <v>0</v>
      </c>
      <c r="AN207" s="298"/>
      <c r="AO207" s="175">
        <f t="shared" si="452"/>
        <v>0</v>
      </c>
      <c r="AP207" s="175">
        <f>SUMIFS('1-2 人员岗位信息'!J:J,'1-2 人员岗位信息'!$C:$C,"专业外包",'1-2 人员岗位信息'!$B:$B,$D207)</f>
        <v>0</v>
      </c>
      <c r="AQ207" s="298"/>
      <c r="AR207" s="175">
        <f t="shared" si="453"/>
        <v>0</v>
      </c>
      <c r="AS207" s="175">
        <f>SUMIFS('1-2 人员岗位信息'!K:K,'1-2 人员岗位信息'!$C:$C,"专业外包",'1-2 人员岗位信息'!$B:$B,$D207)</f>
        <v>0</v>
      </c>
      <c r="AT207" s="298"/>
      <c r="AU207" s="175">
        <f t="shared" si="454"/>
        <v>0</v>
      </c>
      <c r="AV207" s="175">
        <f>SUMIFS('1-2 人员岗位信息'!L:L,'1-2 人员岗位信息'!$C:$C,"专业外包",'1-2 人员岗位信息'!$B:$B,$D207)</f>
        <v>0</v>
      </c>
      <c r="AW207" s="298"/>
      <c r="AX207" s="175">
        <f t="shared" si="455"/>
        <v>0</v>
      </c>
      <c r="AY207" s="175">
        <f>SUMIFS('1-2 人员岗位信息'!M:M,'1-2 人员岗位信息'!$C:$C,"专业外包",'1-2 人员岗位信息'!$B:$B,$D207)</f>
        <v>0</v>
      </c>
      <c r="AZ207" s="298"/>
      <c r="BA207" s="175">
        <f t="shared" si="456"/>
        <v>0</v>
      </c>
      <c r="BB207" s="175">
        <f>SUMIFS('1-2 人员岗位信息'!N:N,'1-2 人员岗位信息'!$C:$C,"专业外包",'1-2 人员岗位信息'!$B:$B,$D207)</f>
        <v>0</v>
      </c>
      <c r="BC207" s="298"/>
      <c r="BD207" s="175">
        <f t="shared" si="457"/>
        <v>0</v>
      </c>
      <c r="BE207" s="175">
        <f>SUMIFS('1-2 人员岗位信息'!O:O,'1-2 人员岗位信息'!$C:$C,"专业外包",'1-2 人员岗位信息'!$B:$B,$D207)</f>
        <v>0</v>
      </c>
      <c r="BF207" s="298"/>
      <c r="BG207" s="175">
        <f t="shared" si="458"/>
        <v>0</v>
      </c>
      <c r="BH207" s="175">
        <f>SUMIFS('1-2 人员岗位信息'!P:P,'1-2 人员岗位信息'!$C:$C,"专业外包",'1-2 人员岗位信息'!$B:$B,$D207)</f>
        <v>0</v>
      </c>
      <c r="BI207" s="298"/>
      <c r="BJ207" s="175">
        <f t="shared" si="459"/>
        <v>0</v>
      </c>
      <c r="BK207" s="175">
        <f>SUMIFS('1-2 人员岗位信息'!Q:Q,'1-2 人员岗位信息'!$C:$C,"专业外包",'1-2 人员岗位信息'!$B:$B,$D207)</f>
        <v>0</v>
      </c>
      <c r="BL207" s="307"/>
      <c r="BM207" s="311"/>
      <c r="BN207" s="315"/>
    </row>
    <row r="208" s="22" customFormat="1" ht="33.95" customHeight="1" outlineLevel="2" spans="2:66">
      <c r="B208" s="112" t="s">
        <v>794</v>
      </c>
      <c r="C208" s="113" t="s">
        <v>220</v>
      </c>
      <c r="D208" s="22" t="s">
        <v>221</v>
      </c>
      <c r="E208" s="112"/>
      <c r="F208" s="112"/>
      <c r="G208" s="112"/>
      <c r="H208" s="112">
        <f>H209+H223+H224+H236+H239+H247+H262+H291+H303+H307</f>
        <v>647089.328600784</v>
      </c>
      <c r="I208" s="112"/>
      <c r="J208" s="112"/>
      <c r="K208" s="112"/>
      <c r="L208" s="112"/>
      <c r="M208" s="112"/>
      <c r="N208" s="112"/>
      <c r="O208" s="112"/>
      <c r="P208" s="287"/>
      <c r="Q208" s="287"/>
      <c r="R208" s="287"/>
      <c r="S208" s="287"/>
      <c r="T208" s="287"/>
      <c r="U208" s="287"/>
      <c r="V208" s="287"/>
      <c r="W208" s="287"/>
      <c r="X208" s="287"/>
      <c r="Y208" s="287"/>
      <c r="Z208" s="287"/>
      <c r="AA208" s="287"/>
      <c r="AB208" s="112">
        <f t="shared" ref="AB208:AF208" si="460">AB209+AB223+AB224+AB236+AB239+AB247+AB262+AB291+AB303+AB307</f>
        <v>647089.328600784</v>
      </c>
      <c r="AC208" s="112">
        <f t="shared" si="460"/>
        <v>315774.86319198</v>
      </c>
      <c r="AD208" s="112"/>
      <c r="AE208" s="112"/>
      <c r="AF208" s="112">
        <f t="shared" si="460"/>
        <v>30119.4968553459</v>
      </c>
      <c r="AG208" s="112"/>
      <c r="AH208" s="112"/>
      <c r="AI208" s="112">
        <f>AI209+AI223+AI224+AI236+AI239+AI247+AI262+AI291+AI303+AI307</f>
        <v>30119.4968553459</v>
      </c>
      <c r="AJ208" s="112"/>
      <c r="AK208" s="112"/>
      <c r="AL208" s="112">
        <f>AL209+AL223+AL224+AL236+AL239+AL247+AL262+AL291+AL303+AL307</f>
        <v>30119.4968553459</v>
      </c>
      <c r="AM208" s="112"/>
      <c r="AN208" s="112"/>
      <c r="AO208" s="112">
        <f>AO209+AO223+AO224+AO236+AO239+AO247+AO262+AO291+AO303+AO307</f>
        <v>30119.4968553459</v>
      </c>
      <c r="AP208" s="112"/>
      <c r="AQ208" s="112"/>
      <c r="AR208" s="112">
        <f>AR209+AR223+AR224+AR236+AR239+AR247+AR262+AR291+AR303+AR307</f>
        <v>30119.4968553459</v>
      </c>
      <c r="AS208" s="112"/>
      <c r="AT208" s="112"/>
      <c r="AU208" s="112">
        <f>AU209+AU223+AU224+AU236+AU239+AU247+AU262+AU291+AU303+AU307</f>
        <v>30119.4968553459</v>
      </c>
      <c r="AV208" s="112"/>
      <c r="AW208" s="112"/>
      <c r="AX208" s="112">
        <f>AX209+AX223+AX224+AX236+AX239+AX247+AX262+AX291+AX303+AX307</f>
        <v>30119.4968553459</v>
      </c>
      <c r="AY208" s="112"/>
      <c r="AZ208" s="112"/>
      <c r="BA208" s="112">
        <f>BA209+BA223+BA224+BA236+BA239+BA247+BA262+BA291+BA303+BA307</f>
        <v>30119.4968553459</v>
      </c>
      <c r="BB208" s="112"/>
      <c r="BC208" s="112"/>
      <c r="BD208" s="112">
        <f>BD209+BD223+BD224+BD236+BD239+BD247+BD262+BD291+BD303+BD307</f>
        <v>30119.4968553459</v>
      </c>
      <c r="BE208" s="112"/>
      <c r="BF208" s="112"/>
      <c r="BG208" s="112">
        <f>BG209+BG223+BG224+BG236+BG239+BG247+BG262+BG291+BG303+BG307</f>
        <v>30119.4968553459</v>
      </c>
      <c r="BH208" s="112"/>
      <c r="BI208" s="112"/>
      <c r="BJ208" s="112">
        <f>BJ209+BJ223+BJ224+BJ236+BJ239+BJ247+BJ262+BJ291+BJ303+BJ307</f>
        <v>30119.4968553459</v>
      </c>
      <c r="BK208" s="112"/>
      <c r="BL208" s="304"/>
      <c r="BM208" s="311"/>
      <c r="BN208" s="312"/>
    </row>
    <row r="209" s="47" customFormat="1" ht="33.95" customHeight="1" outlineLevel="3" spans="2:66">
      <c r="B209" s="115" t="s">
        <v>794</v>
      </c>
      <c r="C209" s="116" t="s">
        <v>32</v>
      </c>
      <c r="D209" s="47" t="s">
        <v>33</v>
      </c>
      <c r="E209" s="115" t="s">
        <v>1146</v>
      </c>
      <c r="F209" s="115"/>
      <c r="G209" s="115"/>
      <c r="H209" s="115">
        <f>SUM(H210:H222)</f>
        <v>112150.943396226</v>
      </c>
      <c r="I209" s="115"/>
      <c r="J209" s="115"/>
      <c r="K209" s="115"/>
      <c r="L209" s="115"/>
      <c r="M209" s="115"/>
      <c r="N209" s="115"/>
      <c r="O209" s="115"/>
      <c r="P209" s="288"/>
      <c r="Q209" s="288"/>
      <c r="R209" s="288"/>
      <c r="S209" s="288"/>
      <c r="T209" s="288"/>
      <c r="U209" s="288"/>
      <c r="V209" s="288"/>
      <c r="W209" s="288"/>
      <c r="X209" s="288"/>
      <c r="Y209" s="288"/>
      <c r="Z209" s="288"/>
      <c r="AA209" s="288"/>
      <c r="AB209" s="115">
        <f t="shared" ref="AB209:AF209" si="461">SUM(AB210:AB222)</f>
        <v>112150.943396226</v>
      </c>
      <c r="AC209" s="115">
        <f t="shared" si="461"/>
        <v>9345.91194968553</v>
      </c>
      <c r="AD209" s="115"/>
      <c r="AE209" s="115"/>
      <c r="AF209" s="115">
        <f t="shared" si="461"/>
        <v>9345.91194968553</v>
      </c>
      <c r="AG209" s="115"/>
      <c r="AH209" s="115"/>
      <c r="AI209" s="115">
        <f>SUM(AI210:AI222)</f>
        <v>9345.91194968553</v>
      </c>
      <c r="AJ209" s="115"/>
      <c r="AK209" s="115"/>
      <c r="AL209" s="115">
        <f>SUM(AL210:AL222)</f>
        <v>9345.91194968553</v>
      </c>
      <c r="AM209" s="115"/>
      <c r="AN209" s="115"/>
      <c r="AO209" s="115">
        <f>SUM(AO210:AO222)</f>
        <v>9345.91194968553</v>
      </c>
      <c r="AP209" s="115"/>
      <c r="AQ209" s="115"/>
      <c r="AR209" s="115">
        <f>SUM(AR210:AR222)</f>
        <v>9345.91194968553</v>
      </c>
      <c r="AS209" s="115"/>
      <c r="AT209" s="115"/>
      <c r="AU209" s="115">
        <f>SUM(AU210:AU222)</f>
        <v>9345.91194968553</v>
      </c>
      <c r="AV209" s="115"/>
      <c r="AW209" s="115"/>
      <c r="AX209" s="115">
        <f>SUM(AX210:AX222)</f>
        <v>9345.91194968553</v>
      </c>
      <c r="AY209" s="115"/>
      <c r="AZ209" s="115"/>
      <c r="BA209" s="115">
        <f>SUM(BA210:BA222)</f>
        <v>9345.91194968553</v>
      </c>
      <c r="BB209" s="115"/>
      <c r="BC209" s="115"/>
      <c r="BD209" s="115">
        <f>SUM(BD210:BD222)</f>
        <v>9345.91194968553</v>
      </c>
      <c r="BE209" s="115"/>
      <c r="BF209" s="115"/>
      <c r="BG209" s="115">
        <f>SUM(BG210:BG222)</f>
        <v>9345.91194968553</v>
      </c>
      <c r="BH209" s="115"/>
      <c r="BI209" s="115"/>
      <c r="BJ209" s="115">
        <f>SUM(BJ210:BJ222)</f>
        <v>9345.91194968553</v>
      </c>
      <c r="BK209" s="115"/>
      <c r="BL209" s="305"/>
      <c r="BM209" s="311"/>
      <c r="BN209" s="313"/>
    </row>
    <row r="210" s="118" customFormat="1" ht="33.95" customHeight="1" outlineLevel="5" spans="2:66">
      <c r="B210" s="119" t="s">
        <v>799</v>
      </c>
      <c r="C210" s="120" t="s">
        <v>1147</v>
      </c>
      <c r="D210" s="118" t="s">
        <v>1148</v>
      </c>
      <c r="E210" s="119"/>
      <c r="F210" s="119"/>
      <c r="G210" s="119" t="s">
        <v>803</v>
      </c>
      <c r="H210" s="119">
        <f t="shared" ref="H210:H222" si="462">AB210</f>
        <v>112150.943396226</v>
      </c>
      <c r="I210" s="119" t="s">
        <v>1149</v>
      </c>
      <c r="J210" s="119">
        <f t="shared" ref="J210:J222" si="463">SUM(AD210,AG210,AJ210,AM210,AP210,AS210,AV210,AY210,BB210,BE210,BH210,BK210)/N210</f>
        <v>28.3209453020774</v>
      </c>
      <c r="K210" s="119" t="s">
        <v>1150</v>
      </c>
      <c r="L210" s="119">
        <f t="shared" ref="L210:L222" si="464">H210/N210/J210</f>
        <v>330</v>
      </c>
      <c r="M210" s="119" t="s">
        <v>1151</v>
      </c>
      <c r="N210" s="119">
        <f t="shared" ref="N210:N222" si="465">COUNTIF(AD210,"&gt;0")+COUNTIF(AG210,"&gt;0")+COUNTIF(AJ210,"&gt;0")+COUNTIF(AM210,"&gt;0")+COUNTIF(AP210,"&gt;0")+COUNTIF(AS210,"&gt;0")+COUNTIF(AV210,"&gt;0")+COUNTIF(AY210,"&gt;0")+COUNTIF(BB210,"&gt;0")+COUNTIF(BE210,"&gt;0")+COUNTIF(BH210,"&gt;0")+COUNTIF(BK210,"&gt;0")</f>
        <v>12</v>
      </c>
      <c r="O210" s="119"/>
      <c r="P210" s="289"/>
      <c r="Q210" s="289"/>
      <c r="R210" s="289"/>
      <c r="S210" s="289"/>
      <c r="T210" s="289"/>
      <c r="U210" s="289"/>
      <c r="V210" s="289"/>
      <c r="W210" s="289"/>
      <c r="X210" s="289"/>
      <c r="Y210" s="289"/>
      <c r="Z210" s="289"/>
      <c r="AA210" s="289"/>
      <c r="AB210" s="119">
        <f t="shared" ref="AB210:AB223" si="466">SUM(AC210,AF210,AI210,AL210,AO210,AR210,AU210,AX210,BA210,BD210,BG210,BJ210)</f>
        <v>112150.943396226</v>
      </c>
      <c r="AC210" s="119">
        <f t="shared" ref="AC210:AC223" si="467">AD210*AE210</f>
        <v>9345.91194968553</v>
      </c>
      <c r="AD210" s="119">
        <f>'1-1 项目基础信息'!H21</f>
        <v>28.3209453020774</v>
      </c>
      <c r="AE210" s="289">
        <f>SUMIFS('附表1-数据库'!$F30:$EA30,'附表1-数据库'!$F$26:$EA$26,'1-1 项目基础信息'!$D$19,'附表1-数据库'!$F$28:$EA$28,'1-1 项目基础信息'!$D$20,'附表1-数据库'!$F$27:$EA$27,'1-1 项目基础信息'!$D$21,'附表1-数据库'!$F$29:$EA$29,'1-1 项目基础信息'!$D$18)</f>
        <v>330</v>
      </c>
      <c r="AF210" s="119">
        <f t="shared" ref="AF210:AF223" si="468">AG210*AH210</f>
        <v>9345.91194968553</v>
      </c>
      <c r="AG210" s="119">
        <f>'1-1 项目基础信息'!I21</f>
        <v>28.3209453020774</v>
      </c>
      <c r="AH210" s="318">
        <f t="shared" ref="AH210:AH222" si="469">AE210</f>
        <v>330</v>
      </c>
      <c r="AI210" s="119">
        <f t="shared" ref="AI210:AI223" si="470">AJ210*AK210</f>
        <v>9345.91194968553</v>
      </c>
      <c r="AJ210" s="119">
        <f>'1-1 项目基础信息'!J21</f>
        <v>28.3209453020774</v>
      </c>
      <c r="AK210" s="318">
        <f t="shared" ref="AK210:AK222" si="471">AH210</f>
        <v>330</v>
      </c>
      <c r="AL210" s="119">
        <f t="shared" ref="AL210:AL223" si="472">AM210*AN210</f>
        <v>9345.91194968553</v>
      </c>
      <c r="AM210" s="119">
        <f>'1-1 项目基础信息'!K21</f>
        <v>28.3209453020774</v>
      </c>
      <c r="AN210" s="318">
        <f t="shared" ref="AN210:AN222" si="473">AK210</f>
        <v>330</v>
      </c>
      <c r="AO210" s="119">
        <f t="shared" ref="AO210:AO223" si="474">AP210*AQ210</f>
        <v>9345.91194968553</v>
      </c>
      <c r="AP210" s="119">
        <f>'1-1 项目基础信息'!L21</f>
        <v>28.3209453020774</v>
      </c>
      <c r="AQ210" s="318">
        <f t="shared" ref="AQ210:AQ222" si="475">AN210</f>
        <v>330</v>
      </c>
      <c r="AR210" s="119">
        <f t="shared" ref="AR210:AR223" si="476">AS210*AT210</f>
        <v>9345.91194968553</v>
      </c>
      <c r="AS210" s="119">
        <f>'1-1 项目基础信息'!M21</f>
        <v>28.3209453020774</v>
      </c>
      <c r="AT210" s="318">
        <f t="shared" ref="AT210:AT222" si="477">AQ210</f>
        <v>330</v>
      </c>
      <c r="AU210" s="119">
        <f t="shared" ref="AU210:AU223" si="478">AV210*AW210</f>
        <v>9345.91194968553</v>
      </c>
      <c r="AV210" s="119">
        <f>'1-1 项目基础信息'!N21</f>
        <v>28.3209453020774</v>
      </c>
      <c r="AW210" s="318">
        <f t="shared" ref="AW210:AW222" si="479">AT210</f>
        <v>330</v>
      </c>
      <c r="AX210" s="119">
        <f t="shared" ref="AX210:AX223" si="480">AY210*AZ210</f>
        <v>9345.91194968553</v>
      </c>
      <c r="AY210" s="119">
        <f>'1-1 项目基础信息'!O21</f>
        <v>28.3209453020774</v>
      </c>
      <c r="AZ210" s="318">
        <f t="shared" ref="AZ210:AZ222" si="481">AW210</f>
        <v>330</v>
      </c>
      <c r="BA210" s="119">
        <f t="shared" ref="BA210:BA223" si="482">BB210*BC210</f>
        <v>9345.91194968553</v>
      </c>
      <c r="BB210" s="119">
        <f>'1-1 项目基础信息'!P21</f>
        <v>28.3209453020774</v>
      </c>
      <c r="BC210" s="318">
        <f t="shared" ref="BC210:BC222" si="483">AZ210</f>
        <v>330</v>
      </c>
      <c r="BD210" s="119">
        <f t="shared" ref="BD210:BD223" si="484">BE210*BF210</f>
        <v>9345.91194968553</v>
      </c>
      <c r="BE210" s="119">
        <f>'1-1 项目基础信息'!Q21</f>
        <v>28.3209453020774</v>
      </c>
      <c r="BF210" s="318">
        <f t="shared" ref="BF210:BF222" si="485">BC210</f>
        <v>330</v>
      </c>
      <c r="BG210" s="119">
        <f t="shared" ref="BG210:BG223" si="486">BH210*BI210</f>
        <v>9345.91194968553</v>
      </c>
      <c r="BH210" s="119">
        <f>'1-1 项目基础信息'!R21</f>
        <v>28.3209453020774</v>
      </c>
      <c r="BI210" s="318">
        <f t="shared" ref="BI210:BI222" si="487">BF210</f>
        <v>330</v>
      </c>
      <c r="BJ210" s="119">
        <f t="shared" ref="BJ210:BJ223" si="488">BK210*BL210</f>
        <v>9345.91194968553</v>
      </c>
      <c r="BK210" s="119">
        <f>'1-1 项目基础信息'!S21</f>
        <v>28.3209453020774</v>
      </c>
      <c r="BL210" s="319">
        <f t="shared" ref="BL210:BL222" si="489">BI210</f>
        <v>330</v>
      </c>
      <c r="BM210" s="311"/>
      <c r="BN210" s="314"/>
    </row>
    <row r="211" s="118" customFormat="1" ht="33.95" customHeight="1" outlineLevel="5" spans="2:66">
      <c r="B211" s="119" t="s">
        <v>799</v>
      </c>
      <c r="C211" s="120" t="s">
        <v>1152</v>
      </c>
      <c r="D211" s="118" t="s">
        <v>1153</v>
      </c>
      <c r="E211" s="119"/>
      <c r="F211" s="119"/>
      <c r="G211" s="119" t="s">
        <v>803</v>
      </c>
      <c r="H211" s="119">
        <f t="shared" si="462"/>
        <v>0</v>
      </c>
      <c r="I211" s="119" t="s">
        <v>1149</v>
      </c>
      <c r="J211" s="119" t="e">
        <f t="shared" si="463"/>
        <v>#DIV/0!</v>
      </c>
      <c r="K211" s="119" t="s">
        <v>1150</v>
      </c>
      <c r="L211" s="119" t="e">
        <f t="shared" si="464"/>
        <v>#DIV/0!</v>
      </c>
      <c r="M211" s="119" t="s">
        <v>1151</v>
      </c>
      <c r="N211" s="119">
        <f t="shared" si="465"/>
        <v>0</v>
      </c>
      <c r="O211" s="119"/>
      <c r="P211" s="289"/>
      <c r="Q211" s="289"/>
      <c r="R211" s="289"/>
      <c r="S211" s="289"/>
      <c r="T211" s="289"/>
      <c r="U211" s="289"/>
      <c r="V211" s="289"/>
      <c r="W211" s="289"/>
      <c r="X211" s="289"/>
      <c r="Y211" s="289"/>
      <c r="Z211" s="289"/>
      <c r="AA211" s="289"/>
      <c r="AB211" s="119">
        <f t="shared" si="466"/>
        <v>0</v>
      </c>
      <c r="AC211" s="119">
        <f t="shared" si="467"/>
        <v>0</v>
      </c>
      <c r="AD211" s="119">
        <f>'1-1 项目基础信息'!H22</f>
        <v>0</v>
      </c>
      <c r="AE211" s="289">
        <f>SUMIFS('附表1-数据库'!$F31:$EA31,'附表1-数据库'!$F$26:$EA$26,'1-1 项目基础信息'!$D$19,'附表1-数据库'!$F$28:$EA$28,'1-1 项目基础信息'!$D$20,'附表1-数据库'!$F$27:$EA$27,'1-1 项目基础信息'!$D$21,'附表1-数据库'!$F$29:$EA$29,'1-1 项目基础信息'!$D$18)</f>
        <v>330</v>
      </c>
      <c r="AF211" s="119">
        <f t="shared" si="468"/>
        <v>0</v>
      </c>
      <c r="AG211" s="119">
        <f>'1-1 项目基础信息'!I22</f>
        <v>0</v>
      </c>
      <c r="AH211" s="318">
        <f t="shared" si="469"/>
        <v>330</v>
      </c>
      <c r="AI211" s="119">
        <f t="shared" si="470"/>
        <v>0</v>
      </c>
      <c r="AJ211" s="119">
        <f>'1-1 项目基础信息'!J22</f>
        <v>0</v>
      </c>
      <c r="AK211" s="318">
        <f t="shared" si="471"/>
        <v>330</v>
      </c>
      <c r="AL211" s="119">
        <f t="shared" si="472"/>
        <v>0</v>
      </c>
      <c r="AM211" s="119">
        <f>'1-1 项目基础信息'!K22</f>
        <v>0</v>
      </c>
      <c r="AN211" s="318">
        <f t="shared" si="473"/>
        <v>330</v>
      </c>
      <c r="AO211" s="119">
        <f t="shared" si="474"/>
        <v>0</v>
      </c>
      <c r="AP211" s="119">
        <f>'1-1 项目基础信息'!L22</f>
        <v>0</v>
      </c>
      <c r="AQ211" s="318">
        <f t="shared" si="475"/>
        <v>330</v>
      </c>
      <c r="AR211" s="119">
        <f t="shared" si="476"/>
        <v>0</v>
      </c>
      <c r="AS211" s="119">
        <f>'1-1 项目基础信息'!M22</f>
        <v>0</v>
      </c>
      <c r="AT211" s="318">
        <f t="shared" si="477"/>
        <v>330</v>
      </c>
      <c r="AU211" s="119">
        <f t="shared" si="478"/>
        <v>0</v>
      </c>
      <c r="AV211" s="119">
        <f>'1-1 项目基础信息'!N22</f>
        <v>0</v>
      </c>
      <c r="AW211" s="318">
        <f t="shared" si="479"/>
        <v>330</v>
      </c>
      <c r="AX211" s="119">
        <f t="shared" si="480"/>
        <v>0</v>
      </c>
      <c r="AY211" s="119">
        <f>'1-1 项目基础信息'!O22</f>
        <v>0</v>
      </c>
      <c r="AZ211" s="318">
        <f t="shared" si="481"/>
        <v>330</v>
      </c>
      <c r="BA211" s="119">
        <f t="shared" si="482"/>
        <v>0</v>
      </c>
      <c r="BB211" s="119">
        <f>'1-1 项目基础信息'!P22</f>
        <v>0</v>
      </c>
      <c r="BC211" s="318">
        <f t="shared" si="483"/>
        <v>330</v>
      </c>
      <c r="BD211" s="119">
        <f t="shared" si="484"/>
        <v>0</v>
      </c>
      <c r="BE211" s="119">
        <f>'1-1 项目基础信息'!Q22</f>
        <v>0</v>
      </c>
      <c r="BF211" s="318">
        <f t="shared" si="485"/>
        <v>330</v>
      </c>
      <c r="BG211" s="119">
        <f t="shared" si="486"/>
        <v>0</v>
      </c>
      <c r="BH211" s="119">
        <f>'1-1 项目基础信息'!R22</f>
        <v>0</v>
      </c>
      <c r="BI211" s="318">
        <f t="shared" si="487"/>
        <v>330</v>
      </c>
      <c r="BJ211" s="119">
        <f t="shared" si="488"/>
        <v>0</v>
      </c>
      <c r="BK211" s="119">
        <f>'1-1 项目基础信息'!S22</f>
        <v>0</v>
      </c>
      <c r="BL211" s="319">
        <f t="shared" si="489"/>
        <v>330</v>
      </c>
      <c r="BM211" s="311"/>
      <c r="BN211" s="314"/>
    </row>
    <row r="212" s="118" customFormat="1" ht="33.95" customHeight="1" outlineLevel="5" spans="2:66">
      <c r="B212" s="119" t="s">
        <v>799</v>
      </c>
      <c r="C212" s="120" t="s">
        <v>1154</v>
      </c>
      <c r="D212" s="118" t="s">
        <v>1155</v>
      </c>
      <c r="E212" s="119"/>
      <c r="F212" s="119"/>
      <c r="G212" s="119" t="s">
        <v>803</v>
      </c>
      <c r="H212" s="119">
        <f t="shared" si="462"/>
        <v>0</v>
      </c>
      <c r="I212" s="119" t="s">
        <v>1149</v>
      </c>
      <c r="J212" s="119" t="e">
        <f t="shared" si="463"/>
        <v>#DIV/0!</v>
      </c>
      <c r="K212" s="119" t="s">
        <v>1150</v>
      </c>
      <c r="L212" s="119" t="e">
        <f t="shared" si="464"/>
        <v>#DIV/0!</v>
      </c>
      <c r="M212" s="119" t="s">
        <v>1151</v>
      </c>
      <c r="N212" s="119">
        <f t="shared" si="465"/>
        <v>0</v>
      </c>
      <c r="O212" s="119"/>
      <c r="P212" s="289"/>
      <c r="Q212" s="289"/>
      <c r="R212" s="289"/>
      <c r="S212" s="289"/>
      <c r="T212" s="289"/>
      <c r="U212" s="289"/>
      <c r="V212" s="289"/>
      <c r="W212" s="289"/>
      <c r="X212" s="289"/>
      <c r="Y212" s="289"/>
      <c r="Z212" s="289"/>
      <c r="AA212" s="289"/>
      <c r="AB212" s="119">
        <f t="shared" si="466"/>
        <v>0</v>
      </c>
      <c r="AC212" s="119">
        <f t="shared" si="467"/>
        <v>0</v>
      </c>
      <c r="AD212" s="119">
        <f>'1-1 项目基础信息'!H23</f>
        <v>0</v>
      </c>
      <c r="AE212" s="289">
        <f>SUMIFS('附表1-数据库'!$F32:$EA32,'附表1-数据库'!$F$26:$EA$26,'1-1 项目基础信息'!$D$19,'附表1-数据库'!$F$28:$EA$28,'1-1 项目基础信息'!$D$20,'附表1-数据库'!$F$27:$EA$27,'1-1 项目基础信息'!$D$21,'附表1-数据库'!$F$29:$EA$29,'1-1 项目基础信息'!$D$18)</f>
        <v>380</v>
      </c>
      <c r="AF212" s="119">
        <f t="shared" si="468"/>
        <v>0</v>
      </c>
      <c r="AG212" s="119">
        <f>'1-1 项目基础信息'!I23</f>
        <v>0</v>
      </c>
      <c r="AH212" s="318">
        <f t="shared" si="469"/>
        <v>380</v>
      </c>
      <c r="AI212" s="119">
        <f t="shared" si="470"/>
        <v>0</v>
      </c>
      <c r="AJ212" s="119">
        <f>'1-1 项目基础信息'!J23</f>
        <v>0</v>
      </c>
      <c r="AK212" s="318">
        <f t="shared" si="471"/>
        <v>380</v>
      </c>
      <c r="AL212" s="119">
        <f t="shared" si="472"/>
        <v>0</v>
      </c>
      <c r="AM212" s="119">
        <f>'1-1 项目基础信息'!K23</f>
        <v>0</v>
      </c>
      <c r="AN212" s="318">
        <f t="shared" si="473"/>
        <v>380</v>
      </c>
      <c r="AO212" s="119">
        <f t="shared" si="474"/>
        <v>0</v>
      </c>
      <c r="AP212" s="119">
        <f>'1-1 项目基础信息'!L23</f>
        <v>0</v>
      </c>
      <c r="AQ212" s="318">
        <f t="shared" si="475"/>
        <v>380</v>
      </c>
      <c r="AR212" s="119">
        <f t="shared" si="476"/>
        <v>0</v>
      </c>
      <c r="AS212" s="119">
        <f>'1-1 项目基础信息'!M23</f>
        <v>0</v>
      </c>
      <c r="AT212" s="318">
        <f t="shared" si="477"/>
        <v>380</v>
      </c>
      <c r="AU212" s="119">
        <f t="shared" si="478"/>
        <v>0</v>
      </c>
      <c r="AV212" s="119">
        <f>'1-1 项目基础信息'!N23</f>
        <v>0</v>
      </c>
      <c r="AW212" s="318">
        <f t="shared" si="479"/>
        <v>380</v>
      </c>
      <c r="AX212" s="119">
        <f t="shared" si="480"/>
        <v>0</v>
      </c>
      <c r="AY212" s="119">
        <f>'1-1 项目基础信息'!O23</f>
        <v>0</v>
      </c>
      <c r="AZ212" s="318">
        <f t="shared" si="481"/>
        <v>380</v>
      </c>
      <c r="BA212" s="119">
        <f t="shared" si="482"/>
        <v>0</v>
      </c>
      <c r="BB212" s="119">
        <f>'1-1 项目基础信息'!P23</f>
        <v>0</v>
      </c>
      <c r="BC212" s="318">
        <f t="shared" si="483"/>
        <v>380</v>
      </c>
      <c r="BD212" s="119">
        <f t="shared" si="484"/>
        <v>0</v>
      </c>
      <c r="BE212" s="119">
        <f>'1-1 项目基础信息'!Q23</f>
        <v>0</v>
      </c>
      <c r="BF212" s="318">
        <f t="shared" si="485"/>
        <v>380</v>
      </c>
      <c r="BG212" s="119">
        <f t="shared" si="486"/>
        <v>0</v>
      </c>
      <c r="BH212" s="119">
        <f>'1-1 项目基础信息'!R23</f>
        <v>0</v>
      </c>
      <c r="BI212" s="318">
        <f t="shared" si="487"/>
        <v>380</v>
      </c>
      <c r="BJ212" s="119">
        <f t="shared" si="488"/>
        <v>0</v>
      </c>
      <c r="BK212" s="119">
        <f>'1-1 项目基础信息'!S23</f>
        <v>0</v>
      </c>
      <c r="BL212" s="319">
        <f t="shared" si="489"/>
        <v>380</v>
      </c>
      <c r="BM212" s="311"/>
      <c r="BN212" s="314"/>
    </row>
    <row r="213" s="118" customFormat="1" ht="33.95" customHeight="1" outlineLevel="5" spans="2:66">
      <c r="B213" s="119" t="s">
        <v>799</v>
      </c>
      <c r="C213" s="120" t="s">
        <v>1156</v>
      </c>
      <c r="D213" s="118" t="s">
        <v>1157</v>
      </c>
      <c r="E213" s="119"/>
      <c r="F213" s="119"/>
      <c r="G213" s="119" t="s">
        <v>803</v>
      </c>
      <c r="H213" s="119">
        <f t="shared" si="462"/>
        <v>0</v>
      </c>
      <c r="I213" s="119" t="s">
        <v>1149</v>
      </c>
      <c r="J213" s="119" t="e">
        <f t="shared" si="463"/>
        <v>#DIV/0!</v>
      </c>
      <c r="K213" s="119" t="s">
        <v>1150</v>
      </c>
      <c r="L213" s="119" t="e">
        <f t="shared" si="464"/>
        <v>#DIV/0!</v>
      </c>
      <c r="M213" s="119" t="s">
        <v>1151</v>
      </c>
      <c r="N213" s="119">
        <f t="shared" si="465"/>
        <v>0</v>
      </c>
      <c r="O213" s="119"/>
      <c r="P213" s="289"/>
      <c r="Q213" s="289"/>
      <c r="R213" s="289"/>
      <c r="S213" s="289"/>
      <c r="T213" s="289"/>
      <c r="U213" s="289"/>
      <c r="V213" s="289"/>
      <c r="W213" s="289"/>
      <c r="X213" s="289"/>
      <c r="Y213" s="289"/>
      <c r="Z213" s="289"/>
      <c r="AA213" s="289"/>
      <c r="AB213" s="119">
        <f t="shared" si="466"/>
        <v>0</v>
      </c>
      <c r="AC213" s="119">
        <f t="shared" si="467"/>
        <v>0</v>
      </c>
      <c r="AD213" s="119">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9">
        <f t="shared" si="468"/>
        <v>0</v>
      </c>
      <c r="AG213" s="119">
        <f>'1-1 项目基础信息'!I24</f>
        <v>0</v>
      </c>
      <c r="AH213" s="318">
        <f t="shared" si="469"/>
        <v>440</v>
      </c>
      <c r="AI213" s="119">
        <f t="shared" si="470"/>
        <v>0</v>
      </c>
      <c r="AJ213" s="119">
        <f>'1-1 项目基础信息'!J24</f>
        <v>0</v>
      </c>
      <c r="AK213" s="318">
        <f t="shared" si="471"/>
        <v>440</v>
      </c>
      <c r="AL213" s="119">
        <f t="shared" si="472"/>
        <v>0</v>
      </c>
      <c r="AM213" s="119">
        <f>'1-1 项目基础信息'!K24</f>
        <v>0</v>
      </c>
      <c r="AN213" s="318">
        <f t="shared" si="473"/>
        <v>440</v>
      </c>
      <c r="AO213" s="119">
        <f t="shared" si="474"/>
        <v>0</v>
      </c>
      <c r="AP213" s="119">
        <f>'1-1 项目基础信息'!L24</f>
        <v>0</v>
      </c>
      <c r="AQ213" s="318">
        <f t="shared" si="475"/>
        <v>440</v>
      </c>
      <c r="AR213" s="119">
        <f t="shared" si="476"/>
        <v>0</v>
      </c>
      <c r="AS213" s="119">
        <f>'1-1 项目基础信息'!M24</f>
        <v>0</v>
      </c>
      <c r="AT213" s="318">
        <f t="shared" si="477"/>
        <v>440</v>
      </c>
      <c r="AU213" s="119">
        <f t="shared" si="478"/>
        <v>0</v>
      </c>
      <c r="AV213" s="119">
        <f>'1-1 项目基础信息'!N24</f>
        <v>0</v>
      </c>
      <c r="AW213" s="318">
        <f t="shared" si="479"/>
        <v>440</v>
      </c>
      <c r="AX213" s="119">
        <f t="shared" si="480"/>
        <v>0</v>
      </c>
      <c r="AY213" s="119">
        <f>'1-1 项目基础信息'!O24</f>
        <v>0</v>
      </c>
      <c r="AZ213" s="318">
        <f t="shared" si="481"/>
        <v>440</v>
      </c>
      <c r="BA213" s="119">
        <f t="shared" si="482"/>
        <v>0</v>
      </c>
      <c r="BB213" s="119">
        <f>'1-1 项目基础信息'!P24</f>
        <v>0</v>
      </c>
      <c r="BC213" s="318">
        <f t="shared" si="483"/>
        <v>440</v>
      </c>
      <c r="BD213" s="119">
        <f t="shared" si="484"/>
        <v>0</v>
      </c>
      <c r="BE213" s="119">
        <f>'1-1 项目基础信息'!Q24</f>
        <v>0</v>
      </c>
      <c r="BF213" s="318">
        <f t="shared" si="485"/>
        <v>440</v>
      </c>
      <c r="BG213" s="119">
        <f t="shared" si="486"/>
        <v>0</v>
      </c>
      <c r="BH213" s="119">
        <f>'1-1 项目基础信息'!R24</f>
        <v>0</v>
      </c>
      <c r="BI213" s="318">
        <f t="shared" si="487"/>
        <v>440</v>
      </c>
      <c r="BJ213" s="119">
        <f t="shared" si="488"/>
        <v>0</v>
      </c>
      <c r="BK213" s="119">
        <f>'1-1 项目基础信息'!S24</f>
        <v>0</v>
      </c>
      <c r="BL213" s="319">
        <f t="shared" si="489"/>
        <v>440</v>
      </c>
      <c r="BM213" s="311"/>
      <c r="BN213" s="314"/>
    </row>
    <row r="214" s="118" customFormat="1" ht="33.95" customHeight="1" outlineLevel="5" spans="2:66">
      <c r="B214" s="119" t="s">
        <v>799</v>
      </c>
      <c r="C214" s="120" t="s">
        <v>1158</v>
      </c>
      <c r="D214" s="118" t="s">
        <v>1159</v>
      </c>
      <c r="E214" s="119"/>
      <c r="F214" s="119"/>
      <c r="G214" s="119" t="s">
        <v>803</v>
      </c>
      <c r="H214" s="119">
        <f t="shared" si="462"/>
        <v>0</v>
      </c>
      <c r="I214" s="119" t="s">
        <v>1149</v>
      </c>
      <c r="J214" s="119" t="e">
        <f t="shared" si="463"/>
        <v>#DIV/0!</v>
      </c>
      <c r="K214" s="119" t="s">
        <v>1150</v>
      </c>
      <c r="L214" s="119" t="e">
        <f t="shared" si="464"/>
        <v>#DIV/0!</v>
      </c>
      <c r="M214" s="119" t="s">
        <v>1151</v>
      </c>
      <c r="N214" s="119">
        <f t="shared" si="465"/>
        <v>0</v>
      </c>
      <c r="O214" s="119"/>
      <c r="P214" s="289"/>
      <c r="Q214" s="289"/>
      <c r="R214" s="289"/>
      <c r="S214" s="289"/>
      <c r="T214" s="289"/>
      <c r="U214" s="289"/>
      <c r="V214" s="289"/>
      <c r="W214" s="289"/>
      <c r="X214" s="289"/>
      <c r="Y214" s="289"/>
      <c r="Z214" s="289"/>
      <c r="AA214" s="289"/>
      <c r="AB214" s="119">
        <f t="shared" si="466"/>
        <v>0</v>
      </c>
      <c r="AC214" s="119">
        <f t="shared" si="467"/>
        <v>0</v>
      </c>
      <c r="AD214" s="119">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9">
        <f t="shared" si="468"/>
        <v>0</v>
      </c>
      <c r="AG214" s="119">
        <f>'1-1 项目基础信息'!I25</f>
        <v>0</v>
      </c>
      <c r="AH214" s="318">
        <f t="shared" si="469"/>
        <v>624</v>
      </c>
      <c r="AI214" s="119">
        <f t="shared" si="470"/>
        <v>0</v>
      </c>
      <c r="AJ214" s="119">
        <f>'1-1 项目基础信息'!J25</f>
        <v>0</v>
      </c>
      <c r="AK214" s="318">
        <f t="shared" si="471"/>
        <v>624</v>
      </c>
      <c r="AL214" s="119">
        <f t="shared" si="472"/>
        <v>0</v>
      </c>
      <c r="AM214" s="119">
        <f>'1-1 项目基础信息'!K25</f>
        <v>0</v>
      </c>
      <c r="AN214" s="318">
        <f t="shared" si="473"/>
        <v>624</v>
      </c>
      <c r="AO214" s="119">
        <f t="shared" si="474"/>
        <v>0</v>
      </c>
      <c r="AP214" s="119">
        <f>'1-1 项目基础信息'!L25</f>
        <v>0</v>
      </c>
      <c r="AQ214" s="318">
        <f t="shared" si="475"/>
        <v>624</v>
      </c>
      <c r="AR214" s="119">
        <f t="shared" si="476"/>
        <v>0</v>
      </c>
      <c r="AS214" s="119">
        <f>'1-1 项目基础信息'!M25</f>
        <v>0</v>
      </c>
      <c r="AT214" s="318">
        <f t="shared" si="477"/>
        <v>624</v>
      </c>
      <c r="AU214" s="119">
        <f t="shared" si="478"/>
        <v>0</v>
      </c>
      <c r="AV214" s="119">
        <f>'1-1 项目基础信息'!N25</f>
        <v>0</v>
      </c>
      <c r="AW214" s="318">
        <f t="shared" si="479"/>
        <v>624</v>
      </c>
      <c r="AX214" s="119">
        <f t="shared" si="480"/>
        <v>0</v>
      </c>
      <c r="AY214" s="119">
        <f>'1-1 项目基础信息'!O25</f>
        <v>0</v>
      </c>
      <c r="AZ214" s="318">
        <f t="shared" si="481"/>
        <v>624</v>
      </c>
      <c r="BA214" s="119">
        <f t="shared" si="482"/>
        <v>0</v>
      </c>
      <c r="BB214" s="119">
        <f>'1-1 项目基础信息'!P25</f>
        <v>0</v>
      </c>
      <c r="BC214" s="318">
        <f t="shared" si="483"/>
        <v>624</v>
      </c>
      <c r="BD214" s="119">
        <f t="shared" si="484"/>
        <v>0</v>
      </c>
      <c r="BE214" s="119">
        <f>'1-1 项目基础信息'!Q25</f>
        <v>0</v>
      </c>
      <c r="BF214" s="318">
        <f t="shared" si="485"/>
        <v>624</v>
      </c>
      <c r="BG214" s="119">
        <f t="shared" si="486"/>
        <v>0</v>
      </c>
      <c r="BH214" s="119">
        <f>'1-1 项目基础信息'!R25</f>
        <v>0</v>
      </c>
      <c r="BI214" s="318">
        <f t="shared" si="487"/>
        <v>624</v>
      </c>
      <c r="BJ214" s="119">
        <f t="shared" si="488"/>
        <v>0</v>
      </c>
      <c r="BK214" s="119">
        <f>'1-1 项目基础信息'!S25</f>
        <v>0</v>
      </c>
      <c r="BL214" s="319">
        <f t="shared" si="489"/>
        <v>624</v>
      </c>
      <c r="BM214" s="311"/>
      <c r="BN214" s="314"/>
    </row>
    <row r="215" s="118" customFormat="1" ht="33.95" customHeight="1" outlineLevel="5" spans="2:66">
      <c r="B215" s="119" t="s">
        <v>799</v>
      </c>
      <c r="C215" s="120" t="s">
        <v>1160</v>
      </c>
      <c r="D215" s="118" t="s">
        <v>1161</v>
      </c>
      <c r="E215" s="119"/>
      <c r="F215" s="119"/>
      <c r="G215" s="119" t="s">
        <v>803</v>
      </c>
      <c r="H215" s="119">
        <f t="shared" si="462"/>
        <v>0</v>
      </c>
      <c r="I215" s="119" t="s">
        <v>1149</v>
      </c>
      <c r="J215" s="119" t="e">
        <f t="shared" si="463"/>
        <v>#DIV/0!</v>
      </c>
      <c r="K215" s="119" t="s">
        <v>1150</v>
      </c>
      <c r="L215" s="119" t="e">
        <f t="shared" si="464"/>
        <v>#DIV/0!</v>
      </c>
      <c r="M215" s="119" t="s">
        <v>1151</v>
      </c>
      <c r="N215" s="119">
        <f t="shared" si="465"/>
        <v>0</v>
      </c>
      <c r="O215" s="119"/>
      <c r="P215" s="289"/>
      <c r="Q215" s="289"/>
      <c r="R215" s="289"/>
      <c r="S215" s="289"/>
      <c r="T215" s="289"/>
      <c r="U215" s="289"/>
      <c r="V215" s="289"/>
      <c r="W215" s="289"/>
      <c r="X215" s="289"/>
      <c r="Y215" s="289"/>
      <c r="Z215" s="289"/>
      <c r="AA215" s="289"/>
      <c r="AB215" s="119">
        <f t="shared" si="466"/>
        <v>0</v>
      </c>
      <c r="AC215" s="119">
        <f t="shared" si="467"/>
        <v>0</v>
      </c>
      <c r="AD215" s="119">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9">
        <f t="shared" si="468"/>
        <v>0</v>
      </c>
      <c r="AG215" s="119">
        <f>'1-1 项目基础信息'!I26</f>
        <v>0</v>
      </c>
      <c r="AH215" s="318">
        <f t="shared" si="469"/>
        <v>780</v>
      </c>
      <c r="AI215" s="119">
        <f t="shared" si="470"/>
        <v>0</v>
      </c>
      <c r="AJ215" s="119">
        <f>'1-1 项目基础信息'!J26</f>
        <v>0</v>
      </c>
      <c r="AK215" s="318">
        <f t="shared" si="471"/>
        <v>780</v>
      </c>
      <c r="AL215" s="119">
        <f t="shared" si="472"/>
        <v>0</v>
      </c>
      <c r="AM215" s="119">
        <f>'1-1 项目基础信息'!K26</f>
        <v>0</v>
      </c>
      <c r="AN215" s="318">
        <f t="shared" si="473"/>
        <v>780</v>
      </c>
      <c r="AO215" s="119">
        <f t="shared" si="474"/>
        <v>0</v>
      </c>
      <c r="AP215" s="119">
        <f>'1-1 项目基础信息'!L26</f>
        <v>0</v>
      </c>
      <c r="AQ215" s="318">
        <f t="shared" si="475"/>
        <v>780</v>
      </c>
      <c r="AR215" s="119">
        <f t="shared" si="476"/>
        <v>0</v>
      </c>
      <c r="AS215" s="119">
        <f>'1-1 项目基础信息'!M26</f>
        <v>0</v>
      </c>
      <c r="AT215" s="318">
        <f t="shared" si="477"/>
        <v>780</v>
      </c>
      <c r="AU215" s="119">
        <f t="shared" si="478"/>
        <v>0</v>
      </c>
      <c r="AV215" s="119">
        <f>'1-1 项目基础信息'!N26</f>
        <v>0</v>
      </c>
      <c r="AW215" s="318">
        <f t="shared" si="479"/>
        <v>780</v>
      </c>
      <c r="AX215" s="119">
        <f t="shared" si="480"/>
        <v>0</v>
      </c>
      <c r="AY215" s="119">
        <f>'1-1 项目基础信息'!O26</f>
        <v>0</v>
      </c>
      <c r="AZ215" s="318">
        <f t="shared" si="481"/>
        <v>780</v>
      </c>
      <c r="BA215" s="119">
        <f t="shared" si="482"/>
        <v>0</v>
      </c>
      <c r="BB215" s="119">
        <f>'1-1 项目基础信息'!P26</f>
        <v>0</v>
      </c>
      <c r="BC215" s="318">
        <f t="shared" si="483"/>
        <v>780</v>
      </c>
      <c r="BD215" s="119">
        <f t="shared" si="484"/>
        <v>0</v>
      </c>
      <c r="BE215" s="119">
        <f>'1-1 项目基础信息'!Q26</f>
        <v>0</v>
      </c>
      <c r="BF215" s="318">
        <f t="shared" si="485"/>
        <v>780</v>
      </c>
      <c r="BG215" s="119">
        <f t="shared" si="486"/>
        <v>0</v>
      </c>
      <c r="BH215" s="119">
        <f>'1-1 项目基础信息'!R26</f>
        <v>0</v>
      </c>
      <c r="BI215" s="318">
        <f t="shared" si="487"/>
        <v>780</v>
      </c>
      <c r="BJ215" s="119">
        <f t="shared" si="488"/>
        <v>0</v>
      </c>
      <c r="BK215" s="119">
        <f>'1-1 项目基础信息'!S26</f>
        <v>0</v>
      </c>
      <c r="BL215" s="319">
        <f t="shared" si="489"/>
        <v>780</v>
      </c>
      <c r="BM215" s="311"/>
      <c r="BN215" s="314"/>
    </row>
    <row r="216" s="118" customFormat="1" ht="33.95" customHeight="1" outlineLevel="5" spans="2:66">
      <c r="B216" s="119" t="s">
        <v>799</v>
      </c>
      <c r="C216" s="120" t="s">
        <v>1162</v>
      </c>
      <c r="D216" s="118" t="s">
        <v>1163</v>
      </c>
      <c r="E216" s="119"/>
      <c r="F216" s="119"/>
      <c r="G216" s="119" t="s">
        <v>803</v>
      </c>
      <c r="H216" s="119">
        <f t="shared" si="462"/>
        <v>0</v>
      </c>
      <c r="I216" s="119" t="s">
        <v>1149</v>
      </c>
      <c r="J216" s="119" t="e">
        <f t="shared" si="463"/>
        <v>#DIV/0!</v>
      </c>
      <c r="K216" s="119" t="s">
        <v>1150</v>
      </c>
      <c r="L216" s="119" t="e">
        <f t="shared" si="464"/>
        <v>#DIV/0!</v>
      </c>
      <c r="M216" s="119" t="s">
        <v>1151</v>
      </c>
      <c r="N216" s="119">
        <f t="shared" si="465"/>
        <v>0</v>
      </c>
      <c r="O216" s="119"/>
      <c r="P216" s="289"/>
      <c r="Q216" s="289"/>
      <c r="R216" s="289"/>
      <c r="S216" s="289"/>
      <c r="T216" s="289"/>
      <c r="U216" s="289"/>
      <c r="V216" s="289"/>
      <c r="W216" s="289"/>
      <c r="X216" s="289"/>
      <c r="Y216" s="289"/>
      <c r="Z216" s="289"/>
      <c r="AA216" s="289"/>
      <c r="AB216" s="119">
        <f t="shared" si="466"/>
        <v>0</v>
      </c>
      <c r="AC216" s="119">
        <f t="shared" si="467"/>
        <v>0</v>
      </c>
      <c r="AD216" s="119">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9">
        <f t="shared" si="468"/>
        <v>0</v>
      </c>
      <c r="AG216" s="119">
        <f>'1-1 项目基础信息'!I27</f>
        <v>0</v>
      </c>
      <c r="AH216" s="318">
        <f t="shared" si="469"/>
        <v>912</v>
      </c>
      <c r="AI216" s="119">
        <f t="shared" si="470"/>
        <v>0</v>
      </c>
      <c r="AJ216" s="119">
        <f>'1-1 项目基础信息'!J27</f>
        <v>0</v>
      </c>
      <c r="AK216" s="318">
        <f t="shared" si="471"/>
        <v>912</v>
      </c>
      <c r="AL216" s="119">
        <f t="shared" si="472"/>
        <v>0</v>
      </c>
      <c r="AM216" s="119">
        <f>'1-1 项目基础信息'!K27</f>
        <v>0</v>
      </c>
      <c r="AN216" s="318">
        <f t="shared" si="473"/>
        <v>912</v>
      </c>
      <c r="AO216" s="119">
        <f t="shared" si="474"/>
        <v>0</v>
      </c>
      <c r="AP216" s="119">
        <f>'1-1 项目基础信息'!L27</f>
        <v>0</v>
      </c>
      <c r="AQ216" s="318">
        <f t="shared" si="475"/>
        <v>912</v>
      </c>
      <c r="AR216" s="119">
        <f t="shared" si="476"/>
        <v>0</v>
      </c>
      <c r="AS216" s="119">
        <f>'1-1 项目基础信息'!M27</f>
        <v>0</v>
      </c>
      <c r="AT216" s="318">
        <f t="shared" si="477"/>
        <v>912</v>
      </c>
      <c r="AU216" s="119">
        <f t="shared" si="478"/>
        <v>0</v>
      </c>
      <c r="AV216" s="119">
        <f>'1-1 项目基础信息'!N27</f>
        <v>0</v>
      </c>
      <c r="AW216" s="318">
        <f t="shared" si="479"/>
        <v>912</v>
      </c>
      <c r="AX216" s="119">
        <f t="shared" si="480"/>
        <v>0</v>
      </c>
      <c r="AY216" s="119">
        <f>'1-1 项目基础信息'!O27</f>
        <v>0</v>
      </c>
      <c r="AZ216" s="318">
        <f t="shared" si="481"/>
        <v>912</v>
      </c>
      <c r="BA216" s="119">
        <f t="shared" si="482"/>
        <v>0</v>
      </c>
      <c r="BB216" s="119">
        <f>'1-1 项目基础信息'!P27</f>
        <v>0</v>
      </c>
      <c r="BC216" s="318">
        <f t="shared" si="483"/>
        <v>912</v>
      </c>
      <c r="BD216" s="119">
        <f t="shared" si="484"/>
        <v>0</v>
      </c>
      <c r="BE216" s="119">
        <f>'1-1 项目基础信息'!Q27</f>
        <v>0</v>
      </c>
      <c r="BF216" s="318">
        <f t="shared" si="485"/>
        <v>912</v>
      </c>
      <c r="BG216" s="119">
        <f t="shared" si="486"/>
        <v>0</v>
      </c>
      <c r="BH216" s="119">
        <f>'1-1 项目基础信息'!R27</f>
        <v>0</v>
      </c>
      <c r="BI216" s="318">
        <f t="shared" si="487"/>
        <v>912</v>
      </c>
      <c r="BJ216" s="119">
        <f t="shared" si="488"/>
        <v>0</v>
      </c>
      <c r="BK216" s="119">
        <f>'1-1 项目基础信息'!S27</f>
        <v>0</v>
      </c>
      <c r="BL216" s="319">
        <f t="shared" si="489"/>
        <v>912</v>
      </c>
      <c r="BM216" s="311"/>
      <c r="BN216" s="314"/>
    </row>
    <row r="217" s="118" customFormat="1" ht="33.95" customHeight="1" outlineLevel="5" spans="2:66">
      <c r="B217" s="119" t="s">
        <v>799</v>
      </c>
      <c r="C217" s="120" t="s">
        <v>1164</v>
      </c>
      <c r="D217" s="118" t="s">
        <v>1165</v>
      </c>
      <c r="E217" s="119"/>
      <c r="F217" s="119"/>
      <c r="G217" s="119" t="s">
        <v>803</v>
      </c>
      <c r="H217" s="119">
        <f t="shared" si="462"/>
        <v>0</v>
      </c>
      <c r="I217" s="119" t="s">
        <v>1149</v>
      </c>
      <c r="J217" s="119" t="e">
        <f t="shared" si="463"/>
        <v>#DIV/0!</v>
      </c>
      <c r="K217" s="119" t="s">
        <v>1150</v>
      </c>
      <c r="L217" s="119" t="e">
        <f t="shared" si="464"/>
        <v>#DIV/0!</v>
      </c>
      <c r="M217" s="119" t="s">
        <v>1151</v>
      </c>
      <c r="N217" s="119">
        <f t="shared" si="465"/>
        <v>0</v>
      </c>
      <c r="O217" s="119"/>
      <c r="P217" s="289"/>
      <c r="Q217" s="289"/>
      <c r="R217" s="289"/>
      <c r="S217" s="289"/>
      <c r="T217" s="289"/>
      <c r="U217" s="289"/>
      <c r="V217" s="289"/>
      <c r="W217" s="289"/>
      <c r="X217" s="289"/>
      <c r="Y217" s="289"/>
      <c r="Z217" s="289"/>
      <c r="AA217" s="289"/>
      <c r="AB217" s="119">
        <f t="shared" si="466"/>
        <v>0</v>
      </c>
      <c r="AC217" s="119">
        <f t="shared" si="467"/>
        <v>0</v>
      </c>
      <c r="AD217" s="119">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9">
        <f t="shared" si="468"/>
        <v>0</v>
      </c>
      <c r="AG217" s="119">
        <f>'1-1 项目基础信息'!I28</f>
        <v>0</v>
      </c>
      <c r="AH217" s="318">
        <f t="shared" si="469"/>
        <v>1030</v>
      </c>
      <c r="AI217" s="119">
        <f t="shared" si="470"/>
        <v>0</v>
      </c>
      <c r="AJ217" s="119">
        <f>'1-1 项目基础信息'!J28</f>
        <v>0</v>
      </c>
      <c r="AK217" s="318">
        <f t="shared" si="471"/>
        <v>1030</v>
      </c>
      <c r="AL217" s="119">
        <f t="shared" si="472"/>
        <v>0</v>
      </c>
      <c r="AM217" s="119">
        <f>'1-1 项目基础信息'!K28</f>
        <v>0</v>
      </c>
      <c r="AN217" s="318">
        <f t="shared" si="473"/>
        <v>1030</v>
      </c>
      <c r="AO217" s="119">
        <f t="shared" si="474"/>
        <v>0</v>
      </c>
      <c r="AP217" s="119">
        <f>'1-1 项目基础信息'!L28</f>
        <v>0</v>
      </c>
      <c r="AQ217" s="318">
        <f t="shared" si="475"/>
        <v>1030</v>
      </c>
      <c r="AR217" s="119">
        <f t="shared" si="476"/>
        <v>0</v>
      </c>
      <c r="AS217" s="119">
        <f>'1-1 项目基础信息'!M28</f>
        <v>0</v>
      </c>
      <c r="AT217" s="318">
        <f t="shared" si="477"/>
        <v>1030</v>
      </c>
      <c r="AU217" s="119">
        <f t="shared" si="478"/>
        <v>0</v>
      </c>
      <c r="AV217" s="119">
        <f>'1-1 项目基础信息'!N28</f>
        <v>0</v>
      </c>
      <c r="AW217" s="318">
        <f t="shared" si="479"/>
        <v>1030</v>
      </c>
      <c r="AX217" s="119">
        <f t="shared" si="480"/>
        <v>0</v>
      </c>
      <c r="AY217" s="119">
        <f>'1-1 项目基础信息'!O28</f>
        <v>0</v>
      </c>
      <c r="AZ217" s="318">
        <f t="shared" si="481"/>
        <v>1030</v>
      </c>
      <c r="BA217" s="119">
        <f t="shared" si="482"/>
        <v>0</v>
      </c>
      <c r="BB217" s="119">
        <f>'1-1 项目基础信息'!P28</f>
        <v>0</v>
      </c>
      <c r="BC217" s="318">
        <f t="shared" si="483"/>
        <v>1030</v>
      </c>
      <c r="BD217" s="119">
        <f t="shared" si="484"/>
        <v>0</v>
      </c>
      <c r="BE217" s="119">
        <f>'1-1 项目基础信息'!Q28</f>
        <v>0</v>
      </c>
      <c r="BF217" s="318">
        <f t="shared" si="485"/>
        <v>1030</v>
      </c>
      <c r="BG217" s="119">
        <f t="shared" si="486"/>
        <v>0</v>
      </c>
      <c r="BH217" s="119">
        <f>'1-1 项目基础信息'!R28</f>
        <v>0</v>
      </c>
      <c r="BI217" s="318">
        <f t="shared" si="487"/>
        <v>1030</v>
      </c>
      <c r="BJ217" s="119">
        <f t="shared" si="488"/>
        <v>0</v>
      </c>
      <c r="BK217" s="119">
        <f>'1-1 项目基础信息'!S28</f>
        <v>0</v>
      </c>
      <c r="BL217" s="319">
        <f t="shared" si="489"/>
        <v>1030</v>
      </c>
      <c r="BM217" s="311"/>
      <c r="BN217" s="314"/>
    </row>
    <row r="218" s="118" customFormat="1" ht="33.95" customHeight="1" outlineLevel="5" spans="2:66">
      <c r="B218" s="119" t="s">
        <v>799</v>
      </c>
      <c r="C218" s="120" t="s">
        <v>1166</v>
      </c>
      <c r="D218" s="118" t="s">
        <v>1167</v>
      </c>
      <c r="E218" s="119"/>
      <c r="F218" s="119"/>
      <c r="G218" s="119" t="s">
        <v>803</v>
      </c>
      <c r="H218" s="119">
        <f t="shared" si="462"/>
        <v>0</v>
      </c>
      <c r="I218" s="119" t="s">
        <v>1149</v>
      </c>
      <c r="J218" s="119" t="e">
        <f t="shared" si="463"/>
        <v>#DIV/0!</v>
      </c>
      <c r="K218" s="119" t="s">
        <v>1150</v>
      </c>
      <c r="L218" s="119" t="e">
        <f t="shared" si="464"/>
        <v>#DIV/0!</v>
      </c>
      <c r="M218" s="119" t="s">
        <v>1151</v>
      </c>
      <c r="N218" s="119">
        <f t="shared" si="465"/>
        <v>0</v>
      </c>
      <c r="O218" s="119"/>
      <c r="P218" s="289"/>
      <c r="Q218" s="289"/>
      <c r="R218" s="289"/>
      <c r="S218" s="289"/>
      <c r="T218" s="289"/>
      <c r="U218" s="289"/>
      <c r="V218" s="289"/>
      <c r="W218" s="289"/>
      <c r="X218" s="289"/>
      <c r="Y218" s="289"/>
      <c r="Z218" s="289"/>
      <c r="AA218" s="289"/>
      <c r="AB218" s="119">
        <f t="shared" si="466"/>
        <v>0</v>
      </c>
      <c r="AC218" s="119">
        <f t="shared" si="467"/>
        <v>0</v>
      </c>
      <c r="AD218" s="119">
        <f>'1-1 项目基础信息'!H29</f>
        <v>0</v>
      </c>
      <c r="AE218" s="289">
        <f>SUMIFS('附表1-数据库'!$F38:$EA38,'附表1-数据库'!$F$26:$EA$26,'1-1 项目基础信息'!$D$19,'附表1-数据库'!$F$28:$EA$28,'1-1 项目基础信息'!$D$20,'附表1-数据库'!$F$27:$EA$27,'1-1 项目基础信息'!$D$21,'附表1-数据库'!$F$29:$EA$29,'1-1 项目基础信息'!$D$18)</f>
        <v>828</v>
      </c>
      <c r="AF218" s="119">
        <f t="shared" si="468"/>
        <v>0</v>
      </c>
      <c r="AG218" s="119">
        <f>'1-1 项目基础信息'!I29</f>
        <v>0</v>
      </c>
      <c r="AH218" s="318">
        <f t="shared" si="469"/>
        <v>828</v>
      </c>
      <c r="AI218" s="119">
        <f t="shared" si="470"/>
        <v>0</v>
      </c>
      <c r="AJ218" s="119">
        <f>'1-1 项目基础信息'!J29</f>
        <v>0</v>
      </c>
      <c r="AK218" s="318">
        <f t="shared" si="471"/>
        <v>828</v>
      </c>
      <c r="AL218" s="119">
        <f t="shared" si="472"/>
        <v>0</v>
      </c>
      <c r="AM218" s="119">
        <f>'1-1 项目基础信息'!K29</f>
        <v>0</v>
      </c>
      <c r="AN218" s="318">
        <f t="shared" si="473"/>
        <v>828</v>
      </c>
      <c r="AO218" s="119">
        <f t="shared" si="474"/>
        <v>0</v>
      </c>
      <c r="AP218" s="119">
        <f>'1-1 项目基础信息'!L29</f>
        <v>0</v>
      </c>
      <c r="AQ218" s="318">
        <f t="shared" si="475"/>
        <v>828</v>
      </c>
      <c r="AR218" s="119">
        <f t="shared" si="476"/>
        <v>0</v>
      </c>
      <c r="AS218" s="119">
        <f>'1-1 项目基础信息'!M29</f>
        <v>0</v>
      </c>
      <c r="AT218" s="318">
        <f t="shared" si="477"/>
        <v>828</v>
      </c>
      <c r="AU218" s="119">
        <f t="shared" si="478"/>
        <v>0</v>
      </c>
      <c r="AV218" s="119">
        <f>'1-1 项目基础信息'!N29</f>
        <v>0</v>
      </c>
      <c r="AW218" s="318">
        <f t="shared" si="479"/>
        <v>828</v>
      </c>
      <c r="AX218" s="119">
        <f t="shared" si="480"/>
        <v>0</v>
      </c>
      <c r="AY218" s="119">
        <f>'1-1 项目基础信息'!O29</f>
        <v>0</v>
      </c>
      <c r="AZ218" s="318">
        <f t="shared" si="481"/>
        <v>828</v>
      </c>
      <c r="BA218" s="119">
        <f t="shared" si="482"/>
        <v>0</v>
      </c>
      <c r="BB218" s="119">
        <f>'1-1 项目基础信息'!P29</f>
        <v>0</v>
      </c>
      <c r="BC218" s="318">
        <f t="shared" si="483"/>
        <v>828</v>
      </c>
      <c r="BD218" s="119">
        <f t="shared" si="484"/>
        <v>0</v>
      </c>
      <c r="BE218" s="119">
        <f>'1-1 项目基础信息'!Q29</f>
        <v>0</v>
      </c>
      <c r="BF218" s="318">
        <f t="shared" si="485"/>
        <v>828</v>
      </c>
      <c r="BG218" s="119">
        <f t="shared" si="486"/>
        <v>0</v>
      </c>
      <c r="BH218" s="119">
        <f>'1-1 项目基础信息'!R29</f>
        <v>0</v>
      </c>
      <c r="BI218" s="318">
        <f t="shared" si="487"/>
        <v>828</v>
      </c>
      <c r="BJ218" s="119">
        <f t="shared" si="488"/>
        <v>0</v>
      </c>
      <c r="BK218" s="119">
        <f>'1-1 项目基础信息'!S29</f>
        <v>0</v>
      </c>
      <c r="BL218" s="319">
        <f t="shared" si="489"/>
        <v>828</v>
      </c>
      <c r="BM218" s="311"/>
      <c r="BN218" s="314"/>
    </row>
    <row r="219" s="118" customFormat="1" ht="33.95" customHeight="1" outlineLevel="5" spans="2:66">
      <c r="B219" s="119" t="s">
        <v>799</v>
      </c>
      <c r="C219" s="120" t="s">
        <v>1168</v>
      </c>
      <c r="D219" s="118" t="s">
        <v>1169</v>
      </c>
      <c r="E219" s="119"/>
      <c r="F219" s="119"/>
      <c r="G219" s="119" t="s">
        <v>803</v>
      </c>
      <c r="H219" s="119">
        <f t="shared" si="462"/>
        <v>0</v>
      </c>
      <c r="I219" s="119" t="s">
        <v>1149</v>
      </c>
      <c r="J219" s="119" t="e">
        <f t="shared" si="463"/>
        <v>#DIV/0!</v>
      </c>
      <c r="K219" s="119" t="s">
        <v>1150</v>
      </c>
      <c r="L219" s="119" t="e">
        <f t="shared" si="464"/>
        <v>#DIV/0!</v>
      </c>
      <c r="M219" s="119" t="s">
        <v>1151</v>
      </c>
      <c r="N219" s="119">
        <f t="shared" si="465"/>
        <v>0</v>
      </c>
      <c r="O219" s="119"/>
      <c r="P219" s="289"/>
      <c r="Q219" s="289"/>
      <c r="R219" s="289"/>
      <c r="S219" s="289"/>
      <c r="T219" s="289"/>
      <c r="U219" s="289"/>
      <c r="V219" s="289"/>
      <c r="W219" s="289"/>
      <c r="X219" s="289"/>
      <c r="Y219" s="289"/>
      <c r="Z219" s="289"/>
      <c r="AA219" s="289"/>
      <c r="AB219" s="119">
        <f t="shared" si="466"/>
        <v>0</v>
      </c>
      <c r="AC219" s="119">
        <f t="shared" si="467"/>
        <v>0</v>
      </c>
      <c r="AD219" s="119">
        <f>'1-1 项目基础信息'!H30</f>
        <v>0</v>
      </c>
      <c r="AE219" s="289">
        <f>SUMIFS('附表1-数据库'!$F39:$EA39,'附表1-数据库'!$F$26:$EA$26,'1-1 项目基础信息'!$D$19,'附表1-数据库'!$F$28:$EA$28,'1-1 项目基础信息'!$D$20,'附表1-数据库'!$F$27:$EA$27,'1-1 项目基础信息'!$D$21,'附表1-数据库'!$F$29:$EA$29,'1-1 项目基础信息'!$D$18)</f>
        <v>972</v>
      </c>
      <c r="AF219" s="119">
        <f t="shared" si="468"/>
        <v>0</v>
      </c>
      <c r="AG219" s="119">
        <f>'1-1 项目基础信息'!I30</f>
        <v>0</v>
      </c>
      <c r="AH219" s="318">
        <f t="shared" si="469"/>
        <v>972</v>
      </c>
      <c r="AI219" s="119">
        <f t="shared" si="470"/>
        <v>0</v>
      </c>
      <c r="AJ219" s="119">
        <f>'1-1 项目基础信息'!J30</f>
        <v>0</v>
      </c>
      <c r="AK219" s="318">
        <f t="shared" si="471"/>
        <v>972</v>
      </c>
      <c r="AL219" s="119">
        <f t="shared" si="472"/>
        <v>0</v>
      </c>
      <c r="AM219" s="119">
        <f>'1-1 项目基础信息'!K30</f>
        <v>0</v>
      </c>
      <c r="AN219" s="318">
        <f t="shared" si="473"/>
        <v>972</v>
      </c>
      <c r="AO219" s="119">
        <f t="shared" si="474"/>
        <v>0</v>
      </c>
      <c r="AP219" s="119">
        <f>'1-1 项目基础信息'!L30</f>
        <v>0</v>
      </c>
      <c r="AQ219" s="318">
        <f t="shared" si="475"/>
        <v>972</v>
      </c>
      <c r="AR219" s="119">
        <f t="shared" si="476"/>
        <v>0</v>
      </c>
      <c r="AS219" s="119">
        <f>'1-1 项目基础信息'!M30</f>
        <v>0</v>
      </c>
      <c r="AT219" s="318">
        <f t="shared" si="477"/>
        <v>972</v>
      </c>
      <c r="AU219" s="119">
        <f t="shared" si="478"/>
        <v>0</v>
      </c>
      <c r="AV219" s="119">
        <f>'1-1 项目基础信息'!N30</f>
        <v>0</v>
      </c>
      <c r="AW219" s="318">
        <f t="shared" si="479"/>
        <v>972</v>
      </c>
      <c r="AX219" s="119">
        <f t="shared" si="480"/>
        <v>0</v>
      </c>
      <c r="AY219" s="119">
        <f>'1-1 项目基础信息'!O30</f>
        <v>0</v>
      </c>
      <c r="AZ219" s="318">
        <f t="shared" si="481"/>
        <v>972</v>
      </c>
      <c r="BA219" s="119">
        <f t="shared" si="482"/>
        <v>0</v>
      </c>
      <c r="BB219" s="119">
        <f>'1-1 项目基础信息'!P30</f>
        <v>0</v>
      </c>
      <c r="BC219" s="318">
        <f t="shared" si="483"/>
        <v>972</v>
      </c>
      <c r="BD219" s="119">
        <f t="shared" si="484"/>
        <v>0</v>
      </c>
      <c r="BE219" s="119">
        <f>'1-1 项目基础信息'!Q30</f>
        <v>0</v>
      </c>
      <c r="BF219" s="318">
        <f t="shared" si="485"/>
        <v>972</v>
      </c>
      <c r="BG219" s="119">
        <f t="shared" si="486"/>
        <v>0</v>
      </c>
      <c r="BH219" s="119">
        <f>'1-1 项目基础信息'!R30</f>
        <v>0</v>
      </c>
      <c r="BI219" s="318">
        <f t="shared" si="487"/>
        <v>972</v>
      </c>
      <c r="BJ219" s="119">
        <f t="shared" si="488"/>
        <v>0</v>
      </c>
      <c r="BK219" s="119">
        <f>'1-1 项目基础信息'!S30</f>
        <v>0</v>
      </c>
      <c r="BL219" s="319">
        <f t="shared" si="489"/>
        <v>972</v>
      </c>
      <c r="BM219" s="311"/>
      <c r="BN219" s="314"/>
    </row>
    <row r="220" s="118" customFormat="1" ht="33.95" customHeight="1" outlineLevel="5" spans="2:66">
      <c r="B220" s="119" t="s">
        <v>799</v>
      </c>
      <c r="C220" s="120" t="s">
        <v>1170</v>
      </c>
      <c r="D220" s="118" t="s">
        <v>1171</v>
      </c>
      <c r="E220" s="119"/>
      <c r="F220" s="119"/>
      <c r="G220" s="119" t="s">
        <v>803</v>
      </c>
      <c r="H220" s="119">
        <f t="shared" si="462"/>
        <v>0</v>
      </c>
      <c r="I220" s="119" t="s">
        <v>1149</v>
      </c>
      <c r="J220" s="119" t="e">
        <f t="shared" si="463"/>
        <v>#DIV/0!</v>
      </c>
      <c r="K220" s="119" t="s">
        <v>1150</v>
      </c>
      <c r="L220" s="119" t="e">
        <f t="shared" si="464"/>
        <v>#DIV/0!</v>
      </c>
      <c r="M220" s="119" t="s">
        <v>1151</v>
      </c>
      <c r="N220" s="119">
        <f t="shared" si="465"/>
        <v>0</v>
      </c>
      <c r="O220" s="119"/>
      <c r="P220" s="289"/>
      <c r="Q220" s="289"/>
      <c r="R220" s="289"/>
      <c r="S220" s="289"/>
      <c r="T220" s="289"/>
      <c r="U220" s="289"/>
      <c r="V220" s="289"/>
      <c r="W220" s="289"/>
      <c r="X220" s="289"/>
      <c r="Y220" s="289"/>
      <c r="Z220" s="289"/>
      <c r="AA220" s="289"/>
      <c r="AB220" s="119">
        <f t="shared" si="466"/>
        <v>0</v>
      </c>
      <c r="AC220" s="119">
        <f t="shared" si="467"/>
        <v>0</v>
      </c>
      <c r="AD220" s="119">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9">
        <f t="shared" si="468"/>
        <v>0</v>
      </c>
      <c r="AG220" s="119">
        <f>'1-1 项目基础信息'!I31</f>
        <v>0</v>
      </c>
      <c r="AH220" s="318">
        <f t="shared" si="469"/>
        <v>1152</v>
      </c>
      <c r="AI220" s="119">
        <f t="shared" si="470"/>
        <v>0</v>
      </c>
      <c r="AJ220" s="119">
        <f>'1-1 项目基础信息'!J31</f>
        <v>0</v>
      </c>
      <c r="AK220" s="318">
        <f t="shared" si="471"/>
        <v>1152</v>
      </c>
      <c r="AL220" s="119">
        <f t="shared" si="472"/>
        <v>0</v>
      </c>
      <c r="AM220" s="119">
        <f>'1-1 项目基础信息'!K31</f>
        <v>0</v>
      </c>
      <c r="AN220" s="318">
        <f t="shared" si="473"/>
        <v>1152</v>
      </c>
      <c r="AO220" s="119">
        <f t="shared" si="474"/>
        <v>0</v>
      </c>
      <c r="AP220" s="119">
        <f>'1-1 项目基础信息'!L31</f>
        <v>0</v>
      </c>
      <c r="AQ220" s="318">
        <f t="shared" si="475"/>
        <v>1152</v>
      </c>
      <c r="AR220" s="119">
        <f t="shared" si="476"/>
        <v>0</v>
      </c>
      <c r="AS220" s="119">
        <f>'1-1 项目基础信息'!M31</f>
        <v>0</v>
      </c>
      <c r="AT220" s="318">
        <f t="shared" si="477"/>
        <v>1152</v>
      </c>
      <c r="AU220" s="119">
        <f t="shared" si="478"/>
        <v>0</v>
      </c>
      <c r="AV220" s="119">
        <f>'1-1 项目基础信息'!N31</f>
        <v>0</v>
      </c>
      <c r="AW220" s="318">
        <f t="shared" si="479"/>
        <v>1152</v>
      </c>
      <c r="AX220" s="119">
        <f t="shared" si="480"/>
        <v>0</v>
      </c>
      <c r="AY220" s="119">
        <f>'1-1 项目基础信息'!O31</f>
        <v>0</v>
      </c>
      <c r="AZ220" s="318">
        <f t="shared" si="481"/>
        <v>1152</v>
      </c>
      <c r="BA220" s="119">
        <f t="shared" si="482"/>
        <v>0</v>
      </c>
      <c r="BB220" s="119">
        <f>'1-1 项目基础信息'!P31</f>
        <v>0</v>
      </c>
      <c r="BC220" s="318">
        <f t="shared" si="483"/>
        <v>1152</v>
      </c>
      <c r="BD220" s="119">
        <f t="shared" si="484"/>
        <v>0</v>
      </c>
      <c r="BE220" s="119">
        <f>'1-1 项目基础信息'!Q31</f>
        <v>0</v>
      </c>
      <c r="BF220" s="318">
        <f t="shared" si="485"/>
        <v>1152</v>
      </c>
      <c r="BG220" s="119">
        <f t="shared" si="486"/>
        <v>0</v>
      </c>
      <c r="BH220" s="119">
        <f>'1-1 项目基础信息'!R31</f>
        <v>0</v>
      </c>
      <c r="BI220" s="318">
        <f t="shared" si="487"/>
        <v>1152</v>
      </c>
      <c r="BJ220" s="119">
        <f t="shared" si="488"/>
        <v>0</v>
      </c>
      <c r="BK220" s="119">
        <f>'1-1 项目基础信息'!S31</f>
        <v>0</v>
      </c>
      <c r="BL220" s="319">
        <f t="shared" si="489"/>
        <v>1152</v>
      </c>
      <c r="BM220" s="311"/>
      <c r="BN220" s="314"/>
    </row>
    <row r="221" s="118" customFormat="1" ht="33.95" customHeight="1" outlineLevel="5" spans="2:66">
      <c r="B221" s="119" t="s">
        <v>799</v>
      </c>
      <c r="C221" s="120" t="s">
        <v>1172</v>
      </c>
      <c r="D221" s="118" t="s">
        <v>1173</v>
      </c>
      <c r="E221" s="119"/>
      <c r="F221" s="119"/>
      <c r="G221" s="119" t="s">
        <v>803</v>
      </c>
      <c r="H221" s="119">
        <f t="shared" si="462"/>
        <v>0</v>
      </c>
      <c r="I221" s="119" t="s">
        <v>1149</v>
      </c>
      <c r="J221" s="119" t="e">
        <f t="shared" si="463"/>
        <v>#DIV/0!</v>
      </c>
      <c r="K221" s="119" t="s">
        <v>1150</v>
      </c>
      <c r="L221" s="119" t="e">
        <f t="shared" si="464"/>
        <v>#DIV/0!</v>
      </c>
      <c r="M221" s="119" t="s">
        <v>1151</v>
      </c>
      <c r="N221" s="119">
        <f t="shared" si="465"/>
        <v>0</v>
      </c>
      <c r="O221" s="119"/>
      <c r="P221" s="289"/>
      <c r="Q221" s="289"/>
      <c r="R221" s="289"/>
      <c r="S221" s="289"/>
      <c r="T221" s="289"/>
      <c r="U221" s="289"/>
      <c r="V221" s="289"/>
      <c r="W221" s="289"/>
      <c r="X221" s="289"/>
      <c r="Y221" s="289"/>
      <c r="Z221" s="289"/>
      <c r="AA221" s="289"/>
      <c r="AB221" s="119">
        <f t="shared" si="466"/>
        <v>0</v>
      </c>
      <c r="AC221" s="119">
        <f t="shared" si="467"/>
        <v>0</v>
      </c>
      <c r="AD221" s="119">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9">
        <f t="shared" si="468"/>
        <v>0</v>
      </c>
      <c r="AG221" s="119">
        <f>'1-1 项目基础信息'!I32</f>
        <v>0</v>
      </c>
      <c r="AH221" s="318">
        <f t="shared" si="469"/>
        <v>0</v>
      </c>
      <c r="AI221" s="119">
        <f t="shared" si="470"/>
        <v>0</v>
      </c>
      <c r="AJ221" s="119">
        <f>'1-1 项目基础信息'!J32</f>
        <v>0</v>
      </c>
      <c r="AK221" s="318">
        <f t="shared" si="471"/>
        <v>0</v>
      </c>
      <c r="AL221" s="119">
        <f t="shared" si="472"/>
        <v>0</v>
      </c>
      <c r="AM221" s="119">
        <f>'1-1 项目基础信息'!K32</f>
        <v>0</v>
      </c>
      <c r="AN221" s="318">
        <f t="shared" si="473"/>
        <v>0</v>
      </c>
      <c r="AO221" s="119">
        <f t="shared" si="474"/>
        <v>0</v>
      </c>
      <c r="AP221" s="119">
        <f>'1-1 项目基础信息'!L32</f>
        <v>0</v>
      </c>
      <c r="AQ221" s="318">
        <f t="shared" si="475"/>
        <v>0</v>
      </c>
      <c r="AR221" s="119">
        <f t="shared" si="476"/>
        <v>0</v>
      </c>
      <c r="AS221" s="119">
        <f>'1-1 项目基础信息'!M32</f>
        <v>0</v>
      </c>
      <c r="AT221" s="318">
        <f t="shared" si="477"/>
        <v>0</v>
      </c>
      <c r="AU221" s="119">
        <f t="shared" si="478"/>
        <v>0</v>
      </c>
      <c r="AV221" s="119">
        <f>'1-1 项目基础信息'!N32</f>
        <v>0</v>
      </c>
      <c r="AW221" s="318">
        <f t="shared" si="479"/>
        <v>0</v>
      </c>
      <c r="AX221" s="119">
        <f t="shared" si="480"/>
        <v>0</v>
      </c>
      <c r="AY221" s="119">
        <f>'1-1 项目基础信息'!O32</f>
        <v>0</v>
      </c>
      <c r="AZ221" s="318">
        <f t="shared" si="481"/>
        <v>0</v>
      </c>
      <c r="BA221" s="119">
        <f t="shared" si="482"/>
        <v>0</v>
      </c>
      <c r="BB221" s="119">
        <f>'1-1 项目基础信息'!P32</f>
        <v>0</v>
      </c>
      <c r="BC221" s="318">
        <f t="shared" si="483"/>
        <v>0</v>
      </c>
      <c r="BD221" s="119">
        <f t="shared" si="484"/>
        <v>0</v>
      </c>
      <c r="BE221" s="119">
        <f>'1-1 项目基础信息'!Q32</f>
        <v>0</v>
      </c>
      <c r="BF221" s="318">
        <f t="shared" si="485"/>
        <v>0</v>
      </c>
      <c r="BG221" s="119">
        <f t="shared" si="486"/>
        <v>0</v>
      </c>
      <c r="BH221" s="119">
        <f>'1-1 项目基础信息'!R32</f>
        <v>0</v>
      </c>
      <c r="BI221" s="318">
        <f t="shared" si="487"/>
        <v>0</v>
      </c>
      <c r="BJ221" s="119">
        <f t="shared" si="488"/>
        <v>0</v>
      </c>
      <c r="BK221" s="119">
        <f>'1-1 项目基础信息'!S32</f>
        <v>0</v>
      </c>
      <c r="BL221" s="319">
        <f t="shared" si="489"/>
        <v>0</v>
      </c>
      <c r="BM221" s="311"/>
      <c r="BN221" s="314"/>
    </row>
    <row r="222" s="118" customFormat="1" ht="33.95" customHeight="1" outlineLevel="5" spans="2:66">
      <c r="B222" s="119" t="s">
        <v>799</v>
      </c>
      <c r="C222" s="120" t="s">
        <v>1174</v>
      </c>
      <c r="D222" s="118" t="s">
        <v>1175</v>
      </c>
      <c r="E222" s="119"/>
      <c r="F222" s="119"/>
      <c r="G222" s="119" t="s">
        <v>803</v>
      </c>
      <c r="H222" s="119">
        <f t="shared" si="462"/>
        <v>0</v>
      </c>
      <c r="I222" s="119" t="s">
        <v>1149</v>
      </c>
      <c r="J222" s="119" t="e">
        <f t="shared" si="463"/>
        <v>#DIV/0!</v>
      </c>
      <c r="K222" s="119" t="s">
        <v>1150</v>
      </c>
      <c r="L222" s="119" t="e">
        <f t="shared" si="464"/>
        <v>#DIV/0!</v>
      </c>
      <c r="M222" s="119" t="s">
        <v>1151</v>
      </c>
      <c r="N222" s="119">
        <f t="shared" si="465"/>
        <v>0</v>
      </c>
      <c r="O222" s="119"/>
      <c r="P222" s="289"/>
      <c r="Q222" s="289"/>
      <c r="R222" s="289"/>
      <c r="S222" s="289"/>
      <c r="T222" s="289"/>
      <c r="U222" s="289"/>
      <c r="V222" s="289"/>
      <c r="W222" s="289"/>
      <c r="X222" s="289"/>
      <c r="Y222" s="289"/>
      <c r="Z222" s="289"/>
      <c r="AA222" s="289"/>
      <c r="AB222" s="119">
        <f t="shared" si="466"/>
        <v>0</v>
      </c>
      <c r="AC222" s="119">
        <f t="shared" si="467"/>
        <v>0</v>
      </c>
      <c r="AD222" s="119">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9">
        <f t="shared" si="468"/>
        <v>0</v>
      </c>
      <c r="AG222" s="119">
        <f>'1-1 项目基础信息'!I33</f>
        <v>0</v>
      </c>
      <c r="AH222" s="318">
        <f t="shared" si="469"/>
        <v>0</v>
      </c>
      <c r="AI222" s="119">
        <f t="shared" si="470"/>
        <v>0</v>
      </c>
      <c r="AJ222" s="119">
        <f>'1-1 项目基础信息'!J33</f>
        <v>0</v>
      </c>
      <c r="AK222" s="318">
        <f t="shared" si="471"/>
        <v>0</v>
      </c>
      <c r="AL222" s="119">
        <f t="shared" si="472"/>
        <v>0</v>
      </c>
      <c r="AM222" s="119">
        <f>'1-1 项目基础信息'!K33</f>
        <v>0</v>
      </c>
      <c r="AN222" s="318">
        <f t="shared" si="473"/>
        <v>0</v>
      </c>
      <c r="AO222" s="119">
        <f t="shared" si="474"/>
        <v>0</v>
      </c>
      <c r="AP222" s="119">
        <f>'1-1 项目基础信息'!L33</f>
        <v>0</v>
      </c>
      <c r="AQ222" s="318">
        <f t="shared" si="475"/>
        <v>0</v>
      </c>
      <c r="AR222" s="119">
        <f t="shared" si="476"/>
        <v>0</v>
      </c>
      <c r="AS222" s="119">
        <f>'1-1 项目基础信息'!M33</f>
        <v>0</v>
      </c>
      <c r="AT222" s="318">
        <f t="shared" si="477"/>
        <v>0</v>
      </c>
      <c r="AU222" s="119">
        <f t="shared" si="478"/>
        <v>0</v>
      </c>
      <c r="AV222" s="119">
        <f>'1-1 项目基础信息'!N33</f>
        <v>0</v>
      </c>
      <c r="AW222" s="318">
        <f t="shared" si="479"/>
        <v>0</v>
      </c>
      <c r="AX222" s="119">
        <f t="shared" si="480"/>
        <v>0</v>
      </c>
      <c r="AY222" s="119">
        <f>'1-1 项目基础信息'!O33</f>
        <v>0</v>
      </c>
      <c r="AZ222" s="318">
        <f t="shared" si="481"/>
        <v>0</v>
      </c>
      <c r="BA222" s="119">
        <f t="shared" si="482"/>
        <v>0</v>
      </c>
      <c r="BB222" s="119">
        <f>'1-1 项目基础信息'!P33</f>
        <v>0</v>
      </c>
      <c r="BC222" s="318">
        <f t="shared" si="483"/>
        <v>0</v>
      </c>
      <c r="BD222" s="119">
        <f t="shared" si="484"/>
        <v>0</v>
      </c>
      <c r="BE222" s="119">
        <f>'1-1 项目基础信息'!Q33</f>
        <v>0</v>
      </c>
      <c r="BF222" s="318">
        <f t="shared" si="485"/>
        <v>0</v>
      </c>
      <c r="BG222" s="119">
        <f t="shared" si="486"/>
        <v>0</v>
      </c>
      <c r="BH222" s="119">
        <f>'1-1 项目基础信息'!R33</f>
        <v>0</v>
      </c>
      <c r="BI222" s="318">
        <f t="shared" si="487"/>
        <v>0</v>
      </c>
      <c r="BJ222" s="119">
        <f t="shared" si="488"/>
        <v>0</v>
      </c>
      <c r="BK222" s="119">
        <f>'1-1 项目基础信息'!S33</f>
        <v>0</v>
      </c>
      <c r="BL222" s="319">
        <f t="shared" si="489"/>
        <v>0</v>
      </c>
      <c r="BM222" s="311"/>
      <c r="BN222" s="314"/>
    </row>
    <row r="223" s="47" customFormat="1" ht="33.95" customHeight="1" outlineLevel="3" spans="2:66">
      <c r="B223" s="115" t="s">
        <v>799</v>
      </c>
      <c r="C223" s="116" t="s">
        <v>46</v>
      </c>
      <c r="D223" s="47" t="s">
        <v>47</v>
      </c>
      <c r="E223" s="115" t="s">
        <v>1176</v>
      </c>
      <c r="F223" s="115"/>
      <c r="G223" s="115" t="s">
        <v>803</v>
      </c>
      <c r="H223" s="305">
        <f>IFERROR(J223*L223*N223,0)</f>
        <v>30000</v>
      </c>
      <c r="I223" s="305" t="s">
        <v>1177</v>
      </c>
      <c r="J223" s="305">
        <f>AVERAGE(AD223,AG223,AJ223,AM223,AP223,AS223,AV223,AY223,BB223,BE223,BH223,BK223)</f>
        <v>281758.63</v>
      </c>
      <c r="K223" s="305" t="s">
        <v>1033</v>
      </c>
      <c r="L223" s="305">
        <f>AVERAGE(AE223,AH223,AK223,AN223,AQ223,AT223,AW223,AZ223,BC223,BF223,BI223,BL223)</f>
        <v>0.00887284268808377</v>
      </c>
      <c r="M223" s="115" t="s">
        <v>806</v>
      </c>
      <c r="N223" s="115">
        <v>12</v>
      </c>
      <c r="O223" s="115"/>
      <c r="P223" s="288"/>
      <c r="Q223" s="288"/>
      <c r="R223" s="288"/>
      <c r="S223" s="288"/>
      <c r="T223" s="288"/>
      <c r="U223" s="288"/>
      <c r="V223" s="288"/>
      <c r="W223" s="288"/>
      <c r="X223" s="288"/>
      <c r="Y223" s="288"/>
      <c r="Z223" s="288"/>
      <c r="AA223" s="288"/>
      <c r="AB223" s="115">
        <f t="shared" si="466"/>
        <v>30000</v>
      </c>
      <c r="AC223" s="115">
        <f t="shared" si="467"/>
        <v>2500</v>
      </c>
      <c r="AD223" s="115">
        <f>VLOOKUP($I223,'1-1 项目基础信息'!$F:$S,3,FALSE)</f>
        <v>281758.63</v>
      </c>
      <c r="AE223" s="298">
        <f>预算主表!$P$85/(12*'1-1 项目基础信息'!$H$12)</f>
        <v>0.00887284268808377</v>
      </c>
      <c r="AF223" s="115">
        <f t="shared" si="468"/>
        <v>2500</v>
      </c>
      <c r="AG223" s="115">
        <f>VLOOKUP($I223,'1-1 项目基础信息'!$F:$S,4,FALSE)</f>
        <v>281758.63</v>
      </c>
      <c r="AH223" s="298">
        <f>预算主表!$P$85/(12*'1-1 项目基础信息'!$H$12)</f>
        <v>0.00887284268808377</v>
      </c>
      <c r="AI223" s="115">
        <f t="shared" si="470"/>
        <v>2500</v>
      </c>
      <c r="AJ223" s="115">
        <f>VLOOKUP($I223,'1-1 项目基础信息'!$F:$S,5,FALSE)</f>
        <v>281758.63</v>
      </c>
      <c r="AK223" s="298">
        <f>预算主表!$P$85/(12*'1-1 项目基础信息'!$H$12)</f>
        <v>0.00887284268808377</v>
      </c>
      <c r="AL223" s="115">
        <f t="shared" si="472"/>
        <v>2500</v>
      </c>
      <c r="AM223" s="115">
        <f>VLOOKUP($I223,'1-1 项目基础信息'!$F:$S,6,FALSE)</f>
        <v>281758.63</v>
      </c>
      <c r="AN223" s="298">
        <f>预算主表!$P$85/(12*'1-1 项目基础信息'!$H$12)</f>
        <v>0.00887284268808377</v>
      </c>
      <c r="AO223" s="115">
        <f t="shared" si="474"/>
        <v>2500</v>
      </c>
      <c r="AP223" s="115">
        <f>VLOOKUP($I223,'1-1 项目基础信息'!$F:$S,7,FALSE)</f>
        <v>281758.63</v>
      </c>
      <c r="AQ223" s="298">
        <f>预算主表!$P$85/(12*'1-1 项目基础信息'!$H$12)</f>
        <v>0.00887284268808377</v>
      </c>
      <c r="AR223" s="115">
        <f t="shared" si="476"/>
        <v>2500</v>
      </c>
      <c r="AS223" s="115">
        <f>VLOOKUP($I223,'1-1 项目基础信息'!$F:$S,8,FALSE)</f>
        <v>281758.63</v>
      </c>
      <c r="AT223" s="298">
        <f>预算主表!$P$85/(12*'1-1 项目基础信息'!$H$12)</f>
        <v>0.00887284268808377</v>
      </c>
      <c r="AU223" s="115">
        <f t="shared" si="478"/>
        <v>2500</v>
      </c>
      <c r="AV223" s="115">
        <f>VLOOKUP($I223,'1-1 项目基础信息'!$F:$S,9,FALSE)</f>
        <v>281758.63</v>
      </c>
      <c r="AW223" s="298">
        <f>预算主表!$P$85/(12*'1-1 项目基础信息'!$H$12)</f>
        <v>0.00887284268808377</v>
      </c>
      <c r="AX223" s="115">
        <f t="shared" si="480"/>
        <v>2500</v>
      </c>
      <c r="AY223" s="115">
        <f>VLOOKUP($I223,'1-1 项目基础信息'!$F:$S,10,FALSE)</f>
        <v>281758.63</v>
      </c>
      <c r="AZ223" s="298">
        <f>预算主表!$P$85/(12*'1-1 项目基础信息'!$H$12)</f>
        <v>0.00887284268808377</v>
      </c>
      <c r="BA223" s="115">
        <f t="shared" si="482"/>
        <v>2500</v>
      </c>
      <c r="BB223" s="115">
        <f>VLOOKUP($I223,'1-1 项目基础信息'!$F:$S,11,FALSE)</f>
        <v>281758.63</v>
      </c>
      <c r="BC223" s="298">
        <f>预算主表!$P$85/(12*'1-1 项目基础信息'!$H$12)</f>
        <v>0.00887284268808377</v>
      </c>
      <c r="BD223" s="115">
        <f t="shared" si="484"/>
        <v>2500</v>
      </c>
      <c r="BE223" s="115">
        <f>VLOOKUP($I223,'1-1 项目基础信息'!$F:$S,12,FALSE)</f>
        <v>281758.63</v>
      </c>
      <c r="BF223" s="298">
        <f>预算主表!$P$85/(12*'1-1 项目基础信息'!$H$12)</f>
        <v>0.00887284268808377</v>
      </c>
      <c r="BG223" s="115">
        <f t="shared" si="486"/>
        <v>2500</v>
      </c>
      <c r="BH223" s="115">
        <f>VLOOKUP($I223,'1-1 项目基础信息'!$F:$S,13,FALSE)</f>
        <v>281758.63</v>
      </c>
      <c r="BI223" s="298">
        <f>预算主表!$P$85/(12*'1-1 项目基础信息'!$H$12)</f>
        <v>0.00887284268808377</v>
      </c>
      <c r="BJ223" s="115">
        <f t="shared" si="488"/>
        <v>2500</v>
      </c>
      <c r="BK223" s="115">
        <f>VLOOKUP($I223,'1-1 项目基础信息'!$F:$S,14,FALSE)</f>
        <v>281758.63</v>
      </c>
      <c r="BL223" s="298">
        <f>预算主表!$P$85/(12*'1-1 项目基础信息'!$H$12)</f>
        <v>0.00887284268808377</v>
      </c>
      <c r="BM223" s="311"/>
      <c r="BN223" s="313"/>
    </row>
    <row r="224" s="47" customFormat="1" ht="33.95" customHeight="1" outlineLevel="3" spans="2:66">
      <c r="B224" s="115" t="s">
        <v>794</v>
      </c>
      <c r="C224" s="116" t="s">
        <v>36</v>
      </c>
      <c r="D224" s="47" t="s">
        <v>37</v>
      </c>
      <c r="E224" s="115"/>
      <c r="F224" s="115"/>
      <c r="G224" s="115"/>
      <c r="H224" s="115">
        <f>H225+H230+H231+H232+H233+H234+H235</f>
        <v>0</v>
      </c>
      <c r="I224" s="115"/>
      <c r="J224" s="115"/>
      <c r="K224" s="115"/>
      <c r="L224" s="115"/>
      <c r="M224" s="115"/>
      <c r="N224" s="115"/>
      <c r="O224" s="115"/>
      <c r="P224" s="288"/>
      <c r="Q224" s="288"/>
      <c r="R224" s="288"/>
      <c r="S224" s="288"/>
      <c r="T224" s="288"/>
      <c r="U224" s="288"/>
      <c r="V224" s="288"/>
      <c r="W224" s="288"/>
      <c r="X224" s="288"/>
      <c r="Y224" s="288"/>
      <c r="Z224" s="288"/>
      <c r="AA224" s="288"/>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5"/>
      <c r="BM224" s="311"/>
      <c r="BN224" s="313"/>
    </row>
    <row r="225" s="118" customFormat="1" ht="33.95" customHeight="1" outlineLevel="4" spans="2:66">
      <c r="B225" s="119" t="s">
        <v>794</v>
      </c>
      <c r="C225" s="120" t="s">
        <v>1178</v>
      </c>
      <c r="D225" s="118" t="s">
        <v>1179</v>
      </c>
      <c r="E225" s="119" t="s">
        <v>1180</v>
      </c>
      <c r="F225" s="119"/>
      <c r="G225" s="119"/>
      <c r="H225" s="119">
        <f>SUM(H226:H229)</f>
        <v>0</v>
      </c>
      <c r="I225" s="119"/>
      <c r="J225" s="119"/>
      <c r="K225" s="119"/>
      <c r="L225" s="119"/>
      <c r="M225" s="119"/>
      <c r="N225" s="119"/>
      <c r="O225" s="119"/>
      <c r="P225" s="289"/>
      <c r="Q225" s="289"/>
      <c r="R225" s="289"/>
      <c r="S225" s="289"/>
      <c r="T225" s="289"/>
      <c r="U225" s="289"/>
      <c r="V225" s="289"/>
      <c r="W225" s="289"/>
      <c r="X225" s="289"/>
      <c r="Y225" s="289"/>
      <c r="Z225" s="289"/>
      <c r="AA225" s="289"/>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6"/>
      <c r="BM225" s="311"/>
      <c r="BN225" s="314"/>
    </row>
    <row r="226" s="263" customFormat="1" ht="33.95" customHeight="1" outlineLevel="5" spans="2:66">
      <c r="B226" s="175" t="s">
        <v>799</v>
      </c>
      <c r="C226" s="283" t="s">
        <v>1178</v>
      </c>
      <c r="D226" s="263" t="s">
        <v>1181</v>
      </c>
      <c r="E226" s="175"/>
      <c r="F226" s="175"/>
      <c r="G226" s="175" t="s">
        <v>803</v>
      </c>
      <c r="H226" s="175">
        <f t="shared" ref="H226:H235" si="492">IFERROR(J226*L226*N226,0)</f>
        <v>0</v>
      </c>
      <c r="I226" s="175" t="s">
        <v>1182</v>
      </c>
      <c r="J226" s="175" t="e">
        <f t="shared" ref="J226:J229" si="493">AVERAGE(AD226,AG226,AJ226,AM226,AP226,AS226,AV226,AY226,BB226,BE226,BH226,BK226)</f>
        <v>#DIV/0!</v>
      </c>
      <c r="K226" s="175" t="s">
        <v>1150</v>
      </c>
      <c r="L226" s="175" t="e">
        <f t="shared" ref="L226:L229" si="494">AVERAGE(AE226,AH226,AK226,AN226,AQ226,AT226,AW226,AZ226,BC226,BF226,BI226,BL226)</f>
        <v>#DIV/0!</v>
      </c>
      <c r="M226" s="175" t="s">
        <v>1183</v>
      </c>
      <c r="N226" s="175">
        <v>1</v>
      </c>
      <c r="O226" s="175"/>
      <c r="P226" s="290"/>
      <c r="Q226" s="290"/>
      <c r="R226" s="290"/>
      <c r="S226" s="290"/>
      <c r="T226" s="290"/>
      <c r="U226" s="290"/>
      <c r="V226" s="290"/>
      <c r="W226" s="290"/>
      <c r="X226" s="290"/>
      <c r="Y226" s="290"/>
      <c r="Z226" s="290"/>
      <c r="AA226" s="290"/>
      <c r="AB226" s="175">
        <f t="shared" ref="AB226:AB235" si="495">SUM(AC226,AF226,AI226,AL226,AO226,AR226,AU226,AX226,BA226,BD226,BG226,BJ226)</f>
        <v>0</v>
      </c>
      <c r="AC226" s="175">
        <f>AD226*AE226</f>
        <v>0</v>
      </c>
      <c r="AD226" s="298"/>
      <c r="AE226" s="298"/>
      <c r="AF226" s="175">
        <f>AG226*AH226</f>
        <v>0</v>
      </c>
      <c r="AG226" s="298"/>
      <c r="AH226" s="298"/>
      <c r="AI226" s="175">
        <f>AJ226*AK226</f>
        <v>0</v>
      </c>
      <c r="AJ226" s="298"/>
      <c r="AK226" s="298"/>
      <c r="AL226" s="175">
        <f>AM226*AN226</f>
        <v>0</v>
      </c>
      <c r="AM226" s="298"/>
      <c r="AN226" s="298"/>
      <c r="AO226" s="175">
        <f>AP226*AQ226</f>
        <v>0</v>
      </c>
      <c r="AP226" s="298"/>
      <c r="AQ226" s="298"/>
      <c r="AR226" s="175">
        <f>AS226*AT226</f>
        <v>0</v>
      </c>
      <c r="AS226" s="298"/>
      <c r="AT226" s="298"/>
      <c r="AU226" s="175">
        <f>AV226*AW226</f>
        <v>0</v>
      </c>
      <c r="AV226" s="298"/>
      <c r="AW226" s="298"/>
      <c r="AX226" s="175">
        <f>AY226*AZ226</f>
        <v>0</v>
      </c>
      <c r="AY226" s="298"/>
      <c r="AZ226" s="298"/>
      <c r="BA226" s="175">
        <f>BB226*BC226</f>
        <v>0</v>
      </c>
      <c r="BB226" s="298"/>
      <c r="BC226" s="298"/>
      <c r="BD226" s="175">
        <f>BE226*BF226</f>
        <v>0</v>
      </c>
      <c r="BE226" s="298"/>
      <c r="BF226" s="298"/>
      <c r="BG226" s="175">
        <f>BH226*BI226</f>
        <v>0</v>
      </c>
      <c r="BH226" s="298"/>
      <c r="BI226" s="298"/>
      <c r="BJ226" s="175">
        <f>BK226*BL226</f>
        <v>0</v>
      </c>
      <c r="BK226" s="298"/>
      <c r="BL226" s="307"/>
      <c r="BM226" s="311"/>
      <c r="BN226" s="315"/>
    </row>
    <row r="227" s="263" customFormat="1" ht="33.95" customHeight="1" outlineLevel="5" spans="2:66">
      <c r="B227" s="175" t="s">
        <v>799</v>
      </c>
      <c r="C227" s="283" t="s">
        <v>1184</v>
      </c>
      <c r="D227" s="263" t="s">
        <v>1185</v>
      </c>
      <c r="E227" s="175"/>
      <c r="F227" s="175"/>
      <c r="G227" s="175" t="s">
        <v>803</v>
      </c>
      <c r="H227" s="175">
        <f t="shared" si="492"/>
        <v>0</v>
      </c>
      <c r="I227" s="175" t="s">
        <v>1182</v>
      </c>
      <c r="J227" s="175" t="e">
        <f t="shared" si="493"/>
        <v>#DIV/0!</v>
      </c>
      <c r="K227" s="175" t="s">
        <v>1150</v>
      </c>
      <c r="L227" s="175" t="e">
        <f t="shared" si="494"/>
        <v>#DIV/0!</v>
      </c>
      <c r="M227" s="175" t="s">
        <v>1183</v>
      </c>
      <c r="N227" s="175">
        <v>1</v>
      </c>
      <c r="O227" s="175"/>
      <c r="P227" s="290"/>
      <c r="Q227" s="290"/>
      <c r="R227" s="290"/>
      <c r="S227" s="290"/>
      <c r="T227" s="290"/>
      <c r="U227" s="290"/>
      <c r="V227" s="290"/>
      <c r="W227" s="290"/>
      <c r="X227" s="290"/>
      <c r="Y227" s="290"/>
      <c r="Z227" s="290"/>
      <c r="AA227" s="290"/>
      <c r="AB227" s="175">
        <f t="shared" si="495"/>
        <v>0</v>
      </c>
      <c r="AC227" s="175">
        <f>AD227*AE227</f>
        <v>0</v>
      </c>
      <c r="AD227" s="298"/>
      <c r="AE227" s="298"/>
      <c r="AF227" s="175">
        <f>AG227*AH227</f>
        <v>0</v>
      </c>
      <c r="AG227" s="298"/>
      <c r="AH227" s="298"/>
      <c r="AI227" s="175">
        <f>AJ227*AK227</f>
        <v>0</v>
      </c>
      <c r="AJ227" s="298"/>
      <c r="AK227" s="298"/>
      <c r="AL227" s="175">
        <f>AM227*AN227</f>
        <v>0</v>
      </c>
      <c r="AM227" s="298"/>
      <c r="AN227" s="298"/>
      <c r="AO227" s="175">
        <f>AP227*AQ227</f>
        <v>0</v>
      </c>
      <c r="AP227" s="298"/>
      <c r="AQ227" s="298"/>
      <c r="AR227" s="175">
        <f>AS227*AT227</f>
        <v>0</v>
      </c>
      <c r="AS227" s="298"/>
      <c r="AT227" s="298"/>
      <c r="AU227" s="175">
        <f>AV227*AW227</f>
        <v>0</v>
      </c>
      <c r="AV227" s="298"/>
      <c r="AW227" s="298"/>
      <c r="AX227" s="175">
        <f>AY227*AZ227</f>
        <v>0</v>
      </c>
      <c r="AY227" s="298"/>
      <c r="AZ227" s="298"/>
      <c r="BA227" s="175">
        <f>BB227*BC227</f>
        <v>0</v>
      </c>
      <c r="BB227" s="298"/>
      <c r="BC227" s="298"/>
      <c r="BD227" s="175">
        <f>BE227*BF227</f>
        <v>0</v>
      </c>
      <c r="BE227" s="298"/>
      <c r="BF227" s="298"/>
      <c r="BG227" s="175">
        <f>BH227*BI227</f>
        <v>0</v>
      </c>
      <c r="BH227" s="298"/>
      <c r="BI227" s="298"/>
      <c r="BJ227" s="175">
        <f>BK227*BL227</f>
        <v>0</v>
      </c>
      <c r="BK227" s="298"/>
      <c r="BL227" s="307"/>
      <c r="BM227" s="311"/>
      <c r="BN227" s="315"/>
    </row>
    <row r="228" s="263" customFormat="1" ht="33.95" customHeight="1" outlineLevel="5" spans="2:66">
      <c r="B228" s="175" t="s">
        <v>799</v>
      </c>
      <c r="C228" s="283" t="s">
        <v>1186</v>
      </c>
      <c r="D228" s="263" t="s">
        <v>1187</v>
      </c>
      <c r="E228" s="175"/>
      <c r="F228" s="175"/>
      <c r="G228" s="175" t="s">
        <v>803</v>
      </c>
      <c r="H228" s="175">
        <f t="shared" si="492"/>
        <v>0</v>
      </c>
      <c r="I228" s="175" t="s">
        <v>1182</v>
      </c>
      <c r="J228" s="175" t="e">
        <f t="shared" si="493"/>
        <v>#DIV/0!</v>
      </c>
      <c r="K228" s="175" t="s">
        <v>1150</v>
      </c>
      <c r="L228" s="175" t="e">
        <f t="shared" si="494"/>
        <v>#DIV/0!</v>
      </c>
      <c r="M228" s="175" t="s">
        <v>1183</v>
      </c>
      <c r="N228" s="175">
        <v>1</v>
      </c>
      <c r="O228" s="175"/>
      <c r="P228" s="290"/>
      <c r="Q228" s="290"/>
      <c r="R228" s="290"/>
      <c r="S228" s="290"/>
      <c r="T228" s="290"/>
      <c r="U228" s="290"/>
      <c r="V228" s="290"/>
      <c r="W228" s="290"/>
      <c r="X228" s="290"/>
      <c r="Y228" s="290"/>
      <c r="Z228" s="290"/>
      <c r="AA228" s="290"/>
      <c r="AB228" s="175">
        <f t="shared" si="495"/>
        <v>0</v>
      </c>
      <c r="AC228" s="175">
        <f>AD228*AE228</f>
        <v>0</v>
      </c>
      <c r="AD228" s="298"/>
      <c r="AE228" s="298"/>
      <c r="AF228" s="175">
        <f>AG228*AH228</f>
        <v>0</v>
      </c>
      <c r="AG228" s="298"/>
      <c r="AH228" s="298"/>
      <c r="AI228" s="175">
        <f>AJ228*AK228</f>
        <v>0</v>
      </c>
      <c r="AJ228" s="298"/>
      <c r="AK228" s="298"/>
      <c r="AL228" s="175">
        <f>AM228*AN228</f>
        <v>0</v>
      </c>
      <c r="AM228" s="298"/>
      <c r="AN228" s="298"/>
      <c r="AO228" s="175">
        <f>AP228*AQ228</f>
        <v>0</v>
      </c>
      <c r="AP228" s="298"/>
      <c r="AQ228" s="298"/>
      <c r="AR228" s="175">
        <f>AS228*AT228</f>
        <v>0</v>
      </c>
      <c r="AS228" s="298"/>
      <c r="AT228" s="298"/>
      <c r="AU228" s="175">
        <f>AV228*AW228</f>
        <v>0</v>
      </c>
      <c r="AV228" s="298"/>
      <c r="AW228" s="298"/>
      <c r="AX228" s="175">
        <f>AY228*AZ228</f>
        <v>0</v>
      </c>
      <c r="AY228" s="298"/>
      <c r="AZ228" s="298"/>
      <c r="BA228" s="175">
        <f>BB228*BC228</f>
        <v>0</v>
      </c>
      <c r="BB228" s="298"/>
      <c r="BC228" s="298"/>
      <c r="BD228" s="175">
        <f>BE228*BF228</f>
        <v>0</v>
      </c>
      <c r="BE228" s="298"/>
      <c r="BF228" s="298"/>
      <c r="BG228" s="175">
        <f>BH228*BI228</f>
        <v>0</v>
      </c>
      <c r="BH228" s="298"/>
      <c r="BI228" s="298"/>
      <c r="BJ228" s="175">
        <f>BK228*BL228</f>
        <v>0</v>
      </c>
      <c r="BK228" s="298"/>
      <c r="BL228" s="307"/>
      <c r="BM228" s="311"/>
      <c r="BN228" s="315"/>
    </row>
    <row r="229" s="263" customFormat="1" ht="33.95" customHeight="1" outlineLevel="5" spans="2:66">
      <c r="B229" s="175" t="s">
        <v>799</v>
      </c>
      <c r="C229" s="283" t="s">
        <v>1188</v>
      </c>
      <c r="D229" s="263" t="s">
        <v>1189</v>
      </c>
      <c r="E229" s="175"/>
      <c r="F229" s="175"/>
      <c r="G229" s="175" t="s">
        <v>803</v>
      </c>
      <c r="H229" s="175">
        <f t="shared" si="492"/>
        <v>0</v>
      </c>
      <c r="I229" s="175" t="s">
        <v>1182</v>
      </c>
      <c r="J229" s="175" t="e">
        <f t="shared" si="493"/>
        <v>#DIV/0!</v>
      </c>
      <c r="K229" s="175" t="s">
        <v>1150</v>
      </c>
      <c r="L229" s="175" t="e">
        <f t="shared" si="494"/>
        <v>#DIV/0!</v>
      </c>
      <c r="M229" s="175" t="s">
        <v>1183</v>
      </c>
      <c r="N229" s="175">
        <v>1</v>
      </c>
      <c r="O229" s="175"/>
      <c r="P229" s="290"/>
      <c r="Q229" s="290"/>
      <c r="R229" s="290"/>
      <c r="S229" s="290"/>
      <c r="T229" s="290"/>
      <c r="U229" s="290"/>
      <c r="V229" s="290"/>
      <c r="W229" s="290"/>
      <c r="X229" s="290"/>
      <c r="Y229" s="290"/>
      <c r="Z229" s="290"/>
      <c r="AA229" s="290"/>
      <c r="AB229" s="175">
        <f t="shared" si="495"/>
        <v>0</v>
      </c>
      <c r="AC229" s="175">
        <f>AD229*AE229</f>
        <v>0</v>
      </c>
      <c r="AD229" s="298"/>
      <c r="AE229" s="298"/>
      <c r="AF229" s="175">
        <f>AG229*AH229</f>
        <v>0</v>
      </c>
      <c r="AG229" s="298"/>
      <c r="AH229" s="298"/>
      <c r="AI229" s="175">
        <f>AJ229*AK229</f>
        <v>0</v>
      </c>
      <c r="AJ229" s="298"/>
      <c r="AK229" s="298"/>
      <c r="AL229" s="175">
        <f>AM229*AN229</f>
        <v>0</v>
      </c>
      <c r="AM229" s="298"/>
      <c r="AN229" s="298"/>
      <c r="AO229" s="175">
        <f>AP229*AQ229</f>
        <v>0</v>
      </c>
      <c r="AP229" s="298"/>
      <c r="AQ229" s="298"/>
      <c r="AR229" s="175">
        <f>AS229*AT229</f>
        <v>0</v>
      </c>
      <c r="AS229" s="298"/>
      <c r="AT229" s="298"/>
      <c r="AU229" s="175">
        <f>AV229*AW229</f>
        <v>0</v>
      </c>
      <c r="AV229" s="298"/>
      <c r="AW229" s="298"/>
      <c r="AX229" s="175">
        <f>AY229*AZ229</f>
        <v>0</v>
      </c>
      <c r="AY229" s="298"/>
      <c r="AZ229" s="298"/>
      <c r="BA229" s="175">
        <f>BB229*BC229</f>
        <v>0</v>
      </c>
      <c r="BB229" s="298"/>
      <c r="BC229" s="298"/>
      <c r="BD229" s="175">
        <f>BE229*BF229</f>
        <v>0</v>
      </c>
      <c r="BE229" s="298"/>
      <c r="BF229" s="298"/>
      <c r="BG229" s="175">
        <f>BH229*BI229</f>
        <v>0</v>
      </c>
      <c r="BH229" s="298"/>
      <c r="BI229" s="298"/>
      <c r="BJ229" s="175">
        <f>BK229*BL229</f>
        <v>0</v>
      </c>
      <c r="BK229" s="298"/>
      <c r="BL229" s="307"/>
      <c r="BM229" s="311"/>
      <c r="BN229" s="315"/>
    </row>
    <row r="230" s="118" customFormat="1" ht="33.95" customHeight="1" outlineLevel="4" spans="2:66">
      <c r="B230" s="119" t="s">
        <v>799</v>
      </c>
      <c r="C230" s="120" t="s">
        <v>1184</v>
      </c>
      <c r="D230" s="118" t="s">
        <v>1190</v>
      </c>
      <c r="E230" s="119" t="s">
        <v>1191</v>
      </c>
      <c r="F230" s="119"/>
      <c r="G230" s="119" t="s">
        <v>943</v>
      </c>
      <c r="H230" s="119">
        <f t="shared" si="492"/>
        <v>0</v>
      </c>
      <c r="I230" s="119" t="s">
        <v>1032</v>
      </c>
      <c r="J230" s="119">
        <f>AVERAGE('1-1 项目基础信息'!$H$9:$S$9)</f>
        <v>281758.63</v>
      </c>
      <c r="K230" s="119" t="s">
        <v>1033</v>
      </c>
      <c r="L230" s="298"/>
      <c r="M230" s="119" t="s">
        <v>806</v>
      </c>
      <c r="N230" s="119">
        <f>COUNTA(O230:Z230)</f>
        <v>0</v>
      </c>
      <c r="O230" s="298"/>
      <c r="P230" s="298"/>
      <c r="Q230" s="298"/>
      <c r="R230" s="298"/>
      <c r="S230" s="298"/>
      <c r="T230" s="298"/>
      <c r="U230" s="298"/>
      <c r="V230" s="298"/>
      <c r="W230" s="298"/>
      <c r="X230" s="298"/>
      <c r="Y230" s="298"/>
      <c r="Z230" s="298"/>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6"/>
      <c r="BM230" s="311"/>
      <c r="BN230" s="314"/>
    </row>
    <row r="231" s="118" customFormat="1" ht="33.95" customHeight="1" outlineLevel="4" spans="2:66">
      <c r="B231" s="119" t="s">
        <v>799</v>
      </c>
      <c r="C231" s="120" t="s">
        <v>1186</v>
      </c>
      <c r="D231" s="118" t="s">
        <v>1192</v>
      </c>
      <c r="E231" s="119" t="s">
        <v>1193</v>
      </c>
      <c r="F231" s="119"/>
      <c r="G231" s="119" t="s">
        <v>943</v>
      </c>
      <c r="H231" s="119">
        <f t="shared" si="492"/>
        <v>0</v>
      </c>
      <c r="I231" s="119" t="s">
        <v>1032</v>
      </c>
      <c r="J231" s="119">
        <f>AVERAGE('1-1 项目基础信息'!$H$9:$S$9)</f>
        <v>281758.63</v>
      </c>
      <c r="K231" s="119" t="s">
        <v>1033</v>
      </c>
      <c r="L231" s="298"/>
      <c r="M231" s="119" t="s">
        <v>806</v>
      </c>
      <c r="N231" s="119">
        <f>COUNTA(O231:Z231)</f>
        <v>0</v>
      </c>
      <c r="O231" s="298"/>
      <c r="P231" s="298"/>
      <c r="Q231" s="298"/>
      <c r="R231" s="298"/>
      <c r="S231" s="298"/>
      <c r="T231" s="298"/>
      <c r="U231" s="298"/>
      <c r="V231" s="298"/>
      <c r="W231" s="298"/>
      <c r="X231" s="298"/>
      <c r="Y231" s="298"/>
      <c r="Z231" s="298"/>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6"/>
      <c r="BM231" s="311"/>
      <c r="BN231" s="314"/>
    </row>
    <row r="232" s="118" customFormat="1" ht="33.95" customHeight="1" outlineLevel="4" spans="2:66">
      <c r="B232" s="119" t="s">
        <v>799</v>
      </c>
      <c r="C232" s="120" t="s">
        <v>1188</v>
      </c>
      <c r="D232" s="118" t="s">
        <v>1194</v>
      </c>
      <c r="E232" s="119" t="s">
        <v>1195</v>
      </c>
      <c r="F232" s="119"/>
      <c r="G232" s="119" t="s">
        <v>943</v>
      </c>
      <c r="H232" s="119">
        <f t="shared" si="492"/>
        <v>0</v>
      </c>
      <c r="I232" s="119" t="s">
        <v>1032</v>
      </c>
      <c r="J232" s="119">
        <f>AVERAGE('1-1 项目基础信息'!$H$9:$S$9)</f>
        <v>281758.63</v>
      </c>
      <c r="K232" s="119" t="s">
        <v>1033</v>
      </c>
      <c r="L232" s="298"/>
      <c r="M232" s="119" t="s">
        <v>1196</v>
      </c>
      <c r="N232" s="119">
        <f t="shared" ref="N232:N235" si="508">COUNTA(O232:Z232)</f>
        <v>0</v>
      </c>
      <c r="O232" s="298"/>
      <c r="P232" s="298"/>
      <c r="Q232" s="298"/>
      <c r="R232" s="298"/>
      <c r="S232" s="298"/>
      <c r="T232" s="298"/>
      <c r="U232" s="298"/>
      <c r="V232" s="298"/>
      <c r="W232" s="298"/>
      <c r="X232" s="298"/>
      <c r="Y232" s="298"/>
      <c r="Z232" s="298"/>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6"/>
      <c r="BM232" s="311"/>
      <c r="BN232" s="314"/>
    </row>
    <row r="233" s="118" customFormat="1" ht="33.95" customHeight="1" outlineLevel="4" spans="2:66">
      <c r="B233" s="119" t="s">
        <v>799</v>
      </c>
      <c r="C233" s="120" t="s">
        <v>1197</v>
      </c>
      <c r="D233" s="118" t="s">
        <v>1198</v>
      </c>
      <c r="E233" s="119" t="s">
        <v>1199</v>
      </c>
      <c r="F233" s="119"/>
      <c r="G233" s="119" t="s">
        <v>943</v>
      </c>
      <c r="H233" s="119">
        <f t="shared" si="492"/>
        <v>0</v>
      </c>
      <c r="I233" s="119" t="s">
        <v>1200</v>
      </c>
      <c r="J233" s="298"/>
      <c r="K233" s="119" t="s">
        <v>1201</v>
      </c>
      <c r="L233" s="298"/>
      <c r="M233" s="119" t="s">
        <v>1202</v>
      </c>
      <c r="N233" s="119">
        <f t="shared" si="508"/>
        <v>0</v>
      </c>
      <c r="O233" s="298"/>
      <c r="P233" s="298"/>
      <c r="Q233" s="298"/>
      <c r="R233" s="298"/>
      <c r="S233" s="298"/>
      <c r="T233" s="298"/>
      <c r="U233" s="298"/>
      <c r="V233" s="298"/>
      <c r="W233" s="298"/>
      <c r="X233" s="298"/>
      <c r="Y233" s="298"/>
      <c r="Z233" s="298"/>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6"/>
      <c r="BM233" s="311"/>
      <c r="BN233" s="314"/>
    </row>
    <row r="234" s="118" customFormat="1" ht="33.95" customHeight="1" outlineLevel="4" spans="2:66">
      <c r="B234" s="119" t="s">
        <v>799</v>
      </c>
      <c r="C234" s="120" t="s">
        <v>1203</v>
      </c>
      <c r="D234" s="118" t="s">
        <v>1204</v>
      </c>
      <c r="E234" s="119" t="s">
        <v>1205</v>
      </c>
      <c r="F234" s="119"/>
      <c r="G234" s="119" t="s">
        <v>943</v>
      </c>
      <c r="H234" s="119">
        <f t="shared" si="492"/>
        <v>0</v>
      </c>
      <c r="I234" s="119" t="s">
        <v>1200</v>
      </c>
      <c r="J234" s="298"/>
      <c r="K234" s="119" t="s">
        <v>1201</v>
      </c>
      <c r="L234" s="298"/>
      <c r="M234" s="119" t="s">
        <v>1202</v>
      </c>
      <c r="N234" s="119">
        <f t="shared" si="508"/>
        <v>0</v>
      </c>
      <c r="O234" s="298"/>
      <c r="P234" s="298"/>
      <c r="Q234" s="298"/>
      <c r="R234" s="298"/>
      <c r="S234" s="298"/>
      <c r="T234" s="298"/>
      <c r="U234" s="298"/>
      <c r="V234" s="298"/>
      <c r="W234" s="298"/>
      <c r="X234" s="298"/>
      <c r="Y234" s="298"/>
      <c r="Z234" s="298"/>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6"/>
      <c r="BM234" s="311"/>
      <c r="BN234" s="314"/>
    </row>
    <row r="235" s="118" customFormat="1" ht="33.95" customHeight="1" outlineLevel="4" spans="2:66">
      <c r="B235" s="119" t="s">
        <v>799</v>
      </c>
      <c r="C235" s="120" t="s">
        <v>1206</v>
      </c>
      <c r="D235" s="118" t="s">
        <v>1207</v>
      </c>
      <c r="E235" s="119" t="s">
        <v>1208</v>
      </c>
      <c r="F235" s="119"/>
      <c r="G235" s="119" t="s">
        <v>943</v>
      </c>
      <c r="H235" s="119">
        <f t="shared" si="492"/>
        <v>0</v>
      </c>
      <c r="I235" s="119" t="s">
        <v>1032</v>
      </c>
      <c r="J235" s="119">
        <f>AVERAGE('1-1 项目基础信息'!$H$9:$S$9)</f>
        <v>281758.63</v>
      </c>
      <c r="K235" s="119" t="s">
        <v>1033</v>
      </c>
      <c r="L235" s="298"/>
      <c r="M235" s="119" t="s">
        <v>806</v>
      </c>
      <c r="N235" s="119">
        <f t="shared" si="508"/>
        <v>0</v>
      </c>
      <c r="O235" s="298"/>
      <c r="P235" s="316"/>
      <c r="Q235" s="316"/>
      <c r="R235" s="316"/>
      <c r="S235" s="316"/>
      <c r="T235" s="316"/>
      <c r="U235" s="316"/>
      <c r="V235" s="316"/>
      <c r="W235" s="316"/>
      <c r="X235" s="316"/>
      <c r="Y235" s="316"/>
      <c r="Z235" s="316"/>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6"/>
      <c r="BM235" s="311"/>
      <c r="BN235" s="314"/>
    </row>
    <row r="236" s="47" customFormat="1" ht="33.95" customHeight="1" outlineLevel="3" spans="2:66">
      <c r="B236" s="115" t="s">
        <v>794</v>
      </c>
      <c r="C236" s="116" t="s">
        <v>38</v>
      </c>
      <c r="D236" s="47" t="s">
        <v>39</v>
      </c>
      <c r="E236" s="115"/>
      <c r="F236" s="115"/>
      <c r="G236" s="115"/>
      <c r="H236" s="115">
        <f>H237+H238</f>
        <v>0</v>
      </c>
      <c r="I236" s="115"/>
      <c r="J236" s="115"/>
      <c r="K236" s="115"/>
      <c r="L236" s="115"/>
      <c r="M236" s="115"/>
      <c r="N236" s="115"/>
      <c r="O236" s="115"/>
      <c r="P236" s="288"/>
      <c r="Q236" s="288"/>
      <c r="R236" s="288"/>
      <c r="S236" s="288"/>
      <c r="T236" s="288"/>
      <c r="U236" s="288"/>
      <c r="V236" s="288"/>
      <c r="W236" s="288"/>
      <c r="X236" s="288"/>
      <c r="Y236" s="288"/>
      <c r="Z236" s="288"/>
      <c r="AA236" s="288"/>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5"/>
      <c r="BM236" s="311"/>
      <c r="BN236" s="313"/>
    </row>
    <row r="237" s="118" customFormat="1" ht="33.95" customHeight="1" outlineLevel="4" spans="2:66">
      <c r="B237" s="119" t="s">
        <v>799</v>
      </c>
      <c r="C237" s="120" t="s">
        <v>1209</v>
      </c>
      <c r="D237" s="118" t="s">
        <v>1210</v>
      </c>
      <c r="E237" s="119" t="s">
        <v>1211</v>
      </c>
      <c r="F237" s="119"/>
      <c r="G237" s="119" t="s">
        <v>943</v>
      </c>
      <c r="H237" s="119">
        <f t="shared" ref="H237:H240" si="510">IFERROR(J237*L237*N237,0)</f>
        <v>0</v>
      </c>
      <c r="I237" s="119" t="s">
        <v>1032</v>
      </c>
      <c r="J237" s="119">
        <f>AVERAGE('1-1 项目基础信息'!$H$9:$S$9)</f>
        <v>281758.63</v>
      </c>
      <c r="K237" s="119" t="s">
        <v>1033</v>
      </c>
      <c r="L237" s="298"/>
      <c r="M237" s="119" t="s">
        <v>806</v>
      </c>
      <c r="N237" s="119">
        <f t="shared" ref="N237:N240" si="511">COUNTA(O237:Z237)</f>
        <v>0</v>
      </c>
      <c r="O237" s="298"/>
      <c r="P237" s="317"/>
      <c r="Q237" s="317"/>
      <c r="R237" s="317"/>
      <c r="S237" s="317"/>
      <c r="T237" s="317"/>
      <c r="U237" s="317"/>
      <c r="V237" s="317"/>
      <c r="W237" s="317"/>
      <c r="X237" s="317"/>
      <c r="Y237" s="317"/>
      <c r="Z237" s="317"/>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6"/>
      <c r="BM237" s="311"/>
      <c r="BN237" s="314"/>
    </row>
    <row r="238" s="118" customFormat="1" ht="33.95" customHeight="1" outlineLevel="4" spans="2:66">
      <c r="B238" s="119" t="s">
        <v>799</v>
      </c>
      <c r="C238" s="120" t="s">
        <v>1212</v>
      </c>
      <c r="D238" s="118" t="s">
        <v>1213</v>
      </c>
      <c r="E238" s="119" t="s">
        <v>1214</v>
      </c>
      <c r="F238" s="119"/>
      <c r="G238" s="119" t="s">
        <v>943</v>
      </c>
      <c r="H238" s="119">
        <f t="shared" si="510"/>
        <v>0</v>
      </c>
      <c r="I238" s="119" t="s">
        <v>1032</v>
      </c>
      <c r="J238" s="119">
        <f>AVERAGE('1-1 项目基础信息'!$H$9:$S$9)</f>
        <v>281758.63</v>
      </c>
      <c r="K238" s="119" t="s">
        <v>1033</v>
      </c>
      <c r="L238" s="298"/>
      <c r="M238" s="119" t="s">
        <v>806</v>
      </c>
      <c r="N238" s="119">
        <f t="shared" si="511"/>
        <v>0</v>
      </c>
      <c r="O238" s="298"/>
      <c r="P238" s="298"/>
      <c r="Q238" s="298"/>
      <c r="R238" s="298"/>
      <c r="S238" s="298"/>
      <c r="T238" s="298"/>
      <c r="U238" s="298"/>
      <c r="V238" s="298"/>
      <c r="W238" s="298"/>
      <c r="X238" s="298"/>
      <c r="Y238" s="298"/>
      <c r="Z238" s="298"/>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6"/>
      <c r="BM238" s="311"/>
      <c r="BN238" s="314"/>
    </row>
    <row r="239" s="47" customFormat="1" ht="33.95" customHeight="1" outlineLevel="3" spans="2:66">
      <c r="B239" s="115" t="s">
        <v>794</v>
      </c>
      <c r="C239" s="116" t="s">
        <v>40</v>
      </c>
      <c r="D239" s="47" t="s">
        <v>41</v>
      </c>
      <c r="E239" s="115"/>
      <c r="F239" s="115"/>
      <c r="G239" s="115"/>
      <c r="H239" s="115">
        <f>H240+H241</f>
        <v>0</v>
      </c>
      <c r="I239" s="115"/>
      <c r="J239" s="115"/>
      <c r="K239" s="115"/>
      <c r="L239" s="115"/>
      <c r="M239" s="115"/>
      <c r="N239" s="115"/>
      <c r="O239" s="115"/>
      <c r="P239" s="288"/>
      <c r="Q239" s="288"/>
      <c r="R239" s="288"/>
      <c r="S239" s="288"/>
      <c r="T239" s="288"/>
      <c r="U239" s="288"/>
      <c r="V239" s="288"/>
      <c r="W239" s="288"/>
      <c r="X239" s="288"/>
      <c r="Y239" s="288"/>
      <c r="Z239" s="288"/>
      <c r="AA239" s="288"/>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5"/>
      <c r="BM239" s="311"/>
      <c r="BN239" s="313"/>
    </row>
    <row r="240" s="118" customFormat="1" ht="33.95" customHeight="1" outlineLevel="4" spans="2:66">
      <c r="B240" s="119" t="s">
        <v>799</v>
      </c>
      <c r="C240" s="120" t="s">
        <v>1215</v>
      </c>
      <c r="D240" s="118" t="s">
        <v>1216</v>
      </c>
      <c r="E240" s="119" t="s">
        <v>1217</v>
      </c>
      <c r="F240" s="119"/>
      <c r="G240" s="119" t="s">
        <v>943</v>
      </c>
      <c r="H240" s="119">
        <f t="shared" si="510"/>
        <v>0</v>
      </c>
      <c r="I240" s="119" t="s">
        <v>1032</v>
      </c>
      <c r="J240" s="119">
        <f>AVERAGE('1-1 项目基础信息'!$H$9:$S$9)</f>
        <v>281758.63</v>
      </c>
      <c r="K240" s="119" t="s">
        <v>1033</v>
      </c>
      <c r="L240" s="298"/>
      <c r="M240" s="119" t="s">
        <v>806</v>
      </c>
      <c r="N240" s="119">
        <f t="shared" si="511"/>
        <v>0</v>
      </c>
      <c r="O240" s="298"/>
      <c r="P240" s="298"/>
      <c r="Q240" s="298"/>
      <c r="R240" s="298"/>
      <c r="S240" s="298"/>
      <c r="T240" s="298"/>
      <c r="U240" s="298"/>
      <c r="V240" s="298"/>
      <c r="W240" s="298"/>
      <c r="X240" s="298"/>
      <c r="Y240" s="298"/>
      <c r="Z240" s="298"/>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6"/>
      <c r="BM240" s="311"/>
      <c r="BN240" s="314"/>
    </row>
    <row r="241" s="118" customFormat="1" ht="33.95" customHeight="1" outlineLevel="4" spans="2:66">
      <c r="B241" s="119" t="s">
        <v>794</v>
      </c>
      <c r="C241" s="120" t="s">
        <v>1218</v>
      </c>
      <c r="D241" s="118" t="s">
        <v>1219</v>
      </c>
      <c r="E241" s="119"/>
      <c r="F241" s="119"/>
      <c r="G241" s="119"/>
      <c r="H241" s="119">
        <f>SUM(H242:H246)</f>
        <v>0</v>
      </c>
      <c r="I241" s="119"/>
      <c r="J241" s="119"/>
      <c r="K241" s="119"/>
      <c r="L241" s="119"/>
      <c r="M241" s="119"/>
      <c r="N241" s="119"/>
      <c r="O241" s="119"/>
      <c r="P241" s="289"/>
      <c r="Q241" s="289"/>
      <c r="R241" s="289"/>
      <c r="S241" s="289"/>
      <c r="T241" s="289"/>
      <c r="U241" s="289"/>
      <c r="V241" s="289"/>
      <c r="W241" s="289"/>
      <c r="X241" s="289"/>
      <c r="Y241" s="289"/>
      <c r="Z241" s="289"/>
      <c r="AA241" s="289"/>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6"/>
      <c r="BM241" s="311"/>
      <c r="BN241" s="314"/>
    </row>
    <row r="242" s="263" customFormat="1" ht="33.95" customHeight="1" outlineLevel="5" spans="2:66">
      <c r="B242" s="175" t="s">
        <v>799</v>
      </c>
      <c r="C242" s="283" t="s">
        <v>1220</v>
      </c>
      <c r="D242" s="263" t="s">
        <v>1221</v>
      </c>
      <c r="E242" s="175" t="s">
        <v>1222</v>
      </c>
      <c r="F242" s="175"/>
      <c r="G242" s="175" t="s">
        <v>943</v>
      </c>
      <c r="H242" s="175">
        <f t="shared" ref="H242:H246" si="527">IFERROR(J242*L242*N242,0)</f>
        <v>0</v>
      </c>
      <c r="I242" s="175" t="s">
        <v>1223</v>
      </c>
      <c r="J242" s="298"/>
      <c r="K242" s="175" t="s">
        <v>1224</v>
      </c>
      <c r="L242" s="298"/>
      <c r="M242" s="175" t="s">
        <v>1225</v>
      </c>
      <c r="N242" s="175">
        <f t="shared" ref="N242:N246" si="528">COUNTA(O242:Z242)</f>
        <v>0</v>
      </c>
      <c r="O242" s="298"/>
      <c r="P242" s="317"/>
      <c r="Q242" s="317"/>
      <c r="R242" s="317"/>
      <c r="S242" s="317"/>
      <c r="T242" s="317"/>
      <c r="U242" s="317"/>
      <c r="V242" s="317"/>
      <c r="W242" s="317"/>
      <c r="X242" s="317"/>
      <c r="Y242" s="317"/>
      <c r="Z242" s="317"/>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20"/>
      <c r="BM242" s="311"/>
      <c r="BN242" s="315"/>
    </row>
    <row r="243" s="263" customFormat="1" ht="33.95" customHeight="1" outlineLevel="5" spans="2:66">
      <c r="B243" s="175" t="s">
        <v>799</v>
      </c>
      <c r="C243" s="283" t="s">
        <v>1226</v>
      </c>
      <c r="D243" s="263" t="s">
        <v>1227</v>
      </c>
      <c r="E243" s="175" t="s">
        <v>1228</v>
      </c>
      <c r="F243" s="175"/>
      <c r="G243" s="175" t="s">
        <v>943</v>
      </c>
      <c r="H243" s="175">
        <f t="shared" si="527"/>
        <v>0</v>
      </c>
      <c r="I243" s="175" t="s">
        <v>1229</v>
      </c>
      <c r="J243" s="298"/>
      <c r="K243" s="175" t="s">
        <v>1224</v>
      </c>
      <c r="L243" s="298"/>
      <c r="M243" s="175" t="s">
        <v>1225</v>
      </c>
      <c r="N243" s="175">
        <f t="shared" si="528"/>
        <v>0</v>
      </c>
      <c r="O243" s="298"/>
      <c r="P243" s="298"/>
      <c r="Q243" s="298"/>
      <c r="R243" s="298"/>
      <c r="S243" s="298"/>
      <c r="T243" s="298"/>
      <c r="U243" s="298"/>
      <c r="V243" s="298"/>
      <c r="W243" s="298"/>
      <c r="X243" s="298"/>
      <c r="Y243" s="298"/>
      <c r="Z243" s="298"/>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20"/>
      <c r="BM243" s="311"/>
      <c r="BN243" s="315"/>
    </row>
    <row r="244" s="263" customFormat="1" ht="33.95" customHeight="1" outlineLevel="5" spans="2:66">
      <c r="B244" s="175" t="s">
        <v>799</v>
      </c>
      <c r="C244" s="283" t="s">
        <v>1230</v>
      </c>
      <c r="D244" s="263" t="s">
        <v>1231</v>
      </c>
      <c r="E244" s="175" t="s">
        <v>1232</v>
      </c>
      <c r="F244" s="175"/>
      <c r="G244" s="175" t="s">
        <v>943</v>
      </c>
      <c r="H244" s="175">
        <f t="shared" si="527"/>
        <v>0</v>
      </c>
      <c r="I244" s="175" t="s">
        <v>1233</v>
      </c>
      <c r="J244" s="298"/>
      <c r="K244" s="175" t="s">
        <v>1234</v>
      </c>
      <c r="L244" s="298"/>
      <c r="M244" s="175" t="s">
        <v>1235</v>
      </c>
      <c r="N244" s="175">
        <f t="shared" si="528"/>
        <v>0</v>
      </c>
      <c r="O244" s="298"/>
      <c r="P244" s="298"/>
      <c r="Q244" s="298"/>
      <c r="R244" s="298"/>
      <c r="S244" s="298"/>
      <c r="T244" s="298"/>
      <c r="U244" s="298"/>
      <c r="V244" s="298"/>
      <c r="W244" s="298"/>
      <c r="X244" s="298"/>
      <c r="Y244" s="298"/>
      <c r="Z244" s="298"/>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20"/>
      <c r="BM244" s="311"/>
      <c r="BN244" s="315"/>
    </row>
    <row r="245" s="263" customFormat="1" ht="33.95" customHeight="1" outlineLevel="5" spans="2:66">
      <c r="B245" s="175" t="s">
        <v>799</v>
      </c>
      <c r="C245" s="283" t="s">
        <v>1236</v>
      </c>
      <c r="D245" s="263" t="s">
        <v>1237</v>
      </c>
      <c r="E245" s="175" t="s">
        <v>1238</v>
      </c>
      <c r="F245" s="175"/>
      <c r="G245" s="175" t="s">
        <v>943</v>
      </c>
      <c r="H245" s="175">
        <f t="shared" si="527"/>
        <v>0</v>
      </c>
      <c r="I245" s="175" t="s">
        <v>1233</v>
      </c>
      <c r="J245" s="298"/>
      <c r="K245" s="175" t="s">
        <v>1234</v>
      </c>
      <c r="L245" s="298"/>
      <c r="M245" s="175" t="s">
        <v>1235</v>
      </c>
      <c r="N245" s="175">
        <f t="shared" si="528"/>
        <v>0</v>
      </c>
      <c r="O245" s="298"/>
      <c r="P245" s="298"/>
      <c r="Q245" s="298"/>
      <c r="R245" s="298"/>
      <c r="S245" s="298"/>
      <c r="T245" s="298"/>
      <c r="U245" s="298"/>
      <c r="V245" s="298"/>
      <c r="W245" s="298"/>
      <c r="X245" s="298"/>
      <c r="Y245" s="298"/>
      <c r="Z245" s="298"/>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20"/>
      <c r="BM245" s="311"/>
      <c r="BN245" s="315"/>
    </row>
    <row r="246" s="263" customFormat="1" ht="33.95" customHeight="1" outlineLevel="5" spans="2:66">
      <c r="B246" s="175" t="s">
        <v>799</v>
      </c>
      <c r="C246" s="283" t="s">
        <v>1239</v>
      </c>
      <c r="D246" s="263" t="s">
        <v>1240</v>
      </c>
      <c r="E246" s="175" t="s">
        <v>1241</v>
      </c>
      <c r="F246" s="175"/>
      <c r="G246" s="175" t="s">
        <v>943</v>
      </c>
      <c r="H246" s="175">
        <f t="shared" si="527"/>
        <v>0</v>
      </c>
      <c r="I246" s="175" t="s">
        <v>1242</v>
      </c>
      <c r="J246" s="175">
        <v>1</v>
      </c>
      <c r="K246" s="175" t="s">
        <v>1243</v>
      </c>
      <c r="L246" s="298"/>
      <c r="M246" s="175" t="s">
        <v>1244</v>
      </c>
      <c r="N246" s="175">
        <f t="shared" si="528"/>
        <v>0</v>
      </c>
      <c r="O246" s="298"/>
      <c r="P246" s="316"/>
      <c r="Q246" s="316"/>
      <c r="R246" s="316"/>
      <c r="S246" s="316"/>
      <c r="T246" s="316"/>
      <c r="U246" s="316"/>
      <c r="V246" s="316"/>
      <c r="W246" s="316"/>
      <c r="X246" s="316"/>
      <c r="Y246" s="316"/>
      <c r="Z246" s="316"/>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20"/>
      <c r="BM246" s="311"/>
      <c r="BN246" s="315"/>
    </row>
    <row r="247" s="47" customFormat="1" ht="33.95" customHeight="1" outlineLevel="3" spans="2:66">
      <c r="B247" s="115" t="s">
        <v>794</v>
      </c>
      <c r="C247" s="116" t="s">
        <v>42</v>
      </c>
      <c r="D247" s="47" t="s">
        <v>43</v>
      </c>
      <c r="E247" s="115"/>
      <c r="F247" s="115"/>
      <c r="G247" s="115"/>
      <c r="H247" s="115">
        <f>H248+H249+H250+H251+H252+H253+H254+H255+H256+H257</f>
        <v>0</v>
      </c>
      <c r="I247" s="115"/>
      <c r="J247" s="115"/>
      <c r="K247" s="115"/>
      <c r="L247" s="115"/>
      <c r="M247" s="115"/>
      <c r="N247" s="115"/>
      <c r="O247" s="115"/>
      <c r="P247" s="288"/>
      <c r="Q247" s="288"/>
      <c r="R247" s="288"/>
      <c r="S247" s="288"/>
      <c r="T247" s="288"/>
      <c r="U247" s="288"/>
      <c r="V247" s="288"/>
      <c r="W247" s="288"/>
      <c r="X247" s="288"/>
      <c r="Y247" s="288"/>
      <c r="Z247" s="288"/>
      <c r="AA247" s="288"/>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5"/>
      <c r="BM247" s="311"/>
      <c r="BN247" s="313"/>
    </row>
    <row r="248" s="118" customFormat="1" ht="33.95" customHeight="1" outlineLevel="4" spans="2:66">
      <c r="B248" s="119" t="s">
        <v>799</v>
      </c>
      <c r="C248" s="120" t="s">
        <v>1245</v>
      </c>
      <c r="D248" s="118" t="s">
        <v>1246</v>
      </c>
      <c r="E248" s="119" t="s">
        <v>1247</v>
      </c>
      <c r="F248" s="119"/>
      <c r="G248" s="119" t="s">
        <v>943</v>
      </c>
      <c r="H248" s="119">
        <f t="shared" ref="H248:H256" si="543">IFERROR(J248*L248*N248,0)</f>
        <v>0</v>
      </c>
      <c r="I248" s="119" t="s">
        <v>1032</v>
      </c>
      <c r="J248" s="119">
        <f>AVERAGE('1-1 项目基础信息'!$H$9:$S$9)</f>
        <v>281758.63</v>
      </c>
      <c r="K248" s="119" t="s">
        <v>1033</v>
      </c>
      <c r="L248" s="298"/>
      <c r="M248" s="119" t="s">
        <v>806</v>
      </c>
      <c r="N248" s="119">
        <f t="shared" ref="N248:N256" si="544">COUNTA(O248:Z248)</f>
        <v>0</v>
      </c>
      <c r="O248" s="298"/>
      <c r="P248" s="298"/>
      <c r="Q248" s="298"/>
      <c r="R248" s="298"/>
      <c r="S248" s="298"/>
      <c r="T248" s="298"/>
      <c r="U248" s="298"/>
      <c r="V248" s="298"/>
      <c r="W248" s="298"/>
      <c r="X248" s="298"/>
      <c r="Y248" s="298"/>
      <c r="Z248" s="298"/>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6"/>
      <c r="BM248" s="311"/>
      <c r="BN248" s="314"/>
    </row>
    <row r="249" s="118" customFormat="1" ht="33.95" customHeight="1" outlineLevel="4" spans="2:66">
      <c r="B249" s="119" t="s">
        <v>799</v>
      </c>
      <c r="C249" s="120" t="s">
        <v>1248</v>
      </c>
      <c r="D249" s="118" t="s">
        <v>1249</v>
      </c>
      <c r="E249" s="119" t="s">
        <v>1250</v>
      </c>
      <c r="F249" s="119"/>
      <c r="G249" s="119" t="s">
        <v>943</v>
      </c>
      <c r="H249" s="119">
        <f t="shared" si="543"/>
        <v>0</v>
      </c>
      <c r="I249" s="119" t="s">
        <v>1032</v>
      </c>
      <c r="J249" s="119">
        <f>AVERAGE('1-1 项目基础信息'!$H$9:$S$9)</f>
        <v>281758.63</v>
      </c>
      <c r="K249" s="119" t="s">
        <v>1033</v>
      </c>
      <c r="L249" s="298"/>
      <c r="M249" s="119" t="s">
        <v>806</v>
      </c>
      <c r="N249" s="119">
        <f t="shared" si="544"/>
        <v>0</v>
      </c>
      <c r="O249" s="298"/>
      <c r="P249" s="298"/>
      <c r="Q249" s="298"/>
      <c r="R249" s="298"/>
      <c r="S249" s="298"/>
      <c r="T249" s="298"/>
      <c r="U249" s="298"/>
      <c r="V249" s="298"/>
      <c r="W249" s="298"/>
      <c r="X249" s="298"/>
      <c r="Y249" s="298"/>
      <c r="Z249" s="298"/>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6"/>
      <c r="BM249" s="311"/>
      <c r="BN249" s="314"/>
    </row>
    <row r="250" s="118" customFormat="1" ht="33.95" customHeight="1" outlineLevel="4" spans="2:66">
      <c r="B250" s="119" t="s">
        <v>799</v>
      </c>
      <c r="C250" s="120" t="s">
        <v>1251</v>
      </c>
      <c r="D250" s="118" t="s">
        <v>1252</v>
      </c>
      <c r="E250" s="119"/>
      <c r="F250" s="119"/>
      <c r="G250" s="119" t="s">
        <v>943</v>
      </c>
      <c r="H250" s="119">
        <f t="shared" si="543"/>
        <v>0</v>
      </c>
      <c r="I250" s="119" t="s">
        <v>1032</v>
      </c>
      <c r="J250" s="119">
        <f>AVERAGE('1-1 项目基础信息'!$H$9:$S$9)</f>
        <v>281758.63</v>
      </c>
      <c r="K250" s="119" t="s">
        <v>1033</v>
      </c>
      <c r="L250" s="298"/>
      <c r="M250" s="119" t="s">
        <v>806</v>
      </c>
      <c r="N250" s="119">
        <f t="shared" si="544"/>
        <v>0</v>
      </c>
      <c r="O250" s="298"/>
      <c r="P250" s="298"/>
      <c r="Q250" s="298"/>
      <c r="R250" s="298"/>
      <c r="S250" s="298"/>
      <c r="T250" s="298"/>
      <c r="U250" s="298"/>
      <c r="V250" s="298"/>
      <c r="W250" s="298"/>
      <c r="X250" s="298"/>
      <c r="Y250" s="298"/>
      <c r="Z250" s="298"/>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6"/>
      <c r="BM250" s="311"/>
      <c r="BN250" s="314"/>
    </row>
    <row r="251" s="118" customFormat="1" ht="33.95" customHeight="1" outlineLevel="4" spans="2:66">
      <c r="B251" s="119" t="s">
        <v>799</v>
      </c>
      <c r="C251" s="120" t="s">
        <v>1253</v>
      </c>
      <c r="D251" s="118" t="s">
        <v>1254</v>
      </c>
      <c r="E251" s="119" t="s">
        <v>1255</v>
      </c>
      <c r="F251" s="119"/>
      <c r="G251" s="119" t="s">
        <v>943</v>
      </c>
      <c r="H251" s="119">
        <f t="shared" si="543"/>
        <v>0</v>
      </c>
      <c r="I251" s="119" t="s">
        <v>1032</v>
      </c>
      <c r="J251" s="119">
        <f>AVERAGE('1-1 项目基础信息'!$H$9:$S$9)</f>
        <v>281758.63</v>
      </c>
      <c r="K251" s="119" t="s">
        <v>1033</v>
      </c>
      <c r="L251" s="298"/>
      <c r="M251" s="119" t="s">
        <v>806</v>
      </c>
      <c r="N251" s="119">
        <f t="shared" si="544"/>
        <v>0</v>
      </c>
      <c r="O251" s="298"/>
      <c r="P251" s="298"/>
      <c r="Q251" s="298"/>
      <c r="R251" s="298"/>
      <c r="S251" s="298"/>
      <c r="T251" s="298"/>
      <c r="U251" s="298"/>
      <c r="V251" s="298"/>
      <c r="W251" s="298"/>
      <c r="X251" s="298"/>
      <c r="Y251" s="298"/>
      <c r="Z251" s="298"/>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6"/>
      <c r="BM251" s="311"/>
      <c r="BN251" s="314"/>
    </row>
    <row r="252" s="118" customFormat="1" ht="33.95" customHeight="1" outlineLevel="4" spans="2:66">
      <c r="B252" s="119" t="s">
        <v>799</v>
      </c>
      <c r="C252" s="120" t="s">
        <v>1256</v>
      </c>
      <c r="D252" s="118" t="s">
        <v>1257</v>
      </c>
      <c r="E252" s="119" t="s">
        <v>1258</v>
      </c>
      <c r="F252" s="119"/>
      <c r="G252" s="119" t="s">
        <v>943</v>
      </c>
      <c r="H252" s="119">
        <f t="shared" si="543"/>
        <v>0</v>
      </c>
      <c r="I252" s="119" t="s">
        <v>1032</v>
      </c>
      <c r="J252" s="119">
        <f>AVERAGE('1-1 项目基础信息'!$H$9:$S$9)</f>
        <v>281758.63</v>
      </c>
      <c r="K252" s="119" t="s">
        <v>1033</v>
      </c>
      <c r="L252" s="298"/>
      <c r="M252" s="119" t="s">
        <v>806</v>
      </c>
      <c r="N252" s="119">
        <f t="shared" si="544"/>
        <v>0</v>
      </c>
      <c r="O252" s="298"/>
      <c r="P252" s="298"/>
      <c r="Q252" s="298"/>
      <c r="R252" s="298"/>
      <c r="S252" s="298"/>
      <c r="T252" s="298"/>
      <c r="U252" s="298"/>
      <c r="V252" s="298"/>
      <c r="W252" s="298"/>
      <c r="X252" s="298"/>
      <c r="Y252" s="298"/>
      <c r="Z252" s="298"/>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6"/>
      <c r="BM252" s="311"/>
      <c r="BN252" s="314"/>
    </row>
    <row r="253" s="118" customFormat="1" ht="33.95" customHeight="1" outlineLevel="4" spans="2:66">
      <c r="B253" s="119" t="s">
        <v>799</v>
      </c>
      <c r="C253" s="120" t="s">
        <v>1259</v>
      </c>
      <c r="D253" s="118" t="s">
        <v>1260</v>
      </c>
      <c r="E253" s="119" t="s">
        <v>1261</v>
      </c>
      <c r="F253" s="119"/>
      <c r="G253" s="119" t="s">
        <v>943</v>
      </c>
      <c r="H253" s="119">
        <f t="shared" si="543"/>
        <v>0</v>
      </c>
      <c r="I253" s="119" t="s">
        <v>1032</v>
      </c>
      <c r="J253" s="119">
        <f>AVERAGE('1-1 项目基础信息'!$H$9:$S$9)</f>
        <v>281758.63</v>
      </c>
      <c r="K253" s="119" t="s">
        <v>1033</v>
      </c>
      <c r="L253" s="298"/>
      <c r="M253" s="119" t="s">
        <v>806</v>
      </c>
      <c r="N253" s="119">
        <f t="shared" si="544"/>
        <v>0</v>
      </c>
      <c r="O253" s="298"/>
      <c r="P253" s="298"/>
      <c r="Q253" s="298"/>
      <c r="R253" s="298"/>
      <c r="S253" s="298"/>
      <c r="T253" s="298"/>
      <c r="U253" s="298"/>
      <c r="V253" s="298"/>
      <c r="W253" s="298"/>
      <c r="X253" s="298"/>
      <c r="Y253" s="298"/>
      <c r="Z253" s="298"/>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6"/>
      <c r="BM253" s="311"/>
      <c r="BN253" s="314"/>
    </row>
    <row r="254" s="118" customFormat="1" ht="33.95" customHeight="1" outlineLevel="4" spans="2:66">
      <c r="B254" s="119" t="s">
        <v>799</v>
      </c>
      <c r="C254" s="120" t="s">
        <v>1262</v>
      </c>
      <c r="D254" s="118" t="s">
        <v>1263</v>
      </c>
      <c r="E254" s="119" t="s">
        <v>1264</v>
      </c>
      <c r="F254" s="119"/>
      <c r="G254" s="119" t="s">
        <v>943</v>
      </c>
      <c r="H254" s="119">
        <f t="shared" si="543"/>
        <v>0</v>
      </c>
      <c r="I254" s="119" t="s">
        <v>1032</v>
      </c>
      <c r="J254" s="119">
        <f>AVERAGE('1-1 项目基础信息'!$H$9:$S$9)</f>
        <v>281758.63</v>
      </c>
      <c r="K254" s="119" t="s">
        <v>1033</v>
      </c>
      <c r="L254" s="298"/>
      <c r="M254" s="119" t="s">
        <v>806</v>
      </c>
      <c r="N254" s="119">
        <f t="shared" si="544"/>
        <v>0</v>
      </c>
      <c r="O254" s="298"/>
      <c r="P254" s="298"/>
      <c r="Q254" s="298"/>
      <c r="R254" s="298"/>
      <c r="S254" s="298"/>
      <c r="T254" s="298"/>
      <c r="U254" s="298"/>
      <c r="V254" s="298"/>
      <c r="W254" s="298"/>
      <c r="X254" s="298"/>
      <c r="Y254" s="298"/>
      <c r="Z254" s="298"/>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6"/>
      <c r="BM254" s="311"/>
      <c r="BN254" s="314"/>
    </row>
    <row r="255" s="118" customFormat="1" ht="33.95" customHeight="1" outlineLevel="4" spans="2:66">
      <c r="B255" s="119" t="s">
        <v>799</v>
      </c>
      <c r="C255" s="120" t="s">
        <v>1265</v>
      </c>
      <c r="D255" s="118" t="s">
        <v>1266</v>
      </c>
      <c r="E255" s="119" t="s">
        <v>1264</v>
      </c>
      <c r="F255" s="119"/>
      <c r="G255" s="119" t="s">
        <v>943</v>
      </c>
      <c r="H255" s="119">
        <f t="shared" si="543"/>
        <v>0</v>
      </c>
      <c r="I255" s="119" t="s">
        <v>1032</v>
      </c>
      <c r="J255" s="119">
        <f>AVERAGE('1-1 项目基础信息'!$H$9:$S$9)</f>
        <v>281758.63</v>
      </c>
      <c r="K255" s="119" t="s">
        <v>1033</v>
      </c>
      <c r="L255" s="298"/>
      <c r="M255" s="119" t="s">
        <v>806</v>
      </c>
      <c r="N255" s="119">
        <f t="shared" si="544"/>
        <v>0</v>
      </c>
      <c r="O255" s="298"/>
      <c r="P255" s="298"/>
      <c r="Q255" s="298"/>
      <c r="R255" s="298"/>
      <c r="S255" s="298"/>
      <c r="T255" s="298"/>
      <c r="U255" s="298"/>
      <c r="V255" s="298"/>
      <c r="W255" s="298"/>
      <c r="X255" s="298"/>
      <c r="Y255" s="298"/>
      <c r="Z255" s="298"/>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6"/>
      <c r="BM255" s="311"/>
      <c r="BN255" s="314"/>
    </row>
    <row r="256" s="118" customFormat="1" ht="33.95" customHeight="1" outlineLevel="4" spans="2:66">
      <c r="B256" s="119" t="s">
        <v>799</v>
      </c>
      <c r="C256" s="120" t="s">
        <v>1267</v>
      </c>
      <c r="D256" s="118" t="s">
        <v>1268</v>
      </c>
      <c r="E256" s="119" t="s">
        <v>1269</v>
      </c>
      <c r="F256" s="119"/>
      <c r="G256" s="119" t="s">
        <v>943</v>
      </c>
      <c r="H256" s="119">
        <f t="shared" si="543"/>
        <v>0</v>
      </c>
      <c r="I256" s="119" t="s">
        <v>1032</v>
      </c>
      <c r="J256" s="119">
        <f>AVERAGE('1-1 项目基础信息'!$H$9:$S$9)</f>
        <v>281758.63</v>
      </c>
      <c r="K256" s="119" t="s">
        <v>1033</v>
      </c>
      <c r="L256" s="298"/>
      <c r="M256" s="119" t="s">
        <v>806</v>
      </c>
      <c r="N256" s="119">
        <f t="shared" si="544"/>
        <v>0</v>
      </c>
      <c r="O256" s="298"/>
      <c r="P256" s="316"/>
      <c r="Q256" s="316"/>
      <c r="R256" s="316"/>
      <c r="S256" s="316"/>
      <c r="T256" s="316"/>
      <c r="U256" s="316"/>
      <c r="V256" s="316"/>
      <c r="W256" s="316"/>
      <c r="X256" s="316"/>
      <c r="Y256" s="316"/>
      <c r="Z256" s="316"/>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6"/>
      <c r="BM256" s="311"/>
      <c r="BN256" s="314"/>
    </row>
    <row r="257" s="118" customFormat="1" ht="33.95" customHeight="1" outlineLevel="4" spans="2:66">
      <c r="B257" s="119" t="s">
        <v>794</v>
      </c>
      <c r="C257" s="120" t="s">
        <v>1270</v>
      </c>
      <c r="D257" s="118" t="s">
        <v>1271</v>
      </c>
      <c r="E257" s="119"/>
      <c r="F257" s="119"/>
      <c r="G257" s="119"/>
      <c r="H257" s="119">
        <f>SUM(H258:H261)</f>
        <v>0</v>
      </c>
      <c r="I257" s="119"/>
      <c r="J257" s="119"/>
      <c r="K257" s="119"/>
      <c r="L257" s="119"/>
      <c r="M257" s="119"/>
      <c r="N257" s="119"/>
      <c r="O257" s="119"/>
      <c r="P257" s="289"/>
      <c r="Q257" s="289"/>
      <c r="R257" s="289"/>
      <c r="S257" s="289"/>
      <c r="T257" s="289"/>
      <c r="U257" s="289"/>
      <c r="V257" s="289"/>
      <c r="W257" s="289"/>
      <c r="X257" s="289"/>
      <c r="Y257" s="289"/>
      <c r="Z257" s="289"/>
      <c r="AA257" s="289"/>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6"/>
      <c r="BM257" s="311"/>
      <c r="BN257" s="314"/>
    </row>
    <row r="258" s="263" customFormat="1" ht="33.95" customHeight="1" outlineLevel="5" collapsed="1" spans="2:66">
      <c r="B258" s="175" t="s">
        <v>799</v>
      </c>
      <c r="C258" s="283" t="s">
        <v>1272</v>
      </c>
      <c r="D258" s="263" t="s">
        <v>1273</v>
      </c>
      <c r="E258" s="175" t="s">
        <v>1274</v>
      </c>
      <c r="F258" s="175"/>
      <c r="G258" s="175" t="s">
        <v>943</v>
      </c>
      <c r="H258" s="175">
        <f t="shared" ref="H258:H261" si="559">IFERROR(J258*L258*N258,0)</f>
        <v>0</v>
      </c>
      <c r="I258" s="175" t="s">
        <v>1275</v>
      </c>
      <c r="J258" s="298"/>
      <c r="K258" s="175" t="s">
        <v>1276</v>
      </c>
      <c r="L258" s="298"/>
      <c r="M258" s="175" t="s">
        <v>1277</v>
      </c>
      <c r="N258" s="175">
        <f t="shared" ref="N258:N261" si="560">COUNTA(O258:Z258)</f>
        <v>0</v>
      </c>
      <c r="O258" s="298"/>
      <c r="P258" s="317"/>
      <c r="Q258" s="317"/>
      <c r="R258" s="317"/>
      <c r="S258" s="317"/>
      <c r="T258" s="317"/>
      <c r="U258" s="317"/>
      <c r="V258" s="317"/>
      <c r="W258" s="317"/>
      <c r="X258" s="317"/>
      <c r="Y258" s="317"/>
      <c r="Z258" s="317"/>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20"/>
      <c r="BM258" s="311"/>
      <c r="BN258" s="315"/>
    </row>
    <row r="259" s="263" customFormat="1" ht="33.95" customHeight="1" outlineLevel="5" collapsed="1" spans="2:66">
      <c r="B259" s="175" t="s">
        <v>799</v>
      </c>
      <c r="C259" s="283" t="s">
        <v>1278</v>
      </c>
      <c r="D259" s="263" t="s">
        <v>1279</v>
      </c>
      <c r="E259" s="175" t="s">
        <v>1280</v>
      </c>
      <c r="F259" s="175"/>
      <c r="G259" s="175" t="s">
        <v>943</v>
      </c>
      <c r="H259" s="175">
        <f t="shared" si="559"/>
        <v>0</v>
      </c>
      <c r="I259" s="175" t="s">
        <v>1275</v>
      </c>
      <c r="J259" s="298"/>
      <c r="K259" s="175" t="s">
        <v>1276</v>
      </c>
      <c r="L259" s="298"/>
      <c r="M259" s="175" t="s">
        <v>1277</v>
      </c>
      <c r="N259" s="175">
        <f t="shared" si="560"/>
        <v>0</v>
      </c>
      <c r="O259" s="298"/>
      <c r="P259" s="298"/>
      <c r="Q259" s="298"/>
      <c r="R259" s="298"/>
      <c r="S259" s="298"/>
      <c r="T259" s="298"/>
      <c r="U259" s="298"/>
      <c r="V259" s="298"/>
      <c r="W259" s="298"/>
      <c r="X259" s="298"/>
      <c r="Y259" s="298"/>
      <c r="Z259" s="298"/>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20"/>
      <c r="BM259" s="311"/>
      <c r="BN259" s="315"/>
    </row>
    <row r="260" s="263" customFormat="1" ht="33.95" customHeight="1" outlineLevel="5" collapsed="1" spans="2:66">
      <c r="B260" s="175" t="s">
        <v>799</v>
      </c>
      <c r="C260" s="283" t="s">
        <v>1281</v>
      </c>
      <c r="D260" s="263" t="s">
        <v>1282</v>
      </c>
      <c r="E260" s="175" t="s">
        <v>1283</v>
      </c>
      <c r="F260" s="175"/>
      <c r="G260" s="175" t="s">
        <v>943</v>
      </c>
      <c r="H260" s="175">
        <f t="shared" si="559"/>
        <v>0</v>
      </c>
      <c r="I260" s="175" t="s">
        <v>1275</v>
      </c>
      <c r="J260" s="298"/>
      <c r="K260" s="175" t="s">
        <v>1276</v>
      </c>
      <c r="L260" s="298"/>
      <c r="M260" s="175" t="s">
        <v>1277</v>
      </c>
      <c r="N260" s="175">
        <f t="shared" si="560"/>
        <v>0</v>
      </c>
      <c r="O260" s="298"/>
      <c r="P260" s="298"/>
      <c r="Q260" s="298"/>
      <c r="R260" s="298"/>
      <c r="S260" s="298"/>
      <c r="T260" s="298"/>
      <c r="U260" s="298"/>
      <c r="V260" s="298"/>
      <c r="W260" s="298"/>
      <c r="X260" s="298"/>
      <c r="Y260" s="298"/>
      <c r="Z260" s="298"/>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20"/>
      <c r="BM260" s="311"/>
      <c r="BN260" s="315"/>
    </row>
    <row r="261" s="263" customFormat="1" ht="33.95" customHeight="1" outlineLevel="5" collapsed="1" spans="2:66">
      <c r="B261" s="175" t="s">
        <v>799</v>
      </c>
      <c r="C261" s="283" t="s">
        <v>1284</v>
      </c>
      <c r="D261" s="263" t="s">
        <v>1285</v>
      </c>
      <c r="E261" s="175" t="s">
        <v>1286</v>
      </c>
      <c r="F261" s="175"/>
      <c r="G261" s="175" t="s">
        <v>943</v>
      </c>
      <c r="H261" s="175">
        <f t="shared" si="559"/>
        <v>0</v>
      </c>
      <c r="I261" s="175" t="s">
        <v>1275</v>
      </c>
      <c r="J261" s="298"/>
      <c r="K261" s="175" t="s">
        <v>1276</v>
      </c>
      <c r="L261" s="298"/>
      <c r="M261" s="175" t="s">
        <v>1277</v>
      </c>
      <c r="N261" s="175">
        <f t="shared" si="560"/>
        <v>0</v>
      </c>
      <c r="O261" s="298"/>
      <c r="P261" s="316"/>
      <c r="Q261" s="316"/>
      <c r="R261" s="316"/>
      <c r="S261" s="316"/>
      <c r="T261" s="316"/>
      <c r="U261" s="316"/>
      <c r="V261" s="316"/>
      <c r="W261" s="316"/>
      <c r="X261" s="316"/>
      <c r="Y261" s="316"/>
      <c r="Z261" s="316"/>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20"/>
      <c r="BM261" s="311"/>
      <c r="BN261" s="315"/>
    </row>
    <row r="262" s="47" customFormat="1" ht="33.95" customHeight="1" outlineLevel="3" spans="2:66">
      <c r="B262" s="115" t="s">
        <v>794</v>
      </c>
      <c r="C262" s="116" t="s">
        <v>1287</v>
      </c>
      <c r="D262" s="47" t="s">
        <v>1288</v>
      </c>
      <c r="E262" s="115" t="s">
        <v>1289</v>
      </c>
      <c r="F262" s="115"/>
      <c r="G262" s="115" t="s">
        <v>943</v>
      </c>
      <c r="H262" s="115">
        <f>H263+H264+H273+H274+H283+H287+H288+H289+H290</f>
        <v>484946.385204558</v>
      </c>
      <c r="I262" s="115"/>
      <c r="J262" s="115"/>
      <c r="K262" s="115"/>
      <c r="L262" s="115"/>
      <c r="M262" s="115"/>
      <c r="N262" s="115"/>
      <c r="O262" s="115"/>
      <c r="P262" s="288"/>
      <c r="Q262" s="288"/>
      <c r="R262" s="288"/>
      <c r="S262" s="288"/>
      <c r="T262" s="288"/>
      <c r="U262" s="288"/>
      <c r="V262" s="288"/>
      <c r="W262" s="288"/>
      <c r="X262" s="288"/>
      <c r="Y262" s="288"/>
      <c r="Z262" s="288"/>
      <c r="AA262" s="288"/>
      <c r="AB262" s="115">
        <f>AB263+AB264+AB273+AB274+AB283+AB287+AB288+AB289+AB290</f>
        <v>484946.385204558</v>
      </c>
      <c r="AC262" s="115">
        <f t="shared" ref="AC262:AF262" si="574">AC263+AC264+AC273+AC274+AC283+AC287+AC288+AC289+AC290</f>
        <v>283936.951242294</v>
      </c>
      <c r="AD262" s="115"/>
      <c r="AE262" s="115"/>
      <c r="AF262" s="115">
        <f t="shared" si="574"/>
        <v>18273.5849056604</v>
      </c>
      <c r="AG262" s="115"/>
      <c r="AH262" s="115"/>
      <c r="AI262" s="115">
        <f>AI263+AI264+AI273+AI274+AI283+AI287+AI288+AI289+AI290</f>
        <v>18273.5849056604</v>
      </c>
      <c r="AJ262" s="115"/>
      <c r="AK262" s="115"/>
      <c r="AL262" s="115">
        <f>AL263+AL264+AL273+AL274+AL283+AL287+AL288+AL289+AL290</f>
        <v>18273.5849056604</v>
      </c>
      <c r="AM262" s="115"/>
      <c r="AN262" s="115"/>
      <c r="AO262" s="115">
        <f>AO263+AO264+AO273+AO274+AO283+AO287+AO288+AO289+AO290</f>
        <v>18273.5849056604</v>
      </c>
      <c r="AP262" s="115"/>
      <c r="AQ262" s="115"/>
      <c r="AR262" s="115">
        <f>AR263+AR264+AR273+AR274+AR283+AR287+AR288+AR289+AR290</f>
        <v>18273.5849056604</v>
      </c>
      <c r="AS262" s="115"/>
      <c r="AT262" s="115"/>
      <c r="AU262" s="115">
        <f>AU263+AU264+AU273+AU274+AU283+AU287+AU288+AU289+AU290</f>
        <v>18273.5849056604</v>
      </c>
      <c r="AV262" s="115"/>
      <c r="AW262" s="115"/>
      <c r="AX262" s="115">
        <f>AX263+AX264+AX273+AX274+AX283+AX287+AX288+AX289+AX290</f>
        <v>18273.5849056604</v>
      </c>
      <c r="AY262" s="115"/>
      <c r="AZ262" s="115"/>
      <c r="BA262" s="115">
        <f>BA263+BA264+BA273+BA274+BA283+BA287+BA288+BA289+BA290</f>
        <v>18273.5849056604</v>
      </c>
      <c r="BB262" s="115"/>
      <c r="BC262" s="115"/>
      <c r="BD262" s="115">
        <f>BD263+BD264+BD273+BD274+BD283+BD287+BD288+BD289+BD290</f>
        <v>18273.5849056604</v>
      </c>
      <c r="BE262" s="115"/>
      <c r="BF262" s="115"/>
      <c r="BG262" s="115">
        <f>BG263+BG264+BG273+BG274+BG283+BG287+BG288+BG289+BG290</f>
        <v>18273.5849056604</v>
      </c>
      <c r="BH262" s="115"/>
      <c r="BI262" s="115"/>
      <c r="BJ262" s="115">
        <f>BJ263+BJ264+BJ273+BJ274+BJ283+BJ287+BJ288+BJ289+BJ290</f>
        <v>18273.5849056604</v>
      </c>
      <c r="BK262" s="115"/>
      <c r="BL262" s="305"/>
      <c r="BM262" s="311"/>
      <c r="BN262" s="313"/>
    </row>
    <row r="263" s="118" customFormat="1" ht="33.95" customHeight="1" outlineLevel="4" spans="2:66">
      <c r="B263" s="119" t="s">
        <v>799</v>
      </c>
      <c r="C263" s="120" t="s">
        <v>28</v>
      </c>
      <c r="D263" s="118" t="s">
        <v>29</v>
      </c>
      <c r="E263" s="119" t="s">
        <v>1290</v>
      </c>
      <c r="F263" s="119"/>
      <c r="G263" s="119" t="s">
        <v>943</v>
      </c>
      <c r="H263" s="119">
        <f>IFERROR(J263*L263*N263,0)</f>
        <v>219283.018867924</v>
      </c>
      <c r="I263" s="119" t="s">
        <v>1291</v>
      </c>
      <c r="J263" s="298">
        <f>预算主表!P82/12</f>
        <v>18273.5849056604</v>
      </c>
      <c r="K263" s="119" t="s">
        <v>1033</v>
      </c>
      <c r="L263" s="298">
        <v>1</v>
      </c>
      <c r="M263" s="119" t="s">
        <v>1196</v>
      </c>
      <c r="N263" s="119">
        <f t="shared" ref="N263:N273" si="575">COUNTA(O263:Z263)</f>
        <v>12</v>
      </c>
      <c r="O263" s="298" t="s">
        <v>1292</v>
      </c>
      <c r="P263" s="298" t="s">
        <v>1292</v>
      </c>
      <c r="Q263" s="298" t="s">
        <v>1292</v>
      </c>
      <c r="R263" s="298" t="s">
        <v>1292</v>
      </c>
      <c r="S263" s="298" t="s">
        <v>1292</v>
      </c>
      <c r="T263" s="298" t="s">
        <v>1292</v>
      </c>
      <c r="U263" s="298" t="s">
        <v>1292</v>
      </c>
      <c r="V263" s="298" t="s">
        <v>1292</v>
      </c>
      <c r="W263" s="298" t="s">
        <v>1292</v>
      </c>
      <c r="X263" s="298" t="s">
        <v>1292</v>
      </c>
      <c r="Y263" s="298" t="s">
        <v>1292</v>
      </c>
      <c r="Z263" s="298" t="s">
        <v>1292</v>
      </c>
      <c r="AA263" s="119"/>
      <c r="AB263" s="119">
        <f t="shared" ref="AB263:AB273" si="576">SUM(AC263,AF263,AI263,AL263,AO263,AR263,AU263,AX263,BA263,BD263,BG263,BJ263)</f>
        <v>219283.018867924</v>
      </c>
      <c r="AC263" s="119">
        <f t="shared" ref="AC263:AC273" si="577">IF(O263="",0,$J263*$L263)</f>
        <v>18273.5849056604</v>
      </c>
      <c r="AD263" s="119"/>
      <c r="AE263" s="119"/>
      <c r="AF263" s="119">
        <f t="shared" ref="AF263:AF273" si="578">IF(P263="",0,$J263*$L263)</f>
        <v>18273.5849056604</v>
      </c>
      <c r="AG263" s="119"/>
      <c r="AH263" s="119"/>
      <c r="AI263" s="119">
        <f t="shared" ref="AI263:AI273" si="579">IF(Q263="",0,$J263*$L263)</f>
        <v>18273.5849056604</v>
      </c>
      <c r="AJ263" s="119"/>
      <c r="AK263" s="119"/>
      <c r="AL263" s="119">
        <f t="shared" ref="AL263:AL273" si="580">IF(R263="",0,$J263*$L263)</f>
        <v>18273.5849056604</v>
      </c>
      <c r="AM263" s="119"/>
      <c r="AN263" s="119"/>
      <c r="AO263" s="119">
        <f t="shared" ref="AO263:AO273" si="581">IF(S263="",0,$J263*$L263)</f>
        <v>18273.5849056604</v>
      </c>
      <c r="AP263" s="119"/>
      <c r="AQ263" s="119"/>
      <c r="AR263" s="119">
        <f t="shared" ref="AR263:AR273" si="582">IF(T263="",0,$J263*$L263)</f>
        <v>18273.5849056604</v>
      </c>
      <c r="AS263" s="119"/>
      <c r="AT263" s="119"/>
      <c r="AU263" s="119">
        <f t="shared" ref="AU263:AU273" si="583">IF(U263="",0,$J263*$L263)</f>
        <v>18273.5849056604</v>
      </c>
      <c r="AV263" s="119"/>
      <c r="AW263" s="119"/>
      <c r="AX263" s="119">
        <f t="shared" ref="AX263:AX273" si="584">IF(V263="",0,$J263*$L263)</f>
        <v>18273.5849056604</v>
      </c>
      <c r="AY263" s="119"/>
      <c r="AZ263" s="119"/>
      <c r="BA263" s="119">
        <f t="shared" ref="BA263:BA273" si="585">IF(W263="",0,$J263*$L263)</f>
        <v>18273.5849056604</v>
      </c>
      <c r="BB263" s="119"/>
      <c r="BC263" s="119"/>
      <c r="BD263" s="119">
        <f t="shared" ref="BD263:BD273" si="586">IF(X263="",0,$J263*$L263)</f>
        <v>18273.5849056604</v>
      </c>
      <c r="BE263" s="119"/>
      <c r="BF263" s="119"/>
      <c r="BG263" s="119">
        <f t="shared" ref="BG263:BG273" si="587">IF(Y263="",0,$J263*$L263)</f>
        <v>18273.5849056604</v>
      </c>
      <c r="BH263" s="119"/>
      <c r="BI263" s="119"/>
      <c r="BJ263" s="119">
        <f t="shared" ref="BJ263:BJ273" si="588">IF(Z263="",0,$J263*$L263)</f>
        <v>18273.5849056604</v>
      </c>
      <c r="BK263" s="119"/>
      <c r="BL263" s="306"/>
      <c r="BM263" s="311"/>
      <c r="BN263" s="314"/>
    </row>
    <row r="264" s="118" customFormat="1" ht="33.95" customHeight="1" outlineLevel="4" spans="2:66">
      <c r="B264" s="119" t="s">
        <v>794</v>
      </c>
      <c r="C264" s="120" t="s">
        <v>1293</v>
      </c>
      <c r="D264" s="118" t="s">
        <v>1294</v>
      </c>
      <c r="E264" s="119"/>
      <c r="F264" s="119"/>
      <c r="G264" s="119"/>
      <c r="H264" s="119">
        <f>SUM(H265:H272)</f>
        <v>265663.366336634</v>
      </c>
      <c r="I264" s="119"/>
      <c r="J264" s="119"/>
      <c r="K264" s="119"/>
      <c r="L264" s="119"/>
      <c r="M264" s="119"/>
      <c r="N264" s="119"/>
      <c r="O264" s="119"/>
      <c r="P264" s="289"/>
      <c r="Q264" s="289"/>
      <c r="R264" s="289"/>
      <c r="S264" s="289"/>
      <c r="T264" s="289"/>
      <c r="U264" s="289"/>
      <c r="V264" s="289"/>
      <c r="W264" s="289"/>
      <c r="X264" s="289"/>
      <c r="Y264" s="289"/>
      <c r="Z264" s="289"/>
      <c r="AA264" s="289"/>
      <c r="AB264" s="119">
        <f t="shared" ref="AB264:AF264" si="589">SUM(AB265:AB272)</f>
        <v>265663.366336634</v>
      </c>
      <c r="AC264" s="119">
        <f t="shared" si="589"/>
        <v>265663.366336634</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6"/>
      <c r="BM264" s="311"/>
      <c r="BN264" s="314"/>
    </row>
    <row r="265" s="263" customFormat="1" ht="33.95" customHeight="1" outlineLevel="5" spans="2:66">
      <c r="B265" s="175" t="s">
        <v>799</v>
      </c>
      <c r="C265" s="283" t="s">
        <v>56</v>
      </c>
      <c r="D265" s="263" t="s">
        <v>57</v>
      </c>
      <c r="E265" s="175" t="s">
        <v>1295</v>
      </c>
      <c r="F265" s="175"/>
      <c r="G265" s="175" t="s">
        <v>943</v>
      </c>
      <c r="H265" s="175">
        <f t="shared" ref="H265:H273" si="590">IFERROR(J265*L265*N265,0)</f>
        <v>0</v>
      </c>
      <c r="I265" s="175" t="s">
        <v>1296</v>
      </c>
      <c r="J265" s="298"/>
      <c r="K265" s="175" t="s">
        <v>1297</v>
      </c>
      <c r="L265" s="298"/>
      <c r="M265" s="175" t="s">
        <v>1298</v>
      </c>
      <c r="N265" s="175">
        <f t="shared" si="575"/>
        <v>0</v>
      </c>
      <c r="O265" s="298"/>
      <c r="P265" s="317"/>
      <c r="Q265" s="317"/>
      <c r="R265" s="317"/>
      <c r="S265" s="317"/>
      <c r="T265" s="317"/>
      <c r="U265" s="317"/>
      <c r="V265" s="317"/>
      <c r="W265" s="317"/>
      <c r="X265" s="317"/>
      <c r="Y265" s="317"/>
      <c r="Z265" s="317"/>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20"/>
      <c r="BM265" s="311"/>
      <c r="BN265" s="315"/>
    </row>
    <row r="266" s="263" customFormat="1" ht="33.95" customHeight="1" outlineLevel="5" spans="2:66">
      <c r="B266" s="175" t="s">
        <v>799</v>
      </c>
      <c r="C266" s="283" t="s">
        <v>58</v>
      </c>
      <c r="D266" s="263" t="s">
        <v>59</v>
      </c>
      <c r="E266" s="175" t="s">
        <v>1299</v>
      </c>
      <c r="F266" s="175"/>
      <c r="G266" s="175" t="s">
        <v>943</v>
      </c>
      <c r="H266" s="175">
        <f t="shared" si="590"/>
        <v>265663.366336634</v>
      </c>
      <c r="I266" s="175" t="s">
        <v>1300</v>
      </c>
      <c r="J266" s="298">
        <f>预算主表!P87</f>
        <v>265663.366336634</v>
      </c>
      <c r="K266" s="175" t="s">
        <v>1276</v>
      </c>
      <c r="L266" s="298">
        <v>1</v>
      </c>
      <c r="M266" s="175" t="s">
        <v>1301</v>
      </c>
      <c r="N266" s="175">
        <f t="shared" si="575"/>
        <v>1</v>
      </c>
      <c r="O266" s="298" t="s">
        <v>1292</v>
      </c>
      <c r="P266" s="298"/>
      <c r="Q266" s="298"/>
      <c r="R266" s="298"/>
      <c r="S266" s="298"/>
      <c r="T266" s="298"/>
      <c r="U266" s="298"/>
      <c r="V266" s="298"/>
      <c r="W266" s="298"/>
      <c r="X266" s="298"/>
      <c r="Y266" s="298"/>
      <c r="Z266" s="298"/>
      <c r="AA266" s="175"/>
      <c r="AB266" s="175">
        <f t="shared" si="576"/>
        <v>265663.366336634</v>
      </c>
      <c r="AC266" s="175">
        <f t="shared" si="577"/>
        <v>265663.366336634</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20"/>
      <c r="BM266" s="311"/>
      <c r="BN266" s="315"/>
    </row>
    <row r="267" s="263" customFormat="1" ht="33.95" customHeight="1" outlineLevel="5" spans="2:66">
      <c r="B267" s="175" t="s">
        <v>799</v>
      </c>
      <c r="C267" s="283" t="s">
        <v>60</v>
      </c>
      <c r="D267" s="263" t="s">
        <v>61</v>
      </c>
      <c r="E267" s="175" t="s">
        <v>1302</v>
      </c>
      <c r="F267" s="175"/>
      <c r="G267" s="175" t="s">
        <v>943</v>
      </c>
      <c r="H267" s="175">
        <f t="shared" si="590"/>
        <v>0</v>
      </c>
      <c r="I267" s="175" t="s">
        <v>1303</v>
      </c>
      <c r="J267" s="298"/>
      <c r="K267" s="175" t="s">
        <v>1304</v>
      </c>
      <c r="L267" s="298"/>
      <c r="M267" s="175" t="s">
        <v>1305</v>
      </c>
      <c r="N267" s="175">
        <f t="shared" si="575"/>
        <v>0</v>
      </c>
      <c r="O267" s="298"/>
      <c r="P267" s="298"/>
      <c r="Q267" s="298"/>
      <c r="R267" s="298"/>
      <c r="S267" s="298"/>
      <c r="T267" s="298"/>
      <c r="U267" s="298"/>
      <c r="V267" s="298"/>
      <c r="W267" s="298"/>
      <c r="X267" s="298"/>
      <c r="Y267" s="298"/>
      <c r="Z267" s="298"/>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20"/>
      <c r="BM267" s="311"/>
      <c r="BN267" s="315"/>
    </row>
    <row r="268" s="263" customFormat="1" ht="33.95" customHeight="1" outlineLevel="5" spans="2:66">
      <c r="B268" s="175" t="s">
        <v>799</v>
      </c>
      <c r="C268" s="283" t="s">
        <v>50</v>
      </c>
      <c r="D268" s="263" t="s">
        <v>51</v>
      </c>
      <c r="E268" s="175" t="s">
        <v>1299</v>
      </c>
      <c r="F268" s="175"/>
      <c r="G268" s="175" t="s">
        <v>943</v>
      </c>
      <c r="H268" s="175">
        <f t="shared" si="590"/>
        <v>0</v>
      </c>
      <c r="I268" s="175" t="s">
        <v>1242</v>
      </c>
      <c r="J268" s="298">
        <f>预算主表!P86</f>
        <v>0</v>
      </c>
      <c r="K268" s="175" t="s">
        <v>1276</v>
      </c>
      <c r="L268" s="298">
        <v>1</v>
      </c>
      <c r="M268" s="175" t="s">
        <v>1301</v>
      </c>
      <c r="N268" s="175">
        <f t="shared" si="575"/>
        <v>1</v>
      </c>
      <c r="O268" s="298" t="s">
        <v>1292</v>
      </c>
      <c r="P268" s="298"/>
      <c r="Q268" s="298"/>
      <c r="R268" s="298"/>
      <c r="S268" s="298"/>
      <c r="T268" s="298"/>
      <c r="U268" s="298"/>
      <c r="V268" s="298"/>
      <c r="W268" s="298"/>
      <c r="X268" s="298"/>
      <c r="Y268" s="298"/>
      <c r="Z268" s="298"/>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20"/>
      <c r="BM268" s="311"/>
      <c r="BN268" s="315"/>
    </row>
    <row r="269" s="263" customFormat="1" ht="33.95" customHeight="1" outlineLevel="5" spans="2:66">
      <c r="B269" s="175" t="s">
        <v>799</v>
      </c>
      <c r="C269" s="283" t="s">
        <v>52</v>
      </c>
      <c r="D269" s="263" t="s">
        <v>53</v>
      </c>
      <c r="E269" s="175" t="s">
        <v>1299</v>
      </c>
      <c r="F269" s="175"/>
      <c r="G269" s="175" t="s">
        <v>943</v>
      </c>
      <c r="H269" s="175">
        <f t="shared" si="590"/>
        <v>0</v>
      </c>
      <c r="I269" s="175" t="s">
        <v>1242</v>
      </c>
      <c r="J269" s="298"/>
      <c r="K269" s="175" t="s">
        <v>1276</v>
      </c>
      <c r="L269" s="298"/>
      <c r="M269" s="175" t="s">
        <v>1301</v>
      </c>
      <c r="N269" s="175">
        <f t="shared" si="575"/>
        <v>0</v>
      </c>
      <c r="O269" s="298"/>
      <c r="P269" s="298"/>
      <c r="Q269" s="298"/>
      <c r="R269" s="298"/>
      <c r="S269" s="298"/>
      <c r="T269" s="298"/>
      <c r="U269" s="298"/>
      <c r="V269" s="298"/>
      <c r="W269" s="298"/>
      <c r="X269" s="298"/>
      <c r="Y269" s="298"/>
      <c r="Z269" s="298"/>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20"/>
      <c r="BM269" s="311"/>
      <c r="BN269" s="315"/>
    </row>
    <row r="270" s="263" customFormat="1" ht="33.95" customHeight="1" outlineLevel="5" spans="2:66">
      <c r="B270" s="175" t="s">
        <v>799</v>
      </c>
      <c r="C270" s="283" t="s">
        <v>1306</v>
      </c>
      <c r="D270" s="263" t="s">
        <v>1307</v>
      </c>
      <c r="E270" s="175" t="s">
        <v>1299</v>
      </c>
      <c r="F270" s="175"/>
      <c r="G270" s="175" t="s">
        <v>943</v>
      </c>
      <c r="H270" s="175">
        <f t="shared" si="590"/>
        <v>0</v>
      </c>
      <c r="I270" s="175" t="s">
        <v>1242</v>
      </c>
      <c r="J270" s="298"/>
      <c r="K270" s="175" t="s">
        <v>1276</v>
      </c>
      <c r="L270" s="298"/>
      <c r="M270" s="175" t="s">
        <v>1301</v>
      </c>
      <c r="N270" s="175">
        <f t="shared" si="575"/>
        <v>0</v>
      </c>
      <c r="O270" s="298"/>
      <c r="P270" s="298"/>
      <c r="Q270" s="298"/>
      <c r="R270" s="298"/>
      <c r="S270" s="298"/>
      <c r="T270" s="298"/>
      <c r="U270" s="298"/>
      <c r="V270" s="298"/>
      <c r="W270" s="298"/>
      <c r="X270" s="298"/>
      <c r="Y270" s="298"/>
      <c r="Z270" s="298"/>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20"/>
      <c r="BM270" s="311"/>
      <c r="BN270" s="315"/>
    </row>
    <row r="271" s="263" customFormat="1" ht="33.95" customHeight="1" outlineLevel="5" spans="2:66">
      <c r="B271" s="175" t="s">
        <v>799</v>
      </c>
      <c r="C271" s="283" t="s">
        <v>1308</v>
      </c>
      <c r="D271" s="263" t="s">
        <v>1309</v>
      </c>
      <c r="E271" s="175" t="s">
        <v>1299</v>
      </c>
      <c r="F271" s="175"/>
      <c r="G271" s="175" t="s">
        <v>943</v>
      </c>
      <c r="H271" s="175">
        <f t="shared" si="590"/>
        <v>0</v>
      </c>
      <c r="I271" s="175" t="s">
        <v>1242</v>
      </c>
      <c r="J271" s="298"/>
      <c r="K271" s="175" t="s">
        <v>1276</v>
      </c>
      <c r="L271" s="298"/>
      <c r="M271" s="175" t="s">
        <v>1301</v>
      </c>
      <c r="N271" s="175">
        <f t="shared" si="575"/>
        <v>0</v>
      </c>
      <c r="O271" s="298"/>
      <c r="P271" s="298"/>
      <c r="Q271" s="298"/>
      <c r="R271" s="298"/>
      <c r="S271" s="298"/>
      <c r="T271" s="298"/>
      <c r="U271" s="298"/>
      <c r="V271" s="298"/>
      <c r="W271" s="298"/>
      <c r="X271" s="298"/>
      <c r="Y271" s="298"/>
      <c r="Z271" s="298"/>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20"/>
      <c r="BM271" s="311"/>
      <c r="BN271" s="315"/>
    </row>
    <row r="272" s="263" customFormat="1" ht="33.95" customHeight="1" outlineLevel="5" spans="2:66">
      <c r="B272" s="175" t="s">
        <v>799</v>
      </c>
      <c r="C272" s="283" t="s">
        <v>1310</v>
      </c>
      <c r="D272" s="263" t="s">
        <v>1311</v>
      </c>
      <c r="E272" s="175" t="s">
        <v>1299</v>
      </c>
      <c r="F272" s="175"/>
      <c r="G272" s="175" t="s">
        <v>943</v>
      </c>
      <c r="H272" s="175">
        <f t="shared" si="590"/>
        <v>0</v>
      </c>
      <c r="I272" s="175" t="s">
        <v>1242</v>
      </c>
      <c r="J272" s="298"/>
      <c r="K272" s="175" t="s">
        <v>1276</v>
      </c>
      <c r="L272" s="298"/>
      <c r="M272" s="175" t="s">
        <v>1301</v>
      </c>
      <c r="N272" s="175">
        <f t="shared" si="575"/>
        <v>0</v>
      </c>
      <c r="O272" s="298"/>
      <c r="P272" s="298"/>
      <c r="Q272" s="298"/>
      <c r="R272" s="298"/>
      <c r="S272" s="298"/>
      <c r="T272" s="298"/>
      <c r="U272" s="298"/>
      <c r="V272" s="298"/>
      <c r="W272" s="298"/>
      <c r="X272" s="298"/>
      <c r="Y272" s="298"/>
      <c r="Z272" s="298"/>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20"/>
      <c r="BM272" s="311"/>
      <c r="BN272" s="315"/>
    </row>
    <row r="273" s="118" customFormat="1" ht="33.95" customHeight="1" outlineLevel="4" spans="2:66">
      <c r="B273" s="119" t="s">
        <v>799</v>
      </c>
      <c r="C273" s="120" t="s">
        <v>1312</v>
      </c>
      <c r="D273" s="118" t="s">
        <v>1313</v>
      </c>
      <c r="E273" s="119"/>
      <c r="F273" s="119"/>
      <c r="G273" s="119" t="s">
        <v>943</v>
      </c>
      <c r="H273" s="119">
        <f t="shared" si="590"/>
        <v>0</v>
      </c>
      <c r="I273" s="119" t="s">
        <v>1243</v>
      </c>
      <c r="J273" s="119">
        <v>1</v>
      </c>
      <c r="K273" s="119" t="s">
        <v>1243</v>
      </c>
      <c r="L273" s="298"/>
      <c r="M273" s="119" t="s">
        <v>1235</v>
      </c>
      <c r="N273" s="119">
        <f t="shared" si="575"/>
        <v>0</v>
      </c>
      <c r="O273" s="298"/>
      <c r="P273" s="316"/>
      <c r="Q273" s="316"/>
      <c r="R273" s="316"/>
      <c r="S273" s="316"/>
      <c r="T273" s="316"/>
      <c r="U273" s="316"/>
      <c r="V273" s="316"/>
      <c r="W273" s="316"/>
      <c r="X273" s="316"/>
      <c r="Y273" s="316"/>
      <c r="Z273" s="316"/>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6"/>
      <c r="BM273" s="311"/>
      <c r="BN273" s="314"/>
    </row>
    <row r="274" s="118" customFormat="1" ht="33.95" customHeight="1" outlineLevel="4" spans="2:66">
      <c r="B274" s="119" t="s">
        <v>794</v>
      </c>
      <c r="C274" s="120" t="s">
        <v>1314</v>
      </c>
      <c r="D274" s="118" t="s">
        <v>1315</v>
      </c>
      <c r="E274" s="119"/>
      <c r="F274" s="119"/>
      <c r="G274" s="119"/>
      <c r="H274" s="119">
        <f>SUM(H275:H282)</f>
        <v>0</v>
      </c>
      <c r="I274" s="119"/>
      <c r="J274" s="119"/>
      <c r="K274" s="119"/>
      <c r="L274" s="119"/>
      <c r="M274" s="119"/>
      <c r="N274" s="119"/>
      <c r="O274" s="119"/>
      <c r="P274" s="289"/>
      <c r="Q274" s="289"/>
      <c r="R274" s="289"/>
      <c r="S274" s="289"/>
      <c r="T274" s="289"/>
      <c r="U274" s="289"/>
      <c r="V274" s="289"/>
      <c r="W274" s="289"/>
      <c r="X274" s="289"/>
      <c r="Y274" s="289"/>
      <c r="Z274" s="289"/>
      <c r="AA274" s="289"/>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6"/>
      <c r="BM274" s="311"/>
      <c r="BN274" s="314"/>
    </row>
    <row r="275" s="263" customFormat="1" ht="33.95" customHeight="1" outlineLevel="5" spans="2:66">
      <c r="B275" s="175" t="s">
        <v>799</v>
      </c>
      <c r="C275" s="283" t="s">
        <v>1316</v>
      </c>
      <c r="D275" s="263" t="s">
        <v>1317</v>
      </c>
      <c r="E275" s="175" t="s">
        <v>1318</v>
      </c>
      <c r="F275" s="175"/>
      <c r="G275" s="175" t="s">
        <v>943</v>
      </c>
      <c r="H275" s="175">
        <f t="shared" ref="H275:H282" si="591">IFERROR(J275*L275*N275,0)</f>
        <v>0</v>
      </c>
      <c r="I275" s="175" t="s">
        <v>1319</v>
      </c>
      <c r="J275" s="298"/>
      <c r="K275" s="175" t="s">
        <v>1033</v>
      </c>
      <c r="L275" s="298"/>
      <c r="M275" s="175" t="s">
        <v>1196</v>
      </c>
      <c r="N275" s="175">
        <f t="shared" ref="N275:N282" si="592">COUNTA(O275:Z275)</f>
        <v>0</v>
      </c>
      <c r="O275" s="298"/>
      <c r="P275" s="317"/>
      <c r="Q275" s="317"/>
      <c r="R275" s="317"/>
      <c r="S275" s="317"/>
      <c r="T275" s="317"/>
      <c r="U275" s="317"/>
      <c r="V275" s="317"/>
      <c r="W275" s="317"/>
      <c r="X275" s="317"/>
      <c r="Y275" s="317"/>
      <c r="Z275" s="317"/>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20"/>
      <c r="BM275" s="311"/>
      <c r="BN275" s="315"/>
    </row>
    <row r="276" s="263" customFormat="1" ht="33.95" customHeight="1" outlineLevel="5" spans="2:66">
      <c r="B276" s="175" t="s">
        <v>799</v>
      </c>
      <c r="C276" s="283" t="s">
        <v>1320</v>
      </c>
      <c r="D276" s="263" t="s">
        <v>1321</v>
      </c>
      <c r="E276" s="175" t="s">
        <v>1322</v>
      </c>
      <c r="F276" s="175"/>
      <c r="G276" s="175" t="s">
        <v>943</v>
      </c>
      <c r="H276" s="175">
        <f t="shared" si="591"/>
        <v>0</v>
      </c>
      <c r="I276" s="175" t="s">
        <v>1319</v>
      </c>
      <c r="J276" s="298"/>
      <c r="K276" s="175" t="s">
        <v>1033</v>
      </c>
      <c r="L276" s="298"/>
      <c r="M276" s="175" t="s">
        <v>1196</v>
      </c>
      <c r="N276" s="175">
        <f t="shared" si="592"/>
        <v>0</v>
      </c>
      <c r="O276" s="298"/>
      <c r="P276" s="298"/>
      <c r="Q276" s="298"/>
      <c r="R276" s="298"/>
      <c r="S276" s="298"/>
      <c r="T276" s="298"/>
      <c r="U276" s="298"/>
      <c r="V276" s="298"/>
      <c r="W276" s="298"/>
      <c r="X276" s="298"/>
      <c r="Y276" s="298"/>
      <c r="Z276" s="298"/>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20"/>
      <c r="BM276" s="311"/>
      <c r="BN276" s="315"/>
    </row>
    <row r="277" s="263" customFormat="1" ht="33.95" customHeight="1" outlineLevel="5" spans="2:66">
      <c r="B277" s="175" t="s">
        <v>799</v>
      </c>
      <c r="C277" s="283" t="s">
        <v>1323</v>
      </c>
      <c r="D277" s="263" t="s">
        <v>1324</v>
      </c>
      <c r="E277" s="175" t="s">
        <v>1325</v>
      </c>
      <c r="F277" s="175"/>
      <c r="G277" s="175" t="s">
        <v>943</v>
      </c>
      <c r="H277" s="175">
        <f t="shared" si="591"/>
        <v>0</v>
      </c>
      <c r="I277" s="175" t="s">
        <v>1319</v>
      </c>
      <c r="J277" s="298"/>
      <c r="K277" s="175" t="s">
        <v>1033</v>
      </c>
      <c r="L277" s="298"/>
      <c r="M277" s="175" t="s">
        <v>1196</v>
      </c>
      <c r="N277" s="175">
        <f t="shared" si="592"/>
        <v>0</v>
      </c>
      <c r="O277" s="298"/>
      <c r="P277" s="298"/>
      <c r="Q277" s="298"/>
      <c r="R277" s="298"/>
      <c r="S277" s="298"/>
      <c r="T277" s="298"/>
      <c r="U277" s="298"/>
      <c r="V277" s="298"/>
      <c r="W277" s="298"/>
      <c r="X277" s="298"/>
      <c r="Y277" s="298"/>
      <c r="Z277" s="298"/>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20"/>
      <c r="BM277" s="311"/>
      <c r="BN277" s="315"/>
    </row>
    <row r="278" s="263" customFormat="1" ht="33.95" customHeight="1" outlineLevel="5" spans="2:66">
      <c r="B278" s="175" t="s">
        <v>799</v>
      </c>
      <c r="C278" s="283" t="s">
        <v>1326</v>
      </c>
      <c r="D278" s="263" t="s">
        <v>1327</v>
      </c>
      <c r="E278" s="175" t="s">
        <v>1328</v>
      </c>
      <c r="F278" s="175"/>
      <c r="G278" s="175" t="s">
        <v>943</v>
      </c>
      <c r="H278" s="175">
        <f t="shared" si="591"/>
        <v>0</v>
      </c>
      <c r="I278" s="175" t="s">
        <v>1319</v>
      </c>
      <c r="J278" s="298"/>
      <c r="K278" s="175" t="s">
        <v>1033</v>
      </c>
      <c r="L278" s="298"/>
      <c r="M278" s="175" t="s">
        <v>1196</v>
      </c>
      <c r="N278" s="175">
        <f t="shared" si="592"/>
        <v>0</v>
      </c>
      <c r="O278" s="298"/>
      <c r="P278" s="298"/>
      <c r="Q278" s="298"/>
      <c r="R278" s="298"/>
      <c r="S278" s="298"/>
      <c r="T278" s="298"/>
      <c r="U278" s="298"/>
      <c r="V278" s="298"/>
      <c r="W278" s="298"/>
      <c r="X278" s="298"/>
      <c r="Y278" s="298"/>
      <c r="Z278" s="298"/>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20"/>
      <c r="BM278" s="311"/>
      <c r="BN278" s="315"/>
    </row>
    <row r="279" s="263" customFormat="1" ht="33.95" customHeight="1" outlineLevel="5" spans="2:66">
      <c r="B279" s="175" t="s">
        <v>799</v>
      </c>
      <c r="C279" s="283" t="s">
        <v>1329</v>
      </c>
      <c r="D279" s="263" t="s">
        <v>1330</v>
      </c>
      <c r="E279" s="175" t="s">
        <v>1331</v>
      </c>
      <c r="F279" s="175"/>
      <c r="G279" s="175" t="s">
        <v>943</v>
      </c>
      <c r="H279" s="175">
        <f t="shared" si="591"/>
        <v>0</v>
      </c>
      <c r="I279" s="175" t="s">
        <v>1319</v>
      </c>
      <c r="J279" s="298"/>
      <c r="K279" s="175" t="s">
        <v>1033</v>
      </c>
      <c r="L279" s="298"/>
      <c r="M279" s="175" t="s">
        <v>1196</v>
      </c>
      <c r="N279" s="175">
        <f t="shared" si="592"/>
        <v>0</v>
      </c>
      <c r="O279" s="298"/>
      <c r="P279" s="298"/>
      <c r="Q279" s="298"/>
      <c r="R279" s="298"/>
      <c r="S279" s="298"/>
      <c r="T279" s="298"/>
      <c r="U279" s="298"/>
      <c r="V279" s="298"/>
      <c r="W279" s="298"/>
      <c r="X279" s="298"/>
      <c r="Y279" s="298"/>
      <c r="Z279" s="298"/>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20"/>
      <c r="BM279" s="311"/>
      <c r="BN279" s="315"/>
    </row>
    <row r="280" s="263" customFormat="1" ht="33.95" customHeight="1" outlineLevel="5" spans="2:66">
      <c r="B280" s="175" t="s">
        <v>799</v>
      </c>
      <c r="C280" s="283" t="s">
        <v>1332</v>
      </c>
      <c r="D280" s="263" t="s">
        <v>1333</v>
      </c>
      <c r="E280" s="175" t="s">
        <v>1334</v>
      </c>
      <c r="F280" s="175"/>
      <c r="G280" s="175" t="s">
        <v>943</v>
      </c>
      <c r="H280" s="175">
        <f t="shared" si="591"/>
        <v>0</v>
      </c>
      <c r="I280" s="175" t="s">
        <v>1319</v>
      </c>
      <c r="J280" s="298"/>
      <c r="K280" s="175" t="s">
        <v>1033</v>
      </c>
      <c r="L280" s="298"/>
      <c r="M280" s="175" t="s">
        <v>1196</v>
      </c>
      <c r="N280" s="175">
        <f t="shared" si="592"/>
        <v>0</v>
      </c>
      <c r="O280" s="298"/>
      <c r="P280" s="298"/>
      <c r="Q280" s="298"/>
      <c r="R280" s="298"/>
      <c r="S280" s="298"/>
      <c r="T280" s="298"/>
      <c r="U280" s="298"/>
      <c r="V280" s="298"/>
      <c r="W280" s="298"/>
      <c r="X280" s="298"/>
      <c r="Y280" s="298"/>
      <c r="Z280" s="298"/>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20"/>
      <c r="BM280" s="311"/>
      <c r="BN280" s="315"/>
    </row>
    <row r="281" s="263" customFormat="1" ht="33.95" customHeight="1" outlineLevel="5" spans="2:66">
      <c r="B281" s="175" t="s">
        <v>799</v>
      </c>
      <c r="C281" s="283" t="s">
        <v>1335</v>
      </c>
      <c r="D281" s="263" t="s">
        <v>1336</v>
      </c>
      <c r="E281" s="175" t="s">
        <v>1337</v>
      </c>
      <c r="F281" s="175"/>
      <c r="G281" s="175" t="s">
        <v>943</v>
      </c>
      <c r="H281" s="175">
        <f t="shared" si="591"/>
        <v>0</v>
      </c>
      <c r="I281" s="175" t="s">
        <v>1319</v>
      </c>
      <c r="J281" s="298"/>
      <c r="K281" s="175" t="s">
        <v>1033</v>
      </c>
      <c r="L281" s="298"/>
      <c r="M281" s="175" t="s">
        <v>1196</v>
      </c>
      <c r="N281" s="175">
        <f t="shared" si="592"/>
        <v>0</v>
      </c>
      <c r="O281" s="298"/>
      <c r="P281" s="298"/>
      <c r="Q281" s="298"/>
      <c r="R281" s="298"/>
      <c r="S281" s="298"/>
      <c r="T281" s="298"/>
      <c r="U281" s="298"/>
      <c r="V281" s="298"/>
      <c r="W281" s="298"/>
      <c r="X281" s="298"/>
      <c r="Y281" s="298"/>
      <c r="Z281" s="298"/>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20"/>
      <c r="BM281" s="311"/>
      <c r="BN281" s="315"/>
    </row>
    <row r="282" s="263" customFormat="1" ht="33.95" customHeight="1" outlineLevel="5" spans="2:66">
      <c r="B282" s="175" t="s">
        <v>799</v>
      </c>
      <c r="C282" s="283" t="s">
        <v>1338</v>
      </c>
      <c r="D282" s="263" t="s">
        <v>1339</v>
      </c>
      <c r="E282" s="175" t="s">
        <v>1340</v>
      </c>
      <c r="F282" s="175"/>
      <c r="G282" s="175" t="s">
        <v>943</v>
      </c>
      <c r="H282" s="175">
        <f t="shared" si="591"/>
        <v>0</v>
      </c>
      <c r="I282" s="175" t="s">
        <v>1319</v>
      </c>
      <c r="J282" s="298"/>
      <c r="K282" s="175" t="s">
        <v>1033</v>
      </c>
      <c r="L282" s="298"/>
      <c r="M282" s="175" t="s">
        <v>1196</v>
      </c>
      <c r="N282" s="175">
        <f t="shared" si="592"/>
        <v>0</v>
      </c>
      <c r="O282" s="298"/>
      <c r="P282" s="316"/>
      <c r="Q282" s="316"/>
      <c r="R282" s="316"/>
      <c r="S282" s="316"/>
      <c r="T282" s="316"/>
      <c r="U282" s="316"/>
      <c r="V282" s="316"/>
      <c r="W282" s="316"/>
      <c r="X282" s="316"/>
      <c r="Y282" s="316"/>
      <c r="Z282" s="316"/>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20"/>
      <c r="BM282" s="311"/>
      <c r="BN282" s="315"/>
    </row>
    <row r="283" s="118" customFormat="1" ht="33.95" customHeight="1" outlineLevel="4" spans="2:66">
      <c r="B283" s="119" t="s">
        <v>794</v>
      </c>
      <c r="C283" s="120" t="s">
        <v>1341</v>
      </c>
      <c r="D283" s="118" t="s">
        <v>1342</v>
      </c>
      <c r="E283" s="119" t="s">
        <v>1343</v>
      </c>
      <c r="F283" s="119"/>
      <c r="G283" s="119"/>
      <c r="H283" s="119">
        <f>SUM(H284:H286)</f>
        <v>0</v>
      </c>
      <c r="I283" s="119"/>
      <c r="J283" s="119"/>
      <c r="K283" s="119"/>
      <c r="L283" s="119"/>
      <c r="M283" s="119"/>
      <c r="N283" s="119"/>
      <c r="O283" s="119"/>
      <c r="P283" s="289"/>
      <c r="Q283" s="289"/>
      <c r="R283" s="289"/>
      <c r="S283" s="289"/>
      <c r="T283" s="289"/>
      <c r="U283" s="289"/>
      <c r="V283" s="289"/>
      <c r="W283" s="289"/>
      <c r="X283" s="289"/>
      <c r="Y283" s="289"/>
      <c r="Z283" s="289"/>
      <c r="AA283" s="289"/>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6"/>
      <c r="BM283" s="311"/>
      <c r="BN283" s="314"/>
    </row>
    <row r="284" s="263" customFormat="1" ht="33.95" customHeight="1" outlineLevel="5" spans="2:66">
      <c r="B284" s="175" t="s">
        <v>799</v>
      </c>
      <c r="C284" s="283" t="s">
        <v>1344</v>
      </c>
      <c r="D284" s="263" t="s">
        <v>1345</v>
      </c>
      <c r="E284" s="175" t="s">
        <v>1346</v>
      </c>
      <c r="F284" s="175"/>
      <c r="G284" s="175" t="s">
        <v>943</v>
      </c>
      <c r="H284" s="175">
        <f t="shared" ref="H284:H290" si="607">IFERROR(J284*L284*N284,0)</f>
        <v>0</v>
      </c>
      <c r="I284" s="175" t="s">
        <v>1347</v>
      </c>
      <c r="J284" s="298"/>
      <c r="K284" s="175" t="s">
        <v>1348</v>
      </c>
      <c r="L284" s="298"/>
      <c r="M284" s="175" t="s">
        <v>1349</v>
      </c>
      <c r="N284" s="175">
        <f t="shared" ref="N284:N290" si="608">COUNTA(O284:Z284)</f>
        <v>0</v>
      </c>
      <c r="O284" s="298"/>
      <c r="P284" s="317"/>
      <c r="Q284" s="317"/>
      <c r="R284" s="317"/>
      <c r="S284" s="317"/>
      <c r="T284" s="317"/>
      <c r="U284" s="317"/>
      <c r="V284" s="317"/>
      <c r="W284" s="317"/>
      <c r="X284" s="317"/>
      <c r="Y284" s="317"/>
      <c r="Z284" s="317"/>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20"/>
      <c r="BM284" s="311"/>
      <c r="BN284" s="315"/>
    </row>
    <row r="285" s="263" customFormat="1" ht="33.95" customHeight="1" outlineLevel="5" spans="2:66">
      <c r="B285" s="175" t="s">
        <v>799</v>
      </c>
      <c r="C285" s="283" t="s">
        <v>1350</v>
      </c>
      <c r="D285" s="263" t="s">
        <v>1351</v>
      </c>
      <c r="E285" s="175" t="s">
        <v>1352</v>
      </c>
      <c r="F285" s="175"/>
      <c r="G285" s="175" t="s">
        <v>943</v>
      </c>
      <c r="H285" s="175">
        <f t="shared" si="607"/>
        <v>0</v>
      </c>
      <c r="I285" s="175" t="s">
        <v>1347</v>
      </c>
      <c r="J285" s="298"/>
      <c r="K285" s="175" t="s">
        <v>1348</v>
      </c>
      <c r="L285" s="298"/>
      <c r="M285" s="175" t="s">
        <v>1349</v>
      </c>
      <c r="N285" s="175">
        <f t="shared" si="608"/>
        <v>0</v>
      </c>
      <c r="O285" s="298"/>
      <c r="P285" s="298"/>
      <c r="Q285" s="298"/>
      <c r="R285" s="298"/>
      <c r="S285" s="298"/>
      <c r="T285" s="298"/>
      <c r="U285" s="298"/>
      <c r="V285" s="298"/>
      <c r="W285" s="298"/>
      <c r="X285" s="298"/>
      <c r="Y285" s="298"/>
      <c r="Z285" s="298"/>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20"/>
      <c r="BM285" s="311"/>
      <c r="BN285" s="315"/>
    </row>
    <row r="286" s="263" customFormat="1" ht="33.95" customHeight="1" outlineLevel="5" spans="2:66">
      <c r="B286" s="175" t="s">
        <v>799</v>
      </c>
      <c r="C286" s="283" t="s">
        <v>1353</v>
      </c>
      <c r="D286" s="263" t="s">
        <v>1354</v>
      </c>
      <c r="E286" s="175" t="s">
        <v>1355</v>
      </c>
      <c r="F286" s="175"/>
      <c r="G286" s="175" t="s">
        <v>943</v>
      </c>
      <c r="H286" s="175">
        <f t="shared" si="607"/>
        <v>0</v>
      </c>
      <c r="I286" s="175" t="s">
        <v>1347</v>
      </c>
      <c r="J286" s="298"/>
      <c r="K286" s="175" t="s">
        <v>1348</v>
      </c>
      <c r="L286" s="298"/>
      <c r="M286" s="175" t="s">
        <v>1349</v>
      </c>
      <c r="N286" s="175">
        <f t="shared" si="608"/>
        <v>0</v>
      </c>
      <c r="O286" s="298"/>
      <c r="P286" s="298"/>
      <c r="Q286" s="298"/>
      <c r="R286" s="298"/>
      <c r="S286" s="298"/>
      <c r="T286" s="298"/>
      <c r="U286" s="298"/>
      <c r="V286" s="298"/>
      <c r="W286" s="298"/>
      <c r="X286" s="298"/>
      <c r="Y286" s="298"/>
      <c r="Z286" s="298"/>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20"/>
      <c r="BM286" s="311"/>
      <c r="BN286" s="315"/>
    </row>
    <row r="287" s="118" customFormat="1" ht="33.95" customHeight="1" outlineLevel="4" spans="2:66">
      <c r="B287" s="119" t="s">
        <v>799</v>
      </c>
      <c r="C287" s="120" t="s">
        <v>1356</v>
      </c>
      <c r="D287" s="118" t="s">
        <v>1357</v>
      </c>
      <c r="E287" s="119" t="s">
        <v>1358</v>
      </c>
      <c r="F287" s="119"/>
      <c r="G287" s="119" t="s">
        <v>943</v>
      </c>
      <c r="H287" s="119">
        <f t="shared" si="607"/>
        <v>0</v>
      </c>
      <c r="I287" s="119" t="s">
        <v>1243</v>
      </c>
      <c r="J287" s="119">
        <v>1</v>
      </c>
      <c r="K287" s="119" t="s">
        <v>1243</v>
      </c>
      <c r="L287" s="298"/>
      <c r="M287" s="119" t="s">
        <v>1244</v>
      </c>
      <c r="N287" s="119">
        <f t="shared" si="608"/>
        <v>0</v>
      </c>
      <c r="O287" s="298"/>
      <c r="P287" s="298"/>
      <c r="Q287" s="298"/>
      <c r="R287" s="298"/>
      <c r="S287" s="298"/>
      <c r="T287" s="298"/>
      <c r="U287" s="298"/>
      <c r="V287" s="298"/>
      <c r="W287" s="298"/>
      <c r="X287" s="298"/>
      <c r="Y287" s="298"/>
      <c r="Z287" s="298"/>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6"/>
      <c r="BM287" s="311"/>
      <c r="BN287" s="314"/>
    </row>
    <row r="288" s="118" customFormat="1" ht="33.95" customHeight="1" outlineLevel="4" spans="2:66">
      <c r="B288" s="119" t="s">
        <v>799</v>
      </c>
      <c r="C288" s="120" t="s">
        <v>1359</v>
      </c>
      <c r="D288" s="118" t="s">
        <v>1360</v>
      </c>
      <c r="E288" s="119" t="s">
        <v>1361</v>
      </c>
      <c r="F288" s="119"/>
      <c r="G288" s="119" t="s">
        <v>943</v>
      </c>
      <c r="H288" s="119">
        <f t="shared" si="607"/>
        <v>0</v>
      </c>
      <c r="I288" s="119" t="s">
        <v>1362</v>
      </c>
      <c r="J288" s="298"/>
      <c r="K288" s="119" t="s">
        <v>1033</v>
      </c>
      <c r="L288" s="298"/>
      <c r="M288" s="119" t="s">
        <v>1196</v>
      </c>
      <c r="N288" s="119">
        <f t="shared" si="608"/>
        <v>0</v>
      </c>
      <c r="O288" s="298"/>
      <c r="P288" s="298"/>
      <c r="Q288" s="298"/>
      <c r="R288" s="298"/>
      <c r="S288" s="298"/>
      <c r="T288" s="298"/>
      <c r="U288" s="298"/>
      <c r="V288" s="298"/>
      <c r="W288" s="298"/>
      <c r="X288" s="298"/>
      <c r="Y288" s="298"/>
      <c r="Z288" s="298"/>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6"/>
      <c r="BM288" s="311"/>
      <c r="BN288" s="314"/>
    </row>
    <row r="289" s="118" customFormat="1" ht="33.95" customHeight="1" outlineLevel="4" spans="2:66">
      <c r="B289" s="119" t="s">
        <v>799</v>
      </c>
      <c r="C289" s="120" t="s">
        <v>1363</v>
      </c>
      <c r="D289" s="118" t="s">
        <v>1364</v>
      </c>
      <c r="E289" s="119" t="s">
        <v>1365</v>
      </c>
      <c r="F289" s="119"/>
      <c r="G289" s="119" t="s">
        <v>943</v>
      </c>
      <c r="H289" s="119">
        <f t="shared" si="607"/>
        <v>0</v>
      </c>
      <c r="I289" s="119" t="s">
        <v>1366</v>
      </c>
      <c r="J289" s="298"/>
      <c r="K289" s="119" t="s">
        <v>1033</v>
      </c>
      <c r="L289" s="298"/>
      <c r="M289" s="119" t="s">
        <v>1196</v>
      </c>
      <c r="N289" s="119">
        <f t="shared" si="608"/>
        <v>0</v>
      </c>
      <c r="O289" s="298"/>
      <c r="P289" s="298"/>
      <c r="Q289" s="298"/>
      <c r="R289" s="298"/>
      <c r="S289" s="298"/>
      <c r="T289" s="298"/>
      <c r="U289" s="298"/>
      <c r="V289" s="298"/>
      <c r="W289" s="298"/>
      <c r="X289" s="298"/>
      <c r="Y289" s="298"/>
      <c r="Z289" s="298"/>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6"/>
      <c r="BM289" s="311"/>
      <c r="BN289" s="314"/>
    </row>
    <row r="290" s="118" customFormat="1" ht="33.95" customHeight="1" outlineLevel="4" spans="2:66">
      <c r="B290" s="119" t="s">
        <v>799</v>
      </c>
      <c r="C290" s="120" t="s">
        <v>1367</v>
      </c>
      <c r="D290" s="118" t="s">
        <v>1368</v>
      </c>
      <c r="E290" s="119" t="s">
        <v>1369</v>
      </c>
      <c r="F290" s="119"/>
      <c r="G290" s="119" t="s">
        <v>943</v>
      </c>
      <c r="H290" s="119">
        <f t="shared" si="607"/>
        <v>0</v>
      </c>
      <c r="I290" s="119" t="s">
        <v>1370</v>
      </c>
      <c r="J290" s="298"/>
      <c r="K290" s="119" t="s">
        <v>1033</v>
      </c>
      <c r="L290" s="298"/>
      <c r="M290" s="119" t="s">
        <v>1196</v>
      </c>
      <c r="N290" s="119">
        <f t="shared" si="608"/>
        <v>0</v>
      </c>
      <c r="O290" s="298"/>
      <c r="P290" s="316"/>
      <c r="Q290" s="316"/>
      <c r="R290" s="316"/>
      <c r="S290" s="316"/>
      <c r="T290" s="316"/>
      <c r="U290" s="316"/>
      <c r="V290" s="316"/>
      <c r="W290" s="316"/>
      <c r="X290" s="316"/>
      <c r="Y290" s="316"/>
      <c r="Z290" s="316"/>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6"/>
      <c r="BM290" s="311"/>
      <c r="BN290" s="314"/>
    </row>
    <row r="291" s="47" customFormat="1" ht="33.95" customHeight="1" outlineLevel="3" spans="2:66">
      <c r="B291" s="115" t="s">
        <v>794</v>
      </c>
      <c r="C291" s="116" t="s">
        <v>1371</v>
      </c>
      <c r="D291" s="47" t="s">
        <v>1372</v>
      </c>
      <c r="E291" s="115"/>
      <c r="F291" s="115"/>
      <c r="G291" s="115"/>
      <c r="H291" s="115">
        <f>H292+H293+H294+H299</f>
        <v>19992</v>
      </c>
      <c r="I291" s="115"/>
      <c r="J291" s="115"/>
      <c r="K291" s="115"/>
      <c r="L291" s="115"/>
      <c r="M291" s="115"/>
      <c r="N291" s="115"/>
      <c r="O291" s="115"/>
      <c r="P291" s="288"/>
      <c r="Q291" s="288"/>
      <c r="R291" s="288"/>
      <c r="S291" s="288"/>
      <c r="T291" s="288"/>
      <c r="U291" s="288"/>
      <c r="V291" s="288"/>
      <c r="W291" s="288"/>
      <c r="X291" s="288"/>
      <c r="Y291" s="288"/>
      <c r="Z291" s="288"/>
      <c r="AA291" s="288"/>
      <c r="AB291" s="115">
        <f t="shared" ref="AB291:AF291" si="622">AB292+AB293+AB294+AB299</f>
        <v>19992</v>
      </c>
      <c r="AC291" s="115">
        <f t="shared" si="622"/>
        <v>19992</v>
      </c>
      <c r="AD291" s="115"/>
      <c r="AE291" s="115"/>
      <c r="AF291" s="115">
        <f t="shared" si="622"/>
        <v>0</v>
      </c>
      <c r="AG291" s="115"/>
      <c r="AH291" s="115"/>
      <c r="AI291" s="115">
        <f>AI292+AI293+AI294+AI299</f>
        <v>0</v>
      </c>
      <c r="AJ291" s="115"/>
      <c r="AK291" s="115"/>
      <c r="AL291" s="115">
        <f>AL292+AL293+AL294+AL299</f>
        <v>0</v>
      </c>
      <c r="AM291" s="115"/>
      <c r="AN291" s="115"/>
      <c r="AO291" s="115">
        <f>AO292+AO293+AO294+AO299</f>
        <v>0</v>
      </c>
      <c r="AP291" s="115"/>
      <c r="AQ291" s="115"/>
      <c r="AR291" s="115">
        <f>AR292+AR293+AR294+AR299</f>
        <v>0</v>
      </c>
      <c r="AS291" s="115"/>
      <c r="AT291" s="115"/>
      <c r="AU291" s="115">
        <f>AU292+AU293+AU294+AU299</f>
        <v>0</v>
      </c>
      <c r="AV291" s="115"/>
      <c r="AW291" s="115"/>
      <c r="AX291" s="115">
        <f>AX292+AX293+AX294+AX299</f>
        <v>0</v>
      </c>
      <c r="AY291" s="115"/>
      <c r="AZ291" s="115"/>
      <c r="BA291" s="115">
        <f>BA292+BA293+BA294+BA299</f>
        <v>0</v>
      </c>
      <c r="BB291" s="115"/>
      <c r="BC291" s="115"/>
      <c r="BD291" s="115">
        <f>BD292+BD293+BD294+BD299</f>
        <v>0</v>
      </c>
      <c r="BE291" s="115"/>
      <c r="BF291" s="115"/>
      <c r="BG291" s="115">
        <f>BG292+BG293+BG294+BG299</f>
        <v>0</v>
      </c>
      <c r="BH291" s="115"/>
      <c r="BI291" s="115"/>
      <c r="BJ291" s="115">
        <f>BJ292+BJ293+BJ294+BJ299</f>
        <v>0</v>
      </c>
      <c r="BK291" s="115"/>
      <c r="BL291" s="305"/>
      <c r="BM291" s="311"/>
      <c r="BN291" s="313"/>
    </row>
    <row r="292" s="118" customFormat="1" ht="33.95" customHeight="1" outlineLevel="4" spans="2:66">
      <c r="B292" s="119" t="s">
        <v>799</v>
      </c>
      <c r="C292" s="120" t="s">
        <v>1373</v>
      </c>
      <c r="D292" s="118" t="s">
        <v>1374</v>
      </c>
      <c r="E292" s="119" t="s">
        <v>1375</v>
      </c>
      <c r="F292" s="119"/>
      <c r="G292" s="119" t="s">
        <v>943</v>
      </c>
      <c r="H292" s="119">
        <f t="shared" ref="H292:H298" si="623">IFERROR(J292*L292*N292,0)</f>
        <v>0</v>
      </c>
      <c r="I292" s="119" t="s">
        <v>1376</v>
      </c>
      <c r="J292" s="298"/>
      <c r="K292" s="119" t="s">
        <v>1377</v>
      </c>
      <c r="L292" s="321">
        <f>0.379248/1000</f>
        <v>0.000379248</v>
      </c>
      <c r="M292" s="119" t="s">
        <v>1378</v>
      </c>
      <c r="N292" s="119">
        <f>COUNTA(O292:Z292)</f>
        <v>0</v>
      </c>
      <c r="O292" s="298"/>
      <c r="P292" s="317"/>
      <c r="Q292" s="317"/>
      <c r="R292" s="317"/>
      <c r="S292" s="317"/>
      <c r="T292" s="317"/>
      <c r="U292" s="317"/>
      <c r="V292" s="317"/>
      <c r="W292" s="317"/>
      <c r="X292" s="317"/>
      <c r="Y292" s="317"/>
      <c r="Z292" s="317"/>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6"/>
      <c r="BM292" s="311"/>
      <c r="BN292" s="314"/>
    </row>
    <row r="293" s="118" customFormat="1" ht="33.95" customHeight="1" outlineLevel="4" spans="2:66">
      <c r="B293" s="119" t="s">
        <v>799</v>
      </c>
      <c r="C293" s="120" t="s">
        <v>1379</v>
      </c>
      <c r="D293" s="118" t="s">
        <v>1380</v>
      </c>
      <c r="E293" s="119" t="s">
        <v>1375</v>
      </c>
      <c r="F293" s="119"/>
      <c r="G293" s="119" t="s">
        <v>943</v>
      </c>
      <c r="H293" s="119">
        <f t="shared" si="623"/>
        <v>19992</v>
      </c>
      <c r="I293" s="119" t="s">
        <v>1381</v>
      </c>
      <c r="J293" s="298">
        <f>预算主表!P140/L293</f>
        <v>19.992</v>
      </c>
      <c r="K293" s="119" t="s">
        <v>1382</v>
      </c>
      <c r="L293" s="119">
        <v>1000</v>
      </c>
      <c r="M293" s="119" t="s">
        <v>1383</v>
      </c>
      <c r="N293" s="119">
        <f>COUNTA(O293:Z293)</f>
        <v>1</v>
      </c>
      <c r="O293" s="298" t="s">
        <v>1292</v>
      </c>
      <c r="P293" s="316"/>
      <c r="Q293" s="316"/>
      <c r="R293" s="316"/>
      <c r="S293" s="316"/>
      <c r="T293" s="316"/>
      <c r="U293" s="316"/>
      <c r="V293" s="316"/>
      <c r="W293" s="316"/>
      <c r="X293" s="316"/>
      <c r="Y293" s="316"/>
      <c r="Z293" s="316"/>
      <c r="AA293" s="119"/>
      <c r="AB293" s="119">
        <f>SUM(AC293,AF293,AI293,AL293,AO293,AR293,AU293,AX293,BA293,BD293,BG293,BJ293)</f>
        <v>19992</v>
      </c>
      <c r="AC293" s="119">
        <f>IF(O293="",0,$J293*$L293)</f>
        <v>19992</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6"/>
      <c r="BM293" s="311"/>
      <c r="BN293" s="314"/>
    </row>
    <row r="294" s="118" customFormat="1" ht="33.95" customHeight="1" outlineLevel="4" spans="2:66">
      <c r="B294" s="119" t="s">
        <v>794</v>
      </c>
      <c r="C294" s="120" t="s">
        <v>1384</v>
      </c>
      <c r="D294" s="118" t="s">
        <v>1385</v>
      </c>
      <c r="E294" s="119"/>
      <c r="F294" s="119"/>
      <c r="G294" s="119"/>
      <c r="H294" s="119">
        <f>SUM(H295:H298)</f>
        <v>0</v>
      </c>
      <c r="I294" s="119"/>
      <c r="J294" s="119"/>
      <c r="K294" s="119"/>
      <c r="L294" s="119"/>
      <c r="M294" s="119"/>
      <c r="N294" s="119"/>
      <c r="O294" s="119"/>
      <c r="P294" s="289"/>
      <c r="Q294" s="289"/>
      <c r="R294" s="289"/>
      <c r="S294" s="289"/>
      <c r="T294" s="289"/>
      <c r="U294" s="289"/>
      <c r="V294" s="289"/>
      <c r="W294" s="289"/>
      <c r="X294" s="289"/>
      <c r="Y294" s="289"/>
      <c r="Z294" s="289"/>
      <c r="AA294" s="289"/>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6"/>
      <c r="BM294" s="311"/>
      <c r="BN294" s="314"/>
    </row>
    <row r="295" s="263" customFormat="1" ht="33.95" customHeight="1" outlineLevel="5" spans="2:66">
      <c r="B295" s="175" t="s">
        <v>799</v>
      </c>
      <c r="C295" s="283" t="s">
        <v>1386</v>
      </c>
      <c r="D295" s="263" t="s">
        <v>1387</v>
      </c>
      <c r="E295" s="175"/>
      <c r="F295" s="175"/>
      <c r="G295" s="175" t="s">
        <v>943</v>
      </c>
      <c r="H295" s="175">
        <f t="shared" si="623"/>
        <v>0</v>
      </c>
      <c r="I295" s="175" t="s">
        <v>1242</v>
      </c>
      <c r="J295" s="175">
        <v>1</v>
      </c>
      <c r="K295" s="175" t="s">
        <v>1243</v>
      </c>
      <c r="L295" s="175">
        <f>IF('1-1 项目基础信息'!K9&gt;200000,7500,5000)</f>
        <v>7500</v>
      </c>
      <c r="M295" s="175" t="s">
        <v>1388</v>
      </c>
      <c r="N295" s="175">
        <f>COUNTA(O295:Z295)</f>
        <v>0</v>
      </c>
      <c r="O295" s="298"/>
      <c r="P295" s="317"/>
      <c r="Q295" s="317"/>
      <c r="R295" s="317"/>
      <c r="S295" s="317"/>
      <c r="T295" s="317"/>
      <c r="U295" s="317"/>
      <c r="V295" s="317"/>
      <c r="W295" s="317"/>
      <c r="X295" s="317"/>
      <c r="Y295" s="317"/>
      <c r="Z295" s="317"/>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20"/>
      <c r="BM295" s="311"/>
      <c r="BN295" s="315"/>
    </row>
    <row r="296" s="263" customFormat="1" ht="33.95" customHeight="1" outlineLevel="5" spans="2:66">
      <c r="B296" s="175" t="s">
        <v>799</v>
      </c>
      <c r="C296" s="283" t="s">
        <v>1389</v>
      </c>
      <c r="D296" s="263" t="s">
        <v>1390</v>
      </c>
      <c r="E296" s="175"/>
      <c r="F296" s="175"/>
      <c r="G296" s="175" t="s">
        <v>943</v>
      </c>
      <c r="H296" s="175">
        <f t="shared" si="623"/>
        <v>0</v>
      </c>
      <c r="I296" s="175" t="s">
        <v>1242</v>
      </c>
      <c r="J296" s="175">
        <v>1</v>
      </c>
      <c r="K296" s="175" t="s">
        <v>1243</v>
      </c>
      <c r="L296" s="175">
        <v>750</v>
      </c>
      <c r="M296" s="175" t="s">
        <v>1388</v>
      </c>
      <c r="N296" s="175">
        <f>COUNTA(O296:Z296)</f>
        <v>0</v>
      </c>
      <c r="O296" s="298"/>
      <c r="P296" s="298"/>
      <c r="Q296" s="298"/>
      <c r="R296" s="298"/>
      <c r="S296" s="298"/>
      <c r="T296" s="298"/>
      <c r="U296" s="298"/>
      <c r="V296" s="298"/>
      <c r="W296" s="298"/>
      <c r="X296" s="298"/>
      <c r="Y296" s="298"/>
      <c r="Z296" s="298"/>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20"/>
      <c r="BM296" s="311"/>
      <c r="BN296" s="315"/>
    </row>
    <row r="297" s="263" customFormat="1" ht="33.95" customHeight="1" outlineLevel="5" spans="2:66">
      <c r="B297" s="175" t="s">
        <v>799</v>
      </c>
      <c r="C297" s="283" t="s">
        <v>1391</v>
      </c>
      <c r="D297" s="263" t="s">
        <v>1392</v>
      </c>
      <c r="E297" s="175"/>
      <c r="F297" s="175"/>
      <c r="G297" s="175" t="s">
        <v>943</v>
      </c>
      <c r="H297" s="175">
        <f t="shared" si="623"/>
        <v>0</v>
      </c>
      <c r="I297" s="175" t="s">
        <v>1242</v>
      </c>
      <c r="J297" s="175">
        <v>1</v>
      </c>
      <c r="K297" s="175" t="s">
        <v>1243</v>
      </c>
      <c r="L297" s="175">
        <v>1780</v>
      </c>
      <c r="M297" s="175" t="s">
        <v>1388</v>
      </c>
      <c r="N297" s="175">
        <f>COUNTA(O297:Z297)</f>
        <v>0</v>
      </c>
      <c r="O297" s="298"/>
      <c r="P297" s="298"/>
      <c r="Q297" s="298"/>
      <c r="R297" s="298"/>
      <c r="S297" s="298"/>
      <c r="T297" s="298"/>
      <c r="U297" s="298"/>
      <c r="V297" s="298"/>
      <c r="W297" s="298"/>
      <c r="X297" s="298"/>
      <c r="Y297" s="298"/>
      <c r="Z297" s="298"/>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20"/>
      <c r="BM297" s="311"/>
      <c r="BN297" s="315"/>
    </row>
    <row r="298" s="263" customFormat="1" ht="33.95" customHeight="1" outlineLevel="5" spans="2:66">
      <c r="B298" s="175" t="s">
        <v>799</v>
      </c>
      <c r="C298" s="283" t="s">
        <v>1393</v>
      </c>
      <c r="D298" s="263" t="s">
        <v>1394</v>
      </c>
      <c r="E298" s="175"/>
      <c r="F298" s="175"/>
      <c r="G298" s="175"/>
      <c r="H298" s="175">
        <f t="shared" si="623"/>
        <v>0</v>
      </c>
      <c r="I298" s="175" t="s">
        <v>1395</v>
      </c>
      <c r="J298" s="298"/>
      <c r="K298" s="175" t="s">
        <v>1396</v>
      </c>
      <c r="L298" s="175">
        <v>780</v>
      </c>
      <c r="M298" s="175" t="s">
        <v>1397</v>
      </c>
      <c r="N298" s="175">
        <f>COUNTA(O298:Z298)</f>
        <v>0</v>
      </c>
      <c r="O298" s="298"/>
      <c r="P298" s="316"/>
      <c r="Q298" s="316"/>
      <c r="R298" s="316"/>
      <c r="S298" s="316"/>
      <c r="T298" s="316"/>
      <c r="U298" s="316"/>
      <c r="V298" s="316"/>
      <c r="W298" s="316"/>
      <c r="X298" s="316"/>
      <c r="Y298" s="316"/>
      <c r="Z298" s="316"/>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20"/>
      <c r="BM298" s="311"/>
      <c r="BN298" s="315"/>
    </row>
    <row r="299" s="118" customFormat="1" ht="33.95" customHeight="1" outlineLevel="4" spans="2:66">
      <c r="B299" s="119" t="s">
        <v>794</v>
      </c>
      <c r="C299" s="120" t="s">
        <v>1398</v>
      </c>
      <c r="D299" s="118" t="s">
        <v>1399</v>
      </c>
      <c r="E299" s="119"/>
      <c r="F299" s="119"/>
      <c r="G299" s="119"/>
      <c r="H299" s="119">
        <f>SUM(H300:H302)</f>
        <v>0</v>
      </c>
      <c r="I299" s="119"/>
      <c r="J299" s="119"/>
      <c r="K299" s="119"/>
      <c r="L299" s="119"/>
      <c r="M299" s="119"/>
      <c r="N299" s="119"/>
      <c r="O299" s="119"/>
      <c r="P299" s="289"/>
      <c r="Q299" s="289"/>
      <c r="R299" s="289"/>
      <c r="S299" s="289"/>
      <c r="T299" s="289"/>
      <c r="U299" s="289"/>
      <c r="V299" s="289"/>
      <c r="W299" s="289"/>
      <c r="X299" s="289"/>
      <c r="Y299" s="289"/>
      <c r="Z299" s="289"/>
      <c r="AA299" s="289"/>
      <c r="AB299" s="119">
        <f t="shared" ref="AB299:AF299" si="625">SUM(AB300:AB302)</f>
        <v>0</v>
      </c>
      <c r="AC299" s="119">
        <f t="shared" si="625"/>
        <v>0</v>
      </c>
      <c r="AD299" s="119"/>
      <c r="AE299" s="119"/>
      <c r="AF299" s="119">
        <f t="shared" si="625"/>
        <v>0</v>
      </c>
      <c r="AG299" s="119"/>
      <c r="AH299" s="119"/>
      <c r="AI299" s="119">
        <f>SUM(AI300:AI302)</f>
        <v>0</v>
      </c>
      <c r="AJ299" s="119"/>
      <c r="AK299" s="119"/>
      <c r="AL299" s="119">
        <f>SUM(AL300:AL302)</f>
        <v>0</v>
      </c>
      <c r="AM299" s="119"/>
      <c r="AN299" s="119"/>
      <c r="AO299" s="119">
        <f>SUM(AO300:AO302)</f>
        <v>0</v>
      </c>
      <c r="AP299" s="119"/>
      <c r="AQ299" s="119"/>
      <c r="AR299" s="119">
        <f>SUM(AR300:AR302)</f>
        <v>0</v>
      </c>
      <c r="AS299" s="119"/>
      <c r="AT299" s="119"/>
      <c r="AU299" s="119">
        <f>SUM(AU300:AU302)</f>
        <v>0</v>
      </c>
      <c r="AV299" s="119"/>
      <c r="AW299" s="119"/>
      <c r="AX299" s="119">
        <f>SUM(AX300:AX302)</f>
        <v>0</v>
      </c>
      <c r="AY299" s="119"/>
      <c r="AZ299" s="119"/>
      <c r="BA299" s="119">
        <f>SUM(BA300:BA302)</f>
        <v>0</v>
      </c>
      <c r="BB299" s="119"/>
      <c r="BC299" s="119"/>
      <c r="BD299" s="119">
        <f>SUM(BD300:BD302)</f>
        <v>0</v>
      </c>
      <c r="BE299" s="119"/>
      <c r="BF299" s="119"/>
      <c r="BG299" s="119">
        <f>SUM(BG300:BG302)</f>
        <v>0</v>
      </c>
      <c r="BH299" s="119"/>
      <c r="BI299" s="119"/>
      <c r="BJ299" s="119">
        <f>SUM(BJ300:BJ302)</f>
        <v>0</v>
      </c>
      <c r="BK299" s="119"/>
      <c r="BL299" s="306"/>
      <c r="BM299" s="311"/>
      <c r="BN299" s="314"/>
    </row>
    <row r="300" s="263" customFormat="1" ht="33.95" customHeight="1" outlineLevel="5" spans="2:66">
      <c r="B300" s="175" t="s">
        <v>799</v>
      </c>
      <c r="C300" s="283" t="s">
        <v>1400</v>
      </c>
      <c r="D300" s="263" t="s">
        <v>1401</v>
      </c>
      <c r="E300" s="175"/>
      <c r="F300" s="175"/>
      <c r="G300" s="175" t="s">
        <v>943</v>
      </c>
      <c r="H300" s="175">
        <f t="shared" ref="H300:H302" si="626">IFERROR(J300*L300*N300,0)</f>
        <v>0</v>
      </c>
      <c r="I300" s="175" t="s">
        <v>1381</v>
      </c>
      <c r="J300" s="298"/>
      <c r="K300" s="175" t="s">
        <v>1382</v>
      </c>
      <c r="L300" s="175">
        <v>5000</v>
      </c>
      <c r="M300" s="175" t="s">
        <v>1235</v>
      </c>
      <c r="N300" s="175">
        <f t="shared" ref="N300:N306" si="627">COUNTA(O300:Z300)</f>
        <v>0</v>
      </c>
      <c r="O300" s="298"/>
      <c r="P300" s="317"/>
      <c r="Q300" s="317"/>
      <c r="R300" s="317"/>
      <c r="S300" s="317"/>
      <c r="T300" s="317"/>
      <c r="U300" s="317"/>
      <c r="V300" s="317"/>
      <c r="W300" s="317"/>
      <c r="X300" s="317"/>
      <c r="Y300" s="317"/>
      <c r="Z300" s="317"/>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20"/>
      <c r="BM300" s="311"/>
      <c r="BN300" s="315"/>
    </row>
    <row r="301" s="263" customFormat="1" ht="33.95" customHeight="1" outlineLevel="5" spans="2:66">
      <c r="B301" s="175" t="s">
        <v>799</v>
      </c>
      <c r="C301" s="283" t="s">
        <v>1402</v>
      </c>
      <c r="D301" s="263" t="s">
        <v>1403</v>
      </c>
      <c r="E301" s="175"/>
      <c r="F301" s="175"/>
      <c r="G301" s="175" t="s">
        <v>943</v>
      </c>
      <c r="H301" s="175">
        <f t="shared" si="626"/>
        <v>0</v>
      </c>
      <c r="I301" s="175" t="s">
        <v>1381</v>
      </c>
      <c r="J301" s="298">
        <f>预算主表!P134/(12*L301)</f>
        <v>0</v>
      </c>
      <c r="K301" s="175" t="s">
        <v>1382</v>
      </c>
      <c r="L301" s="175">
        <v>1000</v>
      </c>
      <c r="M301" s="175" t="s">
        <v>1235</v>
      </c>
      <c r="N301" s="175">
        <f t="shared" si="627"/>
        <v>12</v>
      </c>
      <c r="O301" s="298" t="s">
        <v>1292</v>
      </c>
      <c r="P301" s="298" t="s">
        <v>1292</v>
      </c>
      <c r="Q301" s="298" t="s">
        <v>1292</v>
      </c>
      <c r="R301" s="298" t="s">
        <v>1292</v>
      </c>
      <c r="S301" s="298" t="s">
        <v>1292</v>
      </c>
      <c r="T301" s="298" t="s">
        <v>1292</v>
      </c>
      <c r="U301" s="298" t="s">
        <v>1292</v>
      </c>
      <c r="V301" s="298" t="s">
        <v>1292</v>
      </c>
      <c r="W301" s="298" t="s">
        <v>1292</v>
      </c>
      <c r="X301" s="298" t="s">
        <v>1292</v>
      </c>
      <c r="Y301" s="298" t="s">
        <v>1292</v>
      </c>
      <c r="Z301" s="298" t="s">
        <v>1292</v>
      </c>
      <c r="AA301" s="175"/>
      <c r="AB301" s="175">
        <f t="shared" si="628"/>
        <v>0</v>
      </c>
      <c r="AC301" s="175">
        <f t="shared" si="629"/>
        <v>0</v>
      </c>
      <c r="AD301" s="175"/>
      <c r="AE301" s="175"/>
      <c r="AF301" s="175">
        <f t="shared" si="630"/>
        <v>0</v>
      </c>
      <c r="AG301" s="175"/>
      <c r="AH301" s="175"/>
      <c r="AI301" s="175">
        <f t="shared" si="631"/>
        <v>0</v>
      </c>
      <c r="AJ301" s="175"/>
      <c r="AK301" s="175"/>
      <c r="AL301" s="175">
        <f t="shared" si="632"/>
        <v>0</v>
      </c>
      <c r="AM301" s="175"/>
      <c r="AN301" s="175"/>
      <c r="AO301" s="175">
        <f t="shared" si="633"/>
        <v>0</v>
      </c>
      <c r="AP301" s="175"/>
      <c r="AQ301" s="175"/>
      <c r="AR301" s="175">
        <f t="shared" si="634"/>
        <v>0</v>
      </c>
      <c r="AS301" s="175"/>
      <c r="AT301" s="175"/>
      <c r="AU301" s="175">
        <f t="shared" si="635"/>
        <v>0</v>
      </c>
      <c r="AV301" s="175"/>
      <c r="AW301" s="175"/>
      <c r="AX301" s="175">
        <f t="shared" si="636"/>
        <v>0</v>
      </c>
      <c r="AY301" s="175"/>
      <c r="AZ301" s="175"/>
      <c r="BA301" s="175">
        <f t="shared" si="637"/>
        <v>0</v>
      </c>
      <c r="BB301" s="175"/>
      <c r="BC301" s="175"/>
      <c r="BD301" s="175">
        <f t="shared" si="638"/>
        <v>0</v>
      </c>
      <c r="BE301" s="175"/>
      <c r="BF301" s="175"/>
      <c r="BG301" s="175">
        <f t="shared" si="639"/>
        <v>0</v>
      </c>
      <c r="BH301" s="175"/>
      <c r="BI301" s="175"/>
      <c r="BJ301" s="175">
        <f t="shared" si="640"/>
        <v>0</v>
      </c>
      <c r="BK301" s="175"/>
      <c r="BL301" s="320"/>
      <c r="BM301" s="311"/>
      <c r="BN301" s="315"/>
    </row>
    <row r="302" s="263" customFormat="1" ht="33.95" customHeight="1" outlineLevel="5" spans="2:66">
      <c r="B302" s="175" t="s">
        <v>799</v>
      </c>
      <c r="C302" s="283" t="s">
        <v>1404</v>
      </c>
      <c r="D302" s="263" t="s">
        <v>1405</v>
      </c>
      <c r="E302" s="175"/>
      <c r="F302" s="175"/>
      <c r="G302" s="175" t="s">
        <v>943</v>
      </c>
      <c r="H302" s="175">
        <f t="shared" si="626"/>
        <v>0</v>
      </c>
      <c r="I302" s="175" t="s">
        <v>1406</v>
      </c>
      <c r="J302" s="298"/>
      <c r="K302" s="175" t="s">
        <v>1377</v>
      </c>
      <c r="L302" s="175">
        <v>0.2</v>
      </c>
      <c r="M302" s="175" t="s">
        <v>1378</v>
      </c>
      <c r="N302" s="175">
        <f t="shared" si="627"/>
        <v>0</v>
      </c>
      <c r="O302" s="298"/>
      <c r="P302" s="316"/>
      <c r="Q302" s="316"/>
      <c r="R302" s="316"/>
      <c r="S302" s="316"/>
      <c r="T302" s="316"/>
      <c r="U302" s="316"/>
      <c r="V302" s="316"/>
      <c r="W302" s="316"/>
      <c r="X302" s="316"/>
      <c r="Y302" s="316"/>
      <c r="Z302" s="316"/>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20"/>
      <c r="BM302" s="311"/>
      <c r="BN302" s="315"/>
    </row>
    <row r="303" s="47" customFormat="1" ht="33.95" customHeight="1" outlineLevel="3" spans="2:66">
      <c r="B303" s="115" t="s">
        <v>794</v>
      </c>
      <c r="C303" s="116" t="s">
        <v>1407</v>
      </c>
      <c r="D303" s="47" t="s">
        <v>1408</v>
      </c>
      <c r="E303" s="115"/>
      <c r="F303" s="115"/>
      <c r="G303" s="115"/>
      <c r="H303" s="115">
        <f>SUM(H304:H306)</f>
        <v>0</v>
      </c>
      <c r="I303" s="115"/>
      <c r="J303" s="115"/>
      <c r="K303" s="115"/>
      <c r="L303" s="115"/>
      <c r="M303" s="115"/>
      <c r="N303" s="115"/>
      <c r="O303" s="115"/>
      <c r="P303" s="288"/>
      <c r="Q303" s="288"/>
      <c r="R303" s="288"/>
      <c r="S303" s="288"/>
      <c r="T303" s="288"/>
      <c r="U303" s="288"/>
      <c r="V303" s="288"/>
      <c r="W303" s="288"/>
      <c r="X303" s="288"/>
      <c r="Y303" s="288"/>
      <c r="Z303" s="288"/>
      <c r="AA303" s="288"/>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5"/>
      <c r="BM303" s="311"/>
      <c r="BN303" s="313"/>
    </row>
    <row r="304" s="118" customFormat="1" ht="33.95" customHeight="1" outlineLevel="4" spans="2:66">
      <c r="B304" s="119" t="s">
        <v>799</v>
      </c>
      <c r="C304" s="120" t="s">
        <v>1409</v>
      </c>
      <c r="D304" s="118" t="s">
        <v>1410</v>
      </c>
      <c r="E304" s="119" t="s">
        <v>1411</v>
      </c>
      <c r="F304" s="119"/>
      <c r="G304" s="119" t="s">
        <v>943</v>
      </c>
      <c r="H304" s="119">
        <f t="shared" ref="H304:H306" si="642">IFERROR(J304*L304*N304,0)</f>
        <v>0</v>
      </c>
      <c r="I304" s="119" t="s">
        <v>1412</v>
      </c>
      <c r="J304" s="298"/>
      <c r="K304" s="119" t="s">
        <v>1377</v>
      </c>
      <c r="L304" s="298"/>
      <c r="M304" s="119" t="s">
        <v>1378</v>
      </c>
      <c r="N304" s="119">
        <f t="shared" si="627"/>
        <v>0</v>
      </c>
      <c r="O304" s="298"/>
      <c r="P304" s="317"/>
      <c r="Q304" s="317"/>
      <c r="R304" s="317"/>
      <c r="S304" s="317"/>
      <c r="T304" s="317"/>
      <c r="U304" s="317"/>
      <c r="V304" s="317"/>
      <c r="W304" s="317"/>
      <c r="X304" s="317"/>
      <c r="Y304" s="317"/>
      <c r="Z304" s="317"/>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6"/>
      <c r="BM304" s="311"/>
      <c r="BN304" s="314"/>
    </row>
    <row r="305" s="118" customFormat="1" ht="33.95" customHeight="1" outlineLevel="4" spans="2:66">
      <c r="B305" s="119" t="s">
        <v>799</v>
      </c>
      <c r="C305" s="120" t="s">
        <v>1413</v>
      </c>
      <c r="D305" s="118" t="s">
        <v>1414</v>
      </c>
      <c r="E305" s="119" t="s">
        <v>1415</v>
      </c>
      <c r="F305" s="119"/>
      <c r="G305" s="119" t="s">
        <v>943</v>
      </c>
      <c r="H305" s="119">
        <f t="shared" si="642"/>
        <v>0</v>
      </c>
      <c r="I305" s="119" t="s">
        <v>1416</v>
      </c>
      <c r="J305" s="298"/>
      <c r="K305" s="119" t="s">
        <v>1396</v>
      </c>
      <c r="L305" s="298"/>
      <c r="M305" s="119" t="s">
        <v>1417</v>
      </c>
      <c r="N305" s="119">
        <f t="shared" si="627"/>
        <v>0</v>
      </c>
      <c r="O305" s="298"/>
      <c r="P305" s="298"/>
      <c r="Q305" s="298"/>
      <c r="R305" s="298"/>
      <c r="S305" s="298"/>
      <c r="T305" s="298"/>
      <c r="U305" s="298"/>
      <c r="V305" s="298"/>
      <c r="W305" s="298"/>
      <c r="X305" s="298"/>
      <c r="Y305" s="298"/>
      <c r="Z305" s="298"/>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6"/>
      <c r="BM305" s="311"/>
      <c r="BN305" s="314"/>
    </row>
    <row r="306" s="118" customFormat="1" ht="33.95" customHeight="1" outlineLevel="4" spans="2:66">
      <c r="B306" s="119" t="s">
        <v>799</v>
      </c>
      <c r="C306" s="120" t="s">
        <v>1418</v>
      </c>
      <c r="D306" s="118" t="s">
        <v>1419</v>
      </c>
      <c r="E306" s="119" t="s">
        <v>1420</v>
      </c>
      <c r="F306" s="119"/>
      <c r="G306" s="119" t="s">
        <v>943</v>
      </c>
      <c r="H306" s="119">
        <f t="shared" si="642"/>
        <v>0</v>
      </c>
      <c r="I306" s="119" t="s">
        <v>1421</v>
      </c>
      <c r="J306" s="119">
        <v>1</v>
      </c>
      <c r="K306" s="119" t="s">
        <v>1243</v>
      </c>
      <c r="L306" s="298"/>
      <c r="M306" s="119" t="s">
        <v>1235</v>
      </c>
      <c r="N306" s="119">
        <f t="shared" si="627"/>
        <v>0</v>
      </c>
      <c r="O306" s="298"/>
      <c r="P306" s="316"/>
      <c r="Q306" s="316"/>
      <c r="R306" s="316"/>
      <c r="S306" s="316"/>
      <c r="T306" s="316"/>
      <c r="U306" s="316"/>
      <c r="V306" s="316"/>
      <c r="W306" s="316"/>
      <c r="X306" s="316"/>
      <c r="Y306" s="316"/>
      <c r="Z306" s="316"/>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6"/>
      <c r="BM306" s="311"/>
      <c r="BN306" s="314"/>
    </row>
    <row r="307" s="47" customFormat="1" ht="33.95" customHeight="1" outlineLevel="3" spans="2:66">
      <c r="B307" s="115" t="s">
        <v>799</v>
      </c>
      <c r="C307" s="116" t="s">
        <v>1422</v>
      </c>
      <c r="D307" s="47" t="s">
        <v>1423</v>
      </c>
      <c r="E307" s="115" t="s">
        <v>1289</v>
      </c>
      <c r="F307" s="115"/>
      <c r="G307" s="115" t="s">
        <v>1424</v>
      </c>
      <c r="H307" s="115">
        <f>AB307</f>
        <v>0</v>
      </c>
      <c r="I307" s="115" t="s">
        <v>1032</v>
      </c>
      <c r="J307" s="115">
        <f>AVERAGE('1-1 项目基础信息'!$H$9:$S$9)</f>
        <v>281758.63</v>
      </c>
      <c r="K307" s="115" t="s">
        <v>1243</v>
      </c>
      <c r="L307" s="115">
        <f>H307/J307/N307</f>
        <v>0</v>
      </c>
      <c r="M307" s="115" t="s">
        <v>806</v>
      </c>
      <c r="N307" s="115">
        <v>12</v>
      </c>
      <c r="O307" s="115"/>
      <c r="P307" s="288"/>
      <c r="Q307" s="288"/>
      <c r="R307" s="288"/>
      <c r="S307" s="288"/>
      <c r="T307" s="288"/>
      <c r="U307" s="288"/>
      <c r="V307" s="288"/>
      <c r="W307" s="288"/>
      <c r="X307" s="288"/>
      <c r="Y307" s="288"/>
      <c r="Z307" s="288"/>
      <c r="AA307" s="288"/>
      <c r="AB307" s="115">
        <f t="shared" si="628"/>
        <v>0</v>
      </c>
      <c r="AC307" s="298"/>
      <c r="AD307" s="115"/>
      <c r="AE307" s="115"/>
      <c r="AF307" s="298"/>
      <c r="AG307" s="115"/>
      <c r="AH307" s="115"/>
      <c r="AI307" s="298"/>
      <c r="AJ307" s="115"/>
      <c r="AK307" s="115"/>
      <c r="AL307" s="298"/>
      <c r="AM307" s="115"/>
      <c r="AN307" s="115"/>
      <c r="AO307" s="298"/>
      <c r="AP307" s="115"/>
      <c r="AQ307" s="115"/>
      <c r="AR307" s="298"/>
      <c r="AS307" s="115"/>
      <c r="AT307" s="115"/>
      <c r="AU307" s="298"/>
      <c r="AV307" s="115"/>
      <c r="AW307" s="115"/>
      <c r="AX307" s="298"/>
      <c r="AY307" s="115"/>
      <c r="AZ307" s="115"/>
      <c r="BA307" s="298"/>
      <c r="BB307" s="115"/>
      <c r="BC307" s="115"/>
      <c r="BD307" s="298"/>
      <c r="BE307" s="115"/>
      <c r="BF307" s="115"/>
      <c r="BG307" s="298"/>
      <c r="BH307" s="115"/>
      <c r="BI307" s="115"/>
      <c r="BJ307" s="298"/>
      <c r="BK307" s="115"/>
      <c r="BL307" s="305"/>
      <c r="BM307" s="311"/>
      <c r="BN307" s="313"/>
    </row>
    <row r="308" s="22" customFormat="1" ht="33.95" customHeight="1" outlineLevel="2" spans="2:66">
      <c r="B308" s="112" t="s">
        <v>794</v>
      </c>
      <c r="C308" s="113" t="s">
        <v>222</v>
      </c>
      <c r="D308" s="22" t="s">
        <v>223</v>
      </c>
      <c r="E308" s="112"/>
      <c r="F308" s="112"/>
      <c r="G308" s="112"/>
      <c r="H308" s="112">
        <f>H309+H314+H315+H335+H356+H362+H363+H364+H365+H371+H372+H373+H380</f>
        <v>0</v>
      </c>
      <c r="I308" s="112"/>
      <c r="J308" s="112"/>
      <c r="K308" s="112"/>
      <c r="L308" s="112"/>
      <c r="M308" s="112"/>
      <c r="N308" s="112"/>
      <c r="O308" s="112"/>
      <c r="P308" s="287"/>
      <c r="Q308" s="287"/>
      <c r="R308" s="287"/>
      <c r="S308" s="287"/>
      <c r="T308" s="287"/>
      <c r="U308" s="287"/>
      <c r="V308" s="287"/>
      <c r="W308" s="287"/>
      <c r="X308" s="287"/>
      <c r="Y308" s="287"/>
      <c r="Z308" s="287"/>
      <c r="AA308" s="287"/>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4"/>
      <c r="BM308" s="311"/>
      <c r="BN308" s="312"/>
    </row>
    <row r="309" s="47" customFormat="1" ht="33.95" customHeight="1" outlineLevel="3" spans="2:66">
      <c r="B309" s="115" t="s">
        <v>794</v>
      </c>
      <c r="C309" s="116" t="s">
        <v>1425</v>
      </c>
      <c r="D309" s="47" t="s">
        <v>1426</v>
      </c>
      <c r="E309" s="115"/>
      <c r="F309" s="115"/>
      <c r="G309" s="115"/>
      <c r="H309" s="115">
        <f>SUM(H310:H313)</f>
        <v>0</v>
      </c>
      <c r="I309" s="115"/>
      <c r="J309" s="115"/>
      <c r="K309" s="115"/>
      <c r="L309" s="115"/>
      <c r="M309" s="115"/>
      <c r="N309" s="115"/>
      <c r="O309" s="115"/>
      <c r="P309" s="288"/>
      <c r="Q309" s="288"/>
      <c r="R309" s="288"/>
      <c r="S309" s="288"/>
      <c r="T309" s="288"/>
      <c r="U309" s="288"/>
      <c r="V309" s="288"/>
      <c r="W309" s="288"/>
      <c r="X309" s="288"/>
      <c r="Y309" s="288"/>
      <c r="Z309" s="288"/>
      <c r="AA309" s="288"/>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5"/>
      <c r="BM309" s="311"/>
      <c r="BN309" s="313"/>
    </row>
    <row r="310" s="118" customFormat="1" ht="33.95" customHeight="1" outlineLevel="4" spans="2:66">
      <c r="B310" s="119" t="s">
        <v>799</v>
      </c>
      <c r="C310" s="120" t="s">
        <v>1427</v>
      </c>
      <c r="D310" s="118" t="s">
        <v>1428</v>
      </c>
      <c r="E310" s="119" t="s">
        <v>1429</v>
      </c>
      <c r="F310" s="119"/>
      <c r="G310" s="119" t="s">
        <v>943</v>
      </c>
      <c r="H310" s="119">
        <f t="shared" ref="H310:H314" si="645">IFERROR(J310*L310*N310,0)</f>
        <v>0</v>
      </c>
      <c r="I310" s="119" t="s">
        <v>1430</v>
      </c>
      <c r="J310" s="298"/>
      <c r="K310" s="119" t="s">
        <v>1150</v>
      </c>
      <c r="L310" s="298"/>
      <c r="M310" s="119" t="s">
        <v>1183</v>
      </c>
      <c r="N310" s="119">
        <f t="shared" ref="N310:N313" si="646">COUNTA(O310:Z310)</f>
        <v>0</v>
      </c>
      <c r="O310" s="298"/>
      <c r="P310" s="317"/>
      <c r="Q310" s="317"/>
      <c r="R310" s="317"/>
      <c r="S310" s="317"/>
      <c r="T310" s="317"/>
      <c r="U310" s="317"/>
      <c r="V310" s="317"/>
      <c r="W310" s="317"/>
      <c r="X310" s="317"/>
      <c r="Y310" s="317"/>
      <c r="Z310" s="317"/>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6"/>
      <c r="BM310" s="311"/>
      <c r="BN310" s="314"/>
    </row>
    <row r="311" s="118" customFormat="1" ht="33.95" customHeight="1" outlineLevel="4" spans="2:66">
      <c r="B311" s="119" t="s">
        <v>799</v>
      </c>
      <c r="C311" s="120" t="s">
        <v>1431</v>
      </c>
      <c r="D311" s="118" t="s">
        <v>1432</v>
      </c>
      <c r="E311" s="119" t="s">
        <v>1433</v>
      </c>
      <c r="F311" s="119"/>
      <c r="G311" s="119" t="s">
        <v>943</v>
      </c>
      <c r="H311" s="119">
        <f t="shared" si="645"/>
        <v>0</v>
      </c>
      <c r="I311" s="119" t="s">
        <v>1430</v>
      </c>
      <c r="J311" s="298"/>
      <c r="K311" s="119" t="s">
        <v>1150</v>
      </c>
      <c r="L311" s="298"/>
      <c r="M311" s="119" t="s">
        <v>1183</v>
      </c>
      <c r="N311" s="119">
        <f t="shared" si="646"/>
        <v>0</v>
      </c>
      <c r="O311" s="298"/>
      <c r="P311" s="298"/>
      <c r="Q311" s="298"/>
      <c r="R311" s="298"/>
      <c r="S311" s="298"/>
      <c r="T311" s="298"/>
      <c r="U311" s="298"/>
      <c r="V311" s="298"/>
      <c r="W311" s="298"/>
      <c r="X311" s="298"/>
      <c r="Y311" s="298"/>
      <c r="Z311" s="298"/>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6"/>
      <c r="BM311" s="311"/>
      <c r="BN311" s="314"/>
    </row>
    <row r="312" s="118" customFormat="1" ht="33.95" customHeight="1" outlineLevel="4" spans="2:66">
      <c r="B312" s="119" t="s">
        <v>799</v>
      </c>
      <c r="C312" s="120" t="s">
        <v>1434</v>
      </c>
      <c r="D312" s="118" t="s">
        <v>1435</v>
      </c>
      <c r="E312" s="119" t="s">
        <v>1436</v>
      </c>
      <c r="F312" s="119"/>
      <c r="G312" s="119" t="s">
        <v>943</v>
      </c>
      <c r="H312" s="119">
        <f t="shared" si="645"/>
        <v>0</v>
      </c>
      <c r="I312" s="119" t="s">
        <v>1430</v>
      </c>
      <c r="J312" s="298"/>
      <c r="K312" s="119" t="s">
        <v>1150</v>
      </c>
      <c r="L312" s="298"/>
      <c r="M312" s="119" t="s">
        <v>1183</v>
      </c>
      <c r="N312" s="119">
        <f t="shared" si="646"/>
        <v>0</v>
      </c>
      <c r="O312" s="298"/>
      <c r="P312" s="298"/>
      <c r="Q312" s="298"/>
      <c r="R312" s="298"/>
      <c r="S312" s="298"/>
      <c r="T312" s="298"/>
      <c r="U312" s="298"/>
      <c r="V312" s="298"/>
      <c r="W312" s="298"/>
      <c r="X312" s="298"/>
      <c r="Y312" s="298"/>
      <c r="Z312" s="298"/>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6"/>
      <c r="BM312" s="311"/>
      <c r="BN312" s="314"/>
    </row>
    <row r="313" s="118" customFormat="1" ht="33.95" customHeight="1" outlineLevel="4" spans="2:66">
      <c r="B313" s="119" t="s">
        <v>799</v>
      </c>
      <c r="C313" s="120" t="s">
        <v>1437</v>
      </c>
      <c r="D313" s="118" t="s">
        <v>1438</v>
      </c>
      <c r="E313" s="119" t="s">
        <v>1439</v>
      </c>
      <c r="F313" s="119"/>
      <c r="G313" s="119" t="s">
        <v>943</v>
      </c>
      <c r="H313" s="119">
        <f t="shared" si="645"/>
        <v>0</v>
      </c>
      <c r="I313" s="119" t="s">
        <v>1430</v>
      </c>
      <c r="J313" s="298"/>
      <c r="K313" s="119" t="s">
        <v>1150</v>
      </c>
      <c r="L313" s="298"/>
      <c r="M313" s="119" t="s">
        <v>1183</v>
      </c>
      <c r="N313" s="119">
        <f t="shared" si="646"/>
        <v>0</v>
      </c>
      <c r="O313" s="298"/>
      <c r="P313" s="316"/>
      <c r="Q313" s="316"/>
      <c r="R313" s="316"/>
      <c r="S313" s="316"/>
      <c r="T313" s="316"/>
      <c r="U313" s="316"/>
      <c r="V313" s="316"/>
      <c r="W313" s="316"/>
      <c r="X313" s="316"/>
      <c r="Y313" s="316"/>
      <c r="Z313" s="316"/>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6"/>
      <c r="BM313" s="311"/>
      <c r="BN313" s="314"/>
    </row>
    <row r="314" s="47" customFormat="1" ht="33.95" customHeight="1" outlineLevel="3" spans="2:66">
      <c r="B314" s="115" t="s">
        <v>799</v>
      </c>
      <c r="C314" s="116" t="s">
        <v>1440</v>
      </c>
      <c r="D314" s="47" t="s">
        <v>1441</v>
      </c>
      <c r="E314" s="115"/>
      <c r="F314" s="115"/>
      <c r="G314" s="115" t="s">
        <v>943</v>
      </c>
      <c r="H314" s="305">
        <f t="shared" si="645"/>
        <v>0</v>
      </c>
      <c r="I314" s="305" t="s">
        <v>1177</v>
      </c>
      <c r="J314" s="305">
        <f>AVERAGE(AD314,AG314,AJ314,AM314,AP314,AS314,AV314,AY314,BB314,BE314,BH314,BK314)</f>
        <v>281758.63</v>
      </c>
      <c r="K314" s="305" t="s">
        <v>1033</v>
      </c>
      <c r="L314" s="305" t="e">
        <f>AVERAGE(AE314,AH314,AK314,AN314,AQ314,AT314,AW314,AZ314,BC314,BF314,BI314,BL314)</f>
        <v>#DIV/0!</v>
      </c>
      <c r="M314" s="115" t="s">
        <v>806</v>
      </c>
      <c r="N314" s="115">
        <v>12</v>
      </c>
      <c r="O314" s="115"/>
      <c r="P314" s="288"/>
      <c r="Q314" s="288"/>
      <c r="R314" s="288"/>
      <c r="S314" s="288"/>
      <c r="T314" s="288"/>
      <c r="U314" s="288"/>
      <c r="V314" s="288"/>
      <c r="W314" s="288"/>
      <c r="X314" s="288"/>
      <c r="Y314" s="288"/>
      <c r="Z314" s="288"/>
      <c r="AA314" s="288"/>
      <c r="AB314" s="115">
        <f t="shared" si="647"/>
        <v>0</v>
      </c>
      <c r="AC314" s="115">
        <f>AD314*AE314</f>
        <v>0</v>
      </c>
      <c r="AD314" s="115">
        <f>VLOOKUP($I314,'1-1 项目基础信息'!$F:$S,3,FALSE)</f>
        <v>281758.63</v>
      </c>
      <c r="AE314" s="298"/>
      <c r="AF314" s="115">
        <f>AG314*AH314</f>
        <v>0</v>
      </c>
      <c r="AG314" s="115">
        <f>VLOOKUP($I314,'1-1 项目基础信息'!$F:$S,4,FALSE)</f>
        <v>281758.63</v>
      </c>
      <c r="AH314" s="298"/>
      <c r="AI314" s="115">
        <f>AJ314*AK314</f>
        <v>0</v>
      </c>
      <c r="AJ314" s="115">
        <f>VLOOKUP($I314,'1-1 项目基础信息'!$F:$S,5,FALSE)</f>
        <v>281758.63</v>
      </c>
      <c r="AK314" s="298"/>
      <c r="AL314" s="115">
        <f>AM314*AN314</f>
        <v>0</v>
      </c>
      <c r="AM314" s="115">
        <f>VLOOKUP($I314,'1-1 项目基础信息'!$F:$S,6,FALSE)</f>
        <v>281758.63</v>
      </c>
      <c r="AN314" s="298"/>
      <c r="AO314" s="115">
        <f>AP314*AQ314</f>
        <v>0</v>
      </c>
      <c r="AP314" s="115">
        <f>VLOOKUP($I314,'1-1 项目基础信息'!$F:$S,7,FALSE)</f>
        <v>281758.63</v>
      </c>
      <c r="AQ314" s="298"/>
      <c r="AR314" s="115">
        <f>AS314*AT314</f>
        <v>0</v>
      </c>
      <c r="AS314" s="115">
        <f>VLOOKUP($I314,'1-1 项目基础信息'!$F:$S,8,FALSE)</f>
        <v>281758.63</v>
      </c>
      <c r="AT314" s="298"/>
      <c r="AU314" s="115">
        <f>AV314*AW314</f>
        <v>0</v>
      </c>
      <c r="AV314" s="115">
        <f>VLOOKUP($I314,'1-1 项目基础信息'!$F:$S,9,FALSE)</f>
        <v>281758.63</v>
      </c>
      <c r="AW314" s="298"/>
      <c r="AX314" s="115">
        <f>AY314*AZ314</f>
        <v>0</v>
      </c>
      <c r="AY314" s="115">
        <f>VLOOKUP($I314,'1-1 项目基础信息'!$F:$S,10,FALSE)</f>
        <v>281758.63</v>
      </c>
      <c r="AZ314" s="298"/>
      <c r="BA314" s="115">
        <f>BB314*BC314</f>
        <v>0</v>
      </c>
      <c r="BB314" s="115">
        <f>VLOOKUP($I314,'1-1 项目基础信息'!$F:$S,11,FALSE)</f>
        <v>281758.63</v>
      </c>
      <c r="BC314" s="298"/>
      <c r="BD314" s="115">
        <f>BE314*BF314</f>
        <v>0</v>
      </c>
      <c r="BE314" s="115">
        <f>VLOOKUP($I314,'1-1 项目基础信息'!$F:$S,12,FALSE)</f>
        <v>281758.63</v>
      </c>
      <c r="BF314" s="298"/>
      <c r="BG314" s="115">
        <f>BH314*BI314</f>
        <v>0</v>
      </c>
      <c r="BH314" s="115">
        <f>VLOOKUP($I314,'1-1 项目基础信息'!$F:$S,13,FALSE)</f>
        <v>281758.63</v>
      </c>
      <c r="BI314" s="298"/>
      <c r="BJ314" s="115">
        <f>BK314*BL314</f>
        <v>0</v>
      </c>
      <c r="BK314" s="115">
        <f>VLOOKUP($I314,'1-1 项目基础信息'!$F:$S,14,FALSE)</f>
        <v>281758.63</v>
      </c>
      <c r="BL314" s="307"/>
      <c r="BM314" s="311"/>
      <c r="BN314" s="313"/>
    </row>
    <row r="315" s="47" customFormat="1" ht="33.95" customHeight="1" outlineLevel="3" spans="2:66">
      <c r="B315" s="115" t="s">
        <v>794</v>
      </c>
      <c r="C315" s="116" t="s">
        <v>1442</v>
      </c>
      <c r="D315" s="47" t="s">
        <v>1443</v>
      </c>
      <c r="E315" s="115"/>
      <c r="F315" s="115"/>
      <c r="G315" s="115"/>
      <c r="H315" s="115">
        <f>SUM(H316:H334)</f>
        <v>0</v>
      </c>
      <c r="I315" s="115"/>
      <c r="J315" s="115"/>
      <c r="K315" s="115"/>
      <c r="L315" s="115"/>
      <c r="M315" s="115"/>
      <c r="N315" s="115"/>
      <c r="O315" s="115"/>
      <c r="P315" s="288"/>
      <c r="Q315" s="288"/>
      <c r="R315" s="288"/>
      <c r="S315" s="288"/>
      <c r="T315" s="288"/>
      <c r="U315" s="288"/>
      <c r="V315" s="288"/>
      <c r="W315" s="288"/>
      <c r="X315" s="288"/>
      <c r="Y315" s="288"/>
      <c r="Z315" s="288"/>
      <c r="AA315" s="288"/>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5"/>
      <c r="BM315" s="311"/>
      <c r="BN315" s="313"/>
    </row>
    <row r="316" s="118" customFormat="1" ht="33.95" customHeight="1" outlineLevel="4" spans="2:66">
      <c r="B316" s="119" t="s">
        <v>799</v>
      </c>
      <c r="C316" s="120" t="s">
        <v>1444</v>
      </c>
      <c r="D316" s="118" t="s">
        <v>1445</v>
      </c>
      <c r="E316" s="119" t="s">
        <v>1446</v>
      </c>
      <c r="F316" s="119"/>
      <c r="G316" s="119" t="s">
        <v>943</v>
      </c>
      <c r="H316" s="119">
        <f t="shared" ref="H316:H334" si="661">IFERROR(J316*L316*N316,0)</f>
        <v>0</v>
      </c>
      <c r="I316" s="119" t="s">
        <v>1447</v>
      </c>
      <c r="J316" s="298"/>
      <c r="K316" s="119" t="s">
        <v>1396</v>
      </c>
      <c r="L316" s="298"/>
      <c r="M316" s="119" t="s">
        <v>1448</v>
      </c>
      <c r="N316" s="119">
        <f t="shared" ref="N316:N334" si="662">COUNTA(O316:Z316)</f>
        <v>0</v>
      </c>
      <c r="O316" s="298"/>
      <c r="P316" s="317"/>
      <c r="Q316" s="317"/>
      <c r="R316" s="317"/>
      <c r="S316" s="317"/>
      <c r="T316" s="317"/>
      <c r="U316" s="317"/>
      <c r="V316" s="317"/>
      <c r="W316" s="317"/>
      <c r="X316" s="317"/>
      <c r="Y316" s="317"/>
      <c r="Z316" s="317"/>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6"/>
      <c r="BM316" s="311"/>
      <c r="BN316" s="314"/>
    </row>
    <row r="317" s="118" customFormat="1" ht="33.95" customHeight="1" outlineLevel="4" spans="2:66">
      <c r="B317" s="119" t="s">
        <v>799</v>
      </c>
      <c r="C317" s="120" t="s">
        <v>1449</v>
      </c>
      <c r="D317" s="118" t="s">
        <v>1450</v>
      </c>
      <c r="E317" s="119" t="s">
        <v>1451</v>
      </c>
      <c r="F317" s="119"/>
      <c r="G317" s="119" t="s">
        <v>943</v>
      </c>
      <c r="H317" s="119">
        <f t="shared" si="661"/>
        <v>0</v>
      </c>
      <c r="I317" s="119" t="s">
        <v>1447</v>
      </c>
      <c r="J317" s="298"/>
      <c r="K317" s="119" t="s">
        <v>1396</v>
      </c>
      <c r="L317" s="298"/>
      <c r="M317" s="119" t="s">
        <v>1448</v>
      </c>
      <c r="N317" s="119">
        <f t="shared" si="662"/>
        <v>0</v>
      </c>
      <c r="O317" s="298"/>
      <c r="P317" s="298"/>
      <c r="Q317" s="298"/>
      <c r="R317" s="298"/>
      <c r="S317" s="298"/>
      <c r="T317" s="298"/>
      <c r="U317" s="298"/>
      <c r="V317" s="298"/>
      <c r="W317" s="298"/>
      <c r="X317" s="298"/>
      <c r="Y317" s="298"/>
      <c r="Z317" s="298"/>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6"/>
      <c r="BM317" s="311"/>
      <c r="BN317" s="314"/>
    </row>
    <row r="318" s="118" customFormat="1" ht="33.95" customHeight="1" outlineLevel="4" spans="2:66">
      <c r="B318" s="119" t="s">
        <v>799</v>
      </c>
      <c r="C318" s="120" t="s">
        <v>1452</v>
      </c>
      <c r="D318" s="118" t="s">
        <v>1453</v>
      </c>
      <c r="E318" s="119" t="s">
        <v>1454</v>
      </c>
      <c r="F318" s="119"/>
      <c r="G318" s="119" t="s">
        <v>943</v>
      </c>
      <c r="H318" s="119">
        <f t="shared" si="661"/>
        <v>0</v>
      </c>
      <c r="I318" s="119" t="s">
        <v>1447</v>
      </c>
      <c r="J318" s="298"/>
      <c r="K318" s="119" t="s">
        <v>1396</v>
      </c>
      <c r="L318" s="298"/>
      <c r="M318" s="119" t="s">
        <v>1448</v>
      </c>
      <c r="N318" s="119">
        <f t="shared" si="662"/>
        <v>0</v>
      </c>
      <c r="O318" s="298"/>
      <c r="P318" s="298"/>
      <c r="Q318" s="298"/>
      <c r="R318" s="298"/>
      <c r="S318" s="298"/>
      <c r="T318" s="298"/>
      <c r="U318" s="298"/>
      <c r="V318" s="298"/>
      <c r="W318" s="298"/>
      <c r="X318" s="298"/>
      <c r="Y318" s="298"/>
      <c r="Z318" s="298"/>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6"/>
      <c r="BM318" s="311"/>
      <c r="BN318" s="314"/>
    </row>
    <row r="319" s="118" customFormat="1" ht="33.95" customHeight="1" outlineLevel="4" spans="2:66">
      <c r="B319" s="119" t="s">
        <v>799</v>
      </c>
      <c r="C319" s="120" t="s">
        <v>1455</v>
      </c>
      <c r="D319" s="118" t="s">
        <v>1456</v>
      </c>
      <c r="E319" s="119" t="s">
        <v>1457</v>
      </c>
      <c r="F319" s="119"/>
      <c r="G319" s="119" t="s">
        <v>943</v>
      </c>
      <c r="H319" s="119">
        <f t="shared" si="661"/>
        <v>0</v>
      </c>
      <c r="I319" s="119" t="s">
        <v>1447</v>
      </c>
      <c r="J319" s="298"/>
      <c r="K319" s="119" t="s">
        <v>1396</v>
      </c>
      <c r="L319" s="298"/>
      <c r="M319" s="119" t="s">
        <v>1448</v>
      </c>
      <c r="N319" s="119">
        <f t="shared" si="662"/>
        <v>0</v>
      </c>
      <c r="O319" s="298"/>
      <c r="P319" s="298"/>
      <c r="Q319" s="298"/>
      <c r="R319" s="298"/>
      <c r="S319" s="298"/>
      <c r="T319" s="298"/>
      <c r="U319" s="298"/>
      <c r="V319" s="298"/>
      <c r="W319" s="298"/>
      <c r="X319" s="298"/>
      <c r="Y319" s="298"/>
      <c r="Z319" s="298"/>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6"/>
      <c r="BM319" s="311"/>
      <c r="BN319" s="314"/>
    </row>
    <row r="320" s="118" customFormat="1" ht="33.95" customHeight="1" outlineLevel="4" spans="2:66">
      <c r="B320" s="119" t="s">
        <v>799</v>
      </c>
      <c r="C320" s="120" t="s">
        <v>1458</v>
      </c>
      <c r="D320" s="118" t="s">
        <v>1459</v>
      </c>
      <c r="E320" s="119" t="s">
        <v>1460</v>
      </c>
      <c r="F320" s="119"/>
      <c r="G320" s="119" t="s">
        <v>943</v>
      </c>
      <c r="H320" s="119">
        <f t="shared" si="661"/>
        <v>0</v>
      </c>
      <c r="I320" s="119" t="s">
        <v>1447</v>
      </c>
      <c r="J320" s="298"/>
      <c r="K320" s="119" t="s">
        <v>1396</v>
      </c>
      <c r="L320" s="298"/>
      <c r="M320" s="119" t="s">
        <v>1448</v>
      </c>
      <c r="N320" s="119">
        <f t="shared" si="662"/>
        <v>0</v>
      </c>
      <c r="O320" s="298"/>
      <c r="P320" s="298"/>
      <c r="Q320" s="298"/>
      <c r="R320" s="298"/>
      <c r="S320" s="298"/>
      <c r="T320" s="298"/>
      <c r="U320" s="298"/>
      <c r="V320" s="298"/>
      <c r="W320" s="298"/>
      <c r="X320" s="298"/>
      <c r="Y320" s="298"/>
      <c r="Z320" s="298"/>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6"/>
      <c r="BM320" s="311"/>
      <c r="BN320" s="314"/>
    </row>
    <row r="321" s="118" customFormat="1" ht="33.95" customHeight="1" outlineLevel="4" spans="2:66">
      <c r="B321" s="119" t="s">
        <v>799</v>
      </c>
      <c r="C321" s="120" t="s">
        <v>1461</v>
      </c>
      <c r="D321" s="118" t="s">
        <v>1462</v>
      </c>
      <c r="E321" s="119" t="s">
        <v>1463</v>
      </c>
      <c r="F321" s="119"/>
      <c r="G321" s="119" t="s">
        <v>943</v>
      </c>
      <c r="H321" s="119">
        <f t="shared" si="661"/>
        <v>0</v>
      </c>
      <c r="I321" s="119" t="s">
        <v>1447</v>
      </c>
      <c r="J321" s="298"/>
      <c r="K321" s="119" t="s">
        <v>1396</v>
      </c>
      <c r="L321" s="298"/>
      <c r="M321" s="119" t="s">
        <v>1448</v>
      </c>
      <c r="N321" s="119">
        <f t="shared" si="662"/>
        <v>0</v>
      </c>
      <c r="O321" s="298"/>
      <c r="P321" s="298"/>
      <c r="Q321" s="298"/>
      <c r="R321" s="298"/>
      <c r="S321" s="298"/>
      <c r="T321" s="298"/>
      <c r="U321" s="298"/>
      <c r="V321" s="298"/>
      <c r="W321" s="298"/>
      <c r="X321" s="298"/>
      <c r="Y321" s="298"/>
      <c r="Z321" s="298"/>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6"/>
      <c r="BM321" s="311"/>
      <c r="BN321" s="314"/>
    </row>
    <row r="322" s="118" customFormat="1" ht="33.95" customHeight="1" outlineLevel="4" spans="2:66">
      <c r="B322" s="119" t="s">
        <v>799</v>
      </c>
      <c r="C322" s="120" t="s">
        <v>1464</v>
      </c>
      <c r="D322" s="118" t="s">
        <v>1465</v>
      </c>
      <c r="E322" s="119" t="s">
        <v>1466</v>
      </c>
      <c r="F322" s="119"/>
      <c r="G322" s="119" t="s">
        <v>943</v>
      </c>
      <c r="H322" s="119">
        <f t="shared" si="661"/>
        <v>0</v>
      </c>
      <c r="I322" s="119" t="s">
        <v>1447</v>
      </c>
      <c r="J322" s="298"/>
      <c r="K322" s="119" t="s">
        <v>1396</v>
      </c>
      <c r="L322" s="298"/>
      <c r="M322" s="119" t="s">
        <v>1448</v>
      </c>
      <c r="N322" s="119">
        <f t="shared" si="662"/>
        <v>0</v>
      </c>
      <c r="O322" s="298"/>
      <c r="P322" s="298"/>
      <c r="Q322" s="298"/>
      <c r="R322" s="298"/>
      <c r="S322" s="298"/>
      <c r="T322" s="298"/>
      <c r="U322" s="298"/>
      <c r="V322" s="298"/>
      <c r="W322" s="298"/>
      <c r="X322" s="298"/>
      <c r="Y322" s="298"/>
      <c r="Z322" s="298"/>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6"/>
      <c r="BM322" s="311"/>
      <c r="BN322" s="314"/>
    </row>
    <row r="323" s="118" customFormat="1" ht="33.95" customHeight="1" outlineLevel="4" spans="2:66">
      <c r="B323" s="119" t="s">
        <v>799</v>
      </c>
      <c r="C323" s="120" t="s">
        <v>1467</v>
      </c>
      <c r="D323" s="118" t="s">
        <v>1468</v>
      </c>
      <c r="E323" s="119" t="s">
        <v>1469</v>
      </c>
      <c r="F323" s="119"/>
      <c r="G323" s="119" t="s">
        <v>943</v>
      </c>
      <c r="H323" s="119">
        <f t="shared" si="661"/>
        <v>0</v>
      </c>
      <c r="I323" s="119" t="s">
        <v>1447</v>
      </c>
      <c r="J323" s="298"/>
      <c r="K323" s="119" t="s">
        <v>1396</v>
      </c>
      <c r="L323" s="298"/>
      <c r="M323" s="119" t="s">
        <v>1448</v>
      </c>
      <c r="N323" s="119">
        <f t="shared" si="662"/>
        <v>0</v>
      </c>
      <c r="O323" s="298"/>
      <c r="P323" s="298"/>
      <c r="Q323" s="298"/>
      <c r="R323" s="298"/>
      <c r="S323" s="298"/>
      <c r="T323" s="298"/>
      <c r="U323" s="298"/>
      <c r="V323" s="298"/>
      <c r="W323" s="298"/>
      <c r="X323" s="298"/>
      <c r="Y323" s="298"/>
      <c r="Z323" s="298"/>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6"/>
      <c r="BM323" s="311"/>
      <c r="BN323" s="314"/>
    </row>
    <row r="324" s="118" customFormat="1" ht="33.95" customHeight="1" outlineLevel="4" spans="2:66">
      <c r="B324" s="119" t="s">
        <v>799</v>
      </c>
      <c r="C324" s="120" t="s">
        <v>1470</v>
      </c>
      <c r="D324" s="118" t="s">
        <v>1471</v>
      </c>
      <c r="E324" s="119" t="s">
        <v>1472</v>
      </c>
      <c r="F324" s="119"/>
      <c r="G324" s="119" t="s">
        <v>943</v>
      </c>
      <c r="H324" s="119">
        <f t="shared" si="661"/>
        <v>0</v>
      </c>
      <c r="I324" s="119" t="s">
        <v>1447</v>
      </c>
      <c r="J324" s="298"/>
      <c r="K324" s="119" t="s">
        <v>1396</v>
      </c>
      <c r="L324" s="298"/>
      <c r="M324" s="119" t="s">
        <v>1448</v>
      </c>
      <c r="N324" s="119">
        <f t="shared" si="662"/>
        <v>0</v>
      </c>
      <c r="O324" s="298"/>
      <c r="P324" s="298"/>
      <c r="Q324" s="298"/>
      <c r="R324" s="298"/>
      <c r="S324" s="298"/>
      <c r="T324" s="298"/>
      <c r="U324" s="298"/>
      <c r="V324" s="298"/>
      <c r="W324" s="298"/>
      <c r="X324" s="298"/>
      <c r="Y324" s="298"/>
      <c r="Z324" s="298"/>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6"/>
      <c r="BM324" s="311"/>
      <c r="BN324" s="314"/>
    </row>
    <row r="325" s="118" customFormat="1" ht="33.95" customHeight="1" outlineLevel="4" spans="2:66">
      <c r="B325" s="119" t="s">
        <v>799</v>
      </c>
      <c r="C325" s="120" t="s">
        <v>1473</v>
      </c>
      <c r="D325" s="118" t="s">
        <v>1474</v>
      </c>
      <c r="E325" s="119" t="s">
        <v>1475</v>
      </c>
      <c r="F325" s="119"/>
      <c r="G325" s="119" t="s">
        <v>943</v>
      </c>
      <c r="H325" s="119">
        <f t="shared" si="661"/>
        <v>0</v>
      </c>
      <c r="I325" s="119" t="s">
        <v>1447</v>
      </c>
      <c r="J325" s="298"/>
      <c r="K325" s="119" t="s">
        <v>1396</v>
      </c>
      <c r="L325" s="298"/>
      <c r="M325" s="119" t="s">
        <v>1448</v>
      </c>
      <c r="N325" s="119">
        <f t="shared" si="662"/>
        <v>0</v>
      </c>
      <c r="O325" s="298"/>
      <c r="P325" s="298"/>
      <c r="Q325" s="298"/>
      <c r="R325" s="298"/>
      <c r="S325" s="298"/>
      <c r="T325" s="298"/>
      <c r="U325" s="298"/>
      <c r="V325" s="298"/>
      <c r="W325" s="298"/>
      <c r="X325" s="298"/>
      <c r="Y325" s="298"/>
      <c r="Z325" s="298"/>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6"/>
      <c r="BM325" s="311"/>
      <c r="BN325" s="314"/>
    </row>
    <row r="326" s="118" customFormat="1" ht="33.95" customHeight="1" outlineLevel="4" spans="2:66">
      <c r="B326" s="119" t="s">
        <v>799</v>
      </c>
      <c r="C326" s="120" t="s">
        <v>1476</v>
      </c>
      <c r="D326" s="118" t="s">
        <v>1477</v>
      </c>
      <c r="E326" s="119" t="s">
        <v>1478</v>
      </c>
      <c r="F326" s="119"/>
      <c r="G326" s="119" t="s">
        <v>943</v>
      </c>
      <c r="H326" s="119">
        <f t="shared" si="661"/>
        <v>0</v>
      </c>
      <c r="I326" s="119" t="s">
        <v>1447</v>
      </c>
      <c r="J326" s="298"/>
      <c r="K326" s="119" t="s">
        <v>1396</v>
      </c>
      <c r="L326" s="298"/>
      <c r="M326" s="119" t="s">
        <v>1448</v>
      </c>
      <c r="N326" s="119">
        <f t="shared" si="662"/>
        <v>0</v>
      </c>
      <c r="O326" s="298"/>
      <c r="P326" s="298"/>
      <c r="Q326" s="298"/>
      <c r="R326" s="298"/>
      <c r="S326" s="298"/>
      <c r="T326" s="298"/>
      <c r="U326" s="298"/>
      <c r="V326" s="298"/>
      <c r="W326" s="298"/>
      <c r="X326" s="298"/>
      <c r="Y326" s="298"/>
      <c r="Z326" s="298"/>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6"/>
      <c r="BM326" s="311"/>
      <c r="BN326" s="314"/>
    </row>
    <row r="327" s="118" customFormat="1" ht="33.95" customHeight="1" outlineLevel="4" spans="2:66">
      <c r="B327" s="119" t="s">
        <v>799</v>
      </c>
      <c r="C327" s="120" t="s">
        <v>1479</v>
      </c>
      <c r="D327" s="118" t="s">
        <v>1480</v>
      </c>
      <c r="E327" s="119" t="s">
        <v>1481</v>
      </c>
      <c r="F327" s="119"/>
      <c r="G327" s="119" t="s">
        <v>943</v>
      </c>
      <c r="H327" s="119">
        <f t="shared" si="661"/>
        <v>0</v>
      </c>
      <c r="I327" s="119" t="s">
        <v>1447</v>
      </c>
      <c r="J327" s="298"/>
      <c r="K327" s="119" t="s">
        <v>1396</v>
      </c>
      <c r="L327" s="298"/>
      <c r="M327" s="119" t="s">
        <v>1448</v>
      </c>
      <c r="N327" s="119">
        <f t="shared" si="662"/>
        <v>0</v>
      </c>
      <c r="O327" s="298"/>
      <c r="P327" s="298"/>
      <c r="Q327" s="298"/>
      <c r="R327" s="298"/>
      <c r="S327" s="298"/>
      <c r="T327" s="298"/>
      <c r="U327" s="298"/>
      <c r="V327" s="298"/>
      <c r="W327" s="298"/>
      <c r="X327" s="298"/>
      <c r="Y327" s="298"/>
      <c r="Z327" s="298"/>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6"/>
      <c r="BM327" s="311"/>
      <c r="BN327" s="314"/>
    </row>
    <row r="328" s="118" customFormat="1" ht="33.95" customHeight="1" outlineLevel="4" spans="2:66">
      <c r="B328" s="119" t="s">
        <v>799</v>
      </c>
      <c r="C328" s="120" t="s">
        <v>1482</v>
      </c>
      <c r="D328" s="118" t="s">
        <v>1483</v>
      </c>
      <c r="E328" s="119" t="s">
        <v>1451</v>
      </c>
      <c r="F328" s="119"/>
      <c r="G328" s="119" t="s">
        <v>943</v>
      </c>
      <c r="H328" s="119">
        <f t="shared" si="661"/>
        <v>0</v>
      </c>
      <c r="I328" s="119" t="s">
        <v>1447</v>
      </c>
      <c r="J328" s="298"/>
      <c r="K328" s="119" t="s">
        <v>1396</v>
      </c>
      <c r="L328" s="298"/>
      <c r="M328" s="119" t="s">
        <v>1448</v>
      </c>
      <c r="N328" s="119">
        <f t="shared" si="662"/>
        <v>0</v>
      </c>
      <c r="O328" s="298"/>
      <c r="P328" s="298"/>
      <c r="Q328" s="298"/>
      <c r="R328" s="298"/>
      <c r="S328" s="298"/>
      <c r="T328" s="298"/>
      <c r="U328" s="298"/>
      <c r="V328" s="298"/>
      <c r="W328" s="298"/>
      <c r="X328" s="298"/>
      <c r="Y328" s="298"/>
      <c r="Z328" s="298"/>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6"/>
      <c r="BM328" s="311"/>
      <c r="BN328" s="314"/>
    </row>
    <row r="329" s="118" customFormat="1" ht="33.95" customHeight="1" outlineLevel="4" spans="2:66">
      <c r="B329" s="119" t="s">
        <v>799</v>
      </c>
      <c r="C329" s="120" t="s">
        <v>1484</v>
      </c>
      <c r="D329" s="118" t="s">
        <v>1485</v>
      </c>
      <c r="E329" s="119" t="s">
        <v>1454</v>
      </c>
      <c r="F329" s="119"/>
      <c r="G329" s="119" t="s">
        <v>943</v>
      </c>
      <c r="H329" s="119">
        <f t="shared" si="661"/>
        <v>0</v>
      </c>
      <c r="I329" s="119" t="s">
        <v>1447</v>
      </c>
      <c r="J329" s="298"/>
      <c r="K329" s="119" t="s">
        <v>1396</v>
      </c>
      <c r="L329" s="298"/>
      <c r="M329" s="119" t="s">
        <v>1448</v>
      </c>
      <c r="N329" s="119">
        <f t="shared" si="662"/>
        <v>0</v>
      </c>
      <c r="O329" s="298"/>
      <c r="P329" s="298"/>
      <c r="Q329" s="298"/>
      <c r="R329" s="298"/>
      <c r="S329" s="298"/>
      <c r="T329" s="298"/>
      <c r="U329" s="298"/>
      <c r="V329" s="298"/>
      <c r="W329" s="298"/>
      <c r="X329" s="298"/>
      <c r="Y329" s="298"/>
      <c r="Z329" s="298"/>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6"/>
      <c r="BM329" s="311"/>
      <c r="BN329" s="314"/>
    </row>
    <row r="330" s="118" customFormat="1" ht="33.95" customHeight="1" outlineLevel="4" spans="2:66">
      <c r="B330" s="119" t="s">
        <v>799</v>
      </c>
      <c r="C330" s="120" t="s">
        <v>1486</v>
      </c>
      <c r="D330" s="118" t="s">
        <v>1487</v>
      </c>
      <c r="E330" s="119" t="s">
        <v>1457</v>
      </c>
      <c r="F330" s="119"/>
      <c r="G330" s="119" t="s">
        <v>943</v>
      </c>
      <c r="H330" s="119">
        <f t="shared" si="661"/>
        <v>0</v>
      </c>
      <c r="I330" s="119" t="s">
        <v>1447</v>
      </c>
      <c r="J330" s="298"/>
      <c r="K330" s="119" t="s">
        <v>1396</v>
      </c>
      <c r="L330" s="298"/>
      <c r="M330" s="119" t="s">
        <v>1448</v>
      </c>
      <c r="N330" s="119">
        <f t="shared" si="662"/>
        <v>0</v>
      </c>
      <c r="O330" s="298"/>
      <c r="P330" s="298"/>
      <c r="Q330" s="298"/>
      <c r="R330" s="298"/>
      <c r="S330" s="298"/>
      <c r="T330" s="298"/>
      <c r="U330" s="298"/>
      <c r="V330" s="298"/>
      <c r="W330" s="298"/>
      <c r="X330" s="298"/>
      <c r="Y330" s="298"/>
      <c r="Z330" s="298"/>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6"/>
      <c r="BM330" s="311"/>
      <c r="BN330" s="314"/>
    </row>
    <row r="331" s="118" customFormat="1" ht="33.95" customHeight="1" outlineLevel="4" spans="2:66">
      <c r="B331" s="119" t="s">
        <v>799</v>
      </c>
      <c r="C331" s="120" t="s">
        <v>1488</v>
      </c>
      <c r="D331" s="118" t="s">
        <v>1489</v>
      </c>
      <c r="E331" s="119" t="s">
        <v>1460</v>
      </c>
      <c r="F331" s="119"/>
      <c r="G331" s="119" t="s">
        <v>943</v>
      </c>
      <c r="H331" s="119">
        <f t="shared" si="661"/>
        <v>0</v>
      </c>
      <c r="I331" s="119" t="s">
        <v>1447</v>
      </c>
      <c r="J331" s="298"/>
      <c r="K331" s="119" t="s">
        <v>1396</v>
      </c>
      <c r="L331" s="298"/>
      <c r="M331" s="119" t="s">
        <v>1448</v>
      </c>
      <c r="N331" s="119">
        <f t="shared" si="662"/>
        <v>0</v>
      </c>
      <c r="O331" s="298"/>
      <c r="P331" s="298"/>
      <c r="Q331" s="298"/>
      <c r="R331" s="298"/>
      <c r="S331" s="298"/>
      <c r="T331" s="298"/>
      <c r="U331" s="298"/>
      <c r="V331" s="298"/>
      <c r="W331" s="298"/>
      <c r="X331" s="298"/>
      <c r="Y331" s="298"/>
      <c r="Z331" s="298"/>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6"/>
      <c r="BM331" s="311"/>
      <c r="BN331" s="314"/>
    </row>
    <row r="332" s="118" customFormat="1" ht="33.95" customHeight="1" outlineLevel="4" spans="2:66">
      <c r="B332" s="119" t="s">
        <v>799</v>
      </c>
      <c r="C332" s="120" t="s">
        <v>1490</v>
      </c>
      <c r="D332" s="118" t="s">
        <v>1491</v>
      </c>
      <c r="E332" s="119" t="s">
        <v>1463</v>
      </c>
      <c r="F332" s="119"/>
      <c r="G332" s="119" t="s">
        <v>943</v>
      </c>
      <c r="H332" s="119">
        <f t="shared" si="661"/>
        <v>0</v>
      </c>
      <c r="I332" s="119" t="s">
        <v>1447</v>
      </c>
      <c r="J332" s="298"/>
      <c r="K332" s="119" t="s">
        <v>1396</v>
      </c>
      <c r="L332" s="298"/>
      <c r="M332" s="119" t="s">
        <v>1448</v>
      </c>
      <c r="N332" s="119">
        <f t="shared" si="662"/>
        <v>0</v>
      </c>
      <c r="O332" s="298"/>
      <c r="P332" s="298"/>
      <c r="Q332" s="298"/>
      <c r="R332" s="298"/>
      <c r="S332" s="298"/>
      <c r="T332" s="298"/>
      <c r="U332" s="298"/>
      <c r="V332" s="298"/>
      <c r="W332" s="298"/>
      <c r="X332" s="298"/>
      <c r="Y332" s="298"/>
      <c r="Z332" s="298"/>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6"/>
      <c r="BM332" s="311"/>
      <c r="BN332" s="314"/>
    </row>
    <row r="333" s="118" customFormat="1" ht="33.95" customHeight="1" outlineLevel="4" spans="2:66">
      <c r="B333" s="119" t="s">
        <v>799</v>
      </c>
      <c r="C333" s="120" t="s">
        <v>1492</v>
      </c>
      <c r="D333" s="118" t="s">
        <v>1493</v>
      </c>
      <c r="E333" s="119" t="s">
        <v>1494</v>
      </c>
      <c r="F333" s="119"/>
      <c r="G333" s="119" t="s">
        <v>943</v>
      </c>
      <c r="H333" s="119">
        <f t="shared" si="661"/>
        <v>0</v>
      </c>
      <c r="I333" s="119" t="s">
        <v>1447</v>
      </c>
      <c r="J333" s="298"/>
      <c r="K333" s="119" t="s">
        <v>1396</v>
      </c>
      <c r="L333" s="298"/>
      <c r="M333" s="119" t="s">
        <v>1448</v>
      </c>
      <c r="N333" s="119">
        <f t="shared" si="662"/>
        <v>0</v>
      </c>
      <c r="O333" s="298"/>
      <c r="P333" s="298"/>
      <c r="Q333" s="298"/>
      <c r="R333" s="298"/>
      <c r="S333" s="298"/>
      <c r="T333" s="298"/>
      <c r="U333" s="298"/>
      <c r="V333" s="298"/>
      <c r="W333" s="298"/>
      <c r="X333" s="298"/>
      <c r="Y333" s="298"/>
      <c r="Z333" s="298"/>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6"/>
      <c r="BM333" s="311"/>
      <c r="BN333" s="314"/>
    </row>
    <row r="334" s="118" customFormat="1" ht="33.95" customHeight="1" outlineLevel="4" spans="2:66">
      <c r="B334" s="119" t="s">
        <v>799</v>
      </c>
      <c r="C334" s="120" t="s">
        <v>1495</v>
      </c>
      <c r="D334" s="118" t="s">
        <v>1496</v>
      </c>
      <c r="E334" s="119" t="s">
        <v>1497</v>
      </c>
      <c r="F334" s="119"/>
      <c r="G334" s="119" t="s">
        <v>943</v>
      </c>
      <c r="H334" s="119">
        <f t="shared" si="661"/>
        <v>0</v>
      </c>
      <c r="I334" s="119" t="s">
        <v>1447</v>
      </c>
      <c r="J334" s="298"/>
      <c r="K334" s="119" t="s">
        <v>1396</v>
      </c>
      <c r="L334" s="298"/>
      <c r="M334" s="119" t="s">
        <v>1448</v>
      </c>
      <c r="N334" s="119">
        <f t="shared" si="662"/>
        <v>0</v>
      </c>
      <c r="O334" s="298"/>
      <c r="P334" s="316"/>
      <c r="Q334" s="316"/>
      <c r="R334" s="316"/>
      <c r="S334" s="316"/>
      <c r="T334" s="316"/>
      <c r="U334" s="316"/>
      <c r="V334" s="316"/>
      <c r="W334" s="316"/>
      <c r="X334" s="316"/>
      <c r="Y334" s="316"/>
      <c r="Z334" s="316"/>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6"/>
      <c r="BM334" s="311"/>
      <c r="BN334" s="314"/>
    </row>
    <row r="335" s="47" customFormat="1" ht="33.95" customHeight="1" outlineLevel="3" spans="2:66">
      <c r="B335" s="115" t="s">
        <v>794</v>
      </c>
      <c r="C335" s="116" t="s">
        <v>1498</v>
      </c>
      <c r="D335" s="47" t="s">
        <v>1499</v>
      </c>
      <c r="E335" s="115"/>
      <c r="F335" s="115"/>
      <c r="G335" s="115"/>
      <c r="H335" s="115">
        <f>SUM(H336:H355)</f>
        <v>0</v>
      </c>
      <c r="I335" s="115"/>
      <c r="J335" s="115"/>
      <c r="K335" s="115"/>
      <c r="L335" s="115"/>
      <c r="M335" s="115"/>
      <c r="N335" s="115"/>
      <c r="O335" s="115"/>
      <c r="P335" s="288"/>
      <c r="Q335" s="288"/>
      <c r="R335" s="288"/>
      <c r="S335" s="288"/>
      <c r="T335" s="288"/>
      <c r="U335" s="288"/>
      <c r="V335" s="288"/>
      <c r="W335" s="288"/>
      <c r="X335" s="288"/>
      <c r="Y335" s="288"/>
      <c r="Z335" s="288"/>
      <c r="AA335" s="288"/>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5"/>
      <c r="BM335" s="311"/>
      <c r="BN335" s="313"/>
    </row>
    <row r="336" s="118" customFormat="1" ht="33.95" customHeight="1" outlineLevel="4" spans="2:66">
      <c r="B336" s="119" t="s">
        <v>799</v>
      </c>
      <c r="C336" s="120" t="s">
        <v>1500</v>
      </c>
      <c r="D336" s="118" t="s">
        <v>1501</v>
      </c>
      <c r="E336" s="119" t="s">
        <v>1502</v>
      </c>
      <c r="F336" s="119"/>
      <c r="G336" s="119" t="s">
        <v>943</v>
      </c>
      <c r="H336" s="119">
        <f t="shared" ref="H336:H355" si="677">IFERROR(J336*L336*N336,0)</f>
        <v>0</v>
      </c>
      <c r="I336" s="119" t="s">
        <v>1242</v>
      </c>
      <c r="J336" s="298"/>
      <c r="K336" s="119" t="s">
        <v>1150</v>
      </c>
      <c r="L336" s="298"/>
      <c r="M336" s="119" t="s">
        <v>1183</v>
      </c>
      <c r="N336" s="119">
        <f t="shared" ref="N336:N355" si="678">COUNTA(O336:Z336)</f>
        <v>0</v>
      </c>
      <c r="O336" s="298"/>
      <c r="P336" s="317"/>
      <c r="Q336" s="317"/>
      <c r="R336" s="317"/>
      <c r="S336" s="317"/>
      <c r="T336" s="317"/>
      <c r="U336" s="317"/>
      <c r="V336" s="317"/>
      <c r="W336" s="317"/>
      <c r="X336" s="317"/>
      <c r="Y336" s="317"/>
      <c r="Z336" s="317"/>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6"/>
      <c r="BM336" s="311"/>
      <c r="BN336" s="314"/>
    </row>
    <row r="337" s="118" customFormat="1" ht="33.95" customHeight="1" outlineLevel="4" spans="2:66">
      <c r="B337" s="119" t="s">
        <v>799</v>
      </c>
      <c r="C337" s="120" t="s">
        <v>1503</v>
      </c>
      <c r="D337" s="118" t="s">
        <v>1504</v>
      </c>
      <c r="E337" s="119" t="s">
        <v>1502</v>
      </c>
      <c r="F337" s="119"/>
      <c r="G337" s="119" t="s">
        <v>943</v>
      </c>
      <c r="H337" s="119">
        <f t="shared" si="677"/>
        <v>0</v>
      </c>
      <c r="I337" s="119" t="s">
        <v>1242</v>
      </c>
      <c r="J337" s="298"/>
      <c r="K337" s="119" t="s">
        <v>1150</v>
      </c>
      <c r="L337" s="298"/>
      <c r="M337" s="119" t="s">
        <v>1183</v>
      </c>
      <c r="N337" s="119">
        <f t="shared" si="678"/>
        <v>0</v>
      </c>
      <c r="O337" s="298"/>
      <c r="P337" s="298"/>
      <c r="Q337" s="298"/>
      <c r="R337" s="298"/>
      <c r="S337" s="298"/>
      <c r="T337" s="298"/>
      <c r="U337" s="298"/>
      <c r="V337" s="298"/>
      <c r="W337" s="298"/>
      <c r="X337" s="298"/>
      <c r="Y337" s="298"/>
      <c r="Z337" s="298"/>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6"/>
      <c r="BM337" s="311"/>
      <c r="BN337" s="314"/>
    </row>
    <row r="338" s="118" customFormat="1" ht="33.95" customHeight="1" outlineLevel="4" spans="2:66">
      <c r="B338" s="119" t="s">
        <v>799</v>
      </c>
      <c r="C338" s="120" t="s">
        <v>1505</v>
      </c>
      <c r="D338" s="118" t="s">
        <v>1506</v>
      </c>
      <c r="E338" s="119" t="s">
        <v>1502</v>
      </c>
      <c r="F338" s="119"/>
      <c r="G338" s="119" t="s">
        <v>943</v>
      </c>
      <c r="H338" s="119">
        <f t="shared" si="677"/>
        <v>0</v>
      </c>
      <c r="I338" s="119" t="s">
        <v>1242</v>
      </c>
      <c r="J338" s="298"/>
      <c r="K338" s="119" t="s">
        <v>1150</v>
      </c>
      <c r="L338" s="298"/>
      <c r="M338" s="119" t="s">
        <v>1183</v>
      </c>
      <c r="N338" s="119">
        <f t="shared" si="678"/>
        <v>0</v>
      </c>
      <c r="O338" s="298"/>
      <c r="P338" s="298"/>
      <c r="Q338" s="298"/>
      <c r="R338" s="298"/>
      <c r="S338" s="298"/>
      <c r="T338" s="298"/>
      <c r="U338" s="298"/>
      <c r="V338" s="298"/>
      <c r="W338" s="298"/>
      <c r="X338" s="298"/>
      <c r="Y338" s="298"/>
      <c r="Z338" s="298"/>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6"/>
      <c r="BM338" s="311"/>
      <c r="BN338" s="314"/>
    </row>
    <row r="339" s="118" customFormat="1" ht="33.95" customHeight="1" outlineLevel="4" spans="2:66">
      <c r="B339" s="119" t="s">
        <v>799</v>
      </c>
      <c r="C339" s="120" t="s">
        <v>1507</v>
      </c>
      <c r="D339" s="118" t="s">
        <v>1508</v>
      </c>
      <c r="E339" s="119" t="s">
        <v>1502</v>
      </c>
      <c r="F339" s="119"/>
      <c r="G339" s="119" t="s">
        <v>943</v>
      </c>
      <c r="H339" s="119">
        <f t="shared" si="677"/>
        <v>0</v>
      </c>
      <c r="I339" s="119" t="s">
        <v>1242</v>
      </c>
      <c r="J339" s="298"/>
      <c r="K339" s="119" t="s">
        <v>1150</v>
      </c>
      <c r="L339" s="298"/>
      <c r="M339" s="119" t="s">
        <v>1183</v>
      </c>
      <c r="N339" s="119">
        <f t="shared" si="678"/>
        <v>0</v>
      </c>
      <c r="O339" s="298"/>
      <c r="P339" s="298"/>
      <c r="Q339" s="298"/>
      <c r="R339" s="298"/>
      <c r="S339" s="298"/>
      <c r="T339" s="298"/>
      <c r="U339" s="298"/>
      <c r="V339" s="298"/>
      <c r="W339" s="298"/>
      <c r="X339" s="298"/>
      <c r="Y339" s="298"/>
      <c r="Z339" s="298"/>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6"/>
      <c r="BM339" s="311"/>
      <c r="BN339" s="314"/>
    </row>
    <row r="340" s="118" customFormat="1" ht="33.95" customHeight="1" outlineLevel="4" spans="2:66">
      <c r="B340" s="119" t="s">
        <v>799</v>
      </c>
      <c r="C340" s="120" t="s">
        <v>1509</v>
      </c>
      <c r="D340" s="118" t="s">
        <v>1510</v>
      </c>
      <c r="E340" s="119" t="s">
        <v>1502</v>
      </c>
      <c r="F340" s="119"/>
      <c r="G340" s="119" t="s">
        <v>943</v>
      </c>
      <c r="H340" s="119">
        <f t="shared" si="677"/>
        <v>0</v>
      </c>
      <c r="I340" s="119" t="s">
        <v>1242</v>
      </c>
      <c r="J340" s="298"/>
      <c r="K340" s="119" t="s">
        <v>1150</v>
      </c>
      <c r="L340" s="298"/>
      <c r="M340" s="119" t="s">
        <v>1183</v>
      </c>
      <c r="N340" s="119">
        <f t="shared" si="678"/>
        <v>0</v>
      </c>
      <c r="O340" s="298"/>
      <c r="P340" s="298"/>
      <c r="Q340" s="298"/>
      <c r="R340" s="298"/>
      <c r="S340" s="298"/>
      <c r="T340" s="298"/>
      <c r="U340" s="298"/>
      <c r="V340" s="298"/>
      <c r="W340" s="298"/>
      <c r="X340" s="298"/>
      <c r="Y340" s="298"/>
      <c r="Z340" s="298"/>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6"/>
      <c r="BM340" s="311"/>
      <c r="BN340" s="314"/>
    </row>
    <row r="341" s="118" customFormat="1" ht="33.95" customHeight="1" outlineLevel="4" spans="2:66">
      <c r="B341" s="119" t="s">
        <v>799</v>
      </c>
      <c r="C341" s="120" t="s">
        <v>1511</v>
      </c>
      <c r="D341" s="118" t="s">
        <v>1512</v>
      </c>
      <c r="E341" s="119" t="s">
        <v>1502</v>
      </c>
      <c r="F341" s="119"/>
      <c r="G341" s="119" t="s">
        <v>943</v>
      </c>
      <c r="H341" s="119">
        <f t="shared" si="677"/>
        <v>0</v>
      </c>
      <c r="I341" s="119" t="s">
        <v>1242</v>
      </c>
      <c r="J341" s="298"/>
      <c r="K341" s="119" t="s">
        <v>1150</v>
      </c>
      <c r="L341" s="298"/>
      <c r="M341" s="119" t="s">
        <v>1183</v>
      </c>
      <c r="N341" s="119">
        <f t="shared" si="678"/>
        <v>0</v>
      </c>
      <c r="O341" s="298"/>
      <c r="P341" s="298"/>
      <c r="Q341" s="298"/>
      <c r="R341" s="298"/>
      <c r="S341" s="298"/>
      <c r="T341" s="298"/>
      <c r="U341" s="298"/>
      <c r="V341" s="298"/>
      <c r="W341" s="298"/>
      <c r="X341" s="298"/>
      <c r="Y341" s="298"/>
      <c r="Z341" s="298"/>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6"/>
      <c r="BM341" s="311"/>
      <c r="BN341" s="314"/>
    </row>
    <row r="342" s="118" customFormat="1" ht="33.95" customHeight="1" outlineLevel="4" spans="2:66">
      <c r="B342" s="119" t="s">
        <v>799</v>
      </c>
      <c r="C342" s="120" t="s">
        <v>1513</v>
      </c>
      <c r="D342" s="118" t="s">
        <v>1514</v>
      </c>
      <c r="E342" s="119" t="s">
        <v>1515</v>
      </c>
      <c r="F342" s="119"/>
      <c r="G342" s="119" t="s">
        <v>943</v>
      </c>
      <c r="H342" s="119">
        <f t="shared" si="677"/>
        <v>0</v>
      </c>
      <c r="I342" s="119" t="s">
        <v>1242</v>
      </c>
      <c r="J342" s="298"/>
      <c r="K342" s="119" t="s">
        <v>1150</v>
      </c>
      <c r="L342" s="298"/>
      <c r="M342" s="119" t="s">
        <v>1183</v>
      </c>
      <c r="N342" s="119">
        <f t="shared" si="678"/>
        <v>0</v>
      </c>
      <c r="O342" s="298"/>
      <c r="P342" s="298"/>
      <c r="Q342" s="298"/>
      <c r="R342" s="298"/>
      <c r="S342" s="298"/>
      <c r="T342" s="298"/>
      <c r="U342" s="298"/>
      <c r="V342" s="298"/>
      <c r="W342" s="298"/>
      <c r="X342" s="298"/>
      <c r="Y342" s="298"/>
      <c r="Z342" s="298"/>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6"/>
      <c r="BM342" s="311"/>
      <c r="BN342" s="314"/>
    </row>
    <row r="343" s="118" customFormat="1" ht="33.95" customHeight="1" outlineLevel="4" spans="2:66">
      <c r="B343" s="119" t="s">
        <v>799</v>
      </c>
      <c r="C343" s="120" t="s">
        <v>1516</v>
      </c>
      <c r="D343" s="118" t="s">
        <v>1517</v>
      </c>
      <c r="E343" s="119" t="s">
        <v>1515</v>
      </c>
      <c r="F343" s="119"/>
      <c r="G343" s="119" t="s">
        <v>943</v>
      </c>
      <c r="H343" s="119">
        <f t="shared" si="677"/>
        <v>0</v>
      </c>
      <c r="I343" s="119" t="s">
        <v>1242</v>
      </c>
      <c r="J343" s="298"/>
      <c r="K343" s="119" t="s">
        <v>1150</v>
      </c>
      <c r="L343" s="298"/>
      <c r="M343" s="119" t="s">
        <v>1183</v>
      </c>
      <c r="N343" s="119">
        <f t="shared" si="678"/>
        <v>0</v>
      </c>
      <c r="O343" s="298"/>
      <c r="P343" s="298"/>
      <c r="Q343" s="298"/>
      <c r="R343" s="298"/>
      <c r="S343" s="298"/>
      <c r="T343" s="298"/>
      <c r="U343" s="298"/>
      <c r="V343" s="298"/>
      <c r="W343" s="298"/>
      <c r="X343" s="298"/>
      <c r="Y343" s="298"/>
      <c r="Z343" s="298"/>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6"/>
      <c r="BM343" s="311"/>
      <c r="BN343" s="314"/>
    </row>
    <row r="344" s="118" customFormat="1" ht="33.95" customHeight="1" outlineLevel="4" spans="2:66">
      <c r="B344" s="119" t="s">
        <v>799</v>
      </c>
      <c r="C344" s="120" t="s">
        <v>1518</v>
      </c>
      <c r="D344" s="118" t="s">
        <v>1519</v>
      </c>
      <c r="E344" s="119" t="s">
        <v>1520</v>
      </c>
      <c r="F344" s="119"/>
      <c r="G344" s="119" t="s">
        <v>943</v>
      </c>
      <c r="H344" s="119">
        <f t="shared" si="677"/>
        <v>0</v>
      </c>
      <c r="I344" s="119" t="s">
        <v>1242</v>
      </c>
      <c r="J344" s="298"/>
      <c r="K344" s="119" t="s">
        <v>1150</v>
      </c>
      <c r="L344" s="298"/>
      <c r="M344" s="119" t="s">
        <v>1183</v>
      </c>
      <c r="N344" s="119">
        <f t="shared" si="678"/>
        <v>0</v>
      </c>
      <c r="O344" s="298"/>
      <c r="P344" s="298"/>
      <c r="Q344" s="298"/>
      <c r="R344" s="298"/>
      <c r="S344" s="298"/>
      <c r="T344" s="298"/>
      <c r="U344" s="298"/>
      <c r="V344" s="298"/>
      <c r="W344" s="298"/>
      <c r="X344" s="298"/>
      <c r="Y344" s="298"/>
      <c r="Z344" s="298"/>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6"/>
      <c r="BM344" s="311"/>
      <c r="BN344" s="314"/>
    </row>
    <row r="345" s="118" customFormat="1" ht="33.95" customHeight="1" outlineLevel="4" spans="2:66">
      <c r="B345" s="119" t="s">
        <v>799</v>
      </c>
      <c r="C345" s="120" t="s">
        <v>1521</v>
      </c>
      <c r="D345" s="118" t="s">
        <v>1522</v>
      </c>
      <c r="E345" s="119" t="s">
        <v>1523</v>
      </c>
      <c r="F345" s="119"/>
      <c r="G345" s="119" t="s">
        <v>943</v>
      </c>
      <c r="H345" s="119">
        <f t="shared" si="677"/>
        <v>0</v>
      </c>
      <c r="I345" s="119" t="s">
        <v>1242</v>
      </c>
      <c r="J345" s="298"/>
      <c r="K345" s="119" t="s">
        <v>1150</v>
      </c>
      <c r="L345" s="298"/>
      <c r="M345" s="119" t="s">
        <v>1183</v>
      </c>
      <c r="N345" s="119">
        <f t="shared" si="678"/>
        <v>0</v>
      </c>
      <c r="O345" s="298"/>
      <c r="P345" s="298"/>
      <c r="Q345" s="298"/>
      <c r="R345" s="298"/>
      <c r="S345" s="298"/>
      <c r="T345" s="298"/>
      <c r="U345" s="298"/>
      <c r="V345" s="298"/>
      <c r="W345" s="298"/>
      <c r="X345" s="298"/>
      <c r="Y345" s="298"/>
      <c r="Z345" s="298"/>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6"/>
      <c r="BM345" s="311"/>
      <c r="BN345" s="314"/>
    </row>
    <row r="346" s="118" customFormat="1" ht="33.95" customHeight="1" outlineLevel="4" spans="2:66">
      <c r="B346" s="119" t="s">
        <v>799</v>
      </c>
      <c r="C346" s="120" t="s">
        <v>1524</v>
      </c>
      <c r="D346" s="118" t="s">
        <v>1525</v>
      </c>
      <c r="E346" s="119" t="s">
        <v>1526</v>
      </c>
      <c r="F346" s="119"/>
      <c r="G346" s="119" t="s">
        <v>943</v>
      </c>
      <c r="H346" s="119">
        <f t="shared" si="677"/>
        <v>0</v>
      </c>
      <c r="I346" s="119" t="s">
        <v>1242</v>
      </c>
      <c r="J346" s="298"/>
      <c r="K346" s="119" t="s">
        <v>1150</v>
      </c>
      <c r="L346" s="298"/>
      <c r="M346" s="119" t="s">
        <v>1183</v>
      </c>
      <c r="N346" s="119">
        <f t="shared" si="678"/>
        <v>0</v>
      </c>
      <c r="O346" s="298"/>
      <c r="P346" s="298"/>
      <c r="Q346" s="298"/>
      <c r="R346" s="298"/>
      <c r="S346" s="298"/>
      <c r="T346" s="298"/>
      <c r="U346" s="298"/>
      <c r="V346" s="298"/>
      <c r="W346" s="298"/>
      <c r="X346" s="298"/>
      <c r="Y346" s="298"/>
      <c r="Z346" s="298"/>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6"/>
      <c r="BM346" s="311"/>
      <c r="BN346" s="314"/>
    </row>
    <row r="347" s="118" customFormat="1" ht="33.95" customHeight="1" outlineLevel="4" spans="2:66">
      <c r="B347" s="119" t="s">
        <v>799</v>
      </c>
      <c r="C347" s="120" t="s">
        <v>1527</v>
      </c>
      <c r="D347" s="118" t="s">
        <v>1528</v>
      </c>
      <c r="E347" s="119" t="s">
        <v>1529</v>
      </c>
      <c r="F347" s="119"/>
      <c r="G347" s="119" t="s">
        <v>943</v>
      </c>
      <c r="H347" s="119">
        <f t="shared" si="677"/>
        <v>0</v>
      </c>
      <c r="I347" s="119" t="s">
        <v>1242</v>
      </c>
      <c r="J347" s="298"/>
      <c r="K347" s="119" t="s">
        <v>1150</v>
      </c>
      <c r="L347" s="298"/>
      <c r="M347" s="119" t="s">
        <v>1183</v>
      </c>
      <c r="N347" s="119">
        <f t="shared" si="678"/>
        <v>0</v>
      </c>
      <c r="O347" s="298"/>
      <c r="P347" s="298"/>
      <c r="Q347" s="298"/>
      <c r="R347" s="298"/>
      <c r="S347" s="298"/>
      <c r="T347" s="298"/>
      <c r="U347" s="298"/>
      <c r="V347" s="298"/>
      <c r="W347" s="298"/>
      <c r="X347" s="298"/>
      <c r="Y347" s="298"/>
      <c r="Z347" s="298"/>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6"/>
      <c r="BM347" s="311"/>
      <c r="BN347" s="314"/>
    </row>
    <row r="348" s="118" customFormat="1" ht="33.95" customHeight="1" outlineLevel="4" spans="2:66">
      <c r="B348" s="119" t="s">
        <v>799</v>
      </c>
      <c r="C348" s="120" t="s">
        <v>1530</v>
      </c>
      <c r="D348" s="118" t="s">
        <v>1531</v>
      </c>
      <c r="E348" s="119" t="s">
        <v>1532</v>
      </c>
      <c r="F348" s="119"/>
      <c r="G348" s="119" t="s">
        <v>943</v>
      </c>
      <c r="H348" s="119">
        <f t="shared" si="677"/>
        <v>0</v>
      </c>
      <c r="I348" s="119" t="s">
        <v>1242</v>
      </c>
      <c r="J348" s="298"/>
      <c r="K348" s="119" t="s">
        <v>1150</v>
      </c>
      <c r="L348" s="298"/>
      <c r="M348" s="119" t="s">
        <v>1183</v>
      </c>
      <c r="N348" s="119">
        <f t="shared" si="678"/>
        <v>0</v>
      </c>
      <c r="O348" s="298"/>
      <c r="P348" s="298"/>
      <c r="Q348" s="298"/>
      <c r="R348" s="298"/>
      <c r="S348" s="298"/>
      <c r="T348" s="298"/>
      <c r="U348" s="298"/>
      <c r="V348" s="298"/>
      <c r="W348" s="298"/>
      <c r="X348" s="298"/>
      <c r="Y348" s="298"/>
      <c r="Z348" s="298"/>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6"/>
      <c r="BM348" s="311"/>
      <c r="BN348" s="314"/>
    </row>
    <row r="349" s="118" customFormat="1" ht="33.95" customHeight="1" outlineLevel="4" spans="2:66">
      <c r="B349" s="119" t="s">
        <v>799</v>
      </c>
      <c r="C349" s="120" t="s">
        <v>1533</v>
      </c>
      <c r="D349" s="118" t="s">
        <v>1534</v>
      </c>
      <c r="E349" s="119" t="s">
        <v>1535</v>
      </c>
      <c r="F349" s="119"/>
      <c r="G349" s="119" t="s">
        <v>943</v>
      </c>
      <c r="H349" s="119">
        <f t="shared" si="677"/>
        <v>0</v>
      </c>
      <c r="I349" s="119" t="s">
        <v>1536</v>
      </c>
      <c r="J349" s="119">
        <v>1</v>
      </c>
      <c r="K349" s="119" t="s">
        <v>1243</v>
      </c>
      <c r="L349" s="298"/>
      <c r="M349" s="119" t="s">
        <v>1537</v>
      </c>
      <c r="N349" s="119">
        <f t="shared" si="678"/>
        <v>0</v>
      </c>
      <c r="O349" s="298"/>
      <c r="P349" s="298"/>
      <c r="Q349" s="298"/>
      <c r="R349" s="298"/>
      <c r="S349" s="298"/>
      <c r="T349" s="298"/>
      <c r="U349" s="298"/>
      <c r="V349" s="298"/>
      <c r="W349" s="298"/>
      <c r="X349" s="298"/>
      <c r="Y349" s="298"/>
      <c r="Z349" s="298"/>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6"/>
      <c r="BM349" s="311"/>
      <c r="BN349" s="314"/>
    </row>
    <row r="350" s="118" customFormat="1" ht="33.95" customHeight="1" outlineLevel="4" spans="2:66">
      <c r="B350" s="119" t="s">
        <v>799</v>
      </c>
      <c r="C350" s="120" t="s">
        <v>1538</v>
      </c>
      <c r="D350" s="118" t="s">
        <v>1539</v>
      </c>
      <c r="E350" s="119" t="s">
        <v>1535</v>
      </c>
      <c r="F350" s="119"/>
      <c r="G350" s="119" t="s">
        <v>943</v>
      </c>
      <c r="H350" s="119">
        <f t="shared" si="677"/>
        <v>0</v>
      </c>
      <c r="I350" s="119" t="s">
        <v>1536</v>
      </c>
      <c r="J350" s="119">
        <v>1</v>
      </c>
      <c r="K350" s="119" t="s">
        <v>1243</v>
      </c>
      <c r="L350" s="298"/>
      <c r="M350" s="119" t="s">
        <v>1537</v>
      </c>
      <c r="N350" s="119">
        <f t="shared" si="678"/>
        <v>0</v>
      </c>
      <c r="O350" s="298"/>
      <c r="P350" s="298"/>
      <c r="Q350" s="298"/>
      <c r="R350" s="298"/>
      <c r="S350" s="298"/>
      <c r="T350" s="298"/>
      <c r="U350" s="298"/>
      <c r="V350" s="298"/>
      <c r="W350" s="298"/>
      <c r="X350" s="298"/>
      <c r="Y350" s="298"/>
      <c r="Z350" s="298"/>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6"/>
      <c r="BM350" s="311"/>
      <c r="BN350" s="314"/>
    </row>
    <row r="351" s="118" customFormat="1" ht="33.95" customHeight="1" outlineLevel="4" spans="2:66">
      <c r="B351" s="119" t="s">
        <v>799</v>
      </c>
      <c r="C351" s="120" t="s">
        <v>1540</v>
      </c>
      <c r="D351" s="118" t="s">
        <v>1541</v>
      </c>
      <c r="E351" s="119" t="s">
        <v>1535</v>
      </c>
      <c r="F351" s="119"/>
      <c r="G351" s="119" t="s">
        <v>943</v>
      </c>
      <c r="H351" s="119">
        <f t="shared" si="677"/>
        <v>0</v>
      </c>
      <c r="I351" s="119" t="s">
        <v>1536</v>
      </c>
      <c r="J351" s="119">
        <v>1</v>
      </c>
      <c r="K351" s="119" t="s">
        <v>1243</v>
      </c>
      <c r="L351" s="298"/>
      <c r="M351" s="119" t="s">
        <v>1537</v>
      </c>
      <c r="N351" s="119">
        <f t="shared" si="678"/>
        <v>0</v>
      </c>
      <c r="O351" s="298"/>
      <c r="P351" s="298"/>
      <c r="Q351" s="298"/>
      <c r="R351" s="298"/>
      <c r="S351" s="298"/>
      <c r="T351" s="298"/>
      <c r="U351" s="298"/>
      <c r="V351" s="298"/>
      <c r="W351" s="298"/>
      <c r="X351" s="298"/>
      <c r="Y351" s="298"/>
      <c r="Z351" s="298"/>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6"/>
      <c r="BM351" s="311"/>
      <c r="BN351" s="314"/>
    </row>
    <row r="352" s="118" customFormat="1" ht="33.95" customHeight="1" outlineLevel="4" spans="2:66">
      <c r="B352" s="119" t="s">
        <v>799</v>
      </c>
      <c r="C352" s="120" t="s">
        <v>1542</v>
      </c>
      <c r="D352" s="118" t="s">
        <v>1543</v>
      </c>
      <c r="E352" s="119" t="s">
        <v>1544</v>
      </c>
      <c r="F352" s="119"/>
      <c r="G352" s="119" t="s">
        <v>943</v>
      </c>
      <c r="H352" s="119">
        <f t="shared" si="677"/>
        <v>0</v>
      </c>
      <c r="I352" s="119" t="s">
        <v>1536</v>
      </c>
      <c r="J352" s="119">
        <v>1</v>
      </c>
      <c r="K352" s="119" t="s">
        <v>1243</v>
      </c>
      <c r="L352" s="298"/>
      <c r="M352" s="119" t="s">
        <v>1537</v>
      </c>
      <c r="N352" s="119">
        <f t="shared" si="678"/>
        <v>0</v>
      </c>
      <c r="O352" s="298"/>
      <c r="P352" s="298"/>
      <c r="Q352" s="298"/>
      <c r="R352" s="298"/>
      <c r="S352" s="298"/>
      <c r="T352" s="298"/>
      <c r="U352" s="298"/>
      <c r="V352" s="298"/>
      <c r="W352" s="298"/>
      <c r="X352" s="298"/>
      <c r="Y352" s="298"/>
      <c r="Z352" s="298"/>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6"/>
      <c r="BM352" s="311"/>
      <c r="BN352" s="314"/>
    </row>
    <row r="353" s="118" customFormat="1" ht="33.95" customHeight="1" outlineLevel="4" spans="2:66">
      <c r="B353" s="119" t="s">
        <v>799</v>
      </c>
      <c r="C353" s="120" t="s">
        <v>1545</v>
      </c>
      <c r="D353" s="118" t="s">
        <v>1546</v>
      </c>
      <c r="E353" s="119" t="s">
        <v>1547</v>
      </c>
      <c r="F353" s="119"/>
      <c r="G353" s="119" t="s">
        <v>943</v>
      </c>
      <c r="H353" s="119">
        <f t="shared" si="677"/>
        <v>0</v>
      </c>
      <c r="I353" s="119" t="s">
        <v>1242</v>
      </c>
      <c r="J353" s="298"/>
      <c r="K353" s="119" t="s">
        <v>1150</v>
      </c>
      <c r="L353" s="298"/>
      <c r="M353" s="119" t="s">
        <v>1183</v>
      </c>
      <c r="N353" s="119">
        <f t="shared" si="678"/>
        <v>0</v>
      </c>
      <c r="O353" s="298"/>
      <c r="P353" s="298"/>
      <c r="Q353" s="298"/>
      <c r="R353" s="298"/>
      <c r="S353" s="298"/>
      <c r="T353" s="298"/>
      <c r="U353" s="298"/>
      <c r="V353" s="298"/>
      <c r="W353" s="298"/>
      <c r="X353" s="298"/>
      <c r="Y353" s="298"/>
      <c r="Z353" s="298"/>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6"/>
      <c r="BM353" s="311"/>
      <c r="BN353" s="314"/>
    </row>
    <row r="354" s="118" customFormat="1" ht="33.95" customHeight="1" outlineLevel="4" spans="2:66">
      <c r="B354" s="119" t="s">
        <v>799</v>
      </c>
      <c r="C354" s="120" t="s">
        <v>1548</v>
      </c>
      <c r="D354" s="118" t="s">
        <v>1549</v>
      </c>
      <c r="E354" s="119" t="s">
        <v>1550</v>
      </c>
      <c r="F354" s="119"/>
      <c r="G354" s="119" t="s">
        <v>943</v>
      </c>
      <c r="H354" s="119">
        <f t="shared" si="677"/>
        <v>0</v>
      </c>
      <c r="I354" s="119" t="s">
        <v>1242</v>
      </c>
      <c r="J354" s="298"/>
      <c r="K354" s="119" t="s">
        <v>1150</v>
      </c>
      <c r="L354" s="298"/>
      <c r="M354" s="119" t="s">
        <v>1183</v>
      </c>
      <c r="N354" s="119">
        <f t="shared" si="678"/>
        <v>0</v>
      </c>
      <c r="O354" s="298"/>
      <c r="P354" s="298"/>
      <c r="Q354" s="298"/>
      <c r="R354" s="298"/>
      <c r="S354" s="298"/>
      <c r="T354" s="298"/>
      <c r="U354" s="298"/>
      <c r="V354" s="298"/>
      <c r="W354" s="298"/>
      <c r="X354" s="298"/>
      <c r="Y354" s="298"/>
      <c r="Z354" s="298"/>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6"/>
      <c r="BM354" s="311"/>
      <c r="BN354" s="314"/>
    </row>
    <row r="355" s="118" customFormat="1" ht="33.95" customHeight="1" outlineLevel="4" spans="2:66">
      <c r="B355" s="119" t="s">
        <v>799</v>
      </c>
      <c r="C355" s="120" t="s">
        <v>1551</v>
      </c>
      <c r="D355" s="118" t="s">
        <v>1552</v>
      </c>
      <c r="E355" s="119" t="s">
        <v>1553</v>
      </c>
      <c r="F355" s="119"/>
      <c r="G355" s="119" t="s">
        <v>943</v>
      </c>
      <c r="H355" s="119">
        <f t="shared" si="677"/>
        <v>0</v>
      </c>
      <c r="I355" s="119" t="s">
        <v>1242</v>
      </c>
      <c r="J355" s="298"/>
      <c r="K355" s="119" t="s">
        <v>1150</v>
      </c>
      <c r="L355" s="298"/>
      <c r="M355" s="119" t="s">
        <v>1183</v>
      </c>
      <c r="N355" s="119">
        <f t="shared" si="678"/>
        <v>0</v>
      </c>
      <c r="O355" s="298"/>
      <c r="P355" s="316"/>
      <c r="Q355" s="316"/>
      <c r="R355" s="316"/>
      <c r="S355" s="316"/>
      <c r="T355" s="316"/>
      <c r="U355" s="316"/>
      <c r="V355" s="316"/>
      <c r="W355" s="316"/>
      <c r="X355" s="316"/>
      <c r="Y355" s="316"/>
      <c r="Z355" s="316"/>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6"/>
      <c r="BM355" s="311"/>
      <c r="BN355" s="314"/>
    </row>
    <row r="356" s="47" customFormat="1" ht="33.95" customHeight="1" outlineLevel="3" spans="2:66">
      <c r="B356" s="115" t="s">
        <v>794</v>
      </c>
      <c r="C356" s="116" t="s">
        <v>1554</v>
      </c>
      <c r="D356" s="47" t="s">
        <v>1555</v>
      </c>
      <c r="E356" s="115"/>
      <c r="F356" s="115"/>
      <c r="G356" s="115"/>
      <c r="H356" s="115">
        <f>SUM(H357:H361)</f>
        <v>0</v>
      </c>
      <c r="I356" s="115"/>
      <c r="J356" s="115"/>
      <c r="K356" s="115"/>
      <c r="L356" s="115"/>
      <c r="M356" s="115"/>
      <c r="N356" s="115"/>
      <c r="O356" s="115"/>
      <c r="P356" s="288"/>
      <c r="Q356" s="288"/>
      <c r="R356" s="288"/>
      <c r="S356" s="288"/>
      <c r="T356" s="288"/>
      <c r="U356" s="288"/>
      <c r="V356" s="288"/>
      <c r="W356" s="288"/>
      <c r="X356" s="288"/>
      <c r="Y356" s="288"/>
      <c r="Z356" s="288"/>
      <c r="AA356" s="288"/>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5"/>
      <c r="BM356" s="311"/>
      <c r="BN356" s="313"/>
    </row>
    <row r="357" s="118" customFormat="1" ht="33.95" customHeight="1" outlineLevel="4" spans="2:66">
      <c r="B357" s="119" t="s">
        <v>799</v>
      </c>
      <c r="C357" s="120" t="s">
        <v>1556</v>
      </c>
      <c r="D357" s="118" t="s">
        <v>1557</v>
      </c>
      <c r="E357" s="119" t="s">
        <v>1558</v>
      </c>
      <c r="F357" s="119"/>
      <c r="G357" s="119" t="s">
        <v>943</v>
      </c>
      <c r="H357" s="119">
        <f t="shared" ref="H357:H361" si="693">IFERROR(J357*L357*N357,0)</f>
        <v>0</v>
      </c>
      <c r="I357" s="119" t="s">
        <v>1242</v>
      </c>
      <c r="J357" s="298"/>
      <c r="K357" s="119" t="s">
        <v>1396</v>
      </c>
      <c r="L357" s="298"/>
      <c r="M357" s="119" t="s">
        <v>1448</v>
      </c>
      <c r="N357" s="119">
        <f t="shared" ref="N357:N364" si="694">COUNTA(O357:Z357)</f>
        <v>0</v>
      </c>
      <c r="O357" s="298"/>
      <c r="P357" s="317"/>
      <c r="Q357" s="317"/>
      <c r="R357" s="317"/>
      <c r="S357" s="317"/>
      <c r="T357" s="317"/>
      <c r="U357" s="317"/>
      <c r="V357" s="317"/>
      <c r="W357" s="317"/>
      <c r="X357" s="317"/>
      <c r="Y357" s="317"/>
      <c r="Z357" s="317"/>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6"/>
      <c r="BM357" s="311"/>
      <c r="BN357" s="314"/>
    </row>
    <row r="358" s="118" customFormat="1" ht="33.95" customHeight="1" outlineLevel="4" spans="2:66">
      <c r="B358" s="119" t="s">
        <v>799</v>
      </c>
      <c r="C358" s="120" t="s">
        <v>1559</v>
      </c>
      <c r="D358" s="118" t="s">
        <v>1560</v>
      </c>
      <c r="E358" s="119" t="s">
        <v>1558</v>
      </c>
      <c r="F358" s="119"/>
      <c r="G358" s="119" t="s">
        <v>943</v>
      </c>
      <c r="H358" s="119">
        <f t="shared" si="693"/>
        <v>0</v>
      </c>
      <c r="I358" s="119" t="s">
        <v>1242</v>
      </c>
      <c r="J358" s="298"/>
      <c r="K358" s="119" t="s">
        <v>1396</v>
      </c>
      <c r="L358" s="298"/>
      <c r="M358" s="119" t="s">
        <v>1448</v>
      </c>
      <c r="N358" s="119">
        <f t="shared" si="694"/>
        <v>0</v>
      </c>
      <c r="O358" s="298"/>
      <c r="P358" s="298"/>
      <c r="Q358" s="298"/>
      <c r="R358" s="298"/>
      <c r="S358" s="298"/>
      <c r="T358" s="298"/>
      <c r="U358" s="298"/>
      <c r="V358" s="298"/>
      <c r="W358" s="298"/>
      <c r="X358" s="298"/>
      <c r="Y358" s="298"/>
      <c r="Z358" s="298"/>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6"/>
      <c r="BM358" s="311"/>
      <c r="BN358" s="314"/>
    </row>
    <row r="359" s="118" customFormat="1" ht="33.95" customHeight="1" outlineLevel="4" spans="2:66">
      <c r="B359" s="119" t="s">
        <v>799</v>
      </c>
      <c r="C359" s="120" t="s">
        <v>1561</v>
      </c>
      <c r="D359" s="118" t="s">
        <v>1562</v>
      </c>
      <c r="E359" s="119" t="s">
        <v>1563</v>
      </c>
      <c r="F359" s="119"/>
      <c r="G359" s="119" t="s">
        <v>943</v>
      </c>
      <c r="H359" s="119">
        <f t="shared" si="693"/>
        <v>0</v>
      </c>
      <c r="I359" s="119" t="s">
        <v>1242</v>
      </c>
      <c r="J359" s="298"/>
      <c r="K359" s="119" t="s">
        <v>1396</v>
      </c>
      <c r="L359" s="298"/>
      <c r="M359" s="119" t="s">
        <v>1448</v>
      </c>
      <c r="N359" s="119">
        <f t="shared" si="694"/>
        <v>0</v>
      </c>
      <c r="O359" s="298"/>
      <c r="P359" s="298"/>
      <c r="Q359" s="298"/>
      <c r="R359" s="298"/>
      <c r="S359" s="298"/>
      <c r="T359" s="298"/>
      <c r="U359" s="298"/>
      <c r="V359" s="298"/>
      <c r="W359" s="298"/>
      <c r="X359" s="298"/>
      <c r="Y359" s="298"/>
      <c r="Z359" s="298"/>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6"/>
      <c r="BM359" s="311"/>
      <c r="BN359" s="314"/>
    </row>
    <row r="360" s="118" customFormat="1" ht="33.95" customHeight="1" outlineLevel="4" spans="2:66">
      <c r="B360" s="119" t="s">
        <v>799</v>
      </c>
      <c r="C360" s="120" t="s">
        <v>1564</v>
      </c>
      <c r="D360" s="118" t="s">
        <v>1565</v>
      </c>
      <c r="E360" s="119" t="s">
        <v>1558</v>
      </c>
      <c r="F360" s="119"/>
      <c r="G360" s="119" t="s">
        <v>943</v>
      </c>
      <c r="H360" s="119">
        <f t="shared" si="693"/>
        <v>0</v>
      </c>
      <c r="I360" s="119" t="s">
        <v>1242</v>
      </c>
      <c r="J360" s="298"/>
      <c r="K360" s="119" t="s">
        <v>1396</v>
      </c>
      <c r="L360" s="298"/>
      <c r="M360" s="119" t="s">
        <v>1448</v>
      </c>
      <c r="N360" s="119">
        <f t="shared" si="694"/>
        <v>0</v>
      </c>
      <c r="O360" s="298"/>
      <c r="P360" s="298"/>
      <c r="Q360" s="298"/>
      <c r="R360" s="298"/>
      <c r="S360" s="298"/>
      <c r="T360" s="298"/>
      <c r="U360" s="298"/>
      <c r="V360" s="298"/>
      <c r="W360" s="298"/>
      <c r="X360" s="298"/>
      <c r="Y360" s="298"/>
      <c r="Z360" s="298"/>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6"/>
      <c r="BM360" s="311"/>
      <c r="BN360" s="314"/>
    </row>
    <row r="361" s="118" customFormat="1" ht="33.95" customHeight="1" outlineLevel="4" spans="2:66">
      <c r="B361" s="119" t="s">
        <v>799</v>
      </c>
      <c r="C361" s="120" t="s">
        <v>1566</v>
      </c>
      <c r="D361" s="118" t="s">
        <v>1567</v>
      </c>
      <c r="E361" s="119" t="s">
        <v>1568</v>
      </c>
      <c r="F361" s="119"/>
      <c r="G361" s="119" t="s">
        <v>943</v>
      </c>
      <c r="H361" s="119">
        <f t="shared" si="693"/>
        <v>0</v>
      </c>
      <c r="I361" s="119" t="s">
        <v>1242</v>
      </c>
      <c r="J361" s="298"/>
      <c r="K361" s="119" t="s">
        <v>1396</v>
      </c>
      <c r="L361" s="298"/>
      <c r="M361" s="119" t="s">
        <v>1448</v>
      </c>
      <c r="N361" s="119">
        <f t="shared" si="694"/>
        <v>0</v>
      </c>
      <c r="O361" s="298"/>
      <c r="P361" s="298"/>
      <c r="Q361" s="298"/>
      <c r="R361" s="298"/>
      <c r="S361" s="298"/>
      <c r="T361" s="298"/>
      <c r="U361" s="298"/>
      <c r="V361" s="298"/>
      <c r="W361" s="298"/>
      <c r="X361" s="298"/>
      <c r="Y361" s="298"/>
      <c r="Z361" s="298"/>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6"/>
      <c r="BM361" s="311"/>
      <c r="BN361" s="314"/>
    </row>
    <row r="362" s="47" customFormat="1" ht="33.95" customHeight="1" outlineLevel="3" spans="2:66">
      <c r="B362" s="115" t="s">
        <v>799</v>
      </c>
      <c r="C362" s="116" t="s">
        <v>1569</v>
      </c>
      <c r="D362" s="47" t="s">
        <v>1570</v>
      </c>
      <c r="E362" s="115" t="s">
        <v>1571</v>
      </c>
      <c r="F362" s="115"/>
      <c r="G362" s="115" t="s">
        <v>943</v>
      </c>
      <c r="H362" s="115">
        <f t="shared" ref="H362:H369" si="708">J362*L362*N362</f>
        <v>0</v>
      </c>
      <c r="I362" s="115" t="s">
        <v>1347</v>
      </c>
      <c r="J362" s="298"/>
      <c r="K362" s="115" t="s">
        <v>1396</v>
      </c>
      <c r="L362" s="298"/>
      <c r="M362" s="115" t="s">
        <v>1448</v>
      </c>
      <c r="N362" s="115">
        <f t="shared" si="694"/>
        <v>0</v>
      </c>
      <c r="O362" s="298"/>
      <c r="P362" s="298"/>
      <c r="Q362" s="298"/>
      <c r="R362" s="298"/>
      <c r="S362" s="298"/>
      <c r="T362" s="298"/>
      <c r="U362" s="298"/>
      <c r="V362" s="298"/>
      <c r="W362" s="298"/>
      <c r="X362" s="298"/>
      <c r="Y362" s="298"/>
      <c r="Z362" s="298"/>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5"/>
      <c r="BM362" s="311"/>
      <c r="BN362" s="313"/>
    </row>
    <row r="363" s="47" customFormat="1" ht="33.95" customHeight="1" outlineLevel="3" spans="2:66">
      <c r="B363" s="115" t="s">
        <v>799</v>
      </c>
      <c r="C363" s="116" t="s">
        <v>1572</v>
      </c>
      <c r="D363" s="47" t="s">
        <v>1573</v>
      </c>
      <c r="E363" s="115" t="s">
        <v>1574</v>
      </c>
      <c r="F363" s="115"/>
      <c r="G363" s="115" t="s">
        <v>943</v>
      </c>
      <c r="H363" s="115">
        <f t="shared" si="708"/>
        <v>0</v>
      </c>
      <c r="I363" s="115" t="s">
        <v>1032</v>
      </c>
      <c r="J363" s="115">
        <f>AVERAGE('1-1 项目基础信息'!$H$9:$S$9)</f>
        <v>281758.63</v>
      </c>
      <c r="K363" s="115" t="s">
        <v>1033</v>
      </c>
      <c r="L363" s="298"/>
      <c r="M363" s="115" t="s">
        <v>1196</v>
      </c>
      <c r="N363" s="115">
        <f t="shared" si="694"/>
        <v>0</v>
      </c>
      <c r="O363" s="298"/>
      <c r="P363" s="298"/>
      <c r="Q363" s="298"/>
      <c r="R363" s="298"/>
      <c r="S363" s="298"/>
      <c r="T363" s="298"/>
      <c r="U363" s="298"/>
      <c r="V363" s="298"/>
      <c r="W363" s="298"/>
      <c r="X363" s="298"/>
      <c r="Y363" s="298"/>
      <c r="Z363" s="298"/>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5"/>
      <c r="BM363" s="311"/>
      <c r="BN363" s="313"/>
    </row>
    <row r="364" s="47" customFormat="1" ht="33.95" customHeight="1" outlineLevel="3" spans="2:66">
      <c r="B364" s="115" t="s">
        <v>799</v>
      </c>
      <c r="C364" s="116" t="s">
        <v>1575</v>
      </c>
      <c r="D364" s="47" t="s">
        <v>1576</v>
      </c>
      <c r="E364" s="115" t="s">
        <v>1577</v>
      </c>
      <c r="F364" s="115"/>
      <c r="G364" s="115" t="s">
        <v>943</v>
      </c>
      <c r="H364" s="115">
        <f t="shared" si="708"/>
        <v>0</v>
      </c>
      <c r="I364" s="115" t="s">
        <v>1182</v>
      </c>
      <c r="J364" s="298"/>
      <c r="K364" s="115" t="s">
        <v>1396</v>
      </c>
      <c r="L364" s="298"/>
      <c r="M364" s="115" t="s">
        <v>1448</v>
      </c>
      <c r="N364" s="115">
        <f t="shared" si="694"/>
        <v>0</v>
      </c>
      <c r="O364" s="298"/>
      <c r="P364" s="316"/>
      <c r="Q364" s="316"/>
      <c r="R364" s="316"/>
      <c r="S364" s="316"/>
      <c r="T364" s="316"/>
      <c r="U364" s="316"/>
      <c r="V364" s="316"/>
      <c r="W364" s="316"/>
      <c r="X364" s="316"/>
      <c r="Y364" s="316"/>
      <c r="Z364" s="316"/>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5"/>
      <c r="BM364" s="311"/>
      <c r="BN364" s="313"/>
    </row>
    <row r="365" s="47" customFormat="1" ht="33.95" customHeight="1" outlineLevel="3" spans="2:66">
      <c r="B365" s="115" t="s">
        <v>794</v>
      </c>
      <c r="C365" s="116" t="s">
        <v>1578</v>
      </c>
      <c r="D365" s="47" t="s">
        <v>1579</v>
      </c>
      <c r="E365" s="115"/>
      <c r="F365" s="115"/>
      <c r="G365" s="115" t="s">
        <v>943</v>
      </c>
      <c r="H365" s="115">
        <f>SUM(H366:H370)</f>
        <v>0</v>
      </c>
      <c r="I365" s="115"/>
      <c r="J365" s="115"/>
      <c r="K365" s="115"/>
      <c r="L365" s="115"/>
      <c r="M365" s="115"/>
      <c r="N365" s="115"/>
      <c r="O365" s="115"/>
      <c r="P365" s="288"/>
      <c r="Q365" s="288"/>
      <c r="R365" s="288"/>
      <c r="S365" s="288"/>
      <c r="T365" s="288"/>
      <c r="U365" s="288"/>
      <c r="V365" s="288"/>
      <c r="W365" s="288"/>
      <c r="X365" s="288"/>
      <c r="Y365" s="288"/>
      <c r="Z365" s="288"/>
      <c r="AA365" s="288"/>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5"/>
      <c r="BM365" s="311"/>
      <c r="BN365" s="313"/>
    </row>
    <row r="366" s="118" customFormat="1" ht="33.95" customHeight="1" outlineLevel="4" spans="2:66">
      <c r="B366" s="119" t="s">
        <v>799</v>
      </c>
      <c r="C366" s="120" t="s">
        <v>1580</v>
      </c>
      <c r="D366" s="118" t="s">
        <v>1581</v>
      </c>
      <c r="E366" s="119" t="s">
        <v>1582</v>
      </c>
      <c r="F366" s="119"/>
      <c r="G366" s="119" t="s">
        <v>943</v>
      </c>
      <c r="H366" s="119">
        <f t="shared" si="708"/>
        <v>0</v>
      </c>
      <c r="I366" s="119" t="s">
        <v>1583</v>
      </c>
      <c r="J366" s="298"/>
      <c r="K366" s="119" t="s">
        <v>1396</v>
      </c>
      <c r="L366" s="298"/>
      <c r="M366" s="119" t="s">
        <v>1448</v>
      </c>
      <c r="N366" s="119">
        <f t="shared" ref="N366:N372" si="710">COUNTA(O366:Z366)</f>
        <v>0</v>
      </c>
      <c r="O366" s="298"/>
      <c r="P366" s="317"/>
      <c r="Q366" s="317"/>
      <c r="R366" s="317"/>
      <c r="S366" s="317"/>
      <c r="T366" s="317"/>
      <c r="U366" s="317"/>
      <c r="V366" s="317"/>
      <c r="W366" s="317"/>
      <c r="X366" s="317"/>
      <c r="Y366" s="317"/>
      <c r="Z366" s="317"/>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6"/>
      <c r="BM366" s="311"/>
      <c r="BN366" s="314"/>
    </row>
    <row r="367" s="118" customFormat="1" ht="33.95" customHeight="1" outlineLevel="4" spans="2:66">
      <c r="B367" s="119" t="s">
        <v>799</v>
      </c>
      <c r="C367" s="120" t="s">
        <v>1584</v>
      </c>
      <c r="D367" s="118" t="s">
        <v>1585</v>
      </c>
      <c r="E367" s="119" t="s">
        <v>1586</v>
      </c>
      <c r="F367" s="119"/>
      <c r="G367" s="119" t="s">
        <v>943</v>
      </c>
      <c r="H367" s="119">
        <f t="shared" si="708"/>
        <v>0</v>
      </c>
      <c r="I367" s="119" t="s">
        <v>1583</v>
      </c>
      <c r="J367" s="298"/>
      <c r="K367" s="119" t="s">
        <v>1396</v>
      </c>
      <c r="L367" s="298"/>
      <c r="M367" s="119" t="s">
        <v>1448</v>
      </c>
      <c r="N367" s="119">
        <f t="shared" si="710"/>
        <v>0</v>
      </c>
      <c r="O367" s="298"/>
      <c r="P367" s="298"/>
      <c r="Q367" s="298"/>
      <c r="R367" s="298"/>
      <c r="S367" s="298"/>
      <c r="T367" s="298"/>
      <c r="U367" s="298"/>
      <c r="V367" s="298"/>
      <c r="W367" s="298"/>
      <c r="X367" s="298"/>
      <c r="Y367" s="298"/>
      <c r="Z367" s="298"/>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6"/>
      <c r="BM367" s="311"/>
      <c r="BN367" s="314"/>
    </row>
    <row r="368" s="118" customFormat="1" ht="33.95" customHeight="1" outlineLevel="4" spans="2:66">
      <c r="B368" s="119" t="s">
        <v>799</v>
      </c>
      <c r="C368" s="120" t="s">
        <v>1587</v>
      </c>
      <c r="D368" s="118" t="s">
        <v>1588</v>
      </c>
      <c r="E368" s="119" t="s">
        <v>1589</v>
      </c>
      <c r="F368" s="119"/>
      <c r="G368" s="119" t="s">
        <v>943</v>
      </c>
      <c r="H368" s="119">
        <f t="shared" si="708"/>
        <v>0</v>
      </c>
      <c r="I368" s="119" t="s">
        <v>1583</v>
      </c>
      <c r="J368" s="298"/>
      <c r="K368" s="119" t="s">
        <v>1396</v>
      </c>
      <c r="L368" s="298"/>
      <c r="M368" s="119" t="s">
        <v>1448</v>
      </c>
      <c r="N368" s="119">
        <f t="shared" si="710"/>
        <v>0</v>
      </c>
      <c r="O368" s="298"/>
      <c r="P368" s="298"/>
      <c r="Q368" s="298"/>
      <c r="R368" s="298"/>
      <c r="S368" s="298"/>
      <c r="T368" s="298"/>
      <c r="U368" s="298"/>
      <c r="V368" s="298"/>
      <c r="W368" s="298"/>
      <c r="X368" s="298"/>
      <c r="Y368" s="298"/>
      <c r="Z368" s="298"/>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6"/>
      <c r="BM368" s="311"/>
      <c r="BN368" s="314"/>
    </row>
    <row r="369" s="118" customFormat="1" ht="33.95" customHeight="1" outlineLevel="4" spans="2:66">
      <c r="B369" s="119" t="s">
        <v>799</v>
      </c>
      <c r="C369" s="120" t="s">
        <v>1590</v>
      </c>
      <c r="D369" s="118" t="s">
        <v>1591</v>
      </c>
      <c r="E369" s="119" t="s">
        <v>1592</v>
      </c>
      <c r="F369" s="119"/>
      <c r="G369" s="119" t="s">
        <v>943</v>
      </c>
      <c r="H369" s="119">
        <f t="shared" si="708"/>
        <v>0</v>
      </c>
      <c r="I369" s="119" t="s">
        <v>1583</v>
      </c>
      <c r="J369" s="298"/>
      <c r="K369" s="119" t="s">
        <v>1396</v>
      </c>
      <c r="L369" s="298"/>
      <c r="M369" s="119" t="s">
        <v>1448</v>
      </c>
      <c r="N369" s="119">
        <f t="shared" si="710"/>
        <v>0</v>
      </c>
      <c r="O369" s="298"/>
      <c r="P369" s="298"/>
      <c r="Q369" s="298"/>
      <c r="R369" s="298"/>
      <c r="S369" s="298"/>
      <c r="T369" s="298"/>
      <c r="U369" s="298"/>
      <c r="V369" s="298"/>
      <c r="W369" s="298"/>
      <c r="X369" s="298"/>
      <c r="Y369" s="298"/>
      <c r="Z369" s="298"/>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6"/>
      <c r="BM369" s="311"/>
      <c r="BN369" s="314"/>
    </row>
    <row r="370" s="118" customFormat="1" ht="33.95" customHeight="1" outlineLevel="4" spans="2:66">
      <c r="B370" s="119" t="s">
        <v>799</v>
      </c>
      <c r="C370" s="120" t="s">
        <v>1593</v>
      </c>
      <c r="D370" s="118" t="s">
        <v>1594</v>
      </c>
      <c r="E370" s="119" t="s">
        <v>1595</v>
      </c>
      <c r="F370" s="119"/>
      <c r="G370" s="119" t="s">
        <v>943</v>
      </c>
      <c r="H370" s="119">
        <f t="shared" ref="H370:H372" si="724">J370*L370*N370</f>
        <v>0</v>
      </c>
      <c r="I370" s="119" t="s">
        <v>1583</v>
      </c>
      <c r="J370" s="298"/>
      <c r="K370" s="119" t="s">
        <v>1396</v>
      </c>
      <c r="L370" s="298"/>
      <c r="M370" s="119" t="s">
        <v>1448</v>
      </c>
      <c r="N370" s="119">
        <f t="shared" si="710"/>
        <v>0</v>
      </c>
      <c r="O370" s="298"/>
      <c r="P370" s="298"/>
      <c r="Q370" s="298"/>
      <c r="R370" s="298"/>
      <c r="S370" s="298"/>
      <c r="T370" s="298"/>
      <c r="U370" s="298"/>
      <c r="V370" s="298"/>
      <c r="W370" s="298"/>
      <c r="X370" s="298"/>
      <c r="Y370" s="298"/>
      <c r="Z370" s="298"/>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6"/>
      <c r="BM370" s="311"/>
      <c r="BN370" s="314"/>
    </row>
    <row r="371" s="47" customFormat="1" ht="33.95" customHeight="1" outlineLevel="3" spans="2:66">
      <c r="B371" s="115" t="s">
        <v>799</v>
      </c>
      <c r="C371" s="116" t="s">
        <v>1596</v>
      </c>
      <c r="D371" s="47" t="s">
        <v>1597</v>
      </c>
      <c r="E371" s="115" t="s">
        <v>1598</v>
      </c>
      <c r="F371" s="115"/>
      <c r="G371" s="115" t="s">
        <v>943</v>
      </c>
      <c r="H371" s="115">
        <f t="shared" si="724"/>
        <v>0</v>
      </c>
      <c r="I371" s="115" t="s">
        <v>1182</v>
      </c>
      <c r="J371" s="298"/>
      <c r="K371" s="115" t="s">
        <v>1396</v>
      </c>
      <c r="L371" s="298"/>
      <c r="M371" s="115" t="s">
        <v>1448</v>
      </c>
      <c r="N371" s="115">
        <f t="shared" si="710"/>
        <v>0</v>
      </c>
      <c r="O371" s="298"/>
      <c r="P371" s="298"/>
      <c r="Q371" s="298"/>
      <c r="R371" s="298"/>
      <c r="S371" s="298"/>
      <c r="T371" s="298"/>
      <c r="U371" s="298"/>
      <c r="V371" s="298"/>
      <c r="W371" s="298"/>
      <c r="X371" s="298"/>
      <c r="Y371" s="298"/>
      <c r="Z371" s="298"/>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5"/>
      <c r="BM371" s="311"/>
      <c r="BN371" s="313"/>
    </row>
    <row r="372" s="47" customFormat="1" ht="33.95" customHeight="1" outlineLevel="3" spans="2:66">
      <c r="B372" s="115" t="s">
        <v>799</v>
      </c>
      <c r="C372" s="116" t="s">
        <v>1599</v>
      </c>
      <c r="D372" s="47" t="s">
        <v>1600</v>
      </c>
      <c r="E372" s="115" t="s">
        <v>1601</v>
      </c>
      <c r="F372" s="115"/>
      <c r="G372" s="115" t="s">
        <v>943</v>
      </c>
      <c r="H372" s="115">
        <f t="shared" si="724"/>
        <v>0</v>
      </c>
      <c r="I372" s="115" t="s">
        <v>1182</v>
      </c>
      <c r="J372" s="298"/>
      <c r="K372" s="115" t="s">
        <v>1396</v>
      </c>
      <c r="L372" s="298"/>
      <c r="M372" s="115" t="s">
        <v>1448</v>
      </c>
      <c r="N372" s="115">
        <f t="shared" si="710"/>
        <v>0</v>
      </c>
      <c r="O372" s="298"/>
      <c r="P372" s="316"/>
      <c r="Q372" s="316"/>
      <c r="R372" s="316"/>
      <c r="S372" s="316"/>
      <c r="T372" s="316"/>
      <c r="U372" s="316"/>
      <c r="V372" s="316"/>
      <c r="W372" s="316"/>
      <c r="X372" s="316"/>
      <c r="Y372" s="316"/>
      <c r="Z372" s="316"/>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5"/>
      <c r="BM372" s="311"/>
      <c r="BN372" s="313"/>
    </row>
    <row r="373" s="47" customFormat="1" ht="33.95" customHeight="1" outlineLevel="3" spans="2:66">
      <c r="B373" s="115" t="s">
        <v>794</v>
      </c>
      <c r="C373" s="116" t="s">
        <v>1602</v>
      </c>
      <c r="D373" s="47" t="s">
        <v>1603</v>
      </c>
      <c r="E373" s="115"/>
      <c r="F373" s="115"/>
      <c r="G373" s="115"/>
      <c r="H373" s="115">
        <f>SUM(H374:H379)</f>
        <v>0</v>
      </c>
      <c r="I373" s="115"/>
      <c r="J373" s="115"/>
      <c r="K373" s="115"/>
      <c r="L373" s="115"/>
      <c r="M373" s="115"/>
      <c r="N373" s="115"/>
      <c r="O373" s="115"/>
      <c r="P373" s="288"/>
      <c r="Q373" s="288"/>
      <c r="R373" s="288"/>
      <c r="S373" s="288"/>
      <c r="T373" s="288"/>
      <c r="U373" s="288"/>
      <c r="V373" s="288"/>
      <c r="W373" s="288"/>
      <c r="X373" s="288"/>
      <c r="Y373" s="288"/>
      <c r="Z373" s="288"/>
      <c r="AA373" s="288"/>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5"/>
      <c r="BM373" s="311"/>
      <c r="BN373" s="313"/>
    </row>
    <row r="374" s="118" customFormat="1" ht="33.95" customHeight="1" outlineLevel="4" spans="2:66">
      <c r="B374" s="119" t="s">
        <v>799</v>
      </c>
      <c r="C374" s="120" t="s">
        <v>1604</v>
      </c>
      <c r="D374" s="118" t="s">
        <v>1605</v>
      </c>
      <c r="E374" s="119" t="s">
        <v>1606</v>
      </c>
      <c r="F374" s="119"/>
      <c r="G374" s="119" t="s">
        <v>943</v>
      </c>
      <c r="H374" s="119">
        <f t="shared" ref="H374:H379" si="726">J374*L374*N374</f>
        <v>0</v>
      </c>
      <c r="I374" s="119" t="s">
        <v>1583</v>
      </c>
      <c r="J374" s="298"/>
      <c r="K374" s="119" t="s">
        <v>1396</v>
      </c>
      <c r="L374" s="298"/>
      <c r="M374" s="119" t="s">
        <v>1448</v>
      </c>
      <c r="N374" s="119">
        <f t="shared" ref="N374:N380" si="727">COUNTA(O374:Z374)</f>
        <v>0</v>
      </c>
      <c r="O374" s="317"/>
      <c r="P374" s="317"/>
      <c r="Q374" s="317"/>
      <c r="R374" s="317"/>
      <c r="S374" s="317"/>
      <c r="T374" s="317"/>
      <c r="U374" s="317"/>
      <c r="V374" s="317"/>
      <c r="W374" s="317"/>
      <c r="X374" s="317"/>
      <c r="Y374" s="317"/>
      <c r="Z374" s="317"/>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6"/>
      <c r="BM374" s="311"/>
      <c r="BN374" s="314"/>
    </row>
    <row r="375" s="118" customFormat="1" ht="33.95" customHeight="1" outlineLevel="4" spans="2:66">
      <c r="B375" s="119" t="s">
        <v>799</v>
      </c>
      <c r="C375" s="120" t="s">
        <v>1607</v>
      </c>
      <c r="D375" s="118" t="s">
        <v>1608</v>
      </c>
      <c r="E375" s="119" t="s">
        <v>1609</v>
      </c>
      <c r="F375" s="119"/>
      <c r="G375" s="119" t="s">
        <v>943</v>
      </c>
      <c r="H375" s="119">
        <f t="shared" si="726"/>
        <v>0</v>
      </c>
      <c r="I375" s="119" t="s">
        <v>1583</v>
      </c>
      <c r="J375" s="298"/>
      <c r="K375" s="119" t="s">
        <v>1396</v>
      </c>
      <c r="L375" s="298"/>
      <c r="M375" s="119" t="s">
        <v>1448</v>
      </c>
      <c r="N375" s="119">
        <f t="shared" si="727"/>
        <v>0</v>
      </c>
      <c r="O375" s="298"/>
      <c r="P375" s="298"/>
      <c r="Q375" s="298"/>
      <c r="R375" s="298"/>
      <c r="S375" s="298"/>
      <c r="T375" s="298"/>
      <c r="U375" s="298"/>
      <c r="V375" s="298"/>
      <c r="W375" s="298"/>
      <c r="X375" s="298"/>
      <c r="Y375" s="298"/>
      <c r="Z375" s="298"/>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6"/>
      <c r="BM375" s="311"/>
      <c r="BN375" s="314"/>
    </row>
    <row r="376" s="118" customFormat="1" ht="33.95" customHeight="1" outlineLevel="4" spans="2:66">
      <c r="B376" s="119" t="s">
        <v>799</v>
      </c>
      <c r="C376" s="120" t="s">
        <v>1610</v>
      </c>
      <c r="D376" s="118" t="s">
        <v>1611</v>
      </c>
      <c r="E376" s="119" t="s">
        <v>1612</v>
      </c>
      <c r="F376" s="119"/>
      <c r="G376" s="119" t="s">
        <v>943</v>
      </c>
      <c r="H376" s="119">
        <f t="shared" si="726"/>
        <v>0</v>
      </c>
      <c r="I376" s="119" t="s">
        <v>1583</v>
      </c>
      <c r="J376" s="298"/>
      <c r="K376" s="119" t="s">
        <v>1396</v>
      </c>
      <c r="L376" s="298"/>
      <c r="M376" s="119" t="s">
        <v>1448</v>
      </c>
      <c r="N376" s="119">
        <f t="shared" si="727"/>
        <v>0</v>
      </c>
      <c r="O376" s="298"/>
      <c r="P376" s="298"/>
      <c r="Q376" s="298"/>
      <c r="R376" s="298"/>
      <c r="S376" s="298"/>
      <c r="T376" s="298"/>
      <c r="U376" s="298"/>
      <c r="V376" s="298"/>
      <c r="W376" s="298"/>
      <c r="X376" s="298"/>
      <c r="Y376" s="298"/>
      <c r="Z376" s="298"/>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6"/>
      <c r="BM376" s="311"/>
      <c r="BN376" s="314"/>
    </row>
    <row r="377" s="118" customFormat="1" ht="33.95" customHeight="1" outlineLevel="4" spans="2:66">
      <c r="B377" s="119" t="s">
        <v>799</v>
      </c>
      <c r="C377" s="120" t="s">
        <v>1613</v>
      </c>
      <c r="D377" s="118" t="s">
        <v>1614</v>
      </c>
      <c r="E377" s="119" t="s">
        <v>1615</v>
      </c>
      <c r="F377" s="119"/>
      <c r="G377" s="119" t="s">
        <v>943</v>
      </c>
      <c r="H377" s="119">
        <f t="shared" si="726"/>
        <v>0</v>
      </c>
      <c r="I377" s="119" t="s">
        <v>1583</v>
      </c>
      <c r="J377" s="298"/>
      <c r="K377" s="119" t="s">
        <v>1396</v>
      </c>
      <c r="L377" s="298"/>
      <c r="M377" s="119" t="s">
        <v>1448</v>
      </c>
      <c r="N377" s="119">
        <f t="shared" si="727"/>
        <v>0</v>
      </c>
      <c r="O377" s="298"/>
      <c r="P377" s="298"/>
      <c r="Q377" s="298"/>
      <c r="R377" s="298"/>
      <c r="S377" s="298"/>
      <c r="T377" s="298"/>
      <c r="U377" s="298"/>
      <c r="V377" s="298"/>
      <c r="W377" s="298"/>
      <c r="X377" s="298"/>
      <c r="Y377" s="298"/>
      <c r="Z377" s="298"/>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6"/>
      <c r="BM377" s="311"/>
      <c r="BN377" s="314"/>
    </row>
    <row r="378" s="118" customFormat="1" ht="33.95" customHeight="1" outlineLevel="4" spans="2:66">
      <c r="B378" s="119" t="s">
        <v>799</v>
      </c>
      <c r="C378" s="120" t="s">
        <v>1616</v>
      </c>
      <c r="D378" s="118" t="s">
        <v>1617</v>
      </c>
      <c r="E378" s="119" t="s">
        <v>1618</v>
      </c>
      <c r="F378" s="119"/>
      <c r="G378" s="119" t="s">
        <v>943</v>
      </c>
      <c r="H378" s="119">
        <f t="shared" si="726"/>
        <v>0</v>
      </c>
      <c r="I378" s="119" t="s">
        <v>1583</v>
      </c>
      <c r="J378" s="298"/>
      <c r="K378" s="119" t="s">
        <v>1396</v>
      </c>
      <c r="L378" s="298"/>
      <c r="M378" s="119" t="s">
        <v>1448</v>
      </c>
      <c r="N378" s="119">
        <f t="shared" si="727"/>
        <v>0</v>
      </c>
      <c r="O378" s="298"/>
      <c r="P378" s="298"/>
      <c r="Q378" s="298"/>
      <c r="R378" s="298"/>
      <c r="S378" s="298"/>
      <c r="T378" s="298"/>
      <c r="U378" s="298"/>
      <c r="V378" s="298"/>
      <c r="W378" s="298"/>
      <c r="X378" s="298"/>
      <c r="Y378" s="298"/>
      <c r="Z378" s="298"/>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6"/>
      <c r="BM378" s="311"/>
      <c r="BN378" s="314"/>
    </row>
    <row r="379" s="118" customFormat="1" ht="33.95" customHeight="1" outlineLevel="4" spans="2:66">
      <c r="B379" s="119" t="s">
        <v>799</v>
      </c>
      <c r="C379" s="120" t="s">
        <v>1619</v>
      </c>
      <c r="D379" s="118" t="s">
        <v>1620</v>
      </c>
      <c r="E379" s="119" t="s">
        <v>1621</v>
      </c>
      <c r="F379" s="119"/>
      <c r="G379" s="119" t="s">
        <v>943</v>
      </c>
      <c r="H379" s="119">
        <f t="shared" si="726"/>
        <v>0</v>
      </c>
      <c r="I379" s="119" t="s">
        <v>1583</v>
      </c>
      <c r="J379" s="298"/>
      <c r="K379" s="119" t="s">
        <v>1396</v>
      </c>
      <c r="L379" s="298"/>
      <c r="M379" s="119" t="s">
        <v>1448</v>
      </c>
      <c r="N379" s="119">
        <f t="shared" si="727"/>
        <v>0</v>
      </c>
      <c r="O379" s="298"/>
      <c r="P379" s="298"/>
      <c r="Q379" s="298"/>
      <c r="R379" s="298"/>
      <c r="S379" s="298"/>
      <c r="T379" s="298"/>
      <c r="U379" s="298"/>
      <c r="V379" s="298"/>
      <c r="W379" s="298"/>
      <c r="X379" s="298"/>
      <c r="Y379" s="298"/>
      <c r="Z379" s="298"/>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6"/>
      <c r="BM379" s="311"/>
      <c r="BN379" s="314"/>
    </row>
    <row r="380" s="47" customFormat="1" ht="33.95" customHeight="1" outlineLevel="3" spans="2:66">
      <c r="B380" s="115" t="s">
        <v>799</v>
      </c>
      <c r="C380" s="116" t="s">
        <v>1622</v>
      </c>
      <c r="D380" s="47" t="s">
        <v>1623</v>
      </c>
      <c r="E380" s="115" t="s">
        <v>1624</v>
      </c>
      <c r="F380" s="115" t="s">
        <v>1625</v>
      </c>
      <c r="G380" s="115" t="s">
        <v>943</v>
      </c>
      <c r="H380" s="115">
        <f>J380*L380</f>
        <v>0</v>
      </c>
      <c r="I380" s="115" t="s">
        <v>1242</v>
      </c>
      <c r="J380" s="115">
        <v>1</v>
      </c>
      <c r="K380" s="115" t="s">
        <v>1243</v>
      </c>
      <c r="L380" s="298">
        <f>预算主表!P89</f>
        <v>0</v>
      </c>
      <c r="M380" s="115" t="s">
        <v>1377</v>
      </c>
      <c r="N380" s="115">
        <f t="shared" si="727"/>
        <v>1</v>
      </c>
      <c r="O380" s="316" t="s">
        <v>1292</v>
      </c>
      <c r="P380" s="316"/>
      <c r="Q380" s="316"/>
      <c r="R380" s="316"/>
      <c r="S380" s="316"/>
      <c r="T380" s="316"/>
      <c r="U380" s="316"/>
      <c r="V380" s="316"/>
      <c r="W380" s="316"/>
      <c r="X380" s="316"/>
      <c r="Y380" s="316"/>
      <c r="Z380" s="316"/>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5"/>
      <c r="BM380" s="311"/>
      <c r="BN380" s="313"/>
    </row>
    <row r="381" s="108" customFormat="1" ht="33.95" customHeight="1" outlineLevel="1" spans="2:66">
      <c r="B381" s="109" t="s">
        <v>794</v>
      </c>
      <c r="C381" s="110">
        <v>1.2</v>
      </c>
      <c r="D381" s="108" t="s">
        <v>9</v>
      </c>
      <c r="E381" s="109"/>
      <c r="F381" s="109"/>
      <c r="G381" s="109"/>
      <c r="H381" s="109">
        <f>H382+H430+H461+H486+H502+H540</f>
        <v>1174083.72207132</v>
      </c>
      <c r="N381" s="303"/>
      <c r="O381" s="286"/>
      <c r="P381" s="286"/>
      <c r="Q381" s="286"/>
      <c r="R381" s="286"/>
      <c r="S381" s="286"/>
      <c r="T381" s="286"/>
      <c r="U381" s="286"/>
      <c r="V381" s="286"/>
      <c r="W381" s="286"/>
      <c r="X381" s="286"/>
      <c r="Y381" s="286"/>
      <c r="Z381" s="286"/>
      <c r="AA381" s="286"/>
      <c r="AB381" s="109">
        <f t="shared" ref="AB381:AF381" si="741">AB382+AB430+AB461+AB486+AB502+AB540</f>
        <v>1174083.72207132</v>
      </c>
      <c r="AC381" s="109">
        <f t="shared" si="741"/>
        <v>1174083.72207132</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3"/>
      <c r="BM381" s="311"/>
      <c r="BN381" s="286"/>
    </row>
    <row r="382" s="22" customFormat="1" ht="33.95" customHeight="1" outlineLevel="2" spans="2:66">
      <c r="B382" s="112" t="s">
        <v>794</v>
      </c>
      <c r="C382" s="113" t="s">
        <v>1626</v>
      </c>
      <c r="D382" s="22" t="s">
        <v>1627</v>
      </c>
      <c r="E382" s="112"/>
      <c r="F382" s="112"/>
      <c r="G382" s="112"/>
      <c r="H382" s="112">
        <f>H383+H399+H410+H418</f>
        <v>1174083.72207132</v>
      </c>
      <c r="I382" s="112"/>
      <c r="J382" s="112"/>
      <c r="K382" s="112"/>
      <c r="L382" s="112"/>
      <c r="M382" s="112"/>
      <c r="N382" s="304"/>
      <c r="O382" s="287"/>
      <c r="P382" s="287"/>
      <c r="Q382" s="287"/>
      <c r="R382" s="287"/>
      <c r="S382" s="287"/>
      <c r="T382" s="287"/>
      <c r="U382" s="287"/>
      <c r="V382" s="287"/>
      <c r="W382" s="287"/>
      <c r="X382" s="287"/>
      <c r="Y382" s="287"/>
      <c r="Z382" s="287"/>
      <c r="AA382" s="287"/>
      <c r="AB382" s="112">
        <f t="shared" ref="AB382:AF382" si="742">AB383+AB399+AB410+AB418</f>
        <v>1174083.72207132</v>
      </c>
      <c r="AC382" s="112">
        <f t="shared" si="742"/>
        <v>1174083.72207132</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4"/>
      <c r="BM382" s="311"/>
      <c r="BN382" s="312"/>
    </row>
    <row r="383" s="47" customFormat="1" ht="33.95" customHeight="1" outlineLevel="3" spans="2:66">
      <c r="B383" s="115" t="s">
        <v>794</v>
      </c>
      <c r="C383" s="116" t="s">
        <v>1628</v>
      </c>
      <c r="D383" s="47" t="s">
        <v>1629</v>
      </c>
      <c r="E383" s="115"/>
      <c r="F383" s="115"/>
      <c r="G383" s="115"/>
      <c r="H383" s="115">
        <f>SUM(H384:H398)</f>
        <v>982083.722071322</v>
      </c>
      <c r="I383" s="115"/>
      <c r="J383" s="115"/>
      <c r="K383" s="115"/>
      <c r="L383" s="115"/>
      <c r="M383" s="115"/>
      <c r="N383" s="305"/>
      <c r="O383" s="288"/>
      <c r="P383" s="288"/>
      <c r="Q383" s="288"/>
      <c r="R383" s="288"/>
      <c r="S383" s="288"/>
      <c r="T383" s="288"/>
      <c r="U383" s="288"/>
      <c r="V383" s="288"/>
      <c r="W383" s="288"/>
      <c r="X383" s="288"/>
      <c r="Y383" s="288"/>
      <c r="Z383" s="288"/>
      <c r="AA383" s="288"/>
      <c r="AB383" s="115">
        <f t="shared" ref="AB383:AF383" si="743">SUM(AB384:AB398)</f>
        <v>982083.722071322</v>
      </c>
      <c r="AC383" s="115">
        <f t="shared" si="743"/>
        <v>982083.722071322</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5"/>
      <c r="BM383" s="311"/>
      <c r="BN383" s="313"/>
    </row>
    <row r="384" s="118" customFormat="1" ht="33.95" customHeight="1" outlineLevel="5" spans="2:66">
      <c r="B384" s="119" t="s">
        <v>799</v>
      </c>
      <c r="C384" s="120" t="s">
        <v>1630</v>
      </c>
      <c r="D384" s="118" t="s">
        <v>1631</v>
      </c>
      <c r="E384" s="119" t="s">
        <v>1632</v>
      </c>
      <c r="F384" s="119" t="s">
        <v>1625</v>
      </c>
      <c r="G384" s="119" t="s">
        <v>943</v>
      </c>
      <c r="H384" s="119">
        <f t="shared" ref="H384:H398" si="744">J384*L384</f>
        <v>982083.722071322</v>
      </c>
      <c r="I384" s="119" t="s">
        <v>1242</v>
      </c>
      <c r="J384" s="298">
        <f>预算主表!P77/2000</f>
        <v>491.041861035661</v>
      </c>
      <c r="K384" s="119" t="s">
        <v>1633</v>
      </c>
      <c r="L384" s="119">
        <v>2000</v>
      </c>
      <c r="M384" s="119" t="s">
        <v>1634</v>
      </c>
      <c r="N384" s="119">
        <f t="shared" ref="N384:N398" si="745">COUNTA(O384:Z384)</f>
        <v>1</v>
      </c>
      <c r="O384" s="317" t="s">
        <v>1292</v>
      </c>
      <c r="P384" s="317"/>
      <c r="Q384" s="317"/>
      <c r="R384" s="317"/>
      <c r="S384" s="317"/>
      <c r="T384" s="317"/>
      <c r="U384" s="317"/>
      <c r="V384" s="317"/>
      <c r="W384" s="317"/>
      <c r="X384" s="317"/>
      <c r="Y384" s="317"/>
      <c r="Z384" s="317"/>
      <c r="AA384" s="119"/>
      <c r="AB384" s="119">
        <f t="shared" ref="AB384:AB395" si="746">SUM(AC384,AF384,AI384,AL384,AO384,AR384,AU384,AX384,BA384,BD384,BG384,BJ384)</f>
        <v>982083.722071322</v>
      </c>
      <c r="AC384" s="119">
        <f>IF(O384="√",$J384*$L384/$N384,0)</f>
        <v>982083.722071322</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6"/>
      <c r="BM384" s="311"/>
      <c r="BN384" s="314"/>
    </row>
    <row r="385" s="118" customFormat="1" ht="33.95" customHeight="1" outlineLevel="5" spans="2:66">
      <c r="B385" s="119" t="s">
        <v>799</v>
      </c>
      <c r="C385" s="120" t="s">
        <v>1635</v>
      </c>
      <c r="D385" s="118" t="s">
        <v>1636</v>
      </c>
      <c r="E385" s="119" t="s">
        <v>1637</v>
      </c>
      <c r="F385" s="119" t="s">
        <v>1625</v>
      </c>
      <c r="G385" s="119" t="s">
        <v>943</v>
      </c>
      <c r="H385" s="119">
        <f t="shared" si="744"/>
        <v>0</v>
      </c>
      <c r="I385" s="119" t="s">
        <v>1242</v>
      </c>
      <c r="J385" s="298"/>
      <c r="K385" s="119" t="s">
        <v>1633</v>
      </c>
      <c r="L385" s="119">
        <v>165</v>
      </c>
      <c r="M385" s="119" t="s">
        <v>1634</v>
      </c>
      <c r="N385" s="119">
        <f t="shared" si="745"/>
        <v>0</v>
      </c>
      <c r="O385" s="298"/>
      <c r="P385" s="298"/>
      <c r="Q385" s="298"/>
      <c r="R385" s="298"/>
      <c r="S385" s="298"/>
      <c r="T385" s="298"/>
      <c r="U385" s="298"/>
      <c r="V385" s="298"/>
      <c r="W385" s="298"/>
      <c r="X385" s="298"/>
      <c r="Y385" s="298"/>
      <c r="Z385" s="298"/>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6"/>
      <c r="BM385" s="311"/>
      <c r="BN385" s="314"/>
    </row>
    <row r="386" s="118" customFormat="1" ht="33.95" customHeight="1" outlineLevel="5" spans="2:66">
      <c r="B386" s="119" t="s">
        <v>799</v>
      </c>
      <c r="C386" s="120" t="s">
        <v>1638</v>
      </c>
      <c r="D386" s="118" t="s">
        <v>1639</v>
      </c>
      <c r="E386" s="119" t="s">
        <v>1640</v>
      </c>
      <c r="F386" s="119" t="s">
        <v>1625</v>
      </c>
      <c r="G386" s="119" t="s">
        <v>943</v>
      </c>
      <c r="H386" s="119">
        <f t="shared" si="744"/>
        <v>0</v>
      </c>
      <c r="I386" s="119" t="s">
        <v>1242</v>
      </c>
      <c r="J386" s="298"/>
      <c r="K386" s="119" t="s">
        <v>1633</v>
      </c>
      <c r="L386" s="119">
        <v>540</v>
      </c>
      <c r="M386" s="119" t="s">
        <v>1634</v>
      </c>
      <c r="N386" s="119">
        <f t="shared" si="745"/>
        <v>0</v>
      </c>
      <c r="O386" s="298"/>
      <c r="P386" s="298"/>
      <c r="Q386" s="298"/>
      <c r="R386" s="298"/>
      <c r="S386" s="298"/>
      <c r="T386" s="298"/>
      <c r="U386" s="298"/>
      <c r="V386" s="298"/>
      <c r="W386" s="298"/>
      <c r="X386" s="298"/>
      <c r="Y386" s="298"/>
      <c r="Z386" s="298"/>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6"/>
      <c r="BM386" s="311"/>
      <c r="BN386" s="314"/>
    </row>
    <row r="387" s="118" customFormat="1" ht="33.95" customHeight="1" outlineLevel="5" spans="2:66">
      <c r="B387" s="119" t="s">
        <v>799</v>
      </c>
      <c r="C387" s="120" t="s">
        <v>1641</v>
      </c>
      <c r="D387" s="118" t="s">
        <v>1642</v>
      </c>
      <c r="E387" s="119" t="s">
        <v>1643</v>
      </c>
      <c r="F387" s="119" t="s">
        <v>1625</v>
      </c>
      <c r="G387" s="119" t="s">
        <v>943</v>
      </c>
      <c r="H387" s="119">
        <f t="shared" si="744"/>
        <v>0</v>
      </c>
      <c r="I387" s="119" t="s">
        <v>1242</v>
      </c>
      <c r="J387" s="298"/>
      <c r="K387" s="119" t="s">
        <v>1633</v>
      </c>
      <c r="L387" s="119">
        <v>930</v>
      </c>
      <c r="M387" s="119" t="s">
        <v>1634</v>
      </c>
      <c r="N387" s="119">
        <f t="shared" si="745"/>
        <v>0</v>
      </c>
      <c r="O387" s="298"/>
      <c r="P387" s="298"/>
      <c r="Q387" s="298"/>
      <c r="R387" s="298"/>
      <c r="S387" s="298"/>
      <c r="T387" s="298"/>
      <c r="U387" s="298"/>
      <c r="V387" s="298"/>
      <c r="W387" s="298"/>
      <c r="X387" s="298"/>
      <c r="Y387" s="298"/>
      <c r="Z387" s="298"/>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6"/>
      <c r="BM387" s="311"/>
      <c r="BN387" s="314"/>
    </row>
    <row r="388" s="118" customFormat="1" ht="33.95" customHeight="1" outlineLevel="5" spans="2:66">
      <c r="B388" s="119" t="s">
        <v>799</v>
      </c>
      <c r="C388" s="120" t="s">
        <v>1644</v>
      </c>
      <c r="D388" s="118" t="s">
        <v>1645</v>
      </c>
      <c r="E388" s="119" t="s">
        <v>1646</v>
      </c>
      <c r="F388" s="119" t="s">
        <v>1625</v>
      </c>
      <c r="G388" s="119" t="s">
        <v>943</v>
      </c>
      <c r="H388" s="119">
        <f t="shared" si="744"/>
        <v>0</v>
      </c>
      <c r="I388" s="119" t="s">
        <v>1242</v>
      </c>
      <c r="J388" s="298"/>
      <c r="K388" s="119" t="s">
        <v>1633</v>
      </c>
      <c r="L388" s="119">
        <v>230</v>
      </c>
      <c r="M388" s="119" t="s">
        <v>1634</v>
      </c>
      <c r="N388" s="119">
        <f t="shared" si="745"/>
        <v>0</v>
      </c>
      <c r="O388" s="298"/>
      <c r="P388" s="298"/>
      <c r="Q388" s="298"/>
      <c r="R388" s="298"/>
      <c r="S388" s="298"/>
      <c r="T388" s="298"/>
      <c r="U388" s="298"/>
      <c r="V388" s="298"/>
      <c r="W388" s="298"/>
      <c r="X388" s="298"/>
      <c r="Y388" s="298"/>
      <c r="Z388" s="298"/>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6"/>
      <c r="BM388" s="311"/>
      <c r="BN388" s="314"/>
    </row>
    <row r="389" s="118" customFormat="1" ht="33.95" customHeight="1" outlineLevel="5" spans="2:66">
      <c r="B389" s="119" t="s">
        <v>799</v>
      </c>
      <c r="C389" s="120" t="s">
        <v>1647</v>
      </c>
      <c r="D389" s="118" t="s">
        <v>1648</v>
      </c>
      <c r="E389" s="119" t="s">
        <v>1649</v>
      </c>
      <c r="F389" s="119" t="s">
        <v>1625</v>
      </c>
      <c r="G389" s="119" t="s">
        <v>943</v>
      </c>
      <c r="H389" s="119">
        <f t="shared" si="744"/>
        <v>0</v>
      </c>
      <c r="I389" s="119" t="s">
        <v>1242</v>
      </c>
      <c r="J389" s="298"/>
      <c r="K389" s="119" t="s">
        <v>1633</v>
      </c>
      <c r="L389" s="119">
        <v>500</v>
      </c>
      <c r="M389" s="119" t="s">
        <v>1634</v>
      </c>
      <c r="N389" s="119">
        <f t="shared" si="745"/>
        <v>0</v>
      </c>
      <c r="O389" s="298"/>
      <c r="P389" s="298"/>
      <c r="Q389" s="298"/>
      <c r="R389" s="298"/>
      <c r="S389" s="298"/>
      <c r="T389" s="298"/>
      <c r="U389" s="298"/>
      <c r="V389" s="298"/>
      <c r="W389" s="298"/>
      <c r="X389" s="298"/>
      <c r="Y389" s="298"/>
      <c r="Z389" s="298"/>
      <c r="AA389" s="119"/>
      <c r="AB389" s="119">
        <f t="shared" si="746"/>
        <v>0</v>
      </c>
      <c r="AC389" s="119">
        <f t="shared" si="747"/>
        <v>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6"/>
      <c r="BM389" s="311"/>
      <c r="BN389" s="314"/>
    </row>
    <row r="390" s="118" customFormat="1" ht="33.95" customHeight="1" outlineLevel="5" spans="2:66">
      <c r="B390" s="119" t="s">
        <v>799</v>
      </c>
      <c r="C390" s="120" t="s">
        <v>1650</v>
      </c>
      <c r="D390" s="118" t="s">
        <v>1651</v>
      </c>
      <c r="E390" s="119" t="s">
        <v>1646</v>
      </c>
      <c r="F390" s="119" t="s">
        <v>1625</v>
      </c>
      <c r="G390" s="119" t="s">
        <v>943</v>
      </c>
      <c r="H390" s="119">
        <f t="shared" si="744"/>
        <v>0</v>
      </c>
      <c r="I390" s="119" t="s">
        <v>1242</v>
      </c>
      <c r="J390" s="298"/>
      <c r="K390" s="119" t="s">
        <v>1633</v>
      </c>
      <c r="L390" s="119">
        <v>150</v>
      </c>
      <c r="M390" s="119" t="s">
        <v>1634</v>
      </c>
      <c r="N390" s="119">
        <f t="shared" si="745"/>
        <v>0</v>
      </c>
      <c r="O390" s="298"/>
      <c r="P390" s="298"/>
      <c r="Q390" s="298"/>
      <c r="R390" s="298"/>
      <c r="S390" s="298"/>
      <c r="T390" s="298"/>
      <c r="U390" s="298"/>
      <c r="V390" s="298"/>
      <c r="W390" s="298"/>
      <c r="X390" s="298"/>
      <c r="Y390" s="298"/>
      <c r="Z390" s="298"/>
      <c r="AA390" s="119"/>
      <c r="AB390" s="119">
        <f t="shared" si="746"/>
        <v>0</v>
      </c>
      <c r="AC390" s="119">
        <f t="shared" si="747"/>
        <v>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6"/>
      <c r="BM390" s="311"/>
      <c r="BN390" s="314"/>
    </row>
    <row r="391" s="118" customFormat="1" ht="33.95" customHeight="1" outlineLevel="5" spans="2:66">
      <c r="B391" s="119" t="s">
        <v>799</v>
      </c>
      <c r="C391" s="120" t="s">
        <v>1652</v>
      </c>
      <c r="D391" s="118" t="s">
        <v>1653</v>
      </c>
      <c r="E391" s="119" t="s">
        <v>1654</v>
      </c>
      <c r="F391" s="119" t="s">
        <v>1625</v>
      </c>
      <c r="G391" s="119" t="s">
        <v>943</v>
      </c>
      <c r="H391" s="119">
        <f t="shared" si="744"/>
        <v>0</v>
      </c>
      <c r="I391" s="119" t="s">
        <v>1242</v>
      </c>
      <c r="J391" s="298"/>
      <c r="K391" s="119" t="s">
        <v>1633</v>
      </c>
      <c r="L391" s="119">
        <f>SUMIFS('附表1-数据库'!$D$2:$D$22,'附表1-数据库'!$B$2:$B$22,$D391,'附表1-数据库'!$C$2:$C$22,'1-1 项目基础信息'!$D$13)</f>
        <v>0</v>
      </c>
      <c r="M391" s="119" t="s">
        <v>1634</v>
      </c>
      <c r="N391" s="119">
        <f t="shared" si="745"/>
        <v>0</v>
      </c>
      <c r="O391" s="298"/>
      <c r="P391" s="298"/>
      <c r="Q391" s="298"/>
      <c r="R391" s="298"/>
      <c r="S391" s="298"/>
      <c r="T391" s="298"/>
      <c r="U391" s="298"/>
      <c r="V391" s="298"/>
      <c r="W391" s="298"/>
      <c r="X391" s="298"/>
      <c r="Y391" s="298"/>
      <c r="Z391" s="298"/>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6"/>
      <c r="BM391" s="311"/>
      <c r="BN391" s="314"/>
    </row>
    <row r="392" s="118" customFormat="1" ht="33.95" customHeight="1" outlineLevel="5" spans="2:66">
      <c r="B392" s="119" t="s">
        <v>799</v>
      </c>
      <c r="C392" s="120" t="s">
        <v>1655</v>
      </c>
      <c r="D392" s="118" t="s">
        <v>1656</v>
      </c>
      <c r="E392" s="119" t="s">
        <v>1657</v>
      </c>
      <c r="F392" s="119" t="s">
        <v>1625</v>
      </c>
      <c r="G392" s="119" t="s">
        <v>943</v>
      </c>
      <c r="H392" s="119">
        <f t="shared" si="744"/>
        <v>0</v>
      </c>
      <c r="I392" s="119" t="s">
        <v>1242</v>
      </c>
      <c r="J392" s="298"/>
      <c r="K392" s="119" t="s">
        <v>1633</v>
      </c>
      <c r="L392" s="119">
        <f>SUMIFS('附表1-数据库'!$D$2:$D$22,'附表1-数据库'!$B$2:$B$22,$D392,'附表1-数据库'!$C$2:$C$22,'1-1 项目基础信息'!$D$13)</f>
        <v>0</v>
      </c>
      <c r="M392" s="119" t="s">
        <v>1634</v>
      </c>
      <c r="N392" s="119">
        <f t="shared" si="745"/>
        <v>0</v>
      </c>
      <c r="O392" s="298"/>
      <c r="P392" s="298"/>
      <c r="Q392" s="298"/>
      <c r="R392" s="298"/>
      <c r="S392" s="298"/>
      <c r="T392" s="298"/>
      <c r="U392" s="298"/>
      <c r="V392" s="298"/>
      <c r="W392" s="298"/>
      <c r="X392" s="298"/>
      <c r="Y392" s="298"/>
      <c r="Z392" s="298"/>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6"/>
      <c r="BM392" s="311"/>
      <c r="BN392" s="314"/>
    </row>
    <row r="393" s="118" customFormat="1" ht="33.95" customHeight="1" outlineLevel="5" spans="2:66">
      <c r="B393" s="119" t="s">
        <v>799</v>
      </c>
      <c r="C393" s="120" t="s">
        <v>1658</v>
      </c>
      <c r="D393" s="118" t="s">
        <v>1659</v>
      </c>
      <c r="E393" s="119" t="s">
        <v>1640</v>
      </c>
      <c r="F393" s="119" t="s">
        <v>1625</v>
      </c>
      <c r="G393" s="119" t="s">
        <v>943</v>
      </c>
      <c r="H393" s="119">
        <f t="shared" si="744"/>
        <v>0</v>
      </c>
      <c r="I393" s="119" t="s">
        <v>1242</v>
      </c>
      <c r="J393" s="298"/>
      <c r="K393" s="119" t="s">
        <v>1633</v>
      </c>
      <c r="L393" s="119">
        <f>SUMIFS('附表1-数据库'!$D$2:$D$22,'附表1-数据库'!$B$2:$B$22,$D393,'附表1-数据库'!$C$2:$C$22,'1-1 项目基础信息'!$D$13)</f>
        <v>0</v>
      </c>
      <c r="M393" s="119" t="s">
        <v>1634</v>
      </c>
      <c r="N393" s="119">
        <f t="shared" si="745"/>
        <v>0</v>
      </c>
      <c r="O393" s="298"/>
      <c r="P393" s="298"/>
      <c r="Q393" s="298"/>
      <c r="R393" s="298"/>
      <c r="S393" s="298"/>
      <c r="T393" s="298"/>
      <c r="U393" s="298"/>
      <c r="V393" s="298"/>
      <c r="W393" s="298"/>
      <c r="X393" s="298"/>
      <c r="Y393" s="298"/>
      <c r="Z393" s="298"/>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6"/>
      <c r="BM393" s="311"/>
      <c r="BN393" s="314"/>
    </row>
    <row r="394" s="118" customFormat="1" ht="33.95" customHeight="1" outlineLevel="5" spans="2:66">
      <c r="B394" s="119" t="s">
        <v>799</v>
      </c>
      <c r="C394" s="120" t="s">
        <v>1660</v>
      </c>
      <c r="D394" s="118" t="s">
        <v>1661</v>
      </c>
      <c r="E394" s="119" t="s">
        <v>1643</v>
      </c>
      <c r="F394" s="119" t="s">
        <v>1625</v>
      </c>
      <c r="G394" s="119" t="s">
        <v>943</v>
      </c>
      <c r="H394" s="119">
        <f t="shared" si="744"/>
        <v>0</v>
      </c>
      <c r="I394" s="119" t="s">
        <v>1242</v>
      </c>
      <c r="J394" s="298"/>
      <c r="K394" s="119" t="s">
        <v>1633</v>
      </c>
      <c r="L394" s="119">
        <f>SUMIFS('附表1-数据库'!$D$2:$D$22,'附表1-数据库'!$B$2:$B$22,$D394,'附表1-数据库'!$C$2:$C$22,'1-1 项目基础信息'!$D$13)</f>
        <v>0</v>
      </c>
      <c r="M394" s="119" t="s">
        <v>1634</v>
      </c>
      <c r="N394" s="119">
        <f t="shared" si="745"/>
        <v>0</v>
      </c>
      <c r="O394" s="298"/>
      <c r="P394" s="298"/>
      <c r="Q394" s="298"/>
      <c r="R394" s="298"/>
      <c r="S394" s="298"/>
      <c r="T394" s="298"/>
      <c r="U394" s="298"/>
      <c r="V394" s="298"/>
      <c r="W394" s="298"/>
      <c r="X394" s="298"/>
      <c r="Y394" s="298"/>
      <c r="Z394" s="298"/>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6"/>
      <c r="BM394" s="311"/>
      <c r="BN394" s="314"/>
    </row>
    <row r="395" s="118" customFormat="1" ht="33.95" customHeight="1" outlineLevel="5" spans="2:66">
      <c r="B395" s="119" t="s">
        <v>799</v>
      </c>
      <c r="C395" s="120" t="s">
        <v>1662</v>
      </c>
      <c r="D395" s="118" t="s">
        <v>1663</v>
      </c>
      <c r="E395" s="119" t="s">
        <v>1646</v>
      </c>
      <c r="F395" s="119" t="s">
        <v>1625</v>
      </c>
      <c r="G395" s="119" t="s">
        <v>943</v>
      </c>
      <c r="H395" s="119">
        <f t="shared" si="744"/>
        <v>0</v>
      </c>
      <c r="I395" s="119" t="s">
        <v>1242</v>
      </c>
      <c r="J395" s="298"/>
      <c r="K395" s="119" t="s">
        <v>1633</v>
      </c>
      <c r="L395" s="119">
        <f>SUMIFS('附表1-数据库'!$D$2:$D$22,'附表1-数据库'!$B$2:$B$22,$D395,'附表1-数据库'!$C$2:$C$22,'1-1 项目基础信息'!$D$13)</f>
        <v>0</v>
      </c>
      <c r="M395" s="119" t="s">
        <v>1634</v>
      </c>
      <c r="N395" s="119">
        <f t="shared" si="745"/>
        <v>0</v>
      </c>
      <c r="O395" s="298"/>
      <c r="P395" s="298"/>
      <c r="Q395" s="298"/>
      <c r="R395" s="298"/>
      <c r="S395" s="298"/>
      <c r="T395" s="298"/>
      <c r="U395" s="298"/>
      <c r="V395" s="298"/>
      <c r="W395" s="298"/>
      <c r="X395" s="298"/>
      <c r="Y395" s="298"/>
      <c r="Z395" s="298"/>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6"/>
      <c r="BM395" s="311"/>
      <c r="BN395" s="314"/>
    </row>
    <row r="396" s="118" customFormat="1" ht="33.95" customHeight="1" outlineLevel="5" spans="2:66">
      <c r="B396" s="119" t="s">
        <v>799</v>
      </c>
      <c r="C396" s="120" t="s">
        <v>1664</v>
      </c>
      <c r="D396" s="118" t="s">
        <v>1665</v>
      </c>
      <c r="E396" s="119" t="s">
        <v>1649</v>
      </c>
      <c r="F396" s="119" t="s">
        <v>1625</v>
      </c>
      <c r="G396" s="119" t="s">
        <v>943</v>
      </c>
      <c r="H396" s="119">
        <f t="shared" si="744"/>
        <v>0</v>
      </c>
      <c r="I396" s="119" t="s">
        <v>1242</v>
      </c>
      <c r="J396" s="298"/>
      <c r="K396" s="119" t="s">
        <v>1633</v>
      </c>
      <c r="L396" s="119">
        <f>SUMIFS('附表1-数据库'!$D$2:$D$22,'附表1-数据库'!$B$2:$B$22,$D396,'附表1-数据库'!$C$2:$C$22,'1-1 项目基础信息'!$D$13)</f>
        <v>0</v>
      </c>
      <c r="M396" s="119" t="s">
        <v>1634</v>
      </c>
      <c r="N396" s="119">
        <f t="shared" si="745"/>
        <v>0</v>
      </c>
      <c r="O396" s="298"/>
      <c r="P396" s="298"/>
      <c r="Q396" s="298"/>
      <c r="R396" s="298"/>
      <c r="S396" s="298"/>
      <c r="T396" s="298"/>
      <c r="U396" s="298"/>
      <c r="V396" s="298"/>
      <c r="W396" s="298"/>
      <c r="X396" s="298"/>
      <c r="Y396" s="298"/>
      <c r="Z396" s="298"/>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6"/>
      <c r="BM396" s="311"/>
      <c r="BN396" s="314"/>
    </row>
    <row r="397" s="118" customFormat="1" ht="33.95" customHeight="1" outlineLevel="5" spans="2:66">
      <c r="B397" s="119" t="s">
        <v>799</v>
      </c>
      <c r="C397" s="120" t="s">
        <v>1666</v>
      </c>
      <c r="D397" s="118" t="s">
        <v>1667</v>
      </c>
      <c r="E397" s="119" t="s">
        <v>1646</v>
      </c>
      <c r="F397" s="119" t="s">
        <v>1625</v>
      </c>
      <c r="G397" s="119" t="s">
        <v>943</v>
      </c>
      <c r="H397" s="119">
        <f t="shared" si="744"/>
        <v>0</v>
      </c>
      <c r="I397" s="119" t="s">
        <v>1242</v>
      </c>
      <c r="J397" s="298"/>
      <c r="K397" s="119" t="s">
        <v>1633</v>
      </c>
      <c r="L397" s="119">
        <f>SUMIFS('附表1-数据库'!$D$2:$D$22,'附表1-数据库'!$B$2:$B$22,$D397,'附表1-数据库'!$C$2:$C$22,'1-1 项目基础信息'!$D$13)</f>
        <v>0</v>
      </c>
      <c r="M397" s="119" t="s">
        <v>1634</v>
      </c>
      <c r="N397" s="119">
        <f t="shared" si="745"/>
        <v>0</v>
      </c>
      <c r="O397" s="298"/>
      <c r="P397" s="298"/>
      <c r="Q397" s="298"/>
      <c r="R397" s="298"/>
      <c r="S397" s="298"/>
      <c r="T397" s="298"/>
      <c r="U397" s="298"/>
      <c r="V397" s="298"/>
      <c r="W397" s="298"/>
      <c r="X397" s="298"/>
      <c r="Y397" s="298"/>
      <c r="Z397" s="298"/>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6"/>
      <c r="BM397" s="311"/>
      <c r="BN397" s="314"/>
    </row>
    <row r="398" s="118" customFormat="1" ht="33.95" customHeight="1" outlineLevel="5" spans="2:66">
      <c r="B398" s="119" t="s">
        <v>799</v>
      </c>
      <c r="C398" s="120" t="s">
        <v>1668</v>
      </c>
      <c r="D398" s="118" t="s">
        <v>1669</v>
      </c>
      <c r="E398" s="119"/>
      <c r="F398" s="119" t="s">
        <v>1625</v>
      </c>
      <c r="G398" s="119" t="s">
        <v>943</v>
      </c>
      <c r="H398" s="119">
        <f t="shared" si="744"/>
        <v>0</v>
      </c>
      <c r="I398" s="119" t="s">
        <v>1242</v>
      </c>
      <c r="J398" s="298"/>
      <c r="K398" s="119" t="s">
        <v>1633</v>
      </c>
      <c r="L398" s="298"/>
      <c r="M398" s="119" t="s">
        <v>1634</v>
      </c>
      <c r="N398" s="119">
        <f t="shared" si="745"/>
        <v>0</v>
      </c>
      <c r="O398" s="316"/>
      <c r="P398" s="316"/>
      <c r="Q398" s="316"/>
      <c r="R398" s="316"/>
      <c r="S398" s="316"/>
      <c r="T398" s="316"/>
      <c r="U398" s="316"/>
      <c r="V398" s="316"/>
      <c r="W398" s="316"/>
      <c r="X398" s="316"/>
      <c r="Y398" s="316"/>
      <c r="Z398" s="316"/>
      <c r="AA398" s="119"/>
      <c r="AB398" s="119">
        <f t="shared" si="759"/>
        <v>0</v>
      </c>
      <c r="AC398" s="119">
        <f t="shared" si="760"/>
        <v>0</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6"/>
      <c r="BM398" s="311"/>
      <c r="BN398" s="314"/>
    </row>
    <row r="399" s="47" customFormat="1" ht="33.95" customHeight="1" outlineLevel="3" spans="2:66">
      <c r="B399" s="115" t="s">
        <v>794</v>
      </c>
      <c r="C399" s="116" t="s">
        <v>1670</v>
      </c>
      <c r="D399" s="47" t="s">
        <v>1671</v>
      </c>
      <c r="E399" s="115"/>
      <c r="F399" s="115"/>
      <c r="G399" s="115"/>
      <c r="H399" s="115">
        <f>SUM(H400:H409)</f>
        <v>0</v>
      </c>
      <c r="I399" s="115"/>
      <c r="J399" s="115"/>
      <c r="K399" s="115"/>
      <c r="L399" s="115"/>
      <c r="M399" s="115"/>
      <c r="N399" s="305"/>
      <c r="O399" s="288"/>
      <c r="P399" s="288"/>
      <c r="Q399" s="288"/>
      <c r="R399" s="288"/>
      <c r="S399" s="288"/>
      <c r="T399" s="288"/>
      <c r="U399" s="288"/>
      <c r="V399" s="288"/>
      <c r="W399" s="288"/>
      <c r="X399" s="288"/>
      <c r="Y399" s="288"/>
      <c r="Z399" s="288"/>
      <c r="AA399" s="288"/>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5"/>
      <c r="BM399" s="311"/>
      <c r="BN399" s="313"/>
    </row>
    <row r="400" s="118" customFormat="1" ht="33.95" customHeight="1" outlineLevel="4" spans="2:66">
      <c r="B400" s="119" t="s">
        <v>799</v>
      </c>
      <c r="C400" s="120" t="s">
        <v>1672</v>
      </c>
      <c r="D400" s="118" t="s">
        <v>1673</v>
      </c>
      <c r="E400" s="119" t="s">
        <v>1674</v>
      </c>
      <c r="F400" s="119" t="s">
        <v>1625</v>
      </c>
      <c r="G400" s="119" t="s">
        <v>943</v>
      </c>
      <c r="H400" s="119">
        <f t="shared" ref="H400:H409" si="773">J400*L400</f>
        <v>0</v>
      </c>
      <c r="I400" s="119" t="s">
        <v>1242</v>
      </c>
      <c r="J400" s="298"/>
      <c r="K400" s="119" t="s">
        <v>1396</v>
      </c>
      <c r="L400" s="119">
        <v>20</v>
      </c>
      <c r="M400" s="119" t="s">
        <v>1675</v>
      </c>
      <c r="N400" s="119">
        <f t="shared" ref="N400:N409" si="774">COUNTA(O400:Z400)</f>
        <v>0</v>
      </c>
      <c r="O400" s="317"/>
      <c r="P400" s="317"/>
      <c r="Q400" s="317"/>
      <c r="R400" s="317"/>
      <c r="S400" s="317"/>
      <c r="T400" s="317"/>
      <c r="U400" s="317"/>
      <c r="V400" s="317"/>
      <c r="W400" s="317"/>
      <c r="X400" s="317"/>
      <c r="Y400" s="317"/>
      <c r="Z400" s="317"/>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6"/>
      <c r="BM400" s="311"/>
      <c r="BN400" s="314"/>
    </row>
    <row r="401" s="118" customFormat="1" ht="33.95" customHeight="1" outlineLevel="4" spans="2:66">
      <c r="B401" s="119" t="s">
        <v>799</v>
      </c>
      <c r="C401" s="120" t="s">
        <v>1676</v>
      </c>
      <c r="D401" s="118" t="s">
        <v>1677</v>
      </c>
      <c r="E401" s="119" t="s">
        <v>1678</v>
      </c>
      <c r="F401" s="119" t="s">
        <v>1625</v>
      </c>
      <c r="G401" s="119" t="s">
        <v>943</v>
      </c>
      <c r="H401" s="119">
        <f t="shared" si="773"/>
        <v>0</v>
      </c>
      <c r="I401" s="119" t="s">
        <v>1242</v>
      </c>
      <c r="J401" s="298"/>
      <c r="K401" s="119" t="s">
        <v>1396</v>
      </c>
      <c r="L401" s="119">
        <v>55</v>
      </c>
      <c r="M401" s="119" t="s">
        <v>1675</v>
      </c>
      <c r="N401" s="119">
        <f t="shared" si="774"/>
        <v>0</v>
      </c>
      <c r="O401" s="298"/>
      <c r="P401" s="298"/>
      <c r="Q401" s="298"/>
      <c r="R401" s="298"/>
      <c r="S401" s="298"/>
      <c r="T401" s="298"/>
      <c r="U401" s="298"/>
      <c r="V401" s="298"/>
      <c r="W401" s="298"/>
      <c r="X401" s="298"/>
      <c r="Y401" s="298"/>
      <c r="Z401" s="298"/>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6"/>
      <c r="BM401" s="311"/>
      <c r="BN401" s="314"/>
    </row>
    <row r="402" s="118" customFormat="1" ht="33.95" customHeight="1" outlineLevel="4" spans="2:66">
      <c r="B402" s="119" t="s">
        <v>799</v>
      </c>
      <c r="C402" s="120" t="s">
        <v>1679</v>
      </c>
      <c r="D402" s="118" t="s">
        <v>1680</v>
      </c>
      <c r="E402" s="119" t="s">
        <v>1681</v>
      </c>
      <c r="F402" s="119" t="s">
        <v>1625</v>
      </c>
      <c r="G402" s="119" t="s">
        <v>943</v>
      </c>
      <c r="H402" s="119">
        <f t="shared" si="773"/>
        <v>0</v>
      </c>
      <c r="I402" s="119" t="s">
        <v>1242</v>
      </c>
      <c r="J402" s="298"/>
      <c r="K402" s="119" t="s">
        <v>1396</v>
      </c>
      <c r="L402" s="119">
        <v>300</v>
      </c>
      <c r="M402" s="119" t="s">
        <v>1675</v>
      </c>
      <c r="N402" s="119">
        <f t="shared" si="774"/>
        <v>0</v>
      </c>
      <c r="O402" s="298"/>
      <c r="P402" s="298"/>
      <c r="Q402" s="298"/>
      <c r="R402" s="298"/>
      <c r="S402" s="298"/>
      <c r="T402" s="298"/>
      <c r="U402" s="298"/>
      <c r="V402" s="298"/>
      <c r="W402" s="298"/>
      <c r="X402" s="298"/>
      <c r="Y402" s="298"/>
      <c r="Z402" s="298"/>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6"/>
      <c r="BM402" s="311"/>
      <c r="BN402" s="314"/>
    </row>
    <row r="403" s="118" customFormat="1" ht="33.95" customHeight="1" outlineLevel="4" spans="2:66">
      <c r="B403" s="119" t="s">
        <v>799</v>
      </c>
      <c r="C403" s="120" t="s">
        <v>1682</v>
      </c>
      <c r="D403" s="118" t="s">
        <v>1683</v>
      </c>
      <c r="E403" s="119" t="s">
        <v>1684</v>
      </c>
      <c r="F403" s="119" t="s">
        <v>1625</v>
      </c>
      <c r="G403" s="119" t="s">
        <v>943</v>
      </c>
      <c r="H403" s="119">
        <f t="shared" si="773"/>
        <v>0</v>
      </c>
      <c r="I403" s="119" t="s">
        <v>1242</v>
      </c>
      <c r="J403" s="298"/>
      <c r="K403" s="119" t="s">
        <v>1396</v>
      </c>
      <c r="L403" s="119">
        <v>15</v>
      </c>
      <c r="M403" s="119" t="s">
        <v>1675</v>
      </c>
      <c r="N403" s="119">
        <f t="shared" si="774"/>
        <v>0</v>
      </c>
      <c r="O403" s="298"/>
      <c r="P403" s="298"/>
      <c r="Q403" s="298"/>
      <c r="R403" s="298"/>
      <c r="S403" s="298"/>
      <c r="T403" s="298"/>
      <c r="U403" s="298"/>
      <c r="V403" s="298"/>
      <c r="W403" s="298"/>
      <c r="X403" s="298"/>
      <c r="Y403" s="298"/>
      <c r="Z403" s="298"/>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6"/>
      <c r="BM403" s="311"/>
      <c r="BN403" s="314"/>
    </row>
    <row r="404" s="118" customFormat="1" ht="33.95" customHeight="1" outlineLevel="4" spans="2:66">
      <c r="B404" s="119" t="s">
        <v>799</v>
      </c>
      <c r="C404" s="120" t="s">
        <v>1685</v>
      </c>
      <c r="D404" s="118" t="s">
        <v>1686</v>
      </c>
      <c r="E404" s="119" t="s">
        <v>1687</v>
      </c>
      <c r="F404" s="119" t="s">
        <v>1625</v>
      </c>
      <c r="G404" s="119" t="s">
        <v>943</v>
      </c>
      <c r="H404" s="119">
        <f t="shared" si="773"/>
        <v>0</v>
      </c>
      <c r="I404" s="119" t="s">
        <v>1242</v>
      </c>
      <c r="J404" s="298"/>
      <c r="K404" s="119" t="s">
        <v>1396</v>
      </c>
      <c r="L404" s="119">
        <v>50</v>
      </c>
      <c r="M404" s="119" t="s">
        <v>1675</v>
      </c>
      <c r="N404" s="119">
        <f t="shared" si="774"/>
        <v>0</v>
      </c>
      <c r="O404" s="298"/>
      <c r="P404" s="298"/>
      <c r="Q404" s="298"/>
      <c r="R404" s="298"/>
      <c r="S404" s="298"/>
      <c r="T404" s="298"/>
      <c r="U404" s="298"/>
      <c r="V404" s="298"/>
      <c r="W404" s="298"/>
      <c r="X404" s="298"/>
      <c r="Y404" s="298"/>
      <c r="Z404" s="298"/>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6"/>
      <c r="BM404" s="311"/>
      <c r="BN404" s="314"/>
    </row>
    <row r="405" s="118" customFormat="1" ht="33.95" customHeight="1" outlineLevel="4" spans="2:66">
      <c r="B405" s="119" t="s">
        <v>799</v>
      </c>
      <c r="C405" s="120" t="s">
        <v>1688</v>
      </c>
      <c r="D405" s="118" t="s">
        <v>1689</v>
      </c>
      <c r="E405" s="119" t="s">
        <v>1690</v>
      </c>
      <c r="F405" s="119" t="s">
        <v>1625</v>
      </c>
      <c r="G405" s="119" t="s">
        <v>943</v>
      </c>
      <c r="H405" s="119">
        <f t="shared" si="773"/>
        <v>0</v>
      </c>
      <c r="I405" s="119" t="s">
        <v>1242</v>
      </c>
      <c r="J405" s="298"/>
      <c r="K405" s="119" t="s">
        <v>1396</v>
      </c>
      <c r="L405" s="119">
        <v>565</v>
      </c>
      <c r="M405" s="119" t="s">
        <v>1675</v>
      </c>
      <c r="N405" s="119">
        <f t="shared" si="774"/>
        <v>0</v>
      </c>
      <c r="O405" s="298"/>
      <c r="P405" s="298"/>
      <c r="Q405" s="298"/>
      <c r="R405" s="298"/>
      <c r="S405" s="298"/>
      <c r="T405" s="298"/>
      <c r="U405" s="298"/>
      <c r="V405" s="298"/>
      <c r="W405" s="298"/>
      <c r="X405" s="298"/>
      <c r="Y405" s="298"/>
      <c r="Z405" s="298"/>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6"/>
      <c r="BM405" s="311"/>
      <c r="BN405" s="314"/>
    </row>
    <row r="406" s="118" customFormat="1" ht="33.95" customHeight="1" outlineLevel="4" spans="2:66">
      <c r="B406" s="119" t="s">
        <v>799</v>
      </c>
      <c r="C406" s="120" t="s">
        <v>1691</v>
      </c>
      <c r="D406" s="118" t="s">
        <v>1692</v>
      </c>
      <c r="E406" s="119" t="s">
        <v>1693</v>
      </c>
      <c r="F406" s="119" t="s">
        <v>1625</v>
      </c>
      <c r="G406" s="119" t="s">
        <v>943</v>
      </c>
      <c r="H406" s="119">
        <f t="shared" si="773"/>
        <v>0</v>
      </c>
      <c r="I406" s="119" t="s">
        <v>1242</v>
      </c>
      <c r="J406" s="298"/>
      <c r="K406" s="119" t="s">
        <v>1033</v>
      </c>
      <c r="L406" s="119">
        <v>55</v>
      </c>
      <c r="M406" s="119" t="s">
        <v>1694</v>
      </c>
      <c r="N406" s="119">
        <f t="shared" si="774"/>
        <v>0</v>
      </c>
      <c r="O406" s="298"/>
      <c r="P406" s="298"/>
      <c r="Q406" s="298"/>
      <c r="R406" s="298"/>
      <c r="S406" s="298"/>
      <c r="T406" s="298"/>
      <c r="U406" s="298"/>
      <c r="V406" s="298"/>
      <c r="W406" s="298"/>
      <c r="X406" s="298"/>
      <c r="Y406" s="298"/>
      <c r="Z406" s="298"/>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6"/>
      <c r="BM406" s="311"/>
      <c r="BN406" s="314"/>
    </row>
    <row r="407" s="118" customFormat="1" ht="33.95" customHeight="1" outlineLevel="4" spans="2:66">
      <c r="B407" s="119" t="s">
        <v>799</v>
      </c>
      <c r="C407" s="120" t="s">
        <v>1695</v>
      </c>
      <c r="D407" s="118" t="s">
        <v>1696</v>
      </c>
      <c r="E407" s="119" t="s">
        <v>1697</v>
      </c>
      <c r="F407" s="119" t="s">
        <v>1625</v>
      </c>
      <c r="G407" s="119" t="s">
        <v>943</v>
      </c>
      <c r="H407" s="119">
        <f t="shared" si="773"/>
        <v>0</v>
      </c>
      <c r="I407" s="119" t="s">
        <v>1242</v>
      </c>
      <c r="J407" s="298"/>
      <c r="K407" s="119" t="s">
        <v>1396</v>
      </c>
      <c r="L407" s="119">
        <v>33</v>
      </c>
      <c r="M407" s="119" t="s">
        <v>1675</v>
      </c>
      <c r="N407" s="119">
        <f t="shared" si="774"/>
        <v>0</v>
      </c>
      <c r="O407" s="298"/>
      <c r="P407" s="298"/>
      <c r="Q407" s="298"/>
      <c r="R407" s="298"/>
      <c r="S407" s="298"/>
      <c r="T407" s="298"/>
      <c r="U407" s="298"/>
      <c r="V407" s="298"/>
      <c r="W407" s="298"/>
      <c r="X407" s="298"/>
      <c r="Y407" s="298"/>
      <c r="Z407" s="298"/>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6"/>
      <c r="BM407" s="311"/>
      <c r="BN407" s="314"/>
    </row>
    <row r="408" s="118" customFormat="1" ht="33.95" customHeight="1" outlineLevel="4" spans="2:66">
      <c r="B408" s="119" t="s">
        <v>799</v>
      </c>
      <c r="C408" s="120" t="s">
        <v>1698</v>
      </c>
      <c r="D408" s="118" t="s">
        <v>1699</v>
      </c>
      <c r="E408" s="119" t="s">
        <v>1700</v>
      </c>
      <c r="F408" s="119" t="s">
        <v>1625</v>
      </c>
      <c r="G408" s="119" t="s">
        <v>943</v>
      </c>
      <c r="H408" s="119">
        <f t="shared" si="773"/>
        <v>0</v>
      </c>
      <c r="I408" s="119" t="s">
        <v>1242</v>
      </c>
      <c r="J408" s="298"/>
      <c r="K408" s="119" t="s">
        <v>1396</v>
      </c>
      <c r="L408" s="119">
        <v>101.2</v>
      </c>
      <c r="M408" s="119" t="s">
        <v>1675</v>
      </c>
      <c r="N408" s="119">
        <f t="shared" si="774"/>
        <v>0</v>
      </c>
      <c r="O408" s="298"/>
      <c r="P408" s="298"/>
      <c r="Q408" s="298"/>
      <c r="R408" s="298"/>
      <c r="S408" s="298"/>
      <c r="T408" s="298"/>
      <c r="U408" s="298"/>
      <c r="V408" s="298"/>
      <c r="W408" s="298"/>
      <c r="X408" s="298"/>
      <c r="Y408" s="298"/>
      <c r="Z408" s="298"/>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6"/>
      <c r="BM408" s="311"/>
      <c r="BN408" s="314"/>
    </row>
    <row r="409" s="118" customFormat="1" ht="33.95" customHeight="1" outlineLevel="4" spans="2:66">
      <c r="B409" s="119" t="s">
        <v>799</v>
      </c>
      <c r="C409" s="120" t="s">
        <v>1701</v>
      </c>
      <c r="D409" s="118" t="s">
        <v>1702</v>
      </c>
      <c r="E409" s="119"/>
      <c r="F409" s="119" t="s">
        <v>1625</v>
      </c>
      <c r="G409" s="119" t="s">
        <v>943</v>
      </c>
      <c r="H409" s="119">
        <f t="shared" si="773"/>
        <v>0</v>
      </c>
      <c r="I409" s="119" t="s">
        <v>1242</v>
      </c>
      <c r="J409" s="298"/>
      <c r="K409" s="119" t="s">
        <v>1396</v>
      </c>
      <c r="L409" s="298"/>
      <c r="M409" s="119" t="s">
        <v>1448</v>
      </c>
      <c r="N409" s="119">
        <f t="shared" si="774"/>
        <v>0</v>
      </c>
      <c r="O409" s="316"/>
      <c r="P409" s="316"/>
      <c r="Q409" s="316"/>
      <c r="R409" s="316"/>
      <c r="S409" s="316"/>
      <c r="T409" s="316"/>
      <c r="U409" s="316"/>
      <c r="V409" s="316"/>
      <c r="W409" s="316"/>
      <c r="X409" s="316"/>
      <c r="Y409" s="316"/>
      <c r="Z409" s="316"/>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6"/>
      <c r="BM409" s="311"/>
      <c r="BN409" s="314"/>
    </row>
    <row r="410" s="47" customFormat="1" ht="33.95" customHeight="1" outlineLevel="3" spans="2:66">
      <c r="B410" s="115" t="s">
        <v>794</v>
      </c>
      <c r="C410" s="116" t="s">
        <v>1703</v>
      </c>
      <c r="D410" s="47" t="s">
        <v>1704</v>
      </c>
      <c r="E410" s="115"/>
      <c r="F410" s="115"/>
      <c r="G410" s="115"/>
      <c r="H410" s="115">
        <f>SUM(H411:H417)</f>
        <v>0</v>
      </c>
      <c r="I410" s="115"/>
      <c r="J410" s="115"/>
      <c r="K410" s="115"/>
      <c r="L410" s="115"/>
      <c r="M410" s="115"/>
      <c r="N410" s="305"/>
      <c r="O410" s="288"/>
      <c r="P410" s="288"/>
      <c r="Q410" s="288"/>
      <c r="R410" s="288"/>
      <c r="S410" s="288"/>
      <c r="T410" s="288"/>
      <c r="U410" s="288"/>
      <c r="V410" s="288"/>
      <c r="W410" s="288"/>
      <c r="X410" s="288"/>
      <c r="Y410" s="288"/>
      <c r="Z410" s="288"/>
      <c r="AA410" s="288"/>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5"/>
      <c r="BM410" s="311"/>
      <c r="BN410" s="313"/>
    </row>
    <row r="411" s="118" customFormat="1" ht="33.95" customHeight="1" outlineLevel="4" spans="2:66">
      <c r="B411" s="119" t="s">
        <v>799</v>
      </c>
      <c r="C411" s="120" t="s">
        <v>1705</v>
      </c>
      <c r="D411" s="118" t="s">
        <v>1706</v>
      </c>
      <c r="E411" s="119" t="s">
        <v>1707</v>
      </c>
      <c r="F411" s="119" t="s">
        <v>1625</v>
      </c>
      <c r="G411" s="119" t="s">
        <v>943</v>
      </c>
      <c r="H411" s="119">
        <f t="shared" ref="H411:H417" si="775">J411*L411</f>
        <v>0</v>
      </c>
      <c r="I411" s="119" t="s">
        <v>1242</v>
      </c>
      <c r="J411" s="298"/>
      <c r="K411" s="119" t="s">
        <v>1201</v>
      </c>
      <c r="L411" s="119">
        <v>12</v>
      </c>
      <c r="M411" s="119" t="s">
        <v>1708</v>
      </c>
      <c r="N411" s="119">
        <f t="shared" ref="N411:N417" si="776">COUNTA(O411:Z411)</f>
        <v>0</v>
      </c>
      <c r="O411" s="317"/>
      <c r="P411" s="317"/>
      <c r="Q411" s="317"/>
      <c r="R411" s="317"/>
      <c r="S411" s="317"/>
      <c r="T411" s="317"/>
      <c r="U411" s="317"/>
      <c r="V411" s="317"/>
      <c r="W411" s="317"/>
      <c r="X411" s="317"/>
      <c r="Y411" s="317"/>
      <c r="Z411" s="317"/>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6"/>
      <c r="BM411" s="311"/>
      <c r="BN411" s="314"/>
    </row>
    <row r="412" s="118" customFormat="1" ht="33.95" customHeight="1" outlineLevel="4" spans="2:66">
      <c r="B412" s="119" t="s">
        <v>799</v>
      </c>
      <c r="C412" s="120" t="s">
        <v>1709</v>
      </c>
      <c r="D412" s="118" t="s">
        <v>1710</v>
      </c>
      <c r="E412" s="119" t="s">
        <v>1711</v>
      </c>
      <c r="F412" s="119" t="s">
        <v>1625</v>
      </c>
      <c r="G412" s="119" t="s">
        <v>943</v>
      </c>
      <c r="H412" s="119">
        <f t="shared" si="775"/>
        <v>0</v>
      </c>
      <c r="I412" s="119" t="s">
        <v>1242</v>
      </c>
      <c r="J412" s="298"/>
      <c r="K412" s="119" t="s">
        <v>1201</v>
      </c>
      <c r="L412" s="119">
        <v>10</v>
      </c>
      <c r="M412" s="119" t="s">
        <v>1708</v>
      </c>
      <c r="N412" s="119">
        <f t="shared" si="776"/>
        <v>0</v>
      </c>
      <c r="O412" s="298"/>
      <c r="P412" s="298"/>
      <c r="Q412" s="298"/>
      <c r="R412" s="298"/>
      <c r="S412" s="298"/>
      <c r="T412" s="298"/>
      <c r="U412" s="298"/>
      <c r="V412" s="298"/>
      <c r="W412" s="298"/>
      <c r="X412" s="298"/>
      <c r="Y412" s="298"/>
      <c r="Z412" s="298"/>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6"/>
      <c r="BM412" s="311"/>
      <c r="BN412" s="314"/>
    </row>
    <row r="413" s="118" customFormat="1" ht="33.95" customHeight="1" outlineLevel="4" spans="2:66">
      <c r="B413" s="119" t="s">
        <v>799</v>
      </c>
      <c r="C413" s="120" t="s">
        <v>1712</v>
      </c>
      <c r="D413" s="118" t="s">
        <v>1713</v>
      </c>
      <c r="E413" s="119" t="s">
        <v>1714</v>
      </c>
      <c r="F413" s="119" t="s">
        <v>1625</v>
      </c>
      <c r="G413" s="119" t="s">
        <v>943</v>
      </c>
      <c r="H413" s="119">
        <f t="shared" si="775"/>
        <v>0</v>
      </c>
      <c r="I413" s="119" t="s">
        <v>1242</v>
      </c>
      <c r="J413" s="298"/>
      <c r="K413" s="119" t="s">
        <v>1396</v>
      </c>
      <c r="L413" s="119">
        <v>105</v>
      </c>
      <c r="M413" s="119" t="s">
        <v>1675</v>
      </c>
      <c r="N413" s="119">
        <f t="shared" si="776"/>
        <v>0</v>
      </c>
      <c r="O413" s="298"/>
      <c r="P413" s="298"/>
      <c r="Q413" s="298"/>
      <c r="R413" s="298"/>
      <c r="S413" s="298"/>
      <c r="T413" s="298"/>
      <c r="U413" s="298"/>
      <c r="V413" s="298"/>
      <c r="W413" s="298"/>
      <c r="X413" s="298"/>
      <c r="Y413" s="298"/>
      <c r="Z413" s="298"/>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6"/>
      <c r="BM413" s="311"/>
      <c r="BN413" s="314"/>
    </row>
    <row r="414" s="118" customFormat="1" ht="33.95" customHeight="1" outlineLevel="4" spans="2:66">
      <c r="B414" s="119" t="s">
        <v>799</v>
      </c>
      <c r="C414" s="120" t="s">
        <v>1715</v>
      </c>
      <c r="D414" s="118" t="s">
        <v>1716</v>
      </c>
      <c r="E414" s="119"/>
      <c r="F414" s="119" t="s">
        <v>1625</v>
      </c>
      <c r="G414" s="119" t="s">
        <v>943</v>
      </c>
      <c r="H414" s="119">
        <f t="shared" si="775"/>
        <v>0</v>
      </c>
      <c r="I414" s="119" t="s">
        <v>1242</v>
      </c>
      <c r="J414" s="298"/>
      <c r="K414" s="119" t="s">
        <v>1033</v>
      </c>
      <c r="L414" s="119">
        <v>55</v>
      </c>
      <c r="M414" s="119" t="s">
        <v>1694</v>
      </c>
      <c r="N414" s="119">
        <f t="shared" si="776"/>
        <v>0</v>
      </c>
      <c r="O414" s="298"/>
      <c r="P414" s="298"/>
      <c r="Q414" s="298"/>
      <c r="R414" s="298"/>
      <c r="S414" s="298"/>
      <c r="T414" s="298"/>
      <c r="U414" s="298"/>
      <c r="V414" s="298"/>
      <c r="W414" s="298"/>
      <c r="X414" s="298"/>
      <c r="Y414" s="298"/>
      <c r="Z414" s="298"/>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6"/>
      <c r="BM414" s="311"/>
      <c r="BN414" s="314"/>
    </row>
    <row r="415" s="118" customFormat="1" ht="33.95" customHeight="1" outlineLevel="4" spans="2:66">
      <c r="B415" s="119" t="s">
        <v>799</v>
      </c>
      <c r="C415" s="120" t="s">
        <v>1717</v>
      </c>
      <c r="D415" s="118" t="s">
        <v>1718</v>
      </c>
      <c r="E415" s="119" t="s">
        <v>1719</v>
      </c>
      <c r="F415" s="119" t="s">
        <v>1625</v>
      </c>
      <c r="G415" s="119" t="s">
        <v>943</v>
      </c>
      <c r="H415" s="119">
        <f t="shared" si="775"/>
        <v>0</v>
      </c>
      <c r="I415" s="119" t="s">
        <v>1242</v>
      </c>
      <c r="J415" s="298"/>
      <c r="K415" s="119" t="s">
        <v>1396</v>
      </c>
      <c r="L415" s="119">
        <v>140</v>
      </c>
      <c r="M415" s="119" t="s">
        <v>1675</v>
      </c>
      <c r="N415" s="119">
        <f t="shared" si="776"/>
        <v>0</v>
      </c>
      <c r="O415" s="298"/>
      <c r="P415" s="298"/>
      <c r="Q415" s="298"/>
      <c r="R415" s="298"/>
      <c r="S415" s="298"/>
      <c r="T415" s="298"/>
      <c r="U415" s="298"/>
      <c r="V415" s="298"/>
      <c r="W415" s="298"/>
      <c r="X415" s="298"/>
      <c r="Y415" s="298"/>
      <c r="Z415" s="298"/>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6"/>
      <c r="BM415" s="311"/>
      <c r="BN415" s="314"/>
    </row>
    <row r="416" s="118" customFormat="1" ht="33.95" customHeight="1" outlineLevel="4" spans="2:66">
      <c r="B416" s="119" t="s">
        <v>799</v>
      </c>
      <c r="C416" s="120" t="s">
        <v>1720</v>
      </c>
      <c r="D416" s="118" t="s">
        <v>1721</v>
      </c>
      <c r="E416" s="119" t="s">
        <v>1722</v>
      </c>
      <c r="F416" s="119" t="s">
        <v>1625</v>
      </c>
      <c r="G416" s="119" t="s">
        <v>943</v>
      </c>
      <c r="H416" s="119">
        <f t="shared" si="775"/>
        <v>0</v>
      </c>
      <c r="I416" s="119" t="s">
        <v>1242</v>
      </c>
      <c r="J416" s="298"/>
      <c r="K416" s="119" t="s">
        <v>1396</v>
      </c>
      <c r="L416" s="119">
        <v>30</v>
      </c>
      <c r="M416" s="119" t="s">
        <v>1675</v>
      </c>
      <c r="N416" s="119">
        <f t="shared" si="776"/>
        <v>0</v>
      </c>
      <c r="O416" s="298"/>
      <c r="P416" s="298"/>
      <c r="Q416" s="298"/>
      <c r="R416" s="298"/>
      <c r="S416" s="298"/>
      <c r="T416" s="298"/>
      <c r="U416" s="298"/>
      <c r="V416" s="298"/>
      <c r="W416" s="298"/>
      <c r="X416" s="298"/>
      <c r="Y416" s="298"/>
      <c r="Z416" s="298"/>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6"/>
      <c r="BM416" s="311"/>
      <c r="BN416" s="314"/>
    </row>
    <row r="417" s="118" customFormat="1" ht="33.95" customHeight="1" outlineLevel="4" spans="2:66">
      <c r="B417" s="119" t="s">
        <v>799</v>
      </c>
      <c r="C417" s="120" t="s">
        <v>1723</v>
      </c>
      <c r="D417" s="118" t="s">
        <v>1724</v>
      </c>
      <c r="E417" s="119" t="s">
        <v>1725</v>
      </c>
      <c r="F417" s="119" t="s">
        <v>1625</v>
      </c>
      <c r="G417" s="119" t="s">
        <v>943</v>
      </c>
      <c r="H417" s="119">
        <f t="shared" si="775"/>
        <v>0</v>
      </c>
      <c r="I417" s="119" t="s">
        <v>1242</v>
      </c>
      <c r="J417" s="298"/>
      <c r="K417" s="119" t="s">
        <v>1396</v>
      </c>
      <c r="L417" s="119">
        <v>10</v>
      </c>
      <c r="M417" s="119" t="s">
        <v>1675</v>
      </c>
      <c r="N417" s="119">
        <f t="shared" si="776"/>
        <v>0</v>
      </c>
      <c r="O417" s="316"/>
      <c r="P417" s="316"/>
      <c r="Q417" s="316"/>
      <c r="R417" s="316"/>
      <c r="S417" s="316"/>
      <c r="T417" s="316"/>
      <c r="U417" s="316"/>
      <c r="V417" s="316"/>
      <c r="W417" s="316"/>
      <c r="X417" s="316"/>
      <c r="Y417" s="316"/>
      <c r="Z417" s="316"/>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6"/>
      <c r="BM417" s="311"/>
      <c r="BN417" s="314"/>
    </row>
    <row r="418" s="47" customFormat="1" ht="33.95" customHeight="1" outlineLevel="3" spans="2:66">
      <c r="B418" s="115" t="s">
        <v>794</v>
      </c>
      <c r="C418" s="116" t="s">
        <v>1726</v>
      </c>
      <c r="D418" s="47" t="s">
        <v>1727</v>
      </c>
      <c r="E418" s="115"/>
      <c r="F418" s="115"/>
      <c r="G418" s="115" t="s">
        <v>943</v>
      </c>
      <c r="H418" s="115">
        <f>SUM(H419:H429)</f>
        <v>192000</v>
      </c>
      <c r="I418" s="115"/>
      <c r="J418" s="115"/>
      <c r="K418" s="115"/>
      <c r="L418" s="115"/>
      <c r="M418" s="115"/>
      <c r="N418" s="305"/>
      <c r="O418" s="288"/>
      <c r="P418" s="288"/>
      <c r="Q418" s="288"/>
      <c r="R418" s="288"/>
      <c r="S418" s="288"/>
      <c r="T418" s="288"/>
      <c r="U418" s="288"/>
      <c r="V418" s="288"/>
      <c r="W418" s="288"/>
      <c r="X418" s="288"/>
      <c r="Y418" s="288"/>
      <c r="Z418" s="288"/>
      <c r="AA418" s="288"/>
      <c r="AB418" s="115">
        <f t="shared" ref="AB418:AF418" si="790">SUM(AB419:AB429)</f>
        <v>192000</v>
      </c>
      <c r="AC418" s="115">
        <f t="shared" si="790"/>
        <v>192000</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5"/>
      <c r="BM418" s="311"/>
      <c r="BN418" s="313"/>
    </row>
    <row r="419" s="118" customFormat="1" ht="33.95" customHeight="1" outlineLevel="4" spans="2:66">
      <c r="B419" s="119" t="s">
        <v>799</v>
      </c>
      <c r="C419" s="120" t="s">
        <v>1728</v>
      </c>
      <c r="D419" s="118" t="s">
        <v>1729</v>
      </c>
      <c r="E419" s="119" t="s">
        <v>1730</v>
      </c>
      <c r="F419" s="119" t="s">
        <v>1625</v>
      </c>
      <c r="G419" s="119" t="s">
        <v>943</v>
      </c>
      <c r="H419" s="119">
        <f t="shared" ref="H419:H429" si="791">J419*L419</f>
        <v>192000</v>
      </c>
      <c r="I419" s="119" t="s">
        <v>1242</v>
      </c>
      <c r="J419" s="298">
        <f>预算主表!P94/L419</f>
        <v>342.551293487957</v>
      </c>
      <c r="K419" s="119" t="s">
        <v>1396</v>
      </c>
      <c r="L419" s="119">
        <v>560.5</v>
      </c>
      <c r="M419" s="119" t="s">
        <v>1675</v>
      </c>
      <c r="N419" s="119">
        <f t="shared" ref="N419:N429" si="792">COUNTA(O419:Z419)</f>
        <v>1</v>
      </c>
      <c r="O419" s="317" t="s">
        <v>1292</v>
      </c>
      <c r="P419" s="317"/>
      <c r="Q419" s="317"/>
      <c r="R419" s="317"/>
      <c r="S419" s="317"/>
      <c r="T419" s="317"/>
      <c r="U419" s="317"/>
      <c r="V419" s="317"/>
      <c r="W419" s="317"/>
      <c r="X419" s="317"/>
      <c r="Y419" s="317"/>
      <c r="Z419" s="317"/>
      <c r="AA419" s="119"/>
      <c r="AB419" s="119">
        <f t="shared" ref="AB419:AB429" si="793">SUM(AC419,AF419,AI419,AL419,AO419,AR419,AU419,AX419,BA419,BD419,BG419,BJ419)</f>
        <v>192000</v>
      </c>
      <c r="AC419" s="119">
        <f t="shared" ref="AC419:AC429" si="794">IF(O419="√",$J419*$L419/$N419,0)</f>
        <v>192000</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6"/>
      <c r="BM419" s="311"/>
      <c r="BN419" s="314"/>
    </row>
    <row r="420" s="118" customFormat="1" ht="33.95" customHeight="1" outlineLevel="4" spans="2:66">
      <c r="B420" s="119" t="s">
        <v>799</v>
      </c>
      <c r="C420" s="120" t="s">
        <v>1731</v>
      </c>
      <c r="D420" s="118" t="s">
        <v>1732</v>
      </c>
      <c r="E420" s="119" t="s">
        <v>1733</v>
      </c>
      <c r="F420" s="119" t="s">
        <v>1625</v>
      </c>
      <c r="G420" s="119" t="s">
        <v>943</v>
      </c>
      <c r="H420" s="119">
        <f t="shared" si="791"/>
        <v>0</v>
      </c>
      <c r="I420" s="119" t="s">
        <v>1242</v>
      </c>
      <c r="J420" s="298"/>
      <c r="K420" s="119" t="s">
        <v>1396</v>
      </c>
      <c r="L420" s="119">
        <v>85</v>
      </c>
      <c r="M420" s="119" t="s">
        <v>1675</v>
      </c>
      <c r="N420" s="119">
        <f t="shared" si="792"/>
        <v>0</v>
      </c>
      <c r="O420" s="298"/>
      <c r="P420" s="298"/>
      <c r="Q420" s="298"/>
      <c r="R420" s="298"/>
      <c r="S420" s="298"/>
      <c r="T420" s="298"/>
      <c r="U420" s="298"/>
      <c r="V420" s="298"/>
      <c r="W420" s="298"/>
      <c r="X420" s="298"/>
      <c r="Y420" s="298"/>
      <c r="Z420" s="298"/>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6"/>
      <c r="BM420" s="311"/>
      <c r="BN420" s="314"/>
    </row>
    <row r="421" s="118" customFormat="1" ht="33.95" customHeight="1" outlineLevel="4" spans="2:66">
      <c r="B421" s="119" t="s">
        <v>799</v>
      </c>
      <c r="C421" s="120" t="s">
        <v>1734</v>
      </c>
      <c r="D421" s="118" t="s">
        <v>1735</v>
      </c>
      <c r="E421" s="119" t="s">
        <v>1736</v>
      </c>
      <c r="F421" s="119" t="s">
        <v>1625</v>
      </c>
      <c r="G421" s="119" t="s">
        <v>943</v>
      </c>
      <c r="H421" s="119">
        <f t="shared" si="791"/>
        <v>0</v>
      </c>
      <c r="I421" s="119" t="s">
        <v>1242</v>
      </c>
      <c r="J421" s="298"/>
      <c r="K421" s="119" t="s">
        <v>1396</v>
      </c>
      <c r="L421" s="119">
        <v>25</v>
      </c>
      <c r="M421" s="119" t="s">
        <v>1675</v>
      </c>
      <c r="N421" s="119">
        <f t="shared" si="792"/>
        <v>0</v>
      </c>
      <c r="O421" s="298"/>
      <c r="P421" s="298"/>
      <c r="Q421" s="298"/>
      <c r="R421" s="298"/>
      <c r="S421" s="298"/>
      <c r="T421" s="298"/>
      <c r="U421" s="298"/>
      <c r="V421" s="298"/>
      <c r="W421" s="298"/>
      <c r="X421" s="298"/>
      <c r="Y421" s="298"/>
      <c r="Z421" s="298"/>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6"/>
      <c r="BM421" s="311"/>
      <c r="BN421" s="314"/>
    </row>
    <row r="422" s="118" customFormat="1" ht="33.95" customHeight="1" outlineLevel="4" spans="2:66">
      <c r="B422" s="119" t="s">
        <v>799</v>
      </c>
      <c r="C422" s="120" t="s">
        <v>1737</v>
      </c>
      <c r="D422" s="118" t="s">
        <v>1738</v>
      </c>
      <c r="E422" s="119" t="s">
        <v>1739</v>
      </c>
      <c r="F422" s="119" t="s">
        <v>1625</v>
      </c>
      <c r="G422" s="119" t="s">
        <v>943</v>
      </c>
      <c r="H422" s="119">
        <f t="shared" si="791"/>
        <v>0</v>
      </c>
      <c r="I422" s="119" t="s">
        <v>1242</v>
      </c>
      <c r="J422" s="298"/>
      <c r="K422" s="119" t="s">
        <v>1633</v>
      </c>
      <c r="L422" s="119">
        <v>19</v>
      </c>
      <c r="M422" s="119" t="s">
        <v>1634</v>
      </c>
      <c r="N422" s="119">
        <f t="shared" si="792"/>
        <v>0</v>
      </c>
      <c r="O422" s="298"/>
      <c r="P422" s="298"/>
      <c r="Q422" s="298"/>
      <c r="R422" s="298"/>
      <c r="S422" s="298"/>
      <c r="T422" s="298"/>
      <c r="U422" s="298"/>
      <c r="V422" s="298"/>
      <c r="W422" s="298"/>
      <c r="X422" s="298"/>
      <c r="Y422" s="298"/>
      <c r="Z422" s="298"/>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6"/>
      <c r="BM422" s="311"/>
      <c r="BN422" s="314"/>
    </row>
    <row r="423" s="118" customFormat="1" ht="33.95" customHeight="1" outlineLevel="4" spans="2:66">
      <c r="B423" s="119" t="s">
        <v>799</v>
      </c>
      <c r="C423" s="120" t="s">
        <v>1740</v>
      </c>
      <c r="D423" s="118" t="s">
        <v>1741</v>
      </c>
      <c r="E423" s="119" t="s">
        <v>1742</v>
      </c>
      <c r="F423" s="119" t="s">
        <v>1625</v>
      </c>
      <c r="G423" s="119" t="s">
        <v>943</v>
      </c>
      <c r="H423" s="119">
        <f t="shared" si="791"/>
        <v>0</v>
      </c>
      <c r="I423" s="119" t="s">
        <v>1242</v>
      </c>
      <c r="J423" s="298"/>
      <c r="K423" s="119" t="s">
        <v>1633</v>
      </c>
      <c r="L423" s="119">
        <v>105</v>
      </c>
      <c r="M423" s="119" t="s">
        <v>1634</v>
      </c>
      <c r="N423" s="119">
        <f t="shared" si="792"/>
        <v>0</v>
      </c>
      <c r="O423" s="298"/>
      <c r="P423" s="298"/>
      <c r="Q423" s="298"/>
      <c r="R423" s="298"/>
      <c r="S423" s="298"/>
      <c r="T423" s="298"/>
      <c r="U423" s="298"/>
      <c r="V423" s="298"/>
      <c r="W423" s="298"/>
      <c r="X423" s="298"/>
      <c r="Y423" s="298"/>
      <c r="Z423" s="298"/>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6"/>
      <c r="BM423" s="311"/>
      <c r="BN423" s="314"/>
    </row>
    <row r="424" s="118" customFormat="1" ht="33.95" customHeight="1" outlineLevel="4" spans="2:66">
      <c r="B424" s="119" t="s">
        <v>799</v>
      </c>
      <c r="C424" s="120" t="s">
        <v>1743</v>
      </c>
      <c r="D424" s="118" t="s">
        <v>1744</v>
      </c>
      <c r="E424" s="119"/>
      <c r="F424" s="119" t="s">
        <v>1625</v>
      </c>
      <c r="G424" s="119" t="s">
        <v>943</v>
      </c>
      <c r="H424" s="119">
        <f t="shared" si="791"/>
        <v>0</v>
      </c>
      <c r="I424" s="119" t="s">
        <v>1242</v>
      </c>
      <c r="J424" s="298"/>
      <c r="K424" s="119" t="s">
        <v>1396</v>
      </c>
      <c r="L424" s="119">
        <v>5</v>
      </c>
      <c r="M424" s="119" t="s">
        <v>1675</v>
      </c>
      <c r="N424" s="119">
        <f t="shared" si="792"/>
        <v>0</v>
      </c>
      <c r="O424" s="298"/>
      <c r="P424" s="298"/>
      <c r="Q424" s="298"/>
      <c r="R424" s="298"/>
      <c r="S424" s="298"/>
      <c r="T424" s="298"/>
      <c r="U424" s="298"/>
      <c r="V424" s="298"/>
      <c r="W424" s="298"/>
      <c r="X424" s="298"/>
      <c r="Y424" s="298"/>
      <c r="Z424" s="298"/>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6"/>
      <c r="BM424" s="311"/>
      <c r="BN424" s="314"/>
    </row>
    <row r="425" s="118" customFormat="1" ht="33.95" customHeight="1" outlineLevel="4" spans="2:66">
      <c r="B425" s="119" t="s">
        <v>799</v>
      </c>
      <c r="C425" s="120" t="s">
        <v>1745</v>
      </c>
      <c r="D425" s="118" t="s">
        <v>1746</v>
      </c>
      <c r="E425" s="119" t="s">
        <v>1747</v>
      </c>
      <c r="F425" s="119" t="s">
        <v>1625</v>
      </c>
      <c r="G425" s="119" t="s">
        <v>943</v>
      </c>
      <c r="H425" s="119">
        <f t="shared" si="791"/>
        <v>0</v>
      </c>
      <c r="I425" s="119" t="s">
        <v>1242</v>
      </c>
      <c r="J425" s="298"/>
      <c r="K425" s="119" t="s">
        <v>1396</v>
      </c>
      <c r="L425" s="119">
        <v>7.2</v>
      </c>
      <c r="M425" s="119" t="s">
        <v>1675</v>
      </c>
      <c r="N425" s="119">
        <f t="shared" si="792"/>
        <v>0</v>
      </c>
      <c r="O425" s="298"/>
      <c r="P425" s="298"/>
      <c r="Q425" s="298"/>
      <c r="R425" s="298"/>
      <c r="S425" s="298"/>
      <c r="T425" s="298"/>
      <c r="U425" s="298"/>
      <c r="V425" s="298"/>
      <c r="W425" s="298"/>
      <c r="X425" s="298"/>
      <c r="Y425" s="298"/>
      <c r="Z425" s="298"/>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6"/>
      <c r="BM425" s="311"/>
      <c r="BN425" s="314"/>
    </row>
    <row r="426" s="118" customFormat="1" ht="33.95" customHeight="1" outlineLevel="4" spans="2:66">
      <c r="B426" s="119" t="s">
        <v>799</v>
      </c>
      <c r="C426" s="120" t="s">
        <v>1748</v>
      </c>
      <c r="D426" s="118" t="s">
        <v>1749</v>
      </c>
      <c r="E426" s="119" t="s">
        <v>1750</v>
      </c>
      <c r="F426" s="119" t="s">
        <v>1625</v>
      </c>
      <c r="G426" s="119" t="s">
        <v>943</v>
      </c>
      <c r="H426" s="119">
        <f t="shared" si="791"/>
        <v>0</v>
      </c>
      <c r="I426" s="119" t="s">
        <v>1242</v>
      </c>
      <c r="J426" s="298"/>
      <c r="K426" s="119" t="s">
        <v>1396</v>
      </c>
      <c r="L426" s="119">
        <v>5</v>
      </c>
      <c r="M426" s="119" t="s">
        <v>1675</v>
      </c>
      <c r="N426" s="119">
        <f t="shared" si="792"/>
        <v>0</v>
      </c>
      <c r="O426" s="298"/>
      <c r="P426" s="298"/>
      <c r="Q426" s="298"/>
      <c r="R426" s="298"/>
      <c r="S426" s="298"/>
      <c r="T426" s="298"/>
      <c r="U426" s="298"/>
      <c r="V426" s="298"/>
      <c r="W426" s="298"/>
      <c r="X426" s="298"/>
      <c r="Y426" s="298"/>
      <c r="Z426" s="298"/>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6"/>
      <c r="BM426" s="311"/>
      <c r="BN426" s="314"/>
    </row>
    <row r="427" s="118" customFormat="1" ht="33.95" customHeight="1" outlineLevel="4" spans="2:66">
      <c r="B427" s="119" t="s">
        <v>799</v>
      </c>
      <c r="C427" s="120" t="s">
        <v>1751</v>
      </c>
      <c r="D427" s="118" t="s">
        <v>1752</v>
      </c>
      <c r="E427" s="119" t="s">
        <v>1753</v>
      </c>
      <c r="F427" s="119" t="s">
        <v>1625</v>
      </c>
      <c r="G427" s="119" t="s">
        <v>943</v>
      </c>
      <c r="H427" s="119">
        <f t="shared" si="791"/>
        <v>0</v>
      </c>
      <c r="I427" s="119" t="s">
        <v>1242</v>
      </c>
      <c r="J427" s="298"/>
      <c r="K427" s="119" t="s">
        <v>1754</v>
      </c>
      <c r="L427" s="119">
        <v>6.5</v>
      </c>
      <c r="M427" s="119" t="s">
        <v>1755</v>
      </c>
      <c r="N427" s="119">
        <f t="shared" si="792"/>
        <v>0</v>
      </c>
      <c r="O427" s="298"/>
      <c r="P427" s="298"/>
      <c r="Q427" s="298"/>
      <c r="R427" s="298"/>
      <c r="S427" s="298"/>
      <c r="T427" s="298"/>
      <c r="U427" s="298"/>
      <c r="V427" s="298"/>
      <c r="W427" s="298"/>
      <c r="X427" s="298"/>
      <c r="Y427" s="298"/>
      <c r="Z427" s="298"/>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6"/>
      <c r="BM427" s="311"/>
      <c r="BN427" s="314"/>
    </row>
    <row r="428" s="118" customFormat="1" ht="33.95" customHeight="1" outlineLevel="4" spans="2:66">
      <c r="B428" s="119" t="s">
        <v>799</v>
      </c>
      <c r="C428" s="120" t="s">
        <v>1756</v>
      </c>
      <c r="D428" s="118" t="s">
        <v>1757</v>
      </c>
      <c r="E428" s="119" t="s">
        <v>1758</v>
      </c>
      <c r="F428" s="119" t="s">
        <v>1625</v>
      </c>
      <c r="G428" s="119" t="s">
        <v>943</v>
      </c>
      <c r="H428" s="119">
        <f t="shared" si="791"/>
        <v>0</v>
      </c>
      <c r="I428" s="119" t="s">
        <v>1242</v>
      </c>
      <c r="J428" s="298"/>
      <c r="K428" s="119" t="s">
        <v>1759</v>
      </c>
      <c r="L428" s="119">
        <v>20</v>
      </c>
      <c r="M428" s="119" t="s">
        <v>1760</v>
      </c>
      <c r="N428" s="119">
        <f t="shared" si="792"/>
        <v>0</v>
      </c>
      <c r="O428" s="298"/>
      <c r="P428" s="298"/>
      <c r="Q428" s="298"/>
      <c r="R428" s="298"/>
      <c r="S428" s="298"/>
      <c r="T428" s="298"/>
      <c r="U428" s="298"/>
      <c r="V428" s="298"/>
      <c r="W428" s="298"/>
      <c r="X428" s="298"/>
      <c r="Y428" s="298"/>
      <c r="Z428" s="298"/>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6"/>
      <c r="BM428" s="311"/>
      <c r="BN428" s="314"/>
    </row>
    <row r="429" s="118" customFormat="1" ht="33.95" customHeight="1" outlineLevel="4" spans="2:66">
      <c r="B429" s="119" t="s">
        <v>799</v>
      </c>
      <c r="C429" s="120" t="s">
        <v>1761</v>
      </c>
      <c r="D429" s="118" t="s">
        <v>1762</v>
      </c>
      <c r="E429" s="119"/>
      <c r="F429" s="119" t="s">
        <v>1625</v>
      </c>
      <c r="G429" s="119" t="s">
        <v>943</v>
      </c>
      <c r="H429" s="119">
        <f t="shared" si="791"/>
        <v>0</v>
      </c>
      <c r="I429" s="119" t="s">
        <v>1242</v>
      </c>
      <c r="J429" s="119">
        <v>1</v>
      </c>
      <c r="K429" s="119" t="s">
        <v>1243</v>
      </c>
      <c r="L429" s="298"/>
      <c r="M429" s="119" t="s">
        <v>1763</v>
      </c>
      <c r="N429" s="119">
        <f t="shared" si="792"/>
        <v>0</v>
      </c>
      <c r="O429" s="316"/>
      <c r="P429" s="316"/>
      <c r="Q429" s="316"/>
      <c r="R429" s="316"/>
      <c r="S429" s="316"/>
      <c r="T429" s="316"/>
      <c r="U429" s="316"/>
      <c r="V429" s="316"/>
      <c r="W429" s="316"/>
      <c r="X429" s="316"/>
      <c r="Y429" s="316"/>
      <c r="Z429" s="316"/>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6"/>
      <c r="BM429" s="311"/>
      <c r="BN429" s="314"/>
    </row>
    <row r="430" s="22" customFormat="1" ht="33.95" customHeight="1" outlineLevel="2" spans="2:66">
      <c r="B430" s="112" t="s">
        <v>794</v>
      </c>
      <c r="C430" s="113" t="s">
        <v>1764</v>
      </c>
      <c r="D430" s="22" t="s">
        <v>1765</v>
      </c>
      <c r="E430" s="112"/>
      <c r="F430" s="112"/>
      <c r="G430" s="112"/>
      <c r="H430" s="112">
        <f>H431+H440+H446</f>
        <v>0</v>
      </c>
      <c r="I430" s="112"/>
      <c r="J430" s="112"/>
      <c r="K430" s="112"/>
      <c r="L430" s="112"/>
      <c r="M430" s="112"/>
      <c r="N430" s="304"/>
      <c r="O430" s="287"/>
      <c r="P430" s="287"/>
      <c r="Q430" s="287"/>
      <c r="R430" s="287"/>
      <c r="S430" s="287"/>
      <c r="T430" s="287"/>
      <c r="U430" s="287"/>
      <c r="V430" s="287"/>
      <c r="W430" s="287"/>
      <c r="X430" s="287"/>
      <c r="Y430" s="287"/>
      <c r="Z430" s="287"/>
      <c r="AA430" s="287"/>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4"/>
      <c r="BM430" s="311"/>
      <c r="BN430" s="312"/>
    </row>
    <row r="431" s="47" customFormat="1" ht="33.95" customHeight="1" outlineLevel="3" spans="2:66">
      <c r="B431" s="115" t="s">
        <v>794</v>
      </c>
      <c r="C431" s="116" t="s">
        <v>1766</v>
      </c>
      <c r="D431" s="47" t="s">
        <v>1767</v>
      </c>
      <c r="E431" s="115"/>
      <c r="F431" s="115"/>
      <c r="G431" s="115"/>
      <c r="H431" s="115">
        <f>SUM(H432:H439)</f>
        <v>0</v>
      </c>
      <c r="I431" s="115"/>
      <c r="J431" s="115"/>
      <c r="K431" s="115"/>
      <c r="L431" s="115"/>
      <c r="M431" s="115"/>
      <c r="N431" s="305"/>
      <c r="O431" s="288"/>
      <c r="P431" s="288"/>
      <c r="Q431" s="288"/>
      <c r="R431" s="288"/>
      <c r="S431" s="288"/>
      <c r="T431" s="288"/>
      <c r="U431" s="288"/>
      <c r="V431" s="288"/>
      <c r="W431" s="288"/>
      <c r="X431" s="288"/>
      <c r="Y431" s="288"/>
      <c r="Z431" s="288"/>
      <c r="AA431" s="288"/>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5"/>
      <c r="BM431" s="311"/>
      <c r="BN431" s="313"/>
    </row>
    <row r="432" s="118" customFormat="1" ht="33.95" customHeight="1" outlineLevel="5" spans="2:66">
      <c r="B432" s="119" t="s">
        <v>799</v>
      </c>
      <c r="C432" s="120" t="s">
        <v>1768</v>
      </c>
      <c r="D432" s="118" t="s">
        <v>1769</v>
      </c>
      <c r="E432" s="119"/>
      <c r="F432" s="119" t="s">
        <v>1625</v>
      </c>
      <c r="G432" s="119" t="s">
        <v>943</v>
      </c>
      <c r="H432" s="119">
        <f>J432*L432</f>
        <v>0</v>
      </c>
      <c r="I432" s="119" t="s">
        <v>1242</v>
      </c>
      <c r="J432" s="298"/>
      <c r="K432" s="119" t="s">
        <v>1150</v>
      </c>
      <c r="L432" s="119">
        <v>2230</v>
      </c>
      <c r="M432" s="119" t="s">
        <v>1770</v>
      </c>
      <c r="N432" s="119">
        <f t="shared" ref="N432:N439" si="807">COUNTA(O432:Z432)</f>
        <v>0</v>
      </c>
      <c r="O432" s="317"/>
      <c r="P432" s="317"/>
      <c r="Q432" s="317"/>
      <c r="R432" s="317"/>
      <c r="S432" s="317"/>
      <c r="T432" s="317"/>
      <c r="U432" s="317"/>
      <c r="V432" s="317"/>
      <c r="W432" s="317"/>
      <c r="X432" s="317"/>
      <c r="Y432" s="317"/>
      <c r="Z432" s="317"/>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6"/>
      <c r="BM432" s="311"/>
      <c r="BN432" s="314"/>
    </row>
    <row r="433" s="118" customFormat="1" ht="33.95" customHeight="1" outlineLevel="5" spans="2:66">
      <c r="B433" s="119" t="s">
        <v>799</v>
      </c>
      <c r="C433" s="120" t="s">
        <v>1771</v>
      </c>
      <c r="D433" s="118" t="s">
        <v>1772</v>
      </c>
      <c r="E433" s="119"/>
      <c r="F433" s="119" t="s">
        <v>1625</v>
      </c>
      <c r="G433" s="119" t="s">
        <v>943</v>
      </c>
      <c r="H433" s="119">
        <f t="shared" ref="H433:H439" si="821">J433*L433</f>
        <v>0</v>
      </c>
      <c r="I433" s="119" t="s">
        <v>1242</v>
      </c>
      <c r="J433" s="298"/>
      <c r="K433" s="119" t="s">
        <v>1150</v>
      </c>
      <c r="L433" s="119">
        <v>620</v>
      </c>
      <c r="M433" s="119" t="s">
        <v>1770</v>
      </c>
      <c r="N433" s="119">
        <f t="shared" si="807"/>
        <v>0</v>
      </c>
      <c r="O433" s="298"/>
      <c r="P433" s="298"/>
      <c r="Q433" s="298"/>
      <c r="R433" s="298"/>
      <c r="S433" s="298"/>
      <c r="T433" s="298"/>
      <c r="U433" s="298"/>
      <c r="V433" s="298"/>
      <c r="W433" s="298"/>
      <c r="X433" s="298"/>
      <c r="Y433" s="298"/>
      <c r="Z433" s="298"/>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6"/>
      <c r="BM433" s="311"/>
      <c r="BN433" s="314"/>
    </row>
    <row r="434" s="118" customFormat="1" ht="33.95" customHeight="1" outlineLevel="5" spans="2:66">
      <c r="B434" s="119" t="s">
        <v>799</v>
      </c>
      <c r="C434" s="120" t="s">
        <v>1773</v>
      </c>
      <c r="D434" s="118" t="s">
        <v>1774</v>
      </c>
      <c r="E434" s="119"/>
      <c r="F434" s="119" t="s">
        <v>1625</v>
      </c>
      <c r="G434" s="119" t="s">
        <v>943</v>
      </c>
      <c r="H434" s="119">
        <f t="shared" si="821"/>
        <v>0</v>
      </c>
      <c r="I434" s="119" t="s">
        <v>1242</v>
      </c>
      <c r="J434" s="298"/>
      <c r="K434" s="119" t="s">
        <v>1150</v>
      </c>
      <c r="L434" s="119">
        <v>3070</v>
      </c>
      <c r="M434" s="119" t="s">
        <v>1770</v>
      </c>
      <c r="N434" s="119">
        <f t="shared" si="807"/>
        <v>0</v>
      </c>
      <c r="O434" s="298"/>
      <c r="P434" s="298"/>
      <c r="Q434" s="298"/>
      <c r="R434" s="298"/>
      <c r="S434" s="298"/>
      <c r="T434" s="298"/>
      <c r="U434" s="298"/>
      <c r="V434" s="298"/>
      <c r="W434" s="298"/>
      <c r="X434" s="298"/>
      <c r="Y434" s="298"/>
      <c r="Z434" s="298"/>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6"/>
      <c r="BM434" s="311"/>
      <c r="BN434" s="314"/>
    </row>
    <row r="435" s="118" customFormat="1" ht="33.95" customHeight="1" outlineLevel="5" spans="2:66">
      <c r="B435" s="119" t="s">
        <v>799</v>
      </c>
      <c r="C435" s="120" t="s">
        <v>1775</v>
      </c>
      <c r="D435" s="118" t="s">
        <v>1776</v>
      </c>
      <c r="E435" s="119"/>
      <c r="F435" s="119" t="s">
        <v>1625</v>
      </c>
      <c r="G435" s="119" t="s">
        <v>943</v>
      </c>
      <c r="H435" s="119">
        <f t="shared" si="821"/>
        <v>0</v>
      </c>
      <c r="I435" s="119" t="s">
        <v>1242</v>
      </c>
      <c r="J435" s="298"/>
      <c r="K435" s="119" t="s">
        <v>1777</v>
      </c>
      <c r="L435" s="119">
        <v>2800</v>
      </c>
      <c r="M435" s="119" t="s">
        <v>1151</v>
      </c>
      <c r="N435" s="119">
        <f t="shared" si="807"/>
        <v>0</v>
      </c>
      <c r="O435" s="298"/>
      <c r="P435" s="298"/>
      <c r="Q435" s="298"/>
      <c r="R435" s="298"/>
      <c r="S435" s="298"/>
      <c r="T435" s="298"/>
      <c r="U435" s="298"/>
      <c r="V435" s="298"/>
      <c r="W435" s="298"/>
      <c r="X435" s="298"/>
      <c r="Y435" s="298"/>
      <c r="Z435" s="298"/>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6"/>
      <c r="BM435" s="311"/>
      <c r="BN435" s="314"/>
    </row>
    <row r="436" s="118" customFormat="1" ht="33.95" customHeight="1" outlineLevel="5" spans="2:66">
      <c r="B436" s="119" t="s">
        <v>799</v>
      </c>
      <c r="C436" s="120" t="s">
        <v>1778</v>
      </c>
      <c r="D436" s="118" t="s">
        <v>1779</v>
      </c>
      <c r="E436" s="119"/>
      <c r="F436" s="119" t="s">
        <v>1625</v>
      </c>
      <c r="G436" s="119" t="s">
        <v>943</v>
      </c>
      <c r="H436" s="119">
        <f t="shared" si="821"/>
        <v>0</v>
      </c>
      <c r="I436" s="119" t="s">
        <v>1242</v>
      </c>
      <c r="J436" s="298"/>
      <c r="K436" s="119" t="s">
        <v>1150</v>
      </c>
      <c r="L436" s="119">
        <v>10400</v>
      </c>
      <c r="M436" s="119" t="s">
        <v>1770</v>
      </c>
      <c r="N436" s="119">
        <f t="shared" si="807"/>
        <v>0</v>
      </c>
      <c r="O436" s="298"/>
      <c r="P436" s="298"/>
      <c r="Q436" s="298"/>
      <c r="R436" s="298"/>
      <c r="S436" s="298"/>
      <c r="T436" s="298"/>
      <c r="U436" s="298"/>
      <c r="V436" s="298"/>
      <c r="W436" s="298"/>
      <c r="X436" s="298"/>
      <c r="Y436" s="298"/>
      <c r="Z436" s="298"/>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6"/>
      <c r="BM436" s="311"/>
      <c r="BN436" s="314"/>
    </row>
    <row r="437" s="118" customFormat="1" ht="33.95" customHeight="1" outlineLevel="5" spans="2:66">
      <c r="B437" s="119" t="s">
        <v>799</v>
      </c>
      <c r="C437" s="120" t="s">
        <v>1780</v>
      </c>
      <c r="D437" s="118" t="s">
        <v>1781</v>
      </c>
      <c r="E437" s="119"/>
      <c r="F437" s="119" t="s">
        <v>1625</v>
      </c>
      <c r="G437" s="119" t="s">
        <v>943</v>
      </c>
      <c r="H437" s="119">
        <f t="shared" si="821"/>
        <v>0</v>
      </c>
      <c r="I437" s="119" t="s">
        <v>1242</v>
      </c>
      <c r="J437" s="298"/>
      <c r="K437" s="119" t="s">
        <v>1150</v>
      </c>
      <c r="L437" s="119">
        <v>700</v>
      </c>
      <c r="M437" s="119" t="s">
        <v>1770</v>
      </c>
      <c r="N437" s="119">
        <f t="shared" si="807"/>
        <v>0</v>
      </c>
      <c r="O437" s="298"/>
      <c r="P437" s="298"/>
      <c r="Q437" s="298"/>
      <c r="R437" s="298"/>
      <c r="S437" s="298"/>
      <c r="T437" s="298"/>
      <c r="U437" s="298"/>
      <c r="V437" s="298"/>
      <c r="W437" s="298"/>
      <c r="X437" s="298"/>
      <c r="Y437" s="298"/>
      <c r="Z437" s="298"/>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6"/>
      <c r="BM437" s="311"/>
      <c r="BN437" s="314"/>
    </row>
    <row r="438" s="118" customFormat="1" ht="33.95" customHeight="1" outlineLevel="5" spans="2:66">
      <c r="B438" s="119" t="s">
        <v>799</v>
      </c>
      <c r="C438" s="120" t="s">
        <v>1782</v>
      </c>
      <c r="D438" s="118" t="s">
        <v>1783</v>
      </c>
      <c r="E438" s="119"/>
      <c r="F438" s="119" t="s">
        <v>1625</v>
      </c>
      <c r="G438" s="119" t="s">
        <v>943</v>
      </c>
      <c r="H438" s="119">
        <f t="shared" si="821"/>
        <v>0</v>
      </c>
      <c r="I438" s="119" t="s">
        <v>1242</v>
      </c>
      <c r="J438" s="298"/>
      <c r="K438" s="119" t="s">
        <v>1777</v>
      </c>
      <c r="L438" s="119">
        <v>2800</v>
      </c>
      <c r="M438" s="119" t="s">
        <v>1151</v>
      </c>
      <c r="N438" s="119">
        <f t="shared" si="807"/>
        <v>0</v>
      </c>
      <c r="O438" s="298"/>
      <c r="P438" s="298"/>
      <c r="Q438" s="298"/>
      <c r="R438" s="298"/>
      <c r="S438" s="298"/>
      <c r="T438" s="298"/>
      <c r="U438" s="298"/>
      <c r="V438" s="298"/>
      <c r="W438" s="298"/>
      <c r="X438" s="298"/>
      <c r="Y438" s="298"/>
      <c r="Z438" s="298"/>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6"/>
      <c r="BM438" s="311"/>
      <c r="BN438" s="314"/>
    </row>
    <row r="439" s="118" customFormat="1" ht="33.95" customHeight="1" outlineLevel="5" spans="2:66">
      <c r="B439" s="119" t="s">
        <v>799</v>
      </c>
      <c r="C439" s="120" t="s">
        <v>1782</v>
      </c>
      <c r="D439" s="118" t="s">
        <v>1784</v>
      </c>
      <c r="E439" s="119" t="s">
        <v>1785</v>
      </c>
      <c r="F439" s="119" t="s">
        <v>1625</v>
      </c>
      <c r="G439" s="119" t="s">
        <v>943</v>
      </c>
      <c r="H439" s="119">
        <f t="shared" si="821"/>
        <v>0</v>
      </c>
      <c r="I439" s="119" t="s">
        <v>1242</v>
      </c>
      <c r="J439" s="298"/>
      <c r="K439" s="119" t="s">
        <v>1777</v>
      </c>
      <c r="L439" s="119">
        <v>6000</v>
      </c>
      <c r="M439" s="119" t="s">
        <v>1770</v>
      </c>
      <c r="N439" s="119">
        <f t="shared" si="807"/>
        <v>0</v>
      </c>
      <c r="O439" s="316"/>
      <c r="P439" s="316"/>
      <c r="Q439" s="316"/>
      <c r="R439" s="316"/>
      <c r="S439" s="316"/>
      <c r="T439" s="316"/>
      <c r="U439" s="316"/>
      <c r="V439" s="316"/>
      <c r="W439" s="316"/>
      <c r="X439" s="316"/>
      <c r="Y439" s="316"/>
      <c r="Z439" s="316"/>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6"/>
      <c r="BM439" s="311"/>
      <c r="BN439" s="314"/>
    </row>
    <row r="440" s="47" customFormat="1" ht="33.95" customHeight="1" outlineLevel="3" spans="2:66">
      <c r="B440" s="115" t="s">
        <v>794</v>
      </c>
      <c r="C440" s="116" t="s">
        <v>1786</v>
      </c>
      <c r="D440" s="47" t="s">
        <v>1787</v>
      </c>
      <c r="E440" s="115"/>
      <c r="F440" s="115"/>
      <c r="G440" s="115"/>
      <c r="H440" s="115">
        <f>SUM(H441:H445)</f>
        <v>0</v>
      </c>
      <c r="I440" s="115"/>
      <c r="J440" s="115"/>
      <c r="K440" s="115"/>
      <c r="L440" s="115"/>
      <c r="M440" s="115"/>
      <c r="N440" s="305"/>
      <c r="O440" s="288"/>
      <c r="P440" s="288"/>
      <c r="Q440" s="288"/>
      <c r="R440" s="288"/>
      <c r="S440" s="288"/>
      <c r="T440" s="288"/>
      <c r="U440" s="288"/>
      <c r="V440" s="288"/>
      <c r="W440" s="288"/>
      <c r="X440" s="288"/>
      <c r="Y440" s="288"/>
      <c r="Z440" s="288"/>
      <c r="AA440" s="288"/>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5"/>
      <c r="BM440" s="311"/>
      <c r="BN440" s="313"/>
    </row>
    <row r="441" s="118" customFormat="1" ht="33.95" customHeight="1" outlineLevel="4" spans="2:66">
      <c r="B441" s="119" t="s">
        <v>799</v>
      </c>
      <c r="C441" s="120" t="s">
        <v>1788</v>
      </c>
      <c r="D441" s="118" t="s">
        <v>1789</v>
      </c>
      <c r="E441" s="119"/>
      <c r="F441" s="119" t="s">
        <v>1625</v>
      </c>
      <c r="G441" s="119" t="s">
        <v>943</v>
      </c>
      <c r="H441" s="119">
        <f t="shared" ref="H441:H445" si="823">J441*L441</f>
        <v>0</v>
      </c>
      <c r="I441" s="119" t="s">
        <v>1242</v>
      </c>
      <c r="J441" s="298"/>
      <c r="K441" s="119" t="s">
        <v>1396</v>
      </c>
      <c r="L441" s="119">
        <v>23.9300583657588</v>
      </c>
      <c r="M441" s="119" t="s">
        <v>1675</v>
      </c>
      <c r="N441" s="119">
        <f t="shared" ref="N441:N445" si="824">COUNTA(O441:Z441)</f>
        <v>0</v>
      </c>
      <c r="O441" s="317"/>
      <c r="P441" s="317"/>
      <c r="Q441" s="317"/>
      <c r="R441" s="317"/>
      <c r="S441" s="317"/>
      <c r="T441" s="317"/>
      <c r="U441" s="317"/>
      <c r="V441" s="317"/>
      <c r="W441" s="317"/>
      <c r="X441" s="317"/>
      <c r="Y441" s="317"/>
      <c r="Z441" s="317"/>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6"/>
      <c r="BM441" s="311"/>
      <c r="BN441" s="314"/>
    </row>
    <row r="442" s="118" customFormat="1" ht="33.95" customHeight="1" outlineLevel="4" spans="2:66">
      <c r="B442" s="119" t="s">
        <v>799</v>
      </c>
      <c r="C442" s="120" t="s">
        <v>1790</v>
      </c>
      <c r="D442" s="118" t="s">
        <v>1791</v>
      </c>
      <c r="E442" s="119" t="s">
        <v>1792</v>
      </c>
      <c r="F442" s="119" t="s">
        <v>1625</v>
      </c>
      <c r="G442" s="119" t="s">
        <v>943</v>
      </c>
      <c r="H442" s="119">
        <f t="shared" si="823"/>
        <v>0</v>
      </c>
      <c r="I442" s="119" t="s">
        <v>1242</v>
      </c>
      <c r="J442" s="298"/>
      <c r="K442" s="119" t="s">
        <v>1396</v>
      </c>
      <c r="L442" s="119">
        <v>130</v>
      </c>
      <c r="M442" s="119" t="s">
        <v>1675</v>
      </c>
      <c r="N442" s="119">
        <f t="shared" si="824"/>
        <v>0</v>
      </c>
      <c r="O442" s="298"/>
      <c r="P442" s="298"/>
      <c r="Q442" s="298"/>
      <c r="R442" s="298"/>
      <c r="S442" s="298"/>
      <c r="T442" s="298"/>
      <c r="U442" s="298"/>
      <c r="V442" s="298"/>
      <c r="W442" s="298"/>
      <c r="X442" s="298"/>
      <c r="Y442" s="298"/>
      <c r="Z442" s="298"/>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6"/>
      <c r="BM442" s="311"/>
      <c r="BN442" s="314"/>
    </row>
    <row r="443" s="118" customFormat="1" ht="33.95" customHeight="1" outlineLevel="4" spans="2:66">
      <c r="B443" s="119" t="s">
        <v>799</v>
      </c>
      <c r="C443" s="120" t="s">
        <v>1793</v>
      </c>
      <c r="D443" s="118" t="s">
        <v>1794</v>
      </c>
      <c r="E443" s="119"/>
      <c r="F443" s="119" t="s">
        <v>1625</v>
      </c>
      <c r="G443" s="119" t="s">
        <v>943</v>
      </c>
      <c r="H443" s="119">
        <f t="shared" si="823"/>
        <v>0</v>
      </c>
      <c r="I443" s="119" t="s">
        <v>1242</v>
      </c>
      <c r="J443" s="298"/>
      <c r="K443" s="119" t="s">
        <v>1396</v>
      </c>
      <c r="L443" s="119">
        <v>28.7562388818298</v>
      </c>
      <c r="M443" s="119" t="s">
        <v>1675</v>
      </c>
      <c r="N443" s="119">
        <f t="shared" si="824"/>
        <v>0</v>
      </c>
      <c r="O443" s="298"/>
      <c r="P443" s="298"/>
      <c r="Q443" s="298"/>
      <c r="R443" s="298"/>
      <c r="S443" s="298"/>
      <c r="T443" s="298"/>
      <c r="U443" s="298"/>
      <c r="V443" s="298"/>
      <c r="W443" s="298"/>
      <c r="X443" s="298"/>
      <c r="Y443" s="298"/>
      <c r="Z443" s="298"/>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6"/>
      <c r="BM443" s="311"/>
      <c r="BN443" s="314"/>
    </row>
    <row r="444" s="118" customFormat="1" ht="33.95" customHeight="1" outlineLevel="4" spans="2:66">
      <c r="B444" s="119" t="s">
        <v>799</v>
      </c>
      <c r="C444" s="120" t="s">
        <v>1795</v>
      </c>
      <c r="D444" s="118" t="s">
        <v>1796</v>
      </c>
      <c r="E444" s="119"/>
      <c r="F444" s="119" t="s">
        <v>1625</v>
      </c>
      <c r="G444" s="119" t="s">
        <v>943</v>
      </c>
      <c r="H444" s="119">
        <f t="shared" si="823"/>
        <v>0</v>
      </c>
      <c r="I444" s="119" t="s">
        <v>1242</v>
      </c>
      <c r="J444" s="298"/>
      <c r="K444" s="119" t="s">
        <v>1396</v>
      </c>
      <c r="L444" s="119">
        <v>20.8170650529501</v>
      </c>
      <c r="M444" s="119" t="s">
        <v>1675</v>
      </c>
      <c r="N444" s="119">
        <f t="shared" si="824"/>
        <v>0</v>
      </c>
      <c r="O444" s="298"/>
      <c r="P444" s="298"/>
      <c r="Q444" s="298"/>
      <c r="R444" s="298"/>
      <c r="S444" s="298"/>
      <c r="T444" s="298"/>
      <c r="U444" s="298"/>
      <c r="V444" s="298"/>
      <c r="W444" s="298"/>
      <c r="X444" s="298"/>
      <c r="Y444" s="298"/>
      <c r="Z444" s="298"/>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6"/>
      <c r="BM444" s="311"/>
      <c r="BN444" s="314"/>
    </row>
    <row r="445" s="118" customFormat="1" ht="33.95" customHeight="1" outlineLevel="4" spans="2:66">
      <c r="B445" s="119" t="s">
        <v>799</v>
      </c>
      <c r="C445" s="120" t="s">
        <v>1797</v>
      </c>
      <c r="D445" s="118" t="s">
        <v>1798</v>
      </c>
      <c r="E445" s="119"/>
      <c r="F445" s="119" t="s">
        <v>1625</v>
      </c>
      <c r="G445" s="119" t="s">
        <v>943</v>
      </c>
      <c r="H445" s="119">
        <f t="shared" si="823"/>
        <v>0</v>
      </c>
      <c r="I445" s="119" t="s">
        <v>1242</v>
      </c>
      <c r="J445" s="298"/>
      <c r="K445" s="119" t="s">
        <v>1150</v>
      </c>
      <c r="L445" s="119">
        <v>260</v>
      </c>
      <c r="M445" s="119" t="s">
        <v>1770</v>
      </c>
      <c r="N445" s="119">
        <f t="shared" si="824"/>
        <v>0</v>
      </c>
      <c r="O445" s="316"/>
      <c r="P445" s="316"/>
      <c r="Q445" s="316"/>
      <c r="R445" s="316"/>
      <c r="S445" s="316"/>
      <c r="T445" s="316"/>
      <c r="U445" s="316"/>
      <c r="V445" s="316"/>
      <c r="W445" s="316"/>
      <c r="X445" s="316"/>
      <c r="Y445" s="316"/>
      <c r="Z445" s="316"/>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6"/>
      <c r="BM445" s="311"/>
      <c r="BN445" s="314"/>
    </row>
    <row r="446" s="47" customFormat="1" ht="33.95" customHeight="1" outlineLevel="3" spans="2:66">
      <c r="B446" s="115" t="s">
        <v>794</v>
      </c>
      <c r="C446" s="116" t="s">
        <v>1799</v>
      </c>
      <c r="D446" s="47" t="s">
        <v>1800</v>
      </c>
      <c r="E446" s="115"/>
      <c r="F446" s="115"/>
      <c r="G446" s="115"/>
      <c r="H446" s="115">
        <f>SUM(H447:H460)</f>
        <v>0</v>
      </c>
      <c r="I446" s="115"/>
      <c r="J446" s="115"/>
      <c r="K446" s="115"/>
      <c r="L446" s="115"/>
      <c r="M446" s="115"/>
      <c r="N446" s="305"/>
      <c r="O446" s="288"/>
      <c r="P446" s="288"/>
      <c r="Q446" s="288"/>
      <c r="R446" s="288"/>
      <c r="S446" s="288"/>
      <c r="T446" s="288"/>
      <c r="U446" s="288"/>
      <c r="V446" s="288"/>
      <c r="W446" s="288"/>
      <c r="X446" s="288"/>
      <c r="Y446" s="288"/>
      <c r="Z446" s="288"/>
      <c r="AA446" s="288"/>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5"/>
      <c r="BM446" s="311"/>
      <c r="BN446" s="313"/>
    </row>
    <row r="447" s="118" customFormat="1" ht="33.95" customHeight="1" outlineLevel="5" spans="2:66">
      <c r="B447" s="119" t="s">
        <v>799</v>
      </c>
      <c r="C447" s="120" t="s">
        <v>1801</v>
      </c>
      <c r="D447" s="118" t="s">
        <v>1802</v>
      </c>
      <c r="E447" s="119" t="s">
        <v>1803</v>
      </c>
      <c r="F447" s="119" t="s">
        <v>1625</v>
      </c>
      <c r="G447" s="119" t="s">
        <v>943</v>
      </c>
      <c r="H447" s="119">
        <f t="shared" ref="H447:H459" si="825">J447*L447</f>
        <v>0</v>
      </c>
      <c r="I447" s="119" t="s">
        <v>1242</v>
      </c>
      <c r="J447" s="298"/>
      <c r="K447" s="119" t="s">
        <v>1804</v>
      </c>
      <c r="L447" s="119">
        <v>48</v>
      </c>
      <c r="M447" s="119" t="s">
        <v>1805</v>
      </c>
      <c r="N447" s="119">
        <f t="shared" ref="N447:N459" si="826">COUNTA(O447:Z447)</f>
        <v>0</v>
      </c>
      <c r="O447" s="317"/>
      <c r="P447" s="317"/>
      <c r="Q447" s="317"/>
      <c r="R447" s="317"/>
      <c r="S447" s="317"/>
      <c r="T447" s="317"/>
      <c r="U447" s="317"/>
      <c r="V447" s="317"/>
      <c r="W447" s="317"/>
      <c r="X447" s="317"/>
      <c r="Y447" s="317"/>
      <c r="Z447" s="317"/>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6"/>
      <c r="BM447" s="311"/>
      <c r="BN447" s="314"/>
    </row>
    <row r="448" s="118" customFormat="1" ht="33.95" customHeight="1" outlineLevel="5" spans="2:66">
      <c r="B448" s="119" t="s">
        <v>799</v>
      </c>
      <c r="C448" s="120" t="s">
        <v>1806</v>
      </c>
      <c r="D448" s="118" t="s">
        <v>1807</v>
      </c>
      <c r="E448" s="119" t="s">
        <v>1808</v>
      </c>
      <c r="F448" s="119" t="s">
        <v>1625</v>
      </c>
      <c r="G448" s="119" t="s">
        <v>943</v>
      </c>
      <c r="H448" s="119">
        <f t="shared" si="825"/>
        <v>0</v>
      </c>
      <c r="I448" s="119" t="s">
        <v>1242</v>
      </c>
      <c r="J448" s="298"/>
      <c r="K448" s="119" t="s">
        <v>1804</v>
      </c>
      <c r="L448" s="119">
        <v>338</v>
      </c>
      <c r="M448" s="119" t="s">
        <v>1805</v>
      </c>
      <c r="N448" s="119">
        <f t="shared" si="826"/>
        <v>0</v>
      </c>
      <c r="O448" s="298"/>
      <c r="P448" s="298"/>
      <c r="Q448" s="298"/>
      <c r="R448" s="298"/>
      <c r="S448" s="298"/>
      <c r="T448" s="298"/>
      <c r="U448" s="298"/>
      <c r="V448" s="298"/>
      <c r="W448" s="298"/>
      <c r="X448" s="298"/>
      <c r="Y448" s="298"/>
      <c r="Z448" s="298"/>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6"/>
      <c r="BM448" s="311"/>
      <c r="BN448" s="314"/>
    </row>
    <row r="449" s="118" customFormat="1" ht="33.95" customHeight="1" outlineLevel="5" spans="2:66">
      <c r="B449" s="119" t="s">
        <v>799</v>
      </c>
      <c r="C449" s="120" t="s">
        <v>1809</v>
      </c>
      <c r="D449" s="118" t="s">
        <v>1810</v>
      </c>
      <c r="E449" s="119" t="s">
        <v>1811</v>
      </c>
      <c r="F449" s="119" t="s">
        <v>1625</v>
      </c>
      <c r="G449" s="119" t="s">
        <v>943</v>
      </c>
      <c r="H449" s="119">
        <f t="shared" si="825"/>
        <v>0</v>
      </c>
      <c r="I449" s="119" t="s">
        <v>1242</v>
      </c>
      <c r="J449" s="298"/>
      <c r="K449" s="119" t="s">
        <v>1396</v>
      </c>
      <c r="L449" s="119">
        <v>190</v>
      </c>
      <c r="M449" s="119" t="s">
        <v>1675</v>
      </c>
      <c r="N449" s="119">
        <f t="shared" si="826"/>
        <v>0</v>
      </c>
      <c r="O449" s="298"/>
      <c r="P449" s="298"/>
      <c r="Q449" s="298"/>
      <c r="R449" s="298"/>
      <c r="S449" s="298"/>
      <c r="T449" s="298"/>
      <c r="U449" s="298"/>
      <c r="V449" s="298"/>
      <c r="W449" s="298"/>
      <c r="X449" s="298"/>
      <c r="Y449" s="298"/>
      <c r="Z449" s="298"/>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6"/>
      <c r="BM449" s="311"/>
      <c r="BN449" s="314"/>
    </row>
    <row r="450" s="118" customFormat="1" ht="33.95" customHeight="1" outlineLevel="5" spans="2:66">
      <c r="B450" s="119" t="s">
        <v>799</v>
      </c>
      <c r="C450" s="120" t="s">
        <v>1812</v>
      </c>
      <c r="D450" s="118" t="s">
        <v>1813</v>
      </c>
      <c r="E450" s="119" t="s">
        <v>1814</v>
      </c>
      <c r="F450" s="119" t="s">
        <v>1625</v>
      </c>
      <c r="G450" s="119" t="s">
        <v>943</v>
      </c>
      <c r="H450" s="119">
        <f t="shared" si="825"/>
        <v>0</v>
      </c>
      <c r="I450" s="119" t="s">
        <v>1242</v>
      </c>
      <c r="J450" s="298"/>
      <c r="K450" s="119" t="s">
        <v>1396</v>
      </c>
      <c r="L450" s="119">
        <v>500</v>
      </c>
      <c r="M450" s="119" t="s">
        <v>1675</v>
      </c>
      <c r="N450" s="119">
        <f t="shared" si="826"/>
        <v>0</v>
      </c>
      <c r="O450" s="298"/>
      <c r="P450" s="298"/>
      <c r="Q450" s="298"/>
      <c r="R450" s="298"/>
      <c r="S450" s="298"/>
      <c r="T450" s="298"/>
      <c r="U450" s="298"/>
      <c r="V450" s="298"/>
      <c r="W450" s="298"/>
      <c r="X450" s="298"/>
      <c r="Y450" s="298"/>
      <c r="Z450" s="298"/>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6"/>
      <c r="BM450" s="311"/>
      <c r="BN450" s="314"/>
    </row>
    <row r="451" s="118" customFormat="1" ht="33.95" customHeight="1" outlineLevel="5" spans="2:66">
      <c r="B451" s="119" t="s">
        <v>799</v>
      </c>
      <c r="C451" s="120" t="s">
        <v>1815</v>
      </c>
      <c r="D451" s="118" t="s">
        <v>1816</v>
      </c>
      <c r="E451" s="119" t="s">
        <v>1817</v>
      </c>
      <c r="F451" s="119" t="s">
        <v>1625</v>
      </c>
      <c r="G451" s="119" t="s">
        <v>943</v>
      </c>
      <c r="H451" s="119">
        <f t="shared" si="825"/>
        <v>0</v>
      </c>
      <c r="I451" s="119" t="s">
        <v>1242</v>
      </c>
      <c r="J451" s="298"/>
      <c r="K451" s="119" t="s">
        <v>1396</v>
      </c>
      <c r="L451" s="119">
        <v>80</v>
      </c>
      <c r="M451" s="119" t="s">
        <v>1675</v>
      </c>
      <c r="N451" s="119">
        <f t="shared" si="826"/>
        <v>0</v>
      </c>
      <c r="O451" s="298"/>
      <c r="P451" s="298"/>
      <c r="Q451" s="298"/>
      <c r="R451" s="298"/>
      <c r="S451" s="298"/>
      <c r="T451" s="298"/>
      <c r="U451" s="298"/>
      <c r="V451" s="298"/>
      <c r="W451" s="298"/>
      <c r="X451" s="298"/>
      <c r="Y451" s="298"/>
      <c r="Z451" s="298"/>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6"/>
      <c r="BM451" s="311"/>
      <c r="BN451" s="314"/>
    </row>
    <row r="452" s="118" customFormat="1" ht="33.95" customHeight="1" outlineLevel="5" spans="2:66">
      <c r="B452" s="119" t="s">
        <v>799</v>
      </c>
      <c r="C452" s="120" t="s">
        <v>1818</v>
      </c>
      <c r="D452" s="118" t="s">
        <v>1819</v>
      </c>
      <c r="E452" s="119" t="s">
        <v>1820</v>
      </c>
      <c r="F452" s="119" t="s">
        <v>1625</v>
      </c>
      <c r="G452" s="119" t="s">
        <v>943</v>
      </c>
      <c r="H452" s="119">
        <f t="shared" si="825"/>
        <v>0</v>
      </c>
      <c r="I452" s="119" t="s">
        <v>1242</v>
      </c>
      <c r="J452" s="298"/>
      <c r="K452" s="119" t="s">
        <v>1396</v>
      </c>
      <c r="L452" s="119">
        <v>10</v>
      </c>
      <c r="M452" s="119" t="s">
        <v>1675</v>
      </c>
      <c r="N452" s="119">
        <f t="shared" si="826"/>
        <v>0</v>
      </c>
      <c r="O452" s="298"/>
      <c r="P452" s="298"/>
      <c r="Q452" s="298"/>
      <c r="R452" s="298"/>
      <c r="S452" s="298"/>
      <c r="T452" s="298"/>
      <c r="U452" s="298"/>
      <c r="V452" s="298"/>
      <c r="W452" s="298"/>
      <c r="X452" s="298"/>
      <c r="Y452" s="298"/>
      <c r="Z452" s="298"/>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6"/>
      <c r="BM452" s="311"/>
      <c r="BN452" s="314"/>
    </row>
    <row r="453" s="118" customFormat="1" ht="33.95" customHeight="1" outlineLevel="5" spans="2:66">
      <c r="B453" s="119" t="s">
        <v>799</v>
      </c>
      <c r="C453" s="120" t="s">
        <v>1821</v>
      </c>
      <c r="D453" s="118" t="s">
        <v>1822</v>
      </c>
      <c r="E453" s="119" t="s">
        <v>1823</v>
      </c>
      <c r="F453" s="119" t="s">
        <v>1625</v>
      </c>
      <c r="G453" s="119" t="s">
        <v>943</v>
      </c>
      <c r="H453" s="119">
        <f t="shared" si="825"/>
        <v>0</v>
      </c>
      <c r="I453" s="119" t="s">
        <v>1242</v>
      </c>
      <c r="J453" s="298"/>
      <c r="K453" s="119" t="s">
        <v>1759</v>
      </c>
      <c r="L453" s="119">
        <v>37</v>
      </c>
      <c r="M453" s="119" t="s">
        <v>1760</v>
      </c>
      <c r="N453" s="119">
        <f t="shared" si="826"/>
        <v>0</v>
      </c>
      <c r="O453" s="298"/>
      <c r="P453" s="298"/>
      <c r="Q453" s="298"/>
      <c r="R453" s="298"/>
      <c r="S453" s="298"/>
      <c r="T453" s="298"/>
      <c r="U453" s="298"/>
      <c r="V453" s="298"/>
      <c r="W453" s="298"/>
      <c r="X453" s="298"/>
      <c r="Y453" s="298"/>
      <c r="Z453" s="298"/>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6"/>
      <c r="BM453" s="311"/>
      <c r="BN453" s="314"/>
    </row>
    <row r="454" s="118" customFormat="1" ht="33.95" customHeight="1" outlineLevel="5" spans="2:66">
      <c r="B454" s="119" t="s">
        <v>799</v>
      </c>
      <c r="C454" s="120" t="s">
        <v>1824</v>
      </c>
      <c r="D454" s="118" t="s">
        <v>1825</v>
      </c>
      <c r="E454" s="119" t="s">
        <v>1826</v>
      </c>
      <c r="F454" s="119" t="s">
        <v>1625</v>
      </c>
      <c r="G454" s="119" t="s">
        <v>943</v>
      </c>
      <c r="H454" s="119">
        <f t="shared" si="825"/>
        <v>0</v>
      </c>
      <c r="I454" s="119" t="s">
        <v>1242</v>
      </c>
      <c r="J454" s="298"/>
      <c r="K454" s="119" t="s">
        <v>1297</v>
      </c>
      <c r="L454" s="119">
        <v>25</v>
      </c>
      <c r="M454" s="119" t="s">
        <v>1827</v>
      </c>
      <c r="N454" s="119">
        <f t="shared" si="826"/>
        <v>0</v>
      </c>
      <c r="O454" s="298"/>
      <c r="P454" s="298"/>
      <c r="Q454" s="298"/>
      <c r="R454" s="298"/>
      <c r="S454" s="298"/>
      <c r="T454" s="298"/>
      <c r="U454" s="298"/>
      <c r="V454" s="298"/>
      <c r="W454" s="298"/>
      <c r="X454" s="298"/>
      <c r="Y454" s="298"/>
      <c r="Z454" s="298"/>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6"/>
      <c r="BM454" s="311"/>
      <c r="BN454" s="314"/>
    </row>
    <row r="455" s="118" customFormat="1" ht="33.95" customHeight="1" outlineLevel="5" spans="2:66">
      <c r="B455" s="119" t="s">
        <v>799</v>
      </c>
      <c r="C455" s="120" t="s">
        <v>1828</v>
      </c>
      <c r="D455" s="118" t="s">
        <v>1829</v>
      </c>
      <c r="E455" s="119" t="s">
        <v>1830</v>
      </c>
      <c r="F455" s="119" t="s">
        <v>1625</v>
      </c>
      <c r="G455" s="119" t="s">
        <v>943</v>
      </c>
      <c r="H455" s="119">
        <f t="shared" si="825"/>
        <v>0</v>
      </c>
      <c r="I455" s="119" t="s">
        <v>1242</v>
      </c>
      <c r="J455" s="298"/>
      <c r="K455" s="119" t="s">
        <v>1831</v>
      </c>
      <c r="L455" s="119">
        <v>9</v>
      </c>
      <c r="M455" s="119" t="s">
        <v>1832</v>
      </c>
      <c r="N455" s="119">
        <f t="shared" si="826"/>
        <v>0</v>
      </c>
      <c r="O455" s="298"/>
      <c r="P455" s="298"/>
      <c r="Q455" s="298"/>
      <c r="R455" s="298"/>
      <c r="S455" s="298"/>
      <c r="T455" s="298"/>
      <c r="U455" s="298"/>
      <c r="V455" s="298"/>
      <c r="W455" s="298"/>
      <c r="X455" s="298"/>
      <c r="Y455" s="298"/>
      <c r="Z455" s="298"/>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6"/>
      <c r="BM455" s="311"/>
      <c r="BN455" s="314"/>
    </row>
    <row r="456" s="118" customFormat="1" ht="33.95" customHeight="1" outlineLevel="5" spans="2:66">
      <c r="B456" s="119" t="s">
        <v>799</v>
      </c>
      <c r="C456" s="120" t="s">
        <v>1833</v>
      </c>
      <c r="D456" s="118" t="s">
        <v>1834</v>
      </c>
      <c r="E456" s="119" t="s">
        <v>1835</v>
      </c>
      <c r="F456" s="119" t="s">
        <v>1625</v>
      </c>
      <c r="G456" s="119" t="s">
        <v>943</v>
      </c>
      <c r="H456" s="119">
        <f t="shared" si="825"/>
        <v>0</v>
      </c>
      <c r="I456" s="119" t="s">
        <v>1242</v>
      </c>
      <c r="J456" s="298"/>
      <c r="K456" s="119" t="s">
        <v>1836</v>
      </c>
      <c r="L456" s="119">
        <v>99</v>
      </c>
      <c r="M456" s="119" t="s">
        <v>1837</v>
      </c>
      <c r="N456" s="119">
        <f t="shared" si="826"/>
        <v>0</v>
      </c>
      <c r="O456" s="298"/>
      <c r="P456" s="298"/>
      <c r="Q456" s="298"/>
      <c r="R456" s="298"/>
      <c r="S456" s="298"/>
      <c r="T456" s="298"/>
      <c r="U456" s="298"/>
      <c r="V456" s="298"/>
      <c r="W456" s="298"/>
      <c r="X456" s="298"/>
      <c r="Y456" s="298"/>
      <c r="Z456" s="298"/>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6"/>
      <c r="BM456" s="311"/>
      <c r="BN456" s="314"/>
    </row>
    <row r="457" s="118" customFormat="1" ht="33.95" customHeight="1" outlineLevel="5" spans="2:66">
      <c r="B457" s="119" t="s">
        <v>799</v>
      </c>
      <c r="C457" s="120" t="s">
        <v>1838</v>
      </c>
      <c r="D457" s="118" t="s">
        <v>1839</v>
      </c>
      <c r="E457" s="119" t="s">
        <v>1840</v>
      </c>
      <c r="F457" s="119" t="s">
        <v>1625</v>
      </c>
      <c r="G457" s="119" t="s">
        <v>943</v>
      </c>
      <c r="H457" s="119">
        <f t="shared" si="825"/>
        <v>0</v>
      </c>
      <c r="I457" s="119" t="s">
        <v>1242</v>
      </c>
      <c r="J457" s="298"/>
      <c r="K457" s="119" t="s">
        <v>1836</v>
      </c>
      <c r="L457" s="119">
        <v>120</v>
      </c>
      <c r="M457" s="119" t="s">
        <v>1837</v>
      </c>
      <c r="N457" s="119">
        <f t="shared" si="826"/>
        <v>0</v>
      </c>
      <c r="O457" s="298"/>
      <c r="P457" s="298"/>
      <c r="Q457" s="298"/>
      <c r="R457" s="298"/>
      <c r="S457" s="298"/>
      <c r="T457" s="298"/>
      <c r="U457" s="298"/>
      <c r="V457" s="298"/>
      <c r="W457" s="298"/>
      <c r="X457" s="298"/>
      <c r="Y457" s="298"/>
      <c r="Z457" s="298"/>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6"/>
      <c r="BM457" s="311"/>
      <c r="BN457" s="314"/>
    </row>
    <row r="458" s="118" customFormat="1" ht="33.95" customHeight="1" outlineLevel="5" spans="2:66">
      <c r="B458" s="119" t="s">
        <v>799</v>
      </c>
      <c r="C458" s="120" t="s">
        <v>1841</v>
      </c>
      <c r="D458" s="118" t="s">
        <v>1842</v>
      </c>
      <c r="E458" s="119" t="s">
        <v>1843</v>
      </c>
      <c r="F458" s="119" t="s">
        <v>1625</v>
      </c>
      <c r="G458" s="119" t="s">
        <v>943</v>
      </c>
      <c r="H458" s="119">
        <f t="shared" si="825"/>
        <v>0</v>
      </c>
      <c r="I458" s="119" t="s">
        <v>1242</v>
      </c>
      <c r="J458" s="298"/>
      <c r="K458" s="119" t="s">
        <v>1836</v>
      </c>
      <c r="L458" s="119">
        <v>350</v>
      </c>
      <c r="M458" s="119" t="s">
        <v>1837</v>
      </c>
      <c r="N458" s="119">
        <f t="shared" si="826"/>
        <v>0</v>
      </c>
      <c r="O458" s="298"/>
      <c r="P458" s="298"/>
      <c r="Q458" s="298"/>
      <c r="R458" s="298"/>
      <c r="S458" s="298"/>
      <c r="T458" s="298"/>
      <c r="U458" s="298"/>
      <c r="V458" s="298"/>
      <c r="W458" s="298"/>
      <c r="X458" s="298"/>
      <c r="Y458" s="298"/>
      <c r="Z458" s="298"/>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6"/>
      <c r="BM458" s="311"/>
      <c r="BN458" s="314"/>
    </row>
    <row r="459" s="118" customFormat="1" ht="33.95" customHeight="1" outlineLevel="5" spans="2:66">
      <c r="B459" s="119" t="s">
        <v>799</v>
      </c>
      <c r="C459" s="120" t="s">
        <v>1844</v>
      </c>
      <c r="D459" s="118" t="s">
        <v>1845</v>
      </c>
      <c r="E459" s="119" t="s">
        <v>1846</v>
      </c>
      <c r="F459" s="119" t="s">
        <v>1625</v>
      </c>
      <c r="G459" s="119" t="s">
        <v>943</v>
      </c>
      <c r="H459" s="119">
        <f t="shared" si="825"/>
        <v>0</v>
      </c>
      <c r="I459" s="119" t="s">
        <v>1242</v>
      </c>
      <c r="J459" s="298"/>
      <c r="K459" s="119" t="s">
        <v>1847</v>
      </c>
      <c r="L459" s="119">
        <v>10</v>
      </c>
      <c r="M459" s="119" t="s">
        <v>1848</v>
      </c>
      <c r="N459" s="119">
        <f t="shared" si="826"/>
        <v>0</v>
      </c>
      <c r="O459" s="316"/>
      <c r="P459" s="316"/>
      <c r="Q459" s="316"/>
      <c r="R459" s="316"/>
      <c r="S459" s="316"/>
      <c r="T459" s="316"/>
      <c r="U459" s="316"/>
      <c r="V459" s="316"/>
      <c r="W459" s="316"/>
      <c r="X459" s="316"/>
      <c r="Y459" s="316"/>
      <c r="Z459" s="316"/>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6"/>
      <c r="BM459" s="311"/>
      <c r="BN459" s="314"/>
    </row>
    <row r="460" s="118" customFormat="1" ht="33.95" customHeight="1" outlineLevel="4" spans="2:66">
      <c r="B460" s="119" t="s">
        <v>799</v>
      </c>
      <c r="C460" s="120" t="s">
        <v>1849</v>
      </c>
      <c r="D460" s="118" t="s">
        <v>1850</v>
      </c>
      <c r="E460" s="119"/>
      <c r="F460" s="119"/>
      <c r="G460" s="119" t="s">
        <v>1851</v>
      </c>
      <c r="H460" s="119">
        <f>J460*L460*N460</f>
        <v>0</v>
      </c>
      <c r="I460" s="119" t="s">
        <v>1242</v>
      </c>
      <c r="J460" s="119">
        <v>1</v>
      </c>
      <c r="K460" s="119" t="s">
        <v>1243</v>
      </c>
      <c r="L460" s="298"/>
      <c r="M460" s="119" t="s">
        <v>1244</v>
      </c>
      <c r="N460" s="306">
        <v>12</v>
      </c>
      <c r="O460" s="289"/>
      <c r="P460" s="289"/>
      <c r="Q460" s="289"/>
      <c r="R460" s="289"/>
      <c r="S460" s="289"/>
      <c r="T460" s="289"/>
      <c r="U460" s="289"/>
      <c r="V460" s="289"/>
      <c r="W460" s="289"/>
      <c r="X460" s="289"/>
      <c r="Y460" s="289"/>
      <c r="Z460" s="289"/>
      <c r="AA460" s="289"/>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6"/>
      <c r="BM460" s="311"/>
      <c r="BN460" s="314"/>
    </row>
    <row r="461" s="22" customFormat="1" ht="33.95" customHeight="1" outlineLevel="2" spans="2:66">
      <c r="B461" s="112" t="s">
        <v>794</v>
      </c>
      <c r="C461" s="113" t="s">
        <v>1852</v>
      </c>
      <c r="D461" s="22" t="s">
        <v>1853</v>
      </c>
      <c r="E461" s="112"/>
      <c r="F461" s="112"/>
      <c r="G461" s="112"/>
      <c r="H461" s="112">
        <f>H462+H468+H477</f>
        <v>0</v>
      </c>
      <c r="I461" s="112"/>
      <c r="J461" s="112"/>
      <c r="K461" s="112"/>
      <c r="L461" s="112"/>
      <c r="M461" s="112"/>
      <c r="N461" s="304"/>
      <c r="O461" s="287"/>
      <c r="P461" s="287"/>
      <c r="Q461" s="287"/>
      <c r="R461" s="287"/>
      <c r="S461" s="287"/>
      <c r="T461" s="287"/>
      <c r="U461" s="287"/>
      <c r="V461" s="287"/>
      <c r="W461" s="287"/>
      <c r="X461" s="287"/>
      <c r="Y461" s="287"/>
      <c r="Z461" s="287"/>
      <c r="AA461" s="287"/>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4"/>
      <c r="BM461" s="311"/>
      <c r="BN461" s="312"/>
    </row>
    <row r="462" s="47" customFormat="1" ht="33.95" customHeight="1" outlineLevel="3" spans="2:66">
      <c r="B462" s="115" t="s">
        <v>794</v>
      </c>
      <c r="C462" s="116" t="s">
        <v>1854</v>
      </c>
      <c r="D462" s="47" t="s">
        <v>1855</v>
      </c>
      <c r="E462" s="115"/>
      <c r="F462" s="115"/>
      <c r="G462" s="115"/>
      <c r="H462" s="115">
        <f>SUM(H463:H467)</f>
        <v>0</v>
      </c>
      <c r="I462" s="115"/>
      <c r="J462" s="115"/>
      <c r="K462" s="115"/>
      <c r="L462" s="115"/>
      <c r="M462" s="115"/>
      <c r="N462" s="305"/>
      <c r="O462" s="288"/>
      <c r="P462" s="288"/>
      <c r="Q462" s="288"/>
      <c r="R462" s="288"/>
      <c r="S462" s="288"/>
      <c r="T462" s="288"/>
      <c r="U462" s="288"/>
      <c r="V462" s="288"/>
      <c r="W462" s="288"/>
      <c r="X462" s="288"/>
      <c r="Y462" s="288"/>
      <c r="Z462" s="288"/>
      <c r="AA462" s="288"/>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5"/>
      <c r="BM462" s="311"/>
      <c r="BN462" s="313"/>
    </row>
    <row r="463" s="118" customFormat="1" ht="33.95" customHeight="1" outlineLevel="5" spans="2:66">
      <c r="B463" s="119" t="s">
        <v>799</v>
      </c>
      <c r="C463" s="120" t="s">
        <v>1856</v>
      </c>
      <c r="D463" s="118" t="s">
        <v>1857</v>
      </c>
      <c r="E463" s="119"/>
      <c r="F463" s="119" t="s">
        <v>1625</v>
      </c>
      <c r="G463" s="119" t="s">
        <v>943</v>
      </c>
      <c r="H463" s="119">
        <f t="shared" ref="H463:H467" si="842">J463*L463</f>
        <v>0</v>
      </c>
      <c r="I463" s="119" t="s">
        <v>1242</v>
      </c>
      <c r="J463" s="298"/>
      <c r="K463" s="119" t="s">
        <v>1150</v>
      </c>
      <c r="L463" s="119">
        <v>2850</v>
      </c>
      <c r="M463" s="119" t="s">
        <v>1770</v>
      </c>
      <c r="N463" s="119">
        <f t="shared" ref="N463:N467" si="843">COUNTA(O463:Z463)</f>
        <v>0</v>
      </c>
      <c r="O463" s="317"/>
      <c r="P463" s="317"/>
      <c r="Q463" s="317"/>
      <c r="R463" s="317"/>
      <c r="S463" s="317"/>
      <c r="T463" s="317"/>
      <c r="U463" s="317"/>
      <c r="V463" s="317"/>
      <c r="W463" s="317"/>
      <c r="X463" s="317"/>
      <c r="Y463" s="317"/>
      <c r="Z463" s="317"/>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6"/>
      <c r="BM463" s="311"/>
      <c r="BN463" s="314"/>
    </row>
    <row r="464" s="118" customFormat="1" ht="33.95" customHeight="1" outlineLevel="5" spans="2:66">
      <c r="B464" s="119" t="s">
        <v>799</v>
      </c>
      <c r="C464" s="120" t="s">
        <v>1858</v>
      </c>
      <c r="D464" s="118" t="s">
        <v>1859</v>
      </c>
      <c r="E464" s="119"/>
      <c r="F464" s="119" t="s">
        <v>1625</v>
      </c>
      <c r="G464" s="119" t="s">
        <v>943</v>
      </c>
      <c r="H464" s="119">
        <f t="shared" si="842"/>
        <v>0</v>
      </c>
      <c r="I464" s="119" t="s">
        <v>1242</v>
      </c>
      <c r="J464" s="298"/>
      <c r="K464" s="119" t="s">
        <v>1150</v>
      </c>
      <c r="L464" s="119">
        <v>1180</v>
      </c>
      <c r="M464" s="119" t="s">
        <v>1770</v>
      </c>
      <c r="N464" s="119">
        <f t="shared" si="843"/>
        <v>0</v>
      </c>
      <c r="O464" s="298"/>
      <c r="P464" s="298"/>
      <c r="Q464" s="298"/>
      <c r="R464" s="298"/>
      <c r="S464" s="298"/>
      <c r="T464" s="298"/>
      <c r="U464" s="298"/>
      <c r="V464" s="298"/>
      <c r="W464" s="298"/>
      <c r="X464" s="298"/>
      <c r="Y464" s="298"/>
      <c r="Z464" s="298"/>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6"/>
      <c r="BM464" s="311"/>
      <c r="BN464" s="314"/>
    </row>
    <row r="465" s="118" customFormat="1" ht="33.95" customHeight="1" outlineLevel="5" spans="2:66">
      <c r="B465" s="119" t="s">
        <v>799</v>
      </c>
      <c r="C465" s="120" t="s">
        <v>1860</v>
      </c>
      <c r="D465" s="118" t="s">
        <v>1861</v>
      </c>
      <c r="E465" s="119"/>
      <c r="F465" s="119" t="s">
        <v>1625</v>
      </c>
      <c r="G465" s="119" t="s">
        <v>943</v>
      </c>
      <c r="H465" s="119">
        <f t="shared" si="842"/>
        <v>0</v>
      </c>
      <c r="I465" s="119" t="s">
        <v>1242</v>
      </c>
      <c r="J465" s="298"/>
      <c r="K465" s="119" t="s">
        <v>1150</v>
      </c>
      <c r="L465" s="119">
        <v>380</v>
      </c>
      <c r="M465" s="119" t="s">
        <v>1770</v>
      </c>
      <c r="N465" s="119">
        <f t="shared" si="843"/>
        <v>0</v>
      </c>
      <c r="O465" s="298"/>
      <c r="P465" s="298"/>
      <c r="Q465" s="298"/>
      <c r="R465" s="298"/>
      <c r="S465" s="298"/>
      <c r="T465" s="298"/>
      <c r="U465" s="298"/>
      <c r="V465" s="298"/>
      <c r="W465" s="298"/>
      <c r="X465" s="298"/>
      <c r="Y465" s="298"/>
      <c r="Z465" s="298"/>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6"/>
      <c r="BM465" s="311"/>
      <c r="BN465" s="314"/>
    </row>
    <row r="466" s="118" customFormat="1" ht="33.95" customHeight="1" outlineLevel="5" spans="2:66">
      <c r="B466" s="119" t="s">
        <v>799</v>
      </c>
      <c r="C466" s="120" t="s">
        <v>1862</v>
      </c>
      <c r="D466" s="118" t="s">
        <v>1863</v>
      </c>
      <c r="E466" s="119"/>
      <c r="F466" s="119" t="s">
        <v>1625</v>
      </c>
      <c r="G466" s="119" t="s">
        <v>943</v>
      </c>
      <c r="H466" s="119">
        <f t="shared" si="842"/>
        <v>0</v>
      </c>
      <c r="I466" s="119" t="s">
        <v>1242</v>
      </c>
      <c r="J466" s="298"/>
      <c r="K466" s="119" t="s">
        <v>1150</v>
      </c>
      <c r="L466" s="119">
        <v>2330</v>
      </c>
      <c r="M466" s="119" t="s">
        <v>1770</v>
      </c>
      <c r="N466" s="119">
        <f t="shared" si="843"/>
        <v>0</v>
      </c>
      <c r="O466" s="298"/>
      <c r="P466" s="298"/>
      <c r="Q466" s="298"/>
      <c r="R466" s="298"/>
      <c r="S466" s="298"/>
      <c r="T466" s="298"/>
      <c r="U466" s="298"/>
      <c r="V466" s="298"/>
      <c r="W466" s="298"/>
      <c r="X466" s="298"/>
      <c r="Y466" s="298"/>
      <c r="Z466" s="298"/>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6"/>
      <c r="BM466" s="311"/>
      <c r="BN466" s="314"/>
    </row>
    <row r="467" s="118" customFormat="1" ht="33.95" customHeight="1" outlineLevel="5" spans="2:66">
      <c r="B467" s="119" t="s">
        <v>799</v>
      </c>
      <c r="C467" s="120" t="s">
        <v>1864</v>
      </c>
      <c r="D467" s="118" t="s">
        <v>1865</v>
      </c>
      <c r="E467" s="119"/>
      <c r="F467" s="119" t="s">
        <v>1625</v>
      </c>
      <c r="G467" s="119" t="s">
        <v>943</v>
      </c>
      <c r="H467" s="119">
        <f t="shared" si="842"/>
        <v>0</v>
      </c>
      <c r="I467" s="119" t="s">
        <v>1242</v>
      </c>
      <c r="J467" s="298"/>
      <c r="K467" s="119" t="s">
        <v>1150</v>
      </c>
      <c r="L467" s="119">
        <v>2400</v>
      </c>
      <c r="M467" s="119" t="s">
        <v>1770</v>
      </c>
      <c r="N467" s="119">
        <f t="shared" si="843"/>
        <v>0</v>
      </c>
      <c r="O467" s="316"/>
      <c r="P467" s="316"/>
      <c r="Q467" s="316"/>
      <c r="R467" s="316"/>
      <c r="S467" s="316"/>
      <c r="T467" s="316"/>
      <c r="U467" s="316"/>
      <c r="V467" s="316"/>
      <c r="W467" s="316"/>
      <c r="X467" s="316"/>
      <c r="Y467" s="316"/>
      <c r="Z467" s="316"/>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6"/>
      <c r="BM467" s="311"/>
      <c r="BN467" s="314"/>
    </row>
    <row r="468" s="47" customFormat="1" ht="33.95" customHeight="1" outlineLevel="3" spans="2:66">
      <c r="B468" s="115" t="s">
        <v>794</v>
      </c>
      <c r="C468" s="116" t="s">
        <v>1866</v>
      </c>
      <c r="D468" s="47" t="s">
        <v>1867</v>
      </c>
      <c r="E468" s="115"/>
      <c r="F468" s="115"/>
      <c r="G468" s="115"/>
      <c r="H468" s="115">
        <f>SUM(H469:H476)</f>
        <v>0</v>
      </c>
      <c r="I468" s="115"/>
      <c r="J468" s="115"/>
      <c r="K468" s="115"/>
      <c r="L468" s="115"/>
      <c r="M468" s="115"/>
      <c r="N468" s="305"/>
      <c r="O468" s="288"/>
      <c r="P468" s="288"/>
      <c r="Q468" s="288"/>
      <c r="R468" s="288"/>
      <c r="S468" s="288"/>
      <c r="T468" s="288"/>
      <c r="U468" s="288"/>
      <c r="V468" s="288"/>
      <c r="W468" s="288"/>
      <c r="X468" s="288"/>
      <c r="Y468" s="288"/>
      <c r="Z468" s="288"/>
      <c r="AA468" s="288"/>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5"/>
      <c r="BM468" s="311"/>
      <c r="BN468" s="313"/>
    </row>
    <row r="469" s="118" customFormat="1" ht="33.95" customHeight="1" outlineLevel="5" spans="2:66">
      <c r="B469" s="119" t="s">
        <v>799</v>
      </c>
      <c r="C469" s="120" t="s">
        <v>1868</v>
      </c>
      <c r="D469" s="118" t="s">
        <v>1869</v>
      </c>
      <c r="E469" s="119" t="s">
        <v>1870</v>
      </c>
      <c r="F469" s="119" t="s">
        <v>1625</v>
      </c>
      <c r="G469" s="119" t="s">
        <v>943</v>
      </c>
      <c r="H469" s="119">
        <f t="shared" ref="H469:H475" si="857">J469*L469</f>
        <v>0</v>
      </c>
      <c r="I469" s="119" t="s">
        <v>1242</v>
      </c>
      <c r="J469" s="298"/>
      <c r="K469" s="119" t="s">
        <v>1871</v>
      </c>
      <c r="L469" s="119">
        <v>2.6</v>
      </c>
      <c r="M469" s="119" t="s">
        <v>1872</v>
      </c>
      <c r="N469" s="119">
        <f t="shared" ref="N469:N475" si="858">COUNTA(O469:Z469)</f>
        <v>0</v>
      </c>
      <c r="O469" s="317"/>
      <c r="P469" s="317"/>
      <c r="Q469" s="317"/>
      <c r="R469" s="317"/>
      <c r="S469" s="317"/>
      <c r="T469" s="317"/>
      <c r="U469" s="317"/>
      <c r="V469" s="317"/>
      <c r="W469" s="317"/>
      <c r="X469" s="317"/>
      <c r="Y469" s="317"/>
      <c r="Z469" s="317"/>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6"/>
      <c r="BM469" s="311"/>
      <c r="BN469" s="314"/>
    </row>
    <row r="470" s="118" customFormat="1" ht="33.95" customHeight="1" outlineLevel="5" spans="2:66">
      <c r="B470" s="119" t="s">
        <v>799</v>
      </c>
      <c r="C470" s="120" t="s">
        <v>1873</v>
      </c>
      <c r="D470" s="118" t="s">
        <v>1874</v>
      </c>
      <c r="E470" s="119"/>
      <c r="F470" s="119" t="s">
        <v>1625</v>
      </c>
      <c r="G470" s="119" t="s">
        <v>943</v>
      </c>
      <c r="H470" s="119">
        <f t="shared" si="857"/>
        <v>0</v>
      </c>
      <c r="I470" s="119" t="s">
        <v>1242</v>
      </c>
      <c r="J470" s="298"/>
      <c r="K470" s="119" t="s">
        <v>1871</v>
      </c>
      <c r="L470" s="119">
        <v>2.6</v>
      </c>
      <c r="M470" s="119" t="s">
        <v>1872</v>
      </c>
      <c r="N470" s="119">
        <f t="shared" si="858"/>
        <v>0</v>
      </c>
      <c r="O470" s="298"/>
      <c r="P470" s="298"/>
      <c r="Q470" s="298"/>
      <c r="R470" s="298"/>
      <c r="S470" s="298"/>
      <c r="T470" s="298"/>
      <c r="U470" s="298"/>
      <c r="V470" s="298"/>
      <c r="W470" s="298"/>
      <c r="X470" s="298"/>
      <c r="Y470" s="298"/>
      <c r="Z470" s="298"/>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6"/>
      <c r="BM470" s="311"/>
      <c r="BN470" s="314"/>
    </row>
    <row r="471" s="118" customFormat="1" ht="33.95" customHeight="1" outlineLevel="5" spans="2:66">
      <c r="B471" s="119" t="s">
        <v>799</v>
      </c>
      <c r="C471" s="120" t="s">
        <v>1875</v>
      </c>
      <c r="D471" s="118" t="s">
        <v>1876</v>
      </c>
      <c r="E471" s="119"/>
      <c r="F471" s="119" t="s">
        <v>1625</v>
      </c>
      <c r="G471" s="119" t="s">
        <v>943</v>
      </c>
      <c r="H471" s="119">
        <f t="shared" si="857"/>
        <v>0</v>
      </c>
      <c r="I471" s="119" t="s">
        <v>1242</v>
      </c>
      <c r="J471" s="298"/>
      <c r="K471" s="119" t="s">
        <v>1871</v>
      </c>
      <c r="L471" s="119">
        <v>2.6</v>
      </c>
      <c r="M471" s="119" t="s">
        <v>1872</v>
      </c>
      <c r="N471" s="119">
        <f t="shared" si="858"/>
        <v>0</v>
      </c>
      <c r="O471" s="298"/>
      <c r="P471" s="298"/>
      <c r="Q471" s="298"/>
      <c r="R471" s="298"/>
      <c r="S471" s="298"/>
      <c r="T471" s="298"/>
      <c r="U471" s="298"/>
      <c r="V471" s="298"/>
      <c r="W471" s="298"/>
      <c r="X471" s="298"/>
      <c r="Y471" s="298"/>
      <c r="Z471" s="298"/>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6"/>
      <c r="BM471" s="311"/>
      <c r="BN471" s="314"/>
    </row>
    <row r="472" s="118" customFormat="1" ht="33.95" customHeight="1" outlineLevel="5" spans="2:66">
      <c r="B472" s="119" t="s">
        <v>799</v>
      </c>
      <c r="C472" s="120" t="s">
        <v>1877</v>
      </c>
      <c r="D472" s="118" t="s">
        <v>1878</v>
      </c>
      <c r="E472" s="119" t="s">
        <v>1879</v>
      </c>
      <c r="F472" s="119" t="s">
        <v>1625</v>
      </c>
      <c r="G472" s="119" t="s">
        <v>943</v>
      </c>
      <c r="H472" s="119">
        <f t="shared" si="857"/>
        <v>0</v>
      </c>
      <c r="I472" s="119" t="s">
        <v>1242</v>
      </c>
      <c r="J472" s="298"/>
      <c r="K472" s="119" t="s">
        <v>1880</v>
      </c>
      <c r="L472" s="119">
        <v>40</v>
      </c>
      <c r="M472" s="119" t="s">
        <v>1881</v>
      </c>
      <c r="N472" s="119">
        <f t="shared" si="858"/>
        <v>0</v>
      </c>
      <c r="O472" s="298"/>
      <c r="P472" s="298"/>
      <c r="Q472" s="298"/>
      <c r="R472" s="298"/>
      <c r="S472" s="298"/>
      <c r="T472" s="298"/>
      <c r="U472" s="298"/>
      <c r="V472" s="298"/>
      <c r="W472" s="298"/>
      <c r="X472" s="298"/>
      <c r="Y472" s="298"/>
      <c r="Z472" s="298"/>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6"/>
      <c r="BM472" s="311"/>
      <c r="BN472" s="314"/>
    </row>
    <row r="473" s="118" customFormat="1" ht="33.95" customHeight="1" outlineLevel="5" spans="2:66">
      <c r="B473" s="119" t="s">
        <v>799</v>
      </c>
      <c r="C473" s="120" t="s">
        <v>1882</v>
      </c>
      <c r="D473" s="118" t="s">
        <v>1883</v>
      </c>
      <c r="E473" s="119" t="s">
        <v>1884</v>
      </c>
      <c r="F473" s="119" t="s">
        <v>1625</v>
      </c>
      <c r="G473" s="119" t="s">
        <v>943</v>
      </c>
      <c r="H473" s="119">
        <f t="shared" si="857"/>
        <v>0</v>
      </c>
      <c r="I473" s="119" t="s">
        <v>1242</v>
      </c>
      <c r="J473" s="298"/>
      <c r="K473" s="119" t="s">
        <v>1033</v>
      </c>
      <c r="L473" s="119">
        <v>17.33</v>
      </c>
      <c r="M473" s="119" t="s">
        <v>1694</v>
      </c>
      <c r="N473" s="119">
        <f t="shared" si="858"/>
        <v>0</v>
      </c>
      <c r="O473" s="298"/>
      <c r="P473" s="298"/>
      <c r="Q473" s="298"/>
      <c r="R473" s="298"/>
      <c r="S473" s="298"/>
      <c r="T473" s="298"/>
      <c r="U473" s="298"/>
      <c r="V473" s="298"/>
      <c r="W473" s="298"/>
      <c r="X473" s="298"/>
      <c r="Y473" s="298"/>
      <c r="Z473" s="298"/>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6"/>
      <c r="BM473" s="311"/>
      <c r="BN473" s="314"/>
    </row>
    <row r="474" s="118" customFormat="1" ht="33.95" customHeight="1" outlineLevel="5" spans="2:66">
      <c r="B474" s="119" t="s">
        <v>799</v>
      </c>
      <c r="C474" s="120" t="s">
        <v>1885</v>
      </c>
      <c r="D474" s="118" t="s">
        <v>1886</v>
      </c>
      <c r="E474" s="119"/>
      <c r="F474" s="119" t="s">
        <v>1625</v>
      </c>
      <c r="G474" s="119" t="s">
        <v>943</v>
      </c>
      <c r="H474" s="119">
        <f t="shared" si="857"/>
        <v>0</v>
      </c>
      <c r="I474" s="119" t="s">
        <v>1242</v>
      </c>
      <c r="J474" s="298"/>
      <c r="K474" s="119" t="s">
        <v>1887</v>
      </c>
      <c r="L474" s="119">
        <v>7</v>
      </c>
      <c r="M474" s="119" t="s">
        <v>1888</v>
      </c>
      <c r="N474" s="119">
        <f t="shared" si="858"/>
        <v>0</v>
      </c>
      <c r="O474" s="298"/>
      <c r="P474" s="298"/>
      <c r="Q474" s="298"/>
      <c r="R474" s="298"/>
      <c r="S474" s="298"/>
      <c r="T474" s="298"/>
      <c r="U474" s="298"/>
      <c r="V474" s="298"/>
      <c r="W474" s="298"/>
      <c r="X474" s="298"/>
      <c r="Y474" s="298"/>
      <c r="Z474" s="298"/>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6"/>
      <c r="BM474" s="311"/>
      <c r="BN474" s="314"/>
    </row>
    <row r="475" s="118" customFormat="1" ht="33.95" customHeight="1" outlineLevel="5" spans="2:66">
      <c r="B475" s="119" t="s">
        <v>799</v>
      </c>
      <c r="C475" s="120" t="s">
        <v>1889</v>
      </c>
      <c r="D475" s="118" t="s">
        <v>1890</v>
      </c>
      <c r="E475" s="119"/>
      <c r="F475" s="119" t="s">
        <v>1625</v>
      </c>
      <c r="G475" s="119" t="s">
        <v>943</v>
      </c>
      <c r="H475" s="119">
        <f t="shared" si="857"/>
        <v>0</v>
      </c>
      <c r="I475" s="119" t="s">
        <v>1242</v>
      </c>
      <c r="J475" s="298"/>
      <c r="K475" s="119" t="s">
        <v>1887</v>
      </c>
      <c r="L475" s="119">
        <v>1.5</v>
      </c>
      <c r="M475" s="119" t="s">
        <v>1888</v>
      </c>
      <c r="N475" s="119">
        <f t="shared" si="858"/>
        <v>0</v>
      </c>
      <c r="O475" s="316"/>
      <c r="P475" s="316"/>
      <c r="Q475" s="316"/>
      <c r="R475" s="316"/>
      <c r="S475" s="316"/>
      <c r="T475" s="316"/>
      <c r="U475" s="316"/>
      <c r="V475" s="316"/>
      <c r="W475" s="316"/>
      <c r="X475" s="316"/>
      <c r="Y475" s="316"/>
      <c r="Z475" s="316"/>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6"/>
      <c r="BM475" s="311"/>
      <c r="BN475" s="314"/>
    </row>
    <row r="476" s="118" customFormat="1" ht="33.95" customHeight="1" outlineLevel="5" spans="2:66">
      <c r="B476" s="119" t="s">
        <v>799</v>
      </c>
      <c r="C476" s="120" t="s">
        <v>1891</v>
      </c>
      <c r="D476" s="118" t="s">
        <v>1892</v>
      </c>
      <c r="E476" s="119"/>
      <c r="F476" s="119" t="s">
        <v>1625</v>
      </c>
      <c r="G476" s="119" t="s">
        <v>1851</v>
      </c>
      <c r="H476" s="119">
        <f>J476*L476*N476</f>
        <v>0</v>
      </c>
      <c r="I476" s="119" t="s">
        <v>1242</v>
      </c>
      <c r="J476" s="119">
        <v>1</v>
      </c>
      <c r="K476" s="119" t="s">
        <v>1243</v>
      </c>
      <c r="L476" s="298"/>
      <c r="M476" s="119" t="s">
        <v>1244</v>
      </c>
      <c r="N476" s="306">
        <v>12</v>
      </c>
      <c r="O476" s="289"/>
      <c r="P476" s="289"/>
      <c r="Q476" s="289"/>
      <c r="R476" s="289"/>
      <c r="S476" s="289"/>
      <c r="T476" s="289"/>
      <c r="U476" s="289"/>
      <c r="V476" s="289"/>
      <c r="W476" s="289"/>
      <c r="X476" s="289"/>
      <c r="Y476" s="289"/>
      <c r="Z476" s="289"/>
      <c r="AA476" s="289"/>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6"/>
      <c r="BM476" s="311"/>
      <c r="BN476" s="314"/>
    </row>
    <row r="477" s="47" customFormat="1" ht="33.95" customHeight="1" outlineLevel="3" spans="2:66">
      <c r="B477" s="115" t="s">
        <v>794</v>
      </c>
      <c r="C477" s="116" t="s">
        <v>1893</v>
      </c>
      <c r="D477" s="47" t="s">
        <v>1894</v>
      </c>
      <c r="E477" s="115"/>
      <c r="F477" s="115"/>
      <c r="G477" s="115"/>
      <c r="H477" s="115">
        <f>SUM(H478:H485)</f>
        <v>0</v>
      </c>
      <c r="I477" s="115"/>
      <c r="J477" s="115"/>
      <c r="K477" s="115"/>
      <c r="L477" s="115"/>
      <c r="M477" s="115"/>
      <c r="N477" s="305"/>
      <c r="O477" s="288"/>
      <c r="P477" s="288"/>
      <c r="Q477" s="288"/>
      <c r="R477" s="288"/>
      <c r="S477" s="288"/>
      <c r="T477" s="288"/>
      <c r="U477" s="288"/>
      <c r="V477" s="288"/>
      <c r="W477" s="288"/>
      <c r="X477" s="288"/>
      <c r="Y477" s="288"/>
      <c r="Z477" s="288"/>
      <c r="AA477" s="288"/>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5"/>
      <c r="BM477" s="311"/>
      <c r="BN477" s="313"/>
    </row>
    <row r="478" s="118" customFormat="1" ht="33.95" customHeight="1" outlineLevel="5" spans="2:66">
      <c r="B478" s="119" t="s">
        <v>799</v>
      </c>
      <c r="C478" s="120" t="s">
        <v>1895</v>
      </c>
      <c r="D478" s="118" t="s">
        <v>1896</v>
      </c>
      <c r="E478" s="119" t="s">
        <v>1897</v>
      </c>
      <c r="F478" s="119" t="s">
        <v>1625</v>
      </c>
      <c r="G478" s="119" t="s">
        <v>943</v>
      </c>
      <c r="H478" s="119">
        <f t="shared" ref="H478:H485" si="872">J478*L478</f>
        <v>0</v>
      </c>
      <c r="I478" s="119" t="s">
        <v>1242</v>
      </c>
      <c r="J478" s="298"/>
      <c r="K478" s="119" t="s">
        <v>1847</v>
      </c>
      <c r="L478" s="119">
        <v>40</v>
      </c>
      <c r="M478" s="119" t="s">
        <v>1848</v>
      </c>
      <c r="N478" s="119">
        <f t="shared" ref="N478:N485" si="873">COUNTA(O478:Z478)</f>
        <v>0</v>
      </c>
      <c r="O478" s="317"/>
      <c r="P478" s="317"/>
      <c r="Q478" s="317"/>
      <c r="R478" s="317"/>
      <c r="S478" s="317"/>
      <c r="T478" s="317"/>
      <c r="U478" s="317"/>
      <c r="V478" s="317"/>
      <c r="W478" s="317"/>
      <c r="X478" s="317"/>
      <c r="Y478" s="317"/>
      <c r="Z478" s="317"/>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6"/>
      <c r="BM478" s="311"/>
      <c r="BN478" s="314"/>
    </row>
    <row r="479" s="118" customFormat="1" ht="33.95" customHeight="1" outlineLevel="5" spans="2:66">
      <c r="B479" s="119" t="s">
        <v>799</v>
      </c>
      <c r="C479" s="120" t="s">
        <v>1898</v>
      </c>
      <c r="D479" s="118" t="s">
        <v>1899</v>
      </c>
      <c r="E479" s="119" t="s">
        <v>1900</v>
      </c>
      <c r="F479" s="119" t="s">
        <v>1625</v>
      </c>
      <c r="G479" s="119" t="s">
        <v>943</v>
      </c>
      <c r="H479" s="119">
        <f t="shared" si="872"/>
        <v>0</v>
      </c>
      <c r="I479" s="119" t="s">
        <v>1242</v>
      </c>
      <c r="J479" s="298"/>
      <c r="K479" s="119" t="s">
        <v>1847</v>
      </c>
      <c r="L479" s="119">
        <v>85</v>
      </c>
      <c r="M479" s="119" t="s">
        <v>1848</v>
      </c>
      <c r="N479" s="119">
        <f t="shared" si="873"/>
        <v>0</v>
      </c>
      <c r="O479" s="298"/>
      <c r="P479" s="298"/>
      <c r="Q479" s="298"/>
      <c r="R479" s="298"/>
      <c r="S479" s="298"/>
      <c r="T479" s="298"/>
      <c r="U479" s="298"/>
      <c r="V479" s="298"/>
      <c r="W479" s="298"/>
      <c r="X479" s="298"/>
      <c r="Y479" s="298"/>
      <c r="Z479" s="298"/>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6"/>
      <c r="BM479" s="311"/>
      <c r="BN479" s="314"/>
    </row>
    <row r="480" s="118" customFormat="1" ht="33.95" customHeight="1" outlineLevel="5" spans="2:66">
      <c r="B480" s="119" t="s">
        <v>799</v>
      </c>
      <c r="C480" s="120" t="s">
        <v>1901</v>
      </c>
      <c r="D480" s="118" t="s">
        <v>1902</v>
      </c>
      <c r="E480" s="119" t="s">
        <v>1903</v>
      </c>
      <c r="F480" s="119" t="s">
        <v>1625</v>
      </c>
      <c r="G480" s="119" t="s">
        <v>943</v>
      </c>
      <c r="H480" s="119">
        <f t="shared" si="872"/>
        <v>0</v>
      </c>
      <c r="I480" s="119" t="s">
        <v>1242</v>
      </c>
      <c r="J480" s="298"/>
      <c r="K480" s="119" t="s">
        <v>1831</v>
      </c>
      <c r="L480" s="119">
        <v>190</v>
      </c>
      <c r="M480" s="119" t="s">
        <v>1832</v>
      </c>
      <c r="N480" s="119">
        <f t="shared" si="873"/>
        <v>0</v>
      </c>
      <c r="O480" s="298"/>
      <c r="P480" s="298"/>
      <c r="Q480" s="298"/>
      <c r="R480" s="298"/>
      <c r="S480" s="298"/>
      <c r="T480" s="298"/>
      <c r="U480" s="298"/>
      <c r="V480" s="298"/>
      <c r="W480" s="298"/>
      <c r="X480" s="298"/>
      <c r="Y480" s="298"/>
      <c r="Z480" s="298"/>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6"/>
      <c r="BM480" s="311"/>
      <c r="BN480" s="314"/>
    </row>
    <row r="481" s="118" customFormat="1" ht="33.95" customHeight="1" outlineLevel="5" spans="2:66">
      <c r="B481" s="119" t="s">
        <v>799</v>
      </c>
      <c r="C481" s="120" t="s">
        <v>1904</v>
      </c>
      <c r="D481" s="118" t="s">
        <v>1905</v>
      </c>
      <c r="E481" s="119" t="s">
        <v>1906</v>
      </c>
      <c r="F481" s="119" t="s">
        <v>1625</v>
      </c>
      <c r="G481" s="119" t="s">
        <v>943</v>
      </c>
      <c r="H481" s="119">
        <f t="shared" si="872"/>
        <v>0</v>
      </c>
      <c r="I481" s="119" t="s">
        <v>1242</v>
      </c>
      <c r="J481" s="298"/>
      <c r="K481" s="119" t="s">
        <v>1847</v>
      </c>
      <c r="L481" s="119">
        <v>28</v>
      </c>
      <c r="M481" s="119" t="s">
        <v>1848</v>
      </c>
      <c r="N481" s="119">
        <f t="shared" si="873"/>
        <v>0</v>
      </c>
      <c r="O481" s="298"/>
      <c r="P481" s="298"/>
      <c r="Q481" s="298"/>
      <c r="R481" s="298"/>
      <c r="S481" s="298"/>
      <c r="T481" s="298"/>
      <c r="U481" s="298"/>
      <c r="V481" s="298"/>
      <c r="W481" s="298"/>
      <c r="X481" s="298"/>
      <c r="Y481" s="298"/>
      <c r="Z481" s="298"/>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6"/>
      <c r="BM481" s="311"/>
      <c r="BN481" s="314"/>
    </row>
    <row r="482" s="118" customFormat="1" ht="33.95" customHeight="1" outlineLevel="5" spans="2:66">
      <c r="B482" s="119" t="s">
        <v>799</v>
      </c>
      <c r="C482" s="120" t="s">
        <v>1907</v>
      </c>
      <c r="D482" s="118" t="s">
        <v>1908</v>
      </c>
      <c r="E482" s="119" t="s">
        <v>1909</v>
      </c>
      <c r="F482" s="119" t="s">
        <v>1625</v>
      </c>
      <c r="G482" s="119" t="s">
        <v>943</v>
      </c>
      <c r="H482" s="119">
        <f t="shared" si="872"/>
        <v>0</v>
      </c>
      <c r="I482" s="119" t="s">
        <v>1242</v>
      </c>
      <c r="J482" s="298"/>
      <c r="K482" s="119" t="s">
        <v>1831</v>
      </c>
      <c r="L482" s="119">
        <v>32</v>
      </c>
      <c r="M482" s="119" t="s">
        <v>1832</v>
      </c>
      <c r="N482" s="119">
        <f t="shared" si="873"/>
        <v>0</v>
      </c>
      <c r="O482" s="298"/>
      <c r="P482" s="298"/>
      <c r="Q482" s="298"/>
      <c r="R482" s="298"/>
      <c r="S482" s="298"/>
      <c r="T482" s="298"/>
      <c r="U482" s="298"/>
      <c r="V482" s="298"/>
      <c r="W482" s="298"/>
      <c r="X482" s="298"/>
      <c r="Y482" s="298"/>
      <c r="Z482" s="298"/>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6"/>
      <c r="BM482" s="311"/>
      <c r="BN482" s="314"/>
    </row>
    <row r="483" s="118" customFormat="1" ht="33.95" customHeight="1" outlineLevel="5" spans="2:66">
      <c r="B483" s="119" t="s">
        <v>799</v>
      </c>
      <c r="C483" s="120" t="s">
        <v>1910</v>
      </c>
      <c r="D483" s="118" t="s">
        <v>1911</v>
      </c>
      <c r="E483" s="119" t="s">
        <v>1903</v>
      </c>
      <c r="F483" s="119" t="s">
        <v>1625</v>
      </c>
      <c r="G483" s="119" t="s">
        <v>943</v>
      </c>
      <c r="H483" s="119">
        <f t="shared" si="872"/>
        <v>0</v>
      </c>
      <c r="I483" s="119" t="s">
        <v>1242</v>
      </c>
      <c r="J483" s="298"/>
      <c r="K483" s="119" t="s">
        <v>1831</v>
      </c>
      <c r="L483" s="119">
        <v>180</v>
      </c>
      <c r="M483" s="119" t="s">
        <v>1832</v>
      </c>
      <c r="N483" s="119">
        <f t="shared" si="873"/>
        <v>0</v>
      </c>
      <c r="O483" s="298"/>
      <c r="P483" s="298"/>
      <c r="Q483" s="298"/>
      <c r="R483" s="298"/>
      <c r="S483" s="298"/>
      <c r="T483" s="298"/>
      <c r="U483" s="298"/>
      <c r="V483" s="298"/>
      <c r="W483" s="298"/>
      <c r="X483" s="298"/>
      <c r="Y483" s="298"/>
      <c r="Z483" s="298"/>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6"/>
      <c r="BM483" s="311"/>
      <c r="BN483" s="314"/>
    </row>
    <row r="484" s="118" customFormat="1" ht="33.95" customHeight="1" outlineLevel="5" spans="2:66">
      <c r="B484" s="119" t="s">
        <v>799</v>
      </c>
      <c r="C484" s="120" t="s">
        <v>1912</v>
      </c>
      <c r="D484" s="118" t="s">
        <v>1913</v>
      </c>
      <c r="E484" s="119" t="s">
        <v>1914</v>
      </c>
      <c r="F484" s="119" t="s">
        <v>1625</v>
      </c>
      <c r="G484" s="119" t="s">
        <v>943</v>
      </c>
      <c r="H484" s="119">
        <f t="shared" si="872"/>
        <v>0</v>
      </c>
      <c r="I484" s="119" t="s">
        <v>1242</v>
      </c>
      <c r="J484" s="298"/>
      <c r="K484" s="119" t="s">
        <v>1847</v>
      </c>
      <c r="L484" s="119">
        <v>15</v>
      </c>
      <c r="M484" s="119" t="s">
        <v>1848</v>
      </c>
      <c r="N484" s="119">
        <f t="shared" si="873"/>
        <v>0</v>
      </c>
      <c r="O484" s="298"/>
      <c r="P484" s="298"/>
      <c r="Q484" s="298"/>
      <c r="R484" s="298"/>
      <c r="S484" s="298"/>
      <c r="T484" s="298"/>
      <c r="U484" s="298"/>
      <c r="V484" s="298"/>
      <c r="W484" s="298"/>
      <c r="X484" s="298"/>
      <c r="Y484" s="298"/>
      <c r="Z484" s="298"/>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6"/>
      <c r="BM484" s="311"/>
      <c r="BN484" s="314"/>
    </row>
    <row r="485" s="118" customFormat="1" ht="33.95" customHeight="1" outlineLevel="5" spans="2:66">
      <c r="B485" s="119" t="s">
        <v>799</v>
      </c>
      <c r="C485" s="120" t="s">
        <v>1915</v>
      </c>
      <c r="D485" s="118" t="s">
        <v>1916</v>
      </c>
      <c r="E485" s="119" t="s">
        <v>1917</v>
      </c>
      <c r="F485" s="119" t="s">
        <v>1625</v>
      </c>
      <c r="G485" s="119" t="s">
        <v>943</v>
      </c>
      <c r="H485" s="119">
        <f t="shared" si="872"/>
        <v>0</v>
      </c>
      <c r="I485" s="119" t="s">
        <v>1242</v>
      </c>
      <c r="J485" s="298"/>
      <c r="K485" s="119" t="s">
        <v>1847</v>
      </c>
      <c r="L485" s="119">
        <v>25</v>
      </c>
      <c r="M485" s="119" t="s">
        <v>1848</v>
      </c>
      <c r="N485" s="119">
        <f t="shared" si="873"/>
        <v>0</v>
      </c>
      <c r="O485" s="316"/>
      <c r="P485" s="316"/>
      <c r="Q485" s="316"/>
      <c r="R485" s="316"/>
      <c r="S485" s="316"/>
      <c r="T485" s="316"/>
      <c r="U485" s="316"/>
      <c r="V485" s="316"/>
      <c r="W485" s="316"/>
      <c r="X485" s="316"/>
      <c r="Y485" s="316"/>
      <c r="Z485" s="316"/>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6"/>
      <c r="BM485" s="311"/>
      <c r="BN485" s="314"/>
    </row>
    <row r="486" s="22" customFormat="1" ht="33.95" customHeight="1" outlineLevel="2" spans="2:66">
      <c r="B486" s="112" t="s">
        <v>794</v>
      </c>
      <c r="C486" s="113" t="s">
        <v>1918</v>
      </c>
      <c r="D486" s="22" t="s">
        <v>1919</v>
      </c>
      <c r="E486" s="112"/>
      <c r="F486" s="112"/>
      <c r="G486" s="112"/>
      <c r="H486" s="112">
        <f>H487+H493</f>
        <v>0</v>
      </c>
      <c r="I486" s="112"/>
      <c r="J486" s="112"/>
      <c r="K486" s="112"/>
      <c r="L486" s="112"/>
      <c r="M486" s="112"/>
      <c r="N486" s="304"/>
      <c r="O486" s="287"/>
      <c r="P486" s="287"/>
      <c r="Q486" s="287"/>
      <c r="R486" s="287"/>
      <c r="S486" s="287"/>
      <c r="T486" s="287"/>
      <c r="U486" s="287"/>
      <c r="V486" s="287"/>
      <c r="W486" s="287"/>
      <c r="X486" s="287"/>
      <c r="Y486" s="287"/>
      <c r="Z486" s="287"/>
      <c r="AA486" s="287"/>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4"/>
      <c r="BM486" s="311"/>
      <c r="BN486" s="312"/>
    </row>
    <row r="487" s="47" customFormat="1" ht="33.95" customHeight="1" outlineLevel="3" spans="2:66">
      <c r="B487" s="115" t="s">
        <v>794</v>
      </c>
      <c r="C487" s="116" t="s">
        <v>1920</v>
      </c>
      <c r="D487" s="47" t="s">
        <v>1921</v>
      </c>
      <c r="E487" s="115"/>
      <c r="F487" s="115"/>
      <c r="G487" s="115"/>
      <c r="H487" s="115">
        <f>SUM(H488:H492)</f>
        <v>0</v>
      </c>
      <c r="I487" s="115"/>
      <c r="J487" s="115"/>
      <c r="K487" s="115"/>
      <c r="L487" s="115"/>
      <c r="M487" s="115"/>
      <c r="N487" s="305"/>
      <c r="O487" s="288"/>
      <c r="P487" s="288"/>
      <c r="Q487" s="288"/>
      <c r="R487" s="288"/>
      <c r="S487" s="288"/>
      <c r="T487" s="288"/>
      <c r="U487" s="288"/>
      <c r="V487" s="288"/>
      <c r="W487" s="288"/>
      <c r="X487" s="288"/>
      <c r="Y487" s="288"/>
      <c r="Z487" s="288"/>
      <c r="AA487" s="288"/>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5"/>
      <c r="BM487" s="311"/>
      <c r="BN487" s="313"/>
    </row>
    <row r="488" s="118" customFormat="1" ht="33.95" customHeight="1" outlineLevel="5" spans="2:66">
      <c r="B488" s="119" t="s">
        <v>799</v>
      </c>
      <c r="C488" s="120" t="s">
        <v>1922</v>
      </c>
      <c r="D488" s="118" t="s">
        <v>1923</v>
      </c>
      <c r="E488" s="119" t="s">
        <v>1924</v>
      </c>
      <c r="F488" s="119" t="s">
        <v>1625</v>
      </c>
      <c r="G488" s="119" t="s">
        <v>943</v>
      </c>
      <c r="H488" s="119">
        <f t="shared" ref="H488:H492" si="876">J488*L488</f>
        <v>0</v>
      </c>
      <c r="I488" s="119" t="s">
        <v>1242</v>
      </c>
      <c r="J488" s="298"/>
      <c r="K488" s="119" t="s">
        <v>1396</v>
      </c>
      <c r="L488" s="119">
        <v>49</v>
      </c>
      <c r="M488" s="119" t="s">
        <v>1675</v>
      </c>
      <c r="N488" s="119">
        <f t="shared" ref="N488:N492" si="877">COUNTA(O488:Z488)</f>
        <v>0</v>
      </c>
      <c r="O488" s="317"/>
      <c r="P488" s="317"/>
      <c r="Q488" s="317"/>
      <c r="R488" s="317"/>
      <c r="S488" s="317"/>
      <c r="T488" s="317"/>
      <c r="U488" s="317"/>
      <c r="V488" s="317"/>
      <c r="W488" s="317"/>
      <c r="X488" s="317"/>
      <c r="Y488" s="317"/>
      <c r="Z488" s="317"/>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6"/>
      <c r="BM488" s="311"/>
      <c r="BN488" s="314"/>
    </row>
    <row r="489" s="118" customFormat="1" ht="33.95" customHeight="1" outlineLevel="5" spans="2:66">
      <c r="B489" s="119" t="s">
        <v>799</v>
      </c>
      <c r="C489" s="120" t="s">
        <v>1925</v>
      </c>
      <c r="D489" s="118" t="s">
        <v>1926</v>
      </c>
      <c r="E489" s="119" t="s">
        <v>1927</v>
      </c>
      <c r="F489" s="119" t="s">
        <v>1625</v>
      </c>
      <c r="G489" s="119" t="s">
        <v>943</v>
      </c>
      <c r="H489" s="119">
        <f t="shared" si="876"/>
        <v>0</v>
      </c>
      <c r="I489" s="119" t="s">
        <v>1242</v>
      </c>
      <c r="J489" s="298"/>
      <c r="K489" s="119" t="s">
        <v>1396</v>
      </c>
      <c r="L489" s="119">
        <v>42</v>
      </c>
      <c r="M489" s="119" t="s">
        <v>1675</v>
      </c>
      <c r="N489" s="119">
        <f t="shared" si="877"/>
        <v>0</v>
      </c>
      <c r="O489" s="298"/>
      <c r="P489" s="298"/>
      <c r="Q489" s="298"/>
      <c r="R489" s="298"/>
      <c r="S489" s="298"/>
      <c r="T489" s="298"/>
      <c r="U489" s="298"/>
      <c r="V489" s="298"/>
      <c r="W489" s="298"/>
      <c r="X489" s="298"/>
      <c r="Y489" s="298"/>
      <c r="Z489" s="298"/>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6"/>
      <c r="BM489" s="311"/>
      <c r="BN489" s="314"/>
    </row>
    <row r="490" s="118" customFormat="1" ht="33.95" customHeight="1" outlineLevel="5" spans="2:66">
      <c r="B490" s="119" t="s">
        <v>799</v>
      </c>
      <c r="C490" s="120" t="s">
        <v>1928</v>
      </c>
      <c r="D490" s="118" t="s">
        <v>1929</v>
      </c>
      <c r="E490" s="119" t="s">
        <v>1930</v>
      </c>
      <c r="F490" s="119" t="s">
        <v>1625</v>
      </c>
      <c r="G490" s="119" t="s">
        <v>943</v>
      </c>
      <c r="H490" s="119">
        <f t="shared" si="876"/>
        <v>0</v>
      </c>
      <c r="I490" s="119" t="s">
        <v>1242</v>
      </c>
      <c r="J490" s="298"/>
      <c r="K490" s="119" t="s">
        <v>1633</v>
      </c>
      <c r="L490" s="119">
        <v>1262</v>
      </c>
      <c r="M490" s="119" t="s">
        <v>1634</v>
      </c>
      <c r="N490" s="119">
        <f t="shared" si="877"/>
        <v>0</v>
      </c>
      <c r="O490" s="298"/>
      <c r="P490" s="298"/>
      <c r="Q490" s="298"/>
      <c r="R490" s="298"/>
      <c r="S490" s="298"/>
      <c r="T490" s="298"/>
      <c r="U490" s="298"/>
      <c r="V490" s="298"/>
      <c r="W490" s="298"/>
      <c r="X490" s="298"/>
      <c r="Y490" s="298"/>
      <c r="Z490" s="298"/>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6"/>
      <c r="BM490" s="311"/>
      <c r="BN490" s="314"/>
    </row>
    <row r="491" s="118" customFormat="1" ht="33.95" customHeight="1" outlineLevel="5" spans="2:66">
      <c r="B491" s="119" t="s">
        <v>799</v>
      </c>
      <c r="C491" s="120" t="s">
        <v>1931</v>
      </c>
      <c r="D491" s="118" t="s">
        <v>1932</v>
      </c>
      <c r="E491" s="119" t="s">
        <v>1933</v>
      </c>
      <c r="F491" s="119" t="s">
        <v>1625</v>
      </c>
      <c r="G491" s="119" t="s">
        <v>943</v>
      </c>
      <c r="H491" s="119">
        <f t="shared" si="876"/>
        <v>0</v>
      </c>
      <c r="I491" s="119" t="s">
        <v>1242</v>
      </c>
      <c r="J491" s="298"/>
      <c r="K491" s="119" t="s">
        <v>1396</v>
      </c>
      <c r="L491" s="119">
        <v>200</v>
      </c>
      <c r="M491" s="119" t="s">
        <v>1675</v>
      </c>
      <c r="N491" s="119">
        <f t="shared" si="877"/>
        <v>0</v>
      </c>
      <c r="O491" s="298"/>
      <c r="P491" s="298"/>
      <c r="Q491" s="298"/>
      <c r="R491" s="298"/>
      <c r="S491" s="298"/>
      <c r="T491" s="298"/>
      <c r="U491" s="298"/>
      <c r="V491" s="298"/>
      <c r="W491" s="298"/>
      <c r="X491" s="298"/>
      <c r="Y491" s="298"/>
      <c r="Z491" s="298"/>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6"/>
      <c r="BM491" s="311"/>
      <c r="BN491" s="314"/>
    </row>
    <row r="492" s="118" customFormat="1" ht="33.95" customHeight="1" outlineLevel="5" spans="2:66">
      <c r="B492" s="119" t="s">
        <v>799</v>
      </c>
      <c r="C492" s="120" t="s">
        <v>1934</v>
      </c>
      <c r="D492" s="118" t="s">
        <v>1935</v>
      </c>
      <c r="E492" s="119"/>
      <c r="F492" s="119" t="s">
        <v>1625</v>
      </c>
      <c r="G492" s="119" t="s">
        <v>943</v>
      </c>
      <c r="H492" s="119">
        <f t="shared" si="876"/>
        <v>0</v>
      </c>
      <c r="I492" s="119" t="s">
        <v>1242</v>
      </c>
      <c r="J492" s="298"/>
      <c r="K492" s="119" t="s">
        <v>1396</v>
      </c>
      <c r="L492" s="119">
        <v>30</v>
      </c>
      <c r="M492" s="119" t="s">
        <v>1675</v>
      </c>
      <c r="N492" s="119">
        <f t="shared" si="877"/>
        <v>0</v>
      </c>
      <c r="O492" s="316"/>
      <c r="P492" s="316"/>
      <c r="Q492" s="316"/>
      <c r="R492" s="316"/>
      <c r="S492" s="316"/>
      <c r="T492" s="316"/>
      <c r="U492" s="316"/>
      <c r="V492" s="316"/>
      <c r="W492" s="316"/>
      <c r="X492" s="316"/>
      <c r="Y492" s="316"/>
      <c r="Z492" s="316"/>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6"/>
      <c r="BM492" s="311"/>
      <c r="BN492" s="314"/>
    </row>
    <row r="493" s="47" customFormat="1" ht="33.95" customHeight="1" outlineLevel="3" spans="2:66">
      <c r="B493" s="115" t="s">
        <v>794</v>
      </c>
      <c r="C493" s="116" t="s">
        <v>1936</v>
      </c>
      <c r="D493" s="47" t="s">
        <v>1937</v>
      </c>
      <c r="E493" s="115"/>
      <c r="F493" s="115"/>
      <c r="G493" s="115"/>
      <c r="H493" s="115">
        <f>SUM(H494:H501)</f>
        <v>0</v>
      </c>
      <c r="I493" s="115"/>
      <c r="J493" s="115"/>
      <c r="K493" s="115"/>
      <c r="L493" s="115"/>
      <c r="M493" s="115"/>
      <c r="N493" s="305"/>
      <c r="O493" s="288"/>
      <c r="P493" s="288"/>
      <c r="Q493" s="288"/>
      <c r="R493" s="288"/>
      <c r="S493" s="288"/>
      <c r="T493" s="288"/>
      <c r="U493" s="288"/>
      <c r="V493" s="288"/>
      <c r="W493" s="288"/>
      <c r="X493" s="288"/>
      <c r="Y493" s="288"/>
      <c r="Z493" s="288"/>
      <c r="AA493" s="288"/>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5"/>
      <c r="BM493" s="311"/>
      <c r="BN493" s="313"/>
    </row>
    <row r="494" s="118" customFormat="1" ht="33.95" customHeight="1" outlineLevel="5" spans="2:66">
      <c r="B494" s="119" t="s">
        <v>799</v>
      </c>
      <c r="C494" s="120" t="s">
        <v>1938</v>
      </c>
      <c r="D494" s="118" t="s">
        <v>1939</v>
      </c>
      <c r="E494" s="119"/>
      <c r="F494" s="119" t="s">
        <v>1625</v>
      </c>
      <c r="G494" s="119" t="s">
        <v>943</v>
      </c>
      <c r="H494" s="119">
        <f t="shared" ref="H494:H501" si="878">J494*L494</f>
        <v>0</v>
      </c>
      <c r="I494" s="119" t="s">
        <v>1242</v>
      </c>
      <c r="J494" s="298"/>
      <c r="K494" s="119" t="s">
        <v>1396</v>
      </c>
      <c r="L494" s="119">
        <v>22</v>
      </c>
      <c r="M494" s="119" t="s">
        <v>1675</v>
      </c>
      <c r="N494" s="119">
        <f t="shared" ref="N494:N501" si="879">COUNTA(O494:Z494)</f>
        <v>0</v>
      </c>
      <c r="O494" s="317"/>
      <c r="P494" s="317"/>
      <c r="Q494" s="317"/>
      <c r="R494" s="317"/>
      <c r="S494" s="317"/>
      <c r="T494" s="317"/>
      <c r="U494" s="317"/>
      <c r="V494" s="317"/>
      <c r="W494" s="317"/>
      <c r="X494" s="317"/>
      <c r="Y494" s="317"/>
      <c r="Z494" s="317"/>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6"/>
      <c r="BM494" s="311"/>
      <c r="BN494" s="314"/>
    </row>
    <row r="495" s="118" customFormat="1" ht="33.95" customHeight="1" outlineLevel="5" spans="2:66">
      <c r="B495" s="119" t="s">
        <v>799</v>
      </c>
      <c r="C495" s="120" t="s">
        <v>1940</v>
      </c>
      <c r="D495" s="118" t="s">
        <v>1941</v>
      </c>
      <c r="E495" s="119" t="s">
        <v>1942</v>
      </c>
      <c r="F495" s="119" t="s">
        <v>1625</v>
      </c>
      <c r="G495" s="119" t="s">
        <v>943</v>
      </c>
      <c r="H495" s="119">
        <f t="shared" si="878"/>
        <v>0</v>
      </c>
      <c r="I495" s="119" t="s">
        <v>1242</v>
      </c>
      <c r="J495" s="298"/>
      <c r="K495" s="119" t="s">
        <v>1396</v>
      </c>
      <c r="L495" s="119">
        <v>25</v>
      </c>
      <c r="M495" s="119" t="s">
        <v>1675</v>
      </c>
      <c r="N495" s="119">
        <f t="shared" si="879"/>
        <v>0</v>
      </c>
      <c r="O495" s="298"/>
      <c r="P495" s="298"/>
      <c r="Q495" s="298"/>
      <c r="R495" s="298"/>
      <c r="S495" s="298"/>
      <c r="T495" s="298"/>
      <c r="U495" s="298"/>
      <c r="V495" s="298"/>
      <c r="W495" s="298"/>
      <c r="X495" s="298"/>
      <c r="Y495" s="298"/>
      <c r="Z495" s="298"/>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6"/>
      <c r="BM495" s="311"/>
      <c r="BN495" s="314"/>
    </row>
    <row r="496" s="118" customFormat="1" ht="33.95" customHeight="1" outlineLevel="5" spans="2:66">
      <c r="B496" s="119" t="s">
        <v>799</v>
      </c>
      <c r="C496" s="120" t="s">
        <v>1943</v>
      </c>
      <c r="D496" s="118" t="s">
        <v>1944</v>
      </c>
      <c r="E496" s="119"/>
      <c r="F496" s="119" t="s">
        <v>1625</v>
      </c>
      <c r="G496" s="119" t="s">
        <v>943</v>
      </c>
      <c r="H496" s="119">
        <f t="shared" si="878"/>
        <v>0</v>
      </c>
      <c r="I496" s="119" t="s">
        <v>1242</v>
      </c>
      <c r="J496" s="298"/>
      <c r="K496" s="119" t="s">
        <v>1396</v>
      </c>
      <c r="L496" s="119">
        <v>16</v>
      </c>
      <c r="M496" s="119" t="s">
        <v>1675</v>
      </c>
      <c r="N496" s="119">
        <f t="shared" si="879"/>
        <v>0</v>
      </c>
      <c r="O496" s="298"/>
      <c r="P496" s="298"/>
      <c r="Q496" s="298"/>
      <c r="R496" s="298"/>
      <c r="S496" s="298"/>
      <c r="T496" s="298"/>
      <c r="U496" s="298"/>
      <c r="V496" s="298"/>
      <c r="W496" s="298"/>
      <c r="X496" s="298"/>
      <c r="Y496" s="298"/>
      <c r="Z496" s="298"/>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6"/>
      <c r="BM496" s="311"/>
      <c r="BN496" s="314"/>
    </row>
    <row r="497" s="118" customFormat="1" ht="33.95" customHeight="1" outlineLevel="5" spans="2:66">
      <c r="B497" s="119" t="s">
        <v>799</v>
      </c>
      <c r="C497" s="120" t="s">
        <v>1945</v>
      </c>
      <c r="D497" s="118" t="s">
        <v>1946</v>
      </c>
      <c r="E497" s="119"/>
      <c r="F497" s="119" t="s">
        <v>1625</v>
      </c>
      <c r="G497" s="119" t="s">
        <v>943</v>
      </c>
      <c r="H497" s="119">
        <f t="shared" si="878"/>
        <v>0</v>
      </c>
      <c r="I497" s="119" t="s">
        <v>1242</v>
      </c>
      <c r="J497" s="298"/>
      <c r="K497" s="119" t="s">
        <v>1633</v>
      </c>
      <c r="L497" s="119">
        <v>277</v>
      </c>
      <c r="M497" s="119" t="s">
        <v>1634</v>
      </c>
      <c r="N497" s="119">
        <f t="shared" si="879"/>
        <v>0</v>
      </c>
      <c r="O497" s="298"/>
      <c r="P497" s="298"/>
      <c r="Q497" s="298"/>
      <c r="R497" s="298"/>
      <c r="S497" s="298"/>
      <c r="T497" s="298"/>
      <c r="U497" s="298"/>
      <c r="V497" s="298"/>
      <c r="W497" s="298"/>
      <c r="X497" s="298"/>
      <c r="Y497" s="298"/>
      <c r="Z497" s="298"/>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6"/>
      <c r="BM497" s="311"/>
      <c r="BN497" s="314"/>
    </row>
    <row r="498" s="118" customFormat="1" ht="33.95" customHeight="1" outlineLevel="5" spans="2:66">
      <c r="B498" s="119" t="s">
        <v>799</v>
      </c>
      <c r="C498" s="120" t="s">
        <v>1947</v>
      </c>
      <c r="D498" s="118" t="s">
        <v>1948</v>
      </c>
      <c r="E498" s="119"/>
      <c r="F498" s="119" t="s">
        <v>1625</v>
      </c>
      <c r="G498" s="119" t="s">
        <v>943</v>
      </c>
      <c r="H498" s="119">
        <f t="shared" si="878"/>
        <v>0</v>
      </c>
      <c r="I498" s="119" t="s">
        <v>1242</v>
      </c>
      <c r="J498" s="298"/>
      <c r="K498" s="119" t="s">
        <v>1949</v>
      </c>
      <c r="L498" s="119">
        <v>21</v>
      </c>
      <c r="M498" s="119" t="s">
        <v>1950</v>
      </c>
      <c r="N498" s="119">
        <f t="shared" si="879"/>
        <v>0</v>
      </c>
      <c r="O498" s="298"/>
      <c r="P498" s="298"/>
      <c r="Q498" s="298"/>
      <c r="R498" s="298"/>
      <c r="S498" s="298"/>
      <c r="T498" s="298"/>
      <c r="U498" s="298"/>
      <c r="V498" s="298"/>
      <c r="W498" s="298"/>
      <c r="X498" s="298"/>
      <c r="Y498" s="298"/>
      <c r="Z498" s="298"/>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6"/>
      <c r="BM498" s="311"/>
      <c r="BN498" s="314"/>
    </row>
    <row r="499" s="118" customFormat="1" ht="33.95" customHeight="1" outlineLevel="5" spans="2:66">
      <c r="B499" s="119" t="s">
        <v>799</v>
      </c>
      <c r="C499" s="120" t="s">
        <v>1951</v>
      </c>
      <c r="D499" s="118" t="s">
        <v>1952</v>
      </c>
      <c r="E499" s="119" t="s">
        <v>1953</v>
      </c>
      <c r="F499" s="119" t="s">
        <v>1625</v>
      </c>
      <c r="G499" s="119" t="s">
        <v>943</v>
      </c>
      <c r="H499" s="119">
        <f t="shared" si="878"/>
        <v>0</v>
      </c>
      <c r="I499" s="119" t="s">
        <v>1242</v>
      </c>
      <c r="J499" s="298"/>
      <c r="K499" s="119" t="s">
        <v>1754</v>
      </c>
      <c r="L499" s="119">
        <v>375</v>
      </c>
      <c r="M499" s="119" t="s">
        <v>1755</v>
      </c>
      <c r="N499" s="119">
        <f t="shared" si="879"/>
        <v>0</v>
      </c>
      <c r="O499" s="298"/>
      <c r="P499" s="298"/>
      <c r="Q499" s="298"/>
      <c r="R499" s="298"/>
      <c r="S499" s="298"/>
      <c r="T499" s="298"/>
      <c r="U499" s="298"/>
      <c r="V499" s="298"/>
      <c r="W499" s="298"/>
      <c r="X499" s="298"/>
      <c r="Y499" s="298"/>
      <c r="Z499" s="298"/>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6"/>
      <c r="BM499" s="311"/>
      <c r="BN499" s="314"/>
    </row>
    <row r="500" s="118" customFormat="1" ht="33.95" customHeight="1" outlineLevel="5" spans="2:66">
      <c r="B500" s="119" t="s">
        <v>799</v>
      </c>
      <c r="C500" s="120" t="s">
        <v>1954</v>
      </c>
      <c r="D500" s="118" t="s">
        <v>1955</v>
      </c>
      <c r="E500" s="119" t="s">
        <v>1956</v>
      </c>
      <c r="F500" s="119" t="s">
        <v>1625</v>
      </c>
      <c r="G500" s="119" t="s">
        <v>943</v>
      </c>
      <c r="H500" s="119">
        <f t="shared" si="878"/>
        <v>0</v>
      </c>
      <c r="I500" s="119" t="s">
        <v>1242</v>
      </c>
      <c r="J500" s="298"/>
      <c r="K500" s="119" t="s">
        <v>1754</v>
      </c>
      <c r="L500" s="119">
        <v>95</v>
      </c>
      <c r="M500" s="119" t="s">
        <v>1755</v>
      </c>
      <c r="N500" s="119">
        <f t="shared" si="879"/>
        <v>0</v>
      </c>
      <c r="O500" s="298"/>
      <c r="P500" s="298"/>
      <c r="Q500" s="298"/>
      <c r="R500" s="298"/>
      <c r="S500" s="298"/>
      <c r="T500" s="298"/>
      <c r="U500" s="298"/>
      <c r="V500" s="298"/>
      <c r="W500" s="298"/>
      <c r="X500" s="298"/>
      <c r="Y500" s="298"/>
      <c r="Z500" s="298"/>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6"/>
      <c r="BM500" s="311"/>
      <c r="BN500" s="314"/>
    </row>
    <row r="501" s="118" customFormat="1" ht="33.95" customHeight="1" outlineLevel="5" spans="2:66">
      <c r="B501" s="119" t="s">
        <v>799</v>
      </c>
      <c r="C501" s="120" t="s">
        <v>1957</v>
      </c>
      <c r="D501" s="118" t="s">
        <v>1958</v>
      </c>
      <c r="E501" s="119"/>
      <c r="F501" s="119" t="s">
        <v>1625</v>
      </c>
      <c r="G501" s="119" t="s">
        <v>943</v>
      </c>
      <c r="H501" s="119">
        <f t="shared" si="878"/>
        <v>0</v>
      </c>
      <c r="I501" s="119" t="s">
        <v>1242</v>
      </c>
      <c r="J501" s="298"/>
      <c r="K501" s="119" t="s">
        <v>1633</v>
      </c>
      <c r="L501" s="119">
        <v>2350</v>
      </c>
      <c r="M501" s="119" t="s">
        <v>1634</v>
      </c>
      <c r="N501" s="119">
        <f t="shared" si="879"/>
        <v>0</v>
      </c>
      <c r="O501" s="316"/>
      <c r="P501" s="316"/>
      <c r="Q501" s="316"/>
      <c r="R501" s="316"/>
      <c r="S501" s="316"/>
      <c r="T501" s="316"/>
      <c r="U501" s="316"/>
      <c r="V501" s="316"/>
      <c r="W501" s="316"/>
      <c r="X501" s="316"/>
      <c r="Y501" s="316"/>
      <c r="Z501" s="316"/>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6"/>
      <c r="BM501" s="311"/>
      <c r="BN501" s="314"/>
    </row>
    <row r="502" s="22" customFormat="1" ht="33.95" customHeight="1" outlineLevel="2" spans="2:66">
      <c r="B502" s="112" t="s">
        <v>794</v>
      </c>
      <c r="C502" s="113" t="s">
        <v>1959</v>
      </c>
      <c r="D502" s="22" t="s">
        <v>1960</v>
      </c>
      <c r="E502" s="112"/>
      <c r="F502" s="112"/>
      <c r="G502" s="112"/>
      <c r="H502" s="112">
        <f>H503+H512+H520</f>
        <v>0</v>
      </c>
      <c r="I502" s="112"/>
      <c r="J502" s="112"/>
      <c r="K502" s="112"/>
      <c r="L502" s="112"/>
      <c r="M502" s="112"/>
      <c r="N502" s="304"/>
      <c r="O502" s="287"/>
      <c r="P502" s="287"/>
      <c r="Q502" s="287"/>
      <c r="R502" s="287"/>
      <c r="S502" s="287"/>
      <c r="T502" s="287"/>
      <c r="U502" s="287"/>
      <c r="V502" s="287"/>
      <c r="W502" s="287"/>
      <c r="X502" s="287"/>
      <c r="Y502" s="287"/>
      <c r="Z502" s="287"/>
      <c r="AA502" s="287"/>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4"/>
      <c r="BM502" s="311"/>
      <c r="BN502" s="312"/>
    </row>
    <row r="503" s="47" customFormat="1" ht="33.95" customHeight="1" outlineLevel="3" spans="2:66">
      <c r="B503" s="115" t="s">
        <v>794</v>
      </c>
      <c r="C503" s="116" t="s">
        <v>1961</v>
      </c>
      <c r="D503" s="47" t="s">
        <v>1962</v>
      </c>
      <c r="E503" s="115"/>
      <c r="F503" s="115"/>
      <c r="G503" s="115"/>
      <c r="H503" s="115">
        <f>SUM(H504:H511)</f>
        <v>0</v>
      </c>
      <c r="I503" s="115"/>
      <c r="J503" s="115"/>
      <c r="K503" s="115"/>
      <c r="L503" s="115"/>
      <c r="M503" s="115"/>
      <c r="N503" s="305"/>
      <c r="O503" s="288"/>
      <c r="P503" s="288"/>
      <c r="Q503" s="288"/>
      <c r="R503" s="288"/>
      <c r="S503" s="288"/>
      <c r="T503" s="288"/>
      <c r="U503" s="288"/>
      <c r="V503" s="288"/>
      <c r="W503" s="288"/>
      <c r="X503" s="288"/>
      <c r="Y503" s="288"/>
      <c r="Z503" s="288"/>
      <c r="AA503" s="288"/>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5"/>
      <c r="BM503" s="311"/>
      <c r="BN503" s="313"/>
    </row>
    <row r="504" s="118" customFormat="1" ht="33.95" customHeight="1" outlineLevel="5" spans="2:66">
      <c r="B504" s="119" t="s">
        <v>799</v>
      </c>
      <c r="C504" s="120" t="s">
        <v>1963</v>
      </c>
      <c r="D504" s="118" t="s">
        <v>1964</v>
      </c>
      <c r="E504" s="119" t="s">
        <v>1965</v>
      </c>
      <c r="F504" s="119" t="s">
        <v>1625</v>
      </c>
      <c r="G504" s="119" t="s">
        <v>943</v>
      </c>
      <c r="H504" s="119">
        <f t="shared" ref="H504:H511" si="894">J504*L504</f>
        <v>0</v>
      </c>
      <c r="I504" s="119" t="s">
        <v>1242</v>
      </c>
      <c r="J504" s="298"/>
      <c r="K504" s="119" t="s">
        <v>1396</v>
      </c>
      <c r="L504" s="119">
        <v>513</v>
      </c>
      <c r="M504" s="119" t="s">
        <v>1675</v>
      </c>
      <c r="N504" s="119">
        <f t="shared" ref="N504:N511" si="895">COUNTA(O504:Z504)</f>
        <v>0</v>
      </c>
      <c r="O504" s="317"/>
      <c r="P504" s="317"/>
      <c r="Q504" s="317"/>
      <c r="R504" s="317"/>
      <c r="S504" s="317"/>
      <c r="T504" s="317"/>
      <c r="U504" s="317"/>
      <c r="V504" s="317"/>
      <c r="W504" s="317"/>
      <c r="X504" s="317"/>
      <c r="Y504" s="317"/>
      <c r="Z504" s="317"/>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6"/>
      <c r="BM504" s="311"/>
      <c r="BN504" s="314"/>
    </row>
    <row r="505" s="118" customFormat="1" ht="33.95" customHeight="1" outlineLevel="5" spans="2:66">
      <c r="B505" s="119" t="s">
        <v>799</v>
      </c>
      <c r="C505" s="120" t="s">
        <v>1966</v>
      </c>
      <c r="D505" s="118" t="s">
        <v>1967</v>
      </c>
      <c r="E505" s="119" t="s">
        <v>1968</v>
      </c>
      <c r="F505" s="119" t="s">
        <v>1625</v>
      </c>
      <c r="G505" s="119" t="s">
        <v>943</v>
      </c>
      <c r="H505" s="119">
        <f t="shared" si="894"/>
        <v>0</v>
      </c>
      <c r="I505" s="119" t="s">
        <v>1242</v>
      </c>
      <c r="J505" s="298"/>
      <c r="K505" s="119" t="s">
        <v>1396</v>
      </c>
      <c r="L505" s="119">
        <v>2500</v>
      </c>
      <c r="M505" s="119" t="s">
        <v>1675</v>
      </c>
      <c r="N505" s="119">
        <f t="shared" si="895"/>
        <v>0</v>
      </c>
      <c r="O505" s="298"/>
      <c r="P505" s="298"/>
      <c r="Q505" s="298"/>
      <c r="R505" s="298"/>
      <c r="S505" s="298"/>
      <c r="T505" s="298"/>
      <c r="U505" s="298"/>
      <c r="V505" s="298"/>
      <c r="W505" s="298"/>
      <c r="X505" s="298"/>
      <c r="Y505" s="298"/>
      <c r="Z505" s="298"/>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6"/>
      <c r="BM505" s="311"/>
      <c r="BN505" s="314"/>
    </row>
    <row r="506" s="118" customFormat="1" ht="33.95" customHeight="1" outlineLevel="5" spans="2:66">
      <c r="B506" s="119" t="s">
        <v>799</v>
      </c>
      <c r="C506" s="120" t="s">
        <v>1969</v>
      </c>
      <c r="D506" s="118" t="s">
        <v>1970</v>
      </c>
      <c r="E506" s="119" t="s">
        <v>1971</v>
      </c>
      <c r="F506" s="119" t="s">
        <v>1625</v>
      </c>
      <c r="G506" s="119" t="s">
        <v>943</v>
      </c>
      <c r="H506" s="119">
        <f t="shared" si="894"/>
        <v>0</v>
      </c>
      <c r="I506" s="119" t="s">
        <v>1242</v>
      </c>
      <c r="J506" s="298"/>
      <c r="K506" s="119" t="s">
        <v>1150</v>
      </c>
      <c r="L506" s="119">
        <v>2315</v>
      </c>
      <c r="M506" s="119" t="s">
        <v>1770</v>
      </c>
      <c r="N506" s="119">
        <f t="shared" si="895"/>
        <v>0</v>
      </c>
      <c r="O506" s="298"/>
      <c r="P506" s="298"/>
      <c r="Q506" s="298"/>
      <c r="R506" s="298"/>
      <c r="S506" s="298"/>
      <c r="T506" s="298"/>
      <c r="U506" s="298"/>
      <c r="V506" s="298"/>
      <c r="W506" s="298"/>
      <c r="X506" s="298"/>
      <c r="Y506" s="298"/>
      <c r="Z506" s="298"/>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6"/>
      <c r="BM506" s="311"/>
      <c r="BN506" s="314"/>
    </row>
    <row r="507" s="118" customFormat="1" ht="33.95" customHeight="1" outlineLevel="5" spans="2:66">
      <c r="B507" s="119" t="s">
        <v>799</v>
      </c>
      <c r="C507" s="120" t="s">
        <v>1972</v>
      </c>
      <c r="D507" s="118" t="s">
        <v>1973</v>
      </c>
      <c r="E507" s="119" t="s">
        <v>1974</v>
      </c>
      <c r="F507" s="119" t="s">
        <v>1625</v>
      </c>
      <c r="G507" s="119" t="s">
        <v>943</v>
      </c>
      <c r="H507" s="119">
        <f t="shared" si="894"/>
        <v>0</v>
      </c>
      <c r="I507" s="119" t="s">
        <v>1242</v>
      </c>
      <c r="J507" s="298"/>
      <c r="K507" s="119" t="s">
        <v>1396</v>
      </c>
      <c r="L507" s="119">
        <v>360</v>
      </c>
      <c r="M507" s="119" t="s">
        <v>1675</v>
      </c>
      <c r="N507" s="119">
        <f t="shared" si="895"/>
        <v>0</v>
      </c>
      <c r="O507" s="298"/>
      <c r="P507" s="298"/>
      <c r="Q507" s="298"/>
      <c r="R507" s="298"/>
      <c r="S507" s="298"/>
      <c r="T507" s="298"/>
      <c r="U507" s="298"/>
      <c r="V507" s="298"/>
      <c r="W507" s="298"/>
      <c r="X507" s="298"/>
      <c r="Y507" s="298"/>
      <c r="Z507" s="298"/>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6"/>
      <c r="BM507" s="311"/>
      <c r="BN507" s="314"/>
    </row>
    <row r="508" s="118" customFormat="1" ht="33.95" customHeight="1" outlineLevel="5" spans="2:66">
      <c r="B508" s="119" t="s">
        <v>799</v>
      </c>
      <c r="C508" s="120" t="s">
        <v>1975</v>
      </c>
      <c r="D508" s="118" t="s">
        <v>1976</v>
      </c>
      <c r="E508" s="119"/>
      <c r="F508" s="119" t="s">
        <v>1625</v>
      </c>
      <c r="G508" s="119" t="s">
        <v>943</v>
      </c>
      <c r="H508" s="119">
        <f t="shared" si="894"/>
        <v>0</v>
      </c>
      <c r="I508" s="119" t="s">
        <v>1242</v>
      </c>
      <c r="J508" s="298"/>
      <c r="K508" s="119" t="s">
        <v>1396</v>
      </c>
      <c r="L508" s="119">
        <v>300</v>
      </c>
      <c r="M508" s="119" t="s">
        <v>1675</v>
      </c>
      <c r="N508" s="119">
        <f t="shared" si="895"/>
        <v>0</v>
      </c>
      <c r="O508" s="298"/>
      <c r="P508" s="298"/>
      <c r="Q508" s="298"/>
      <c r="R508" s="298"/>
      <c r="S508" s="298"/>
      <c r="T508" s="298"/>
      <c r="U508" s="298"/>
      <c r="V508" s="298"/>
      <c r="W508" s="298"/>
      <c r="X508" s="298"/>
      <c r="Y508" s="298"/>
      <c r="Z508" s="298"/>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6"/>
      <c r="BM508" s="311"/>
      <c r="BN508" s="314"/>
    </row>
    <row r="509" s="118" customFormat="1" ht="33.95" customHeight="1" outlineLevel="5" spans="2:66">
      <c r="B509" s="119" t="s">
        <v>799</v>
      </c>
      <c r="C509" s="120" t="s">
        <v>1977</v>
      </c>
      <c r="D509" s="118" t="s">
        <v>1978</v>
      </c>
      <c r="E509" s="119"/>
      <c r="F509" s="119" t="s">
        <v>1625</v>
      </c>
      <c r="G509" s="119" t="s">
        <v>943</v>
      </c>
      <c r="H509" s="119">
        <f t="shared" si="894"/>
        <v>0</v>
      </c>
      <c r="I509" s="119" t="s">
        <v>1242</v>
      </c>
      <c r="J509" s="298"/>
      <c r="K509" s="119" t="s">
        <v>1396</v>
      </c>
      <c r="L509" s="119">
        <v>500</v>
      </c>
      <c r="M509" s="119" t="s">
        <v>1675</v>
      </c>
      <c r="N509" s="119">
        <f t="shared" si="895"/>
        <v>0</v>
      </c>
      <c r="O509" s="298"/>
      <c r="P509" s="298"/>
      <c r="Q509" s="298"/>
      <c r="R509" s="298"/>
      <c r="S509" s="298"/>
      <c r="T509" s="298"/>
      <c r="U509" s="298"/>
      <c r="V509" s="298"/>
      <c r="W509" s="298"/>
      <c r="X509" s="298"/>
      <c r="Y509" s="298"/>
      <c r="Z509" s="298"/>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6"/>
      <c r="BM509" s="311"/>
      <c r="BN509" s="314"/>
    </row>
    <row r="510" s="118" customFormat="1" ht="33.95" customHeight="1" outlineLevel="5" spans="2:66">
      <c r="B510" s="119" t="s">
        <v>799</v>
      </c>
      <c r="C510" s="120" t="s">
        <v>1979</v>
      </c>
      <c r="D510" s="118" t="s">
        <v>1980</v>
      </c>
      <c r="E510" s="119" t="s">
        <v>1981</v>
      </c>
      <c r="F510" s="119" t="s">
        <v>1625</v>
      </c>
      <c r="G510" s="119" t="s">
        <v>943</v>
      </c>
      <c r="H510" s="119">
        <f t="shared" si="894"/>
        <v>0</v>
      </c>
      <c r="I510" s="119" t="s">
        <v>1242</v>
      </c>
      <c r="J510" s="298"/>
      <c r="K510" s="119" t="s">
        <v>1982</v>
      </c>
      <c r="L510" s="119">
        <v>3650</v>
      </c>
      <c r="M510" s="119" t="s">
        <v>1983</v>
      </c>
      <c r="N510" s="119">
        <f t="shared" si="895"/>
        <v>0</v>
      </c>
      <c r="O510" s="298"/>
      <c r="P510" s="298"/>
      <c r="Q510" s="298"/>
      <c r="R510" s="298"/>
      <c r="S510" s="298"/>
      <c r="T510" s="298"/>
      <c r="U510" s="298"/>
      <c r="V510" s="298"/>
      <c r="W510" s="298"/>
      <c r="X510" s="298"/>
      <c r="Y510" s="298"/>
      <c r="Z510" s="298"/>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6"/>
      <c r="BM510" s="311"/>
      <c r="BN510" s="314"/>
    </row>
    <row r="511" s="118" customFormat="1" ht="33.95" customHeight="1" outlineLevel="5" spans="2:66">
      <c r="B511" s="119" t="s">
        <v>799</v>
      </c>
      <c r="C511" s="120" t="s">
        <v>1984</v>
      </c>
      <c r="D511" s="118" t="s">
        <v>1985</v>
      </c>
      <c r="E511" s="119" t="s">
        <v>1986</v>
      </c>
      <c r="F511" s="119" t="s">
        <v>1625</v>
      </c>
      <c r="G511" s="119" t="s">
        <v>943</v>
      </c>
      <c r="H511" s="119">
        <f t="shared" si="894"/>
        <v>0</v>
      </c>
      <c r="I511" s="119" t="s">
        <v>1242</v>
      </c>
      <c r="J511" s="298"/>
      <c r="K511" s="119" t="s">
        <v>1982</v>
      </c>
      <c r="L511" s="119">
        <v>35000</v>
      </c>
      <c r="M511" s="119" t="s">
        <v>1983</v>
      </c>
      <c r="N511" s="119">
        <f t="shared" si="895"/>
        <v>0</v>
      </c>
      <c r="O511" s="316"/>
      <c r="P511" s="316"/>
      <c r="Q511" s="316"/>
      <c r="R511" s="316"/>
      <c r="S511" s="316"/>
      <c r="T511" s="316"/>
      <c r="U511" s="316"/>
      <c r="V511" s="316"/>
      <c r="W511" s="316"/>
      <c r="X511" s="316"/>
      <c r="Y511" s="316"/>
      <c r="Z511" s="316"/>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6"/>
      <c r="BM511" s="311"/>
      <c r="BN511" s="314"/>
    </row>
    <row r="512" s="47" customFormat="1" ht="33.95" customHeight="1" outlineLevel="3" spans="2:66">
      <c r="B512" s="115" t="s">
        <v>794</v>
      </c>
      <c r="C512" s="116" t="s">
        <v>1987</v>
      </c>
      <c r="D512" s="47" t="s">
        <v>1988</v>
      </c>
      <c r="E512" s="115"/>
      <c r="F512" s="115"/>
      <c r="G512" s="115"/>
      <c r="H512" s="115">
        <f>SUM(H513:H519)</f>
        <v>0</v>
      </c>
      <c r="I512" s="115"/>
      <c r="J512" s="115"/>
      <c r="K512" s="115"/>
      <c r="L512" s="115"/>
      <c r="M512" s="115"/>
      <c r="N512" s="305"/>
      <c r="O512" s="288"/>
      <c r="P512" s="288"/>
      <c r="Q512" s="288"/>
      <c r="R512" s="288"/>
      <c r="S512" s="288"/>
      <c r="T512" s="288"/>
      <c r="U512" s="288"/>
      <c r="V512" s="288"/>
      <c r="W512" s="288"/>
      <c r="X512" s="288"/>
      <c r="Y512" s="288"/>
      <c r="Z512" s="288"/>
      <c r="AA512" s="288"/>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5"/>
      <c r="BM512" s="311"/>
      <c r="BN512" s="313"/>
    </row>
    <row r="513" s="118" customFormat="1" ht="33.95" customHeight="1" outlineLevel="5" spans="2:66">
      <c r="B513" s="119" t="s">
        <v>799</v>
      </c>
      <c r="C513" s="120" t="s">
        <v>1989</v>
      </c>
      <c r="D513" s="118" t="s">
        <v>1990</v>
      </c>
      <c r="E513" s="119" t="s">
        <v>1991</v>
      </c>
      <c r="F513" s="119" t="s">
        <v>1625</v>
      </c>
      <c r="G513" s="119" t="s">
        <v>943</v>
      </c>
      <c r="H513" s="119">
        <f t="shared" ref="H513:H519" si="910">J513*L513</f>
        <v>0</v>
      </c>
      <c r="I513" s="119" t="s">
        <v>1242</v>
      </c>
      <c r="J513" s="298"/>
      <c r="K513" s="119" t="s">
        <v>1992</v>
      </c>
      <c r="L513" s="119">
        <v>15</v>
      </c>
      <c r="M513" s="119" t="s">
        <v>1993</v>
      </c>
      <c r="N513" s="119">
        <f t="shared" ref="N513:N519" si="911">COUNTA(O513:Z513)</f>
        <v>0</v>
      </c>
      <c r="O513" s="317"/>
      <c r="P513" s="317"/>
      <c r="Q513" s="317"/>
      <c r="R513" s="317"/>
      <c r="S513" s="317"/>
      <c r="T513" s="317"/>
      <c r="U513" s="317"/>
      <c r="V513" s="317"/>
      <c r="W513" s="317"/>
      <c r="X513" s="317"/>
      <c r="Y513" s="317"/>
      <c r="Z513" s="317"/>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6"/>
      <c r="BM513" s="311"/>
      <c r="BN513" s="314"/>
    </row>
    <row r="514" s="118" customFormat="1" ht="33.95" customHeight="1" outlineLevel="5" spans="2:66">
      <c r="B514" s="119" t="s">
        <v>799</v>
      </c>
      <c r="C514" s="120" t="s">
        <v>1994</v>
      </c>
      <c r="D514" s="118" t="s">
        <v>1995</v>
      </c>
      <c r="E514" s="119" t="s">
        <v>1996</v>
      </c>
      <c r="F514" s="119" t="s">
        <v>1625</v>
      </c>
      <c r="G514" s="119" t="s">
        <v>943</v>
      </c>
      <c r="H514" s="119">
        <f t="shared" si="910"/>
        <v>0</v>
      </c>
      <c r="I514" s="119" t="s">
        <v>1242</v>
      </c>
      <c r="J514" s="298"/>
      <c r="K514" s="119" t="s">
        <v>1992</v>
      </c>
      <c r="L514" s="119">
        <v>57</v>
      </c>
      <c r="M514" s="119" t="s">
        <v>1993</v>
      </c>
      <c r="N514" s="119">
        <f t="shared" si="911"/>
        <v>0</v>
      </c>
      <c r="O514" s="298"/>
      <c r="P514" s="298"/>
      <c r="Q514" s="298"/>
      <c r="R514" s="298"/>
      <c r="S514" s="298"/>
      <c r="T514" s="298"/>
      <c r="U514" s="298"/>
      <c r="V514" s="298"/>
      <c r="W514" s="298"/>
      <c r="X514" s="298"/>
      <c r="Y514" s="298"/>
      <c r="Z514" s="298"/>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6"/>
      <c r="BM514" s="311"/>
      <c r="BN514" s="314"/>
    </row>
    <row r="515" s="118" customFormat="1" ht="33.95" customHeight="1" outlineLevel="5" spans="2:66">
      <c r="B515" s="119" t="s">
        <v>799</v>
      </c>
      <c r="C515" s="120" t="s">
        <v>1997</v>
      </c>
      <c r="D515" s="118" t="s">
        <v>1998</v>
      </c>
      <c r="E515" s="119" t="s">
        <v>1999</v>
      </c>
      <c r="F515" s="119" t="s">
        <v>1625</v>
      </c>
      <c r="G515" s="119" t="s">
        <v>943</v>
      </c>
      <c r="H515" s="119">
        <f t="shared" si="910"/>
        <v>0</v>
      </c>
      <c r="I515" s="119" t="s">
        <v>1242</v>
      </c>
      <c r="J515" s="298"/>
      <c r="K515" s="119" t="s">
        <v>1754</v>
      </c>
      <c r="L515" s="119">
        <v>3</v>
      </c>
      <c r="M515" s="119" t="s">
        <v>1755</v>
      </c>
      <c r="N515" s="119">
        <f t="shared" si="911"/>
        <v>0</v>
      </c>
      <c r="O515" s="298"/>
      <c r="P515" s="298"/>
      <c r="Q515" s="298"/>
      <c r="R515" s="298"/>
      <c r="S515" s="298"/>
      <c r="T515" s="298"/>
      <c r="U515" s="298"/>
      <c r="V515" s="298"/>
      <c r="W515" s="298"/>
      <c r="X515" s="298"/>
      <c r="Y515" s="298"/>
      <c r="Z515" s="298"/>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6"/>
      <c r="BM515" s="311"/>
      <c r="BN515" s="314"/>
    </row>
    <row r="516" s="118" customFormat="1" ht="33.95" customHeight="1" outlineLevel="5" spans="2:66">
      <c r="B516" s="119" t="s">
        <v>799</v>
      </c>
      <c r="C516" s="120" t="s">
        <v>2000</v>
      </c>
      <c r="D516" s="118" t="s">
        <v>2001</v>
      </c>
      <c r="E516" s="119" t="s">
        <v>2002</v>
      </c>
      <c r="F516" s="119" t="s">
        <v>1625</v>
      </c>
      <c r="G516" s="119" t="s">
        <v>943</v>
      </c>
      <c r="H516" s="119">
        <f t="shared" si="910"/>
        <v>0</v>
      </c>
      <c r="I516" s="119" t="s">
        <v>1242</v>
      </c>
      <c r="J516" s="298"/>
      <c r="K516" s="119" t="s">
        <v>1150</v>
      </c>
      <c r="L516" s="119">
        <v>490</v>
      </c>
      <c r="M516" s="119" t="s">
        <v>1770</v>
      </c>
      <c r="N516" s="119">
        <f t="shared" si="911"/>
        <v>0</v>
      </c>
      <c r="O516" s="298"/>
      <c r="P516" s="298"/>
      <c r="Q516" s="298"/>
      <c r="R516" s="298"/>
      <c r="S516" s="298"/>
      <c r="T516" s="298"/>
      <c r="U516" s="298"/>
      <c r="V516" s="298"/>
      <c r="W516" s="298"/>
      <c r="X516" s="298"/>
      <c r="Y516" s="298"/>
      <c r="Z516" s="298"/>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6"/>
      <c r="BM516" s="311"/>
      <c r="BN516" s="314"/>
    </row>
    <row r="517" s="118" customFormat="1" ht="33.95" customHeight="1" outlineLevel="5" spans="2:66">
      <c r="B517" s="119" t="s">
        <v>799</v>
      </c>
      <c r="C517" s="120" t="s">
        <v>2003</v>
      </c>
      <c r="D517" s="118" t="s">
        <v>2004</v>
      </c>
      <c r="E517" s="119" t="s">
        <v>2005</v>
      </c>
      <c r="F517" s="119" t="s">
        <v>1625</v>
      </c>
      <c r="G517" s="119" t="s">
        <v>943</v>
      </c>
      <c r="H517" s="119">
        <f t="shared" si="910"/>
        <v>0</v>
      </c>
      <c r="I517" s="119" t="s">
        <v>1242</v>
      </c>
      <c r="J517" s="298"/>
      <c r="K517" s="119" t="s">
        <v>1633</v>
      </c>
      <c r="L517" s="119">
        <v>320</v>
      </c>
      <c r="M517" s="119" t="s">
        <v>1634</v>
      </c>
      <c r="N517" s="119">
        <f t="shared" si="911"/>
        <v>0</v>
      </c>
      <c r="O517" s="298"/>
      <c r="P517" s="298"/>
      <c r="Q517" s="298"/>
      <c r="R517" s="298"/>
      <c r="S517" s="298"/>
      <c r="T517" s="298"/>
      <c r="U517" s="298"/>
      <c r="V517" s="298"/>
      <c r="W517" s="298"/>
      <c r="X517" s="298"/>
      <c r="Y517" s="298"/>
      <c r="Z517" s="298"/>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6"/>
      <c r="BM517" s="311"/>
      <c r="BN517" s="314"/>
    </row>
    <row r="518" s="118" customFormat="1" ht="33.95" customHeight="1" outlineLevel="5" spans="2:66">
      <c r="B518" s="119" t="s">
        <v>799</v>
      </c>
      <c r="C518" s="120" t="s">
        <v>2006</v>
      </c>
      <c r="D518" s="118" t="s">
        <v>2007</v>
      </c>
      <c r="E518" s="119"/>
      <c r="F518" s="119" t="s">
        <v>1625</v>
      </c>
      <c r="G518" s="119" t="s">
        <v>943</v>
      </c>
      <c r="H518" s="119">
        <f t="shared" si="910"/>
        <v>0</v>
      </c>
      <c r="I518" s="119" t="s">
        <v>1242</v>
      </c>
      <c r="J518" s="298"/>
      <c r="K518" s="119" t="s">
        <v>2008</v>
      </c>
      <c r="L518" s="119">
        <v>35</v>
      </c>
      <c r="M518" s="119" t="s">
        <v>2009</v>
      </c>
      <c r="N518" s="119">
        <f t="shared" si="911"/>
        <v>0</v>
      </c>
      <c r="O518" s="298"/>
      <c r="P518" s="298"/>
      <c r="Q518" s="298"/>
      <c r="R518" s="298"/>
      <c r="S518" s="298"/>
      <c r="T518" s="298"/>
      <c r="U518" s="298"/>
      <c r="V518" s="298"/>
      <c r="W518" s="298"/>
      <c r="X518" s="298"/>
      <c r="Y518" s="298"/>
      <c r="Z518" s="298"/>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6"/>
      <c r="BM518" s="311"/>
      <c r="BN518" s="314"/>
    </row>
    <row r="519" s="118" customFormat="1" ht="33.95" customHeight="1" outlineLevel="5" spans="2:66">
      <c r="B519" s="119" t="s">
        <v>799</v>
      </c>
      <c r="C519" s="120" t="s">
        <v>2010</v>
      </c>
      <c r="D519" s="118" t="s">
        <v>2011</v>
      </c>
      <c r="E519" s="119" t="s">
        <v>2012</v>
      </c>
      <c r="F519" s="119" t="s">
        <v>1625</v>
      </c>
      <c r="G519" s="119" t="s">
        <v>943</v>
      </c>
      <c r="H519" s="119">
        <f t="shared" si="910"/>
        <v>0</v>
      </c>
      <c r="I519" s="119" t="s">
        <v>1242</v>
      </c>
      <c r="J519" s="298"/>
      <c r="K519" s="119" t="s">
        <v>1633</v>
      </c>
      <c r="L519" s="119">
        <v>70</v>
      </c>
      <c r="M519" s="119" t="s">
        <v>1634</v>
      </c>
      <c r="N519" s="119">
        <f t="shared" si="911"/>
        <v>0</v>
      </c>
      <c r="O519" s="316"/>
      <c r="P519" s="316"/>
      <c r="Q519" s="316"/>
      <c r="R519" s="316"/>
      <c r="S519" s="316"/>
      <c r="T519" s="316"/>
      <c r="U519" s="316"/>
      <c r="V519" s="316"/>
      <c r="W519" s="316"/>
      <c r="X519" s="316"/>
      <c r="Y519" s="316"/>
      <c r="Z519" s="316"/>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6"/>
      <c r="BM519" s="311"/>
      <c r="BN519" s="314"/>
    </row>
    <row r="520" s="47" customFormat="1" ht="33.95" customHeight="1" outlineLevel="3" spans="2:66">
      <c r="B520" s="115" t="s">
        <v>794</v>
      </c>
      <c r="C520" s="116" t="s">
        <v>2013</v>
      </c>
      <c r="D520" s="47" t="s">
        <v>2014</v>
      </c>
      <c r="E520" s="115"/>
      <c r="F520" s="115"/>
      <c r="G520" s="115"/>
      <c r="H520" s="115">
        <f>SUM(H521:H539)</f>
        <v>0</v>
      </c>
      <c r="I520" s="115"/>
      <c r="J520" s="115"/>
      <c r="K520" s="115"/>
      <c r="L520" s="115"/>
      <c r="M520" s="115"/>
      <c r="N520" s="305"/>
      <c r="O520" s="288"/>
      <c r="P520" s="288"/>
      <c r="Q520" s="288"/>
      <c r="R520" s="288"/>
      <c r="S520" s="288"/>
      <c r="T520" s="288"/>
      <c r="U520" s="288"/>
      <c r="V520" s="288"/>
      <c r="W520" s="288"/>
      <c r="X520" s="288"/>
      <c r="Y520" s="288"/>
      <c r="Z520" s="288"/>
      <c r="AA520" s="288"/>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5"/>
      <c r="BM520" s="311"/>
      <c r="BN520" s="313"/>
    </row>
    <row r="521" s="118" customFormat="1" ht="33.95" customHeight="1" outlineLevel="5" spans="2:66">
      <c r="B521" s="119" t="s">
        <v>799</v>
      </c>
      <c r="C521" s="120" t="s">
        <v>2015</v>
      </c>
      <c r="D521" s="118" t="s">
        <v>2016</v>
      </c>
      <c r="E521" s="119"/>
      <c r="F521" s="119" t="s">
        <v>1625</v>
      </c>
      <c r="G521" s="119" t="s">
        <v>943</v>
      </c>
      <c r="H521" s="119">
        <f t="shared" ref="H521:H539" si="939">J521*L521</f>
        <v>0</v>
      </c>
      <c r="I521" s="119" t="s">
        <v>1242</v>
      </c>
      <c r="J521" s="298"/>
      <c r="K521" s="119" t="s">
        <v>1396</v>
      </c>
      <c r="L521" s="119">
        <v>50</v>
      </c>
      <c r="M521" s="119" t="s">
        <v>1675</v>
      </c>
      <c r="N521" s="119">
        <f t="shared" ref="N521:N539" si="940">COUNTA(O521:Z521)</f>
        <v>0</v>
      </c>
      <c r="O521" s="317"/>
      <c r="P521" s="317"/>
      <c r="Q521" s="317"/>
      <c r="R521" s="317"/>
      <c r="S521" s="317"/>
      <c r="T521" s="317"/>
      <c r="U521" s="317"/>
      <c r="V521" s="317"/>
      <c r="W521" s="317"/>
      <c r="X521" s="317"/>
      <c r="Y521" s="317"/>
      <c r="Z521" s="317"/>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6"/>
      <c r="BM521" s="311"/>
      <c r="BN521" s="314"/>
    </row>
    <row r="522" s="118" customFormat="1" ht="33.95" customHeight="1" outlineLevel="5" spans="2:66">
      <c r="B522" s="119" t="s">
        <v>799</v>
      </c>
      <c r="C522" s="120" t="s">
        <v>2017</v>
      </c>
      <c r="D522" s="118" t="s">
        <v>2018</v>
      </c>
      <c r="E522" s="119" t="s">
        <v>2019</v>
      </c>
      <c r="F522" s="119" t="s">
        <v>1625</v>
      </c>
      <c r="G522" s="119" t="s">
        <v>943</v>
      </c>
      <c r="H522" s="119">
        <f t="shared" si="939"/>
        <v>0</v>
      </c>
      <c r="I522" s="119" t="s">
        <v>1242</v>
      </c>
      <c r="J522" s="298"/>
      <c r="K522" s="119" t="s">
        <v>1396</v>
      </c>
      <c r="L522" s="119">
        <v>20</v>
      </c>
      <c r="M522" s="119" t="s">
        <v>1675</v>
      </c>
      <c r="N522" s="119">
        <f t="shared" si="940"/>
        <v>0</v>
      </c>
      <c r="O522" s="298"/>
      <c r="P522" s="298"/>
      <c r="Q522" s="298"/>
      <c r="R522" s="298"/>
      <c r="S522" s="298"/>
      <c r="T522" s="298"/>
      <c r="U522" s="298"/>
      <c r="V522" s="298"/>
      <c r="W522" s="298"/>
      <c r="X522" s="298"/>
      <c r="Y522" s="298"/>
      <c r="Z522" s="298"/>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6"/>
      <c r="BM522" s="311"/>
      <c r="BN522" s="314"/>
    </row>
    <row r="523" s="118" customFormat="1" ht="33.95" customHeight="1" outlineLevel="5" spans="2:66">
      <c r="B523" s="119" t="s">
        <v>799</v>
      </c>
      <c r="C523" s="120" t="s">
        <v>2020</v>
      </c>
      <c r="D523" s="118" t="s">
        <v>2021</v>
      </c>
      <c r="E523" s="119" t="s">
        <v>2022</v>
      </c>
      <c r="F523" s="119" t="s">
        <v>1625</v>
      </c>
      <c r="G523" s="119" t="s">
        <v>943</v>
      </c>
      <c r="H523" s="119">
        <f t="shared" si="939"/>
        <v>0</v>
      </c>
      <c r="I523" s="119" t="s">
        <v>1242</v>
      </c>
      <c r="J523" s="298"/>
      <c r="K523" s="119" t="s">
        <v>1396</v>
      </c>
      <c r="L523" s="119">
        <v>66</v>
      </c>
      <c r="M523" s="119" t="s">
        <v>1675</v>
      </c>
      <c r="N523" s="119">
        <f t="shared" si="940"/>
        <v>0</v>
      </c>
      <c r="O523" s="298"/>
      <c r="P523" s="298"/>
      <c r="Q523" s="298"/>
      <c r="R523" s="298"/>
      <c r="S523" s="298"/>
      <c r="T523" s="298"/>
      <c r="U523" s="298"/>
      <c r="V523" s="298"/>
      <c r="W523" s="298"/>
      <c r="X523" s="298"/>
      <c r="Y523" s="298"/>
      <c r="Z523" s="298"/>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6"/>
      <c r="BM523" s="311"/>
      <c r="BN523" s="314"/>
    </row>
    <row r="524" s="118" customFormat="1" ht="33.95" customHeight="1" outlineLevel="5" spans="2:66">
      <c r="B524" s="119" t="s">
        <v>799</v>
      </c>
      <c r="C524" s="120" t="s">
        <v>2023</v>
      </c>
      <c r="D524" s="118" t="s">
        <v>2024</v>
      </c>
      <c r="E524" s="119" t="s">
        <v>2025</v>
      </c>
      <c r="F524" s="119" t="s">
        <v>1625</v>
      </c>
      <c r="G524" s="119" t="s">
        <v>943</v>
      </c>
      <c r="H524" s="119">
        <f t="shared" si="939"/>
        <v>0</v>
      </c>
      <c r="I524" s="119" t="s">
        <v>1242</v>
      </c>
      <c r="J524" s="298"/>
      <c r="K524" s="119" t="s">
        <v>2026</v>
      </c>
      <c r="L524" s="119">
        <v>8.5</v>
      </c>
      <c r="M524" s="119" t="s">
        <v>1805</v>
      </c>
      <c r="N524" s="119">
        <f t="shared" si="940"/>
        <v>0</v>
      </c>
      <c r="O524" s="298"/>
      <c r="P524" s="298"/>
      <c r="Q524" s="298"/>
      <c r="R524" s="298"/>
      <c r="S524" s="298"/>
      <c r="T524" s="298"/>
      <c r="U524" s="298"/>
      <c r="V524" s="298"/>
      <c r="W524" s="298"/>
      <c r="X524" s="298"/>
      <c r="Y524" s="298"/>
      <c r="Z524" s="298"/>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6"/>
      <c r="BM524" s="311"/>
      <c r="BN524" s="314"/>
    </row>
    <row r="525" s="118" customFormat="1" ht="33.95" customHeight="1" outlineLevel="5" spans="2:66">
      <c r="B525" s="119" t="s">
        <v>799</v>
      </c>
      <c r="C525" s="120" t="s">
        <v>2027</v>
      </c>
      <c r="D525" s="118" t="s">
        <v>2028</v>
      </c>
      <c r="E525" s="119" t="s">
        <v>2029</v>
      </c>
      <c r="F525" s="119" t="s">
        <v>1625</v>
      </c>
      <c r="G525" s="119" t="s">
        <v>943</v>
      </c>
      <c r="H525" s="119">
        <f t="shared" si="939"/>
        <v>0</v>
      </c>
      <c r="I525" s="119" t="s">
        <v>1242</v>
      </c>
      <c r="J525" s="298"/>
      <c r="K525" s="119" t="s">
        <v>1396</v>
      </c>
      <c r="L525" s="119">
        <v>8</v>
      </c>
      <c r="M525" s="119" t="s">
        <v>1675</v>
      </c>
      <c r="N525" s="119">
        <f t="shared" si="940"/>
        <v>0</v>
      </c>
      <c r="O525" s="298"/>
      <c r="P525" s="298"/>
      <c r="Q525" s="298"/>
      <c r="R525" s="298"/>
      <c r="S525" s="298"/>
      <c r="T525" s="298"/>
      <c r="U525" s="298"/>
      <c r="V525" s="298"/>
      <c r="W525" s="298"/>
      <c r="X525" s="298"/>
      <c r="Y525" s="298"/>
      <c r="Z525" s="298"/>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6"/>
      <c r="BM525" s="311"/>
      <c r="BN525" s="314"/>
    </row>
    <row r="526" s="118" customFormat="1" ht="33.95" customHeight="1" outlineLevel="5" spans="2:66">
      <c r="B526" s="119" t="s">
        <v>799</v>
      </c>
      <c r="C526" s="120" t="s">
        <v>2030</v>
      </c>
      <c r="D526" s="118" t="s">
        <v>2031</v>
      </c>
      <c r="E526" s="119" t="s">
        <v>2032</v>
      </c>
      <c r="F526" s="119" t="s">
        <v>1625</v>
      </c>
      <c r="G526" s="119" t="s">
        <v>943</v>
      </c>
      <c r="H526" s="119">
        <f t="shared" si="939"/>
        <v>0</v>
      </c>
      <c r="I526" s="119" t="s">
        <v>1242</v>
      </c>
      <c r="J526" s="298"/>
      <c r="K526" s="119" t="s">
        <v>2026</v>
      </c>
      <c r="L526" s="119">
        <v>80</v>
      </c>
      <c r="M526" s="119" t="s">
        <v>1805</v>
      </c>
      <c r="N526" s="119">
        <f t="shared" si="940"/>
        <v>0</v>
      </c>
      <c r="O526" s="298"/>
      <c r="P526" s="298"/>
      <c r="Q526" s="298"/>
      <c r="R526" s="298"/>
      <c r="S526" s="298"/>
      <c r="T526" s="298"/>
      <c r="U526" s="298"/>
      <c r="V526" s="298"/>
      <c r="W526" s="298"/>
      <c r="X526" s="298"/>
      <c r="Y526" s="298"/>
      <c r="Z526" s="298"/>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6"/>
      <c r="BM526" s="311"/>
      <c r="BN526" s="314"/>
    </row>
    <row r="527" s="118" customFormat="1" ht="33.95" customHeight="1" outlineLevel="5" spans="2:66">
      <c r="B527" s="119" t="s">
        <v>799</v>
      </c>
      <c r="C527" s="120" t="s">
        <v>2033</v>
      </c>
      <c r="D527" s="118" t="s">
        <v>2034</v>
      </c>
      <c r="E527" s="119" t="s">
        <v>2035</v>
      </c>
      <c r="F527" s="119" t="s">
        <v>1625</v>
      </c>
      <c r="G527" s="119" t="s">
        <v>943</v>
      </c>
      <c r="H527" s="119">
        <f t="shared" si="939"/>
        <v>0</v>
      </c>
      <c r="I527" s="119" t="s">
        <v>1242</v>
      </c>
      <c r="J527" s="298"/>
      <c r="K527" s="119" t="s">
        <v>1396</v>
      </c>
      <c r="L527" s="119">
        <v>65</v>
      </c>
      <c r="M527" s="119" t="s">
        <v>1675</v>
      </c>
      <c r="N527" s="119">
        <f t="shared" si="940"/>
        <v>0</v>
      </c>
      <c r="O527" s="298"/>
      <c r="P527" s="298"/>
      <c r="Q527" s="298"/>
      <c r="R527" s="298"/>
      <c r="S527" s="298"/>
      <c r="T527" s="298"/>
      <c r="U527" s="298"/>
      <c r="V527" s="298"/>
      <c r="W527" s="298"/>
      <c r="X527" s="298"/>
      <c r="Y527" s="298"/>
      <c r="Z527" s="298"/>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6"/>
      <c r="BM527" s="311"/>
      <c r="BN527" s="314"/>
    </row>
    <row r="528" s="118" customFormat="1" ht="33.95" customHeight="1" outlineLevel="5" spans="2:66">
      <c r="B528" s="119" t="s">
        <v>799</v>
      </c>
      <c r="C528" s="120" t="s">
        <v>2036</v>
      </c>
      <c r="D528" s="118" t="s">
        <v>2037</v>
      </c>
      <c r="E528" s="119" t="s">
        <v>2038</v>
      </c>
      <c r="F528" s="119" t="s">
        <v>1625</v>
      </c>
      <c r="G528" s="119" t="s">
        <v>943</v>
      </c>
      <c r="H528" s="119">
        <f t="shared" si="939"/>
        <v>0</v>
      </c>
      <c r="I528" s="119" t="s">
        <v>1242</v>
      </c>
      <c r="J528" s="298"/>
      <c r="K528" s="119" t="s">
        <v>1633</v>
      </c>
      <c r="L528" s="119">
        <v>135</v>
      </c>
      <c r="M528" s="119" t="s">
        <v>1634</v>
      </c>
      <c r="N528" s="119">
        <f t="shared" si="940"/>
        <v>0</v>
      </c>
      <c r="O528" s="298"/>
      <c r="P528" s="298"/>
      <c r="Q528" s="298"/>
      <c r="R528" s="298"/>
      <c r="S528" s="298"/>
      <c r="T528" s="298"/>
      <c r="U528" s="298"/>
      <c r="V528" s="298"/>
      <c r="W528" s="298"/>
      <c r="X528" s="298"/>
      <c r="Y528" s="298"/>
      <c r="Z528" s="298"/>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6"/>
      <c r="BM528" s="311"/>
      <c r="BN528" s="314"/>
    </row>
    <row r="529" s="118" customFormat="1" ht="33.95" customHeight="1" outlineLevel="5" spans="2:66">
      <c r="B529" s="119" t="s">
        <v>799</v>
      </c>
      <c r="C529" s="120" t="s">
        <v>2039</v>
      </c>
      <c r="D529" s="118" t="s">
        <v>2040</v>
      </c>
      <c r="E529" s="119" t="s">
        <v>2041</v>
      </c>
      <c r="F529" s="119" t="s">
        <v>1625</v>
      </c>
      <c r="G529" s="119" t="s">
        <v>943</v>
      </c>
      <c r="H529" s="119">
        <f t="shared" si="939"/>
        <v>0</v>
      </c>
      <c r="I529" s="119" t="s">
        <v>1242</v>
      </c>
      <c r="J529" s="298"/>
      <c r="K529" s="119" t="s">
        <v>1396</v>
      </c>
      <c r="L529" s="119">
        <v>35</v>
      </c>
      <c r="M529" s="119" t="s">
        <v>1675</v>
      </c>
      <c r="N529" s="119">
        <f t="shared" si="940"/>
        <v>0</v>
      </c>
      <c r="O529" s="298"/>
      <c r="P529" s="298"/>
      <c r="Q529" s="298"/>
      <c r="R529" s="298"/>
      <c r="S529" s="298"/>
      <c r="T529" s="298"/>
      <c r="U529" s="298"/>
      <c r="V529" s="298"/>
      <c r="W529" s="298"/>
      <c r="X529" s="298"/>
      <c r="Y529" s="298"/>
      <c r="Z529" s="298"/>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6"/>
      <c r="BM529" s="311"/>
      <c r="BN529" s="314"/>
    </row>
    <row r="530" s="118" customFormat="1" ht="33.95" customHeight="1" outlineLevel="5" spans="2:66">
      <c r="B530" s="119" t="s">
        <v>799</v>
      </c>
      <c r="C530" s="120" t="s">
        <v>2042</v>
      </c>
      <c r="D530" s="118" t="s">
        <v>2043</v>
      </c>
      <c r="E530" s="119" t="s">
        <v>2044</v>
      </c>
      <c r="F530" s="119" t="s">
        <v>1625</v>
      </c>
      <c r="G530" s="119" t="s">
        <v>943</v>
      </c>
      <c r="H530" s="119">
        <f t="shared" si="939"/>
        <v>0</v>
      </c>
      <c r="I530" s="119" t="s">
        <v>1242</v>
      </c>
      <c r="J530" s="298"/>
      <c r="K530" s="119" t="s">
        <v>1396</v>
      </c>
      <c r="L530" s="119">
        <v>36</v>
      </c>
      <c r="M530" s="119" t="s">
        <v>1675</v>
      </c>
      <c r="N530" s="119">
        <f t="shared" si="940"/>
        <v>0</v>
      </c>
      <c r="O530" s="298"/>
      <c r="P530" s="298"/>
      <c r="Q530" s="298"/>
      <c r="R530" s="298"/>
      <c r="S530" s="298"/>
      <c r="T530" s="298"/>
      <c r="U530" s="298"/>
      <c r="V530" s="298"/>
      <c r="W530" s="298"/>
      <c r="X530" s="298"/>
      <c r="Y530" s="298"/>
      <c r="Z530" s="298"/>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6"/>
      <c r="BM530" s="311"/>
      <c r="BN530" s="314"/>
    </row>
    <row r="531" s="118" customFormat="1" ht="33.95" customHeight="1" outlineLevel="5" spans="2:66">
      <c r="B531" s="119" t="s">
        <v>799</v>
      </c>
      <c r="C531" s="120" t="s">
        <v>2045</v>
      </c>
      <c r="D531" s="118" t="s">
        <v>2046</v>
      </c>
      <c r="E531" s="119" t="s">
        <v>2047</v>
      </c>
      <c r="F531" s="119" t="s">
        <v>1625</v>
      </c>
      <c r="G531" s="119" t="s">
        <v>943</v>
      </c>
      <c r="H531" s="119">
        <f t="shared" si="939"/>
        <v>0</v>
      </c>
      <c r="I531" s="119" t="s">
        <v>1242</v>
      </c>
      <c r="J531" s="298"/>
      <c r="K531" s="119" t="s">
        <v>2026</v>
      </c>
      <c r="L531" s="119">
        <v>4.3</v>
      </c>
      <c r="M531" s="119" t="s">
        <v>1805</v>
      </c>
      <c r="N531" s="119">
        <f t="shared" si="940"/>
        <v>0</v>
      </c>
      <c r="O531" s="298"/>
      <c r="P531" s="298"/>
      <c r="Q531" s="298"/>
      <c r="R531" s="298"/>
      <c r="S531" s="298"/>
      <c r="T531" s="298"/>
      <c r="U531" s="298"/>
      <c r="V531" s="298"/>
      <c r="W531" s="298"/>
      <c r="X531" s="298"/>
      <c r="Y531" s="298"/>
      <c r="Z531" s="298"/>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6"/>
      <c r="BM531" s="311"/>
      <c r="BN531" s="314"/>
    </row>
    <row r="532" s="118" customFormat="1" ht="33.95" customHeight="1" outlineLevel="5" spans="2:66">
      <c r="B532" s="119" t="s">
        <v>799</v>
      </c>
      <c r="C532" s="120" t="s">
        <v>2048</v>
      </c>
      <c r="D532" s="118" t="s">
        <v>2049</v>
      </c>
      <c r="E532" s="119" t="s">
        <v>2050</v>
      </c>
      <c r="F532" s="119" t="s">
        <v>1625</v>
      </c>
      <c r="G532" s="119" t="s">
        <v>943</v>
      </c>
      <c r="H532" s="119">
        <f t="shared" si="939"/>
        <v>0</v>
      </c>
      <c r="I532" s="119" t="s">
        <v>1242</v>
      </c>
      <c r="J532" s="298"/>
      <c r="K532" s="119" t="s">
        <v>1396</v>
      </c>
      <c r="L532" s="119">
        <v>52</v>
      </c>
      <c r="M532" s="119" t="s">
        <v>1675</v>
      </c>
      <c r="N532" s="119">
        <f t="shared" si="940"/>
        <v>0</v>
      </c>
      <c r="O532" s="298"/>
      <c r="P532" s="298"/>
      <c r="Q532" s="298"/>
      <c r="R532" s="298"/>
      <c r="S532" s="298"/>
      <c r="T532" s="298"/>
      <c r="U532" s="298"/>
      <c r="V532" s="298"/>
      <c r="W532" s="298"/>
      <c r="X532" s="298"/>
      <c r="Y532" s="298"/>
      <c r="Z532" s="298"/>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6"/>
      <c r="BM532" s="311"/>
      <c r="BN532" s="314"/>
    </row>
    <row r="533" s="118" customFormat="1" ht="33.95" customHeight="1" outlineLevel="5" spans="2:66">
      <c r="B533" s="119" t="s">
        <v>799</v>
      </c>
      <c r="C533" s="120" t="s">
        <v>2051</v>
      </c>
      <c r="D533" s="118" t="s">
        <v>2052</v>
      </c>
      <c r="E533" s="119"/>
      <c r="F533" s="119" t="s">
        <v>1625</v>
      </c>
      <c r="G533" s="119" t="s">
        <v>943</v>
      </c>
      <c r="H533" s="119">
        <f t="shared" si="939"/>
        <v>0</v>
      </c>
      <c r="I533" s="119" t="s">
        <v>1242</v>
      </c>
      <c r="J533" s="298"/>
      <c r="K533" s="119" t="s">
        <v>1396</v>
      </c>
      <c r="L533" s="119">
        <v>350</v>
      </c>
      <c r="M533" s="119" t="s">
        <v>1675</v>
      </c>
      <c r="N533" s="119">
        <f t="shared" si="940"/>
        <v>0</v>
      </c>
      <c r="O533" s="298"/>
      <c r="P533" s="298"/>
      <c r="Q533" s="298"/>
      <c r="R533" s="298"/>
      <c r="S533" s="298"/>
      <c r="T533" s="298"/>
      <c r="U533" s="298"/>
      <c r="V533" s="298"/>
      <c r="W533" s="298"/>
      <c r="X533" s="298"/>
      <c r="Y533" s="298"/>
      <c r="Z533" s="298"/>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6"/>
      <c r="BM533" s="311"/>
      <c r="BN533" s="314"/>
    </row>
    <row r="534" s="118" customFormat="1" ht="33.95" customHeight="1" outlineLevel="5" spans="2:66">
      <c r="B534" s="119" t="s">
        <v>799</v>
      </c>
      <c r="C534" s="120" t="s">
        <v>2053</v>
      </c>
      <c r="D534" s="118" t="s">
        <v>2054</v>
      </c>
      <c r="E534" s="119" t="s">
        <v>2055</v>
      </c>
      <c r="F534" s="119" t="s">
        <v>1625</v>
      </c>
      <c r="G534" s="119" t="s">
        <v>943</v>
      </c>
      <c r="H534" s="119">
        <f t="shared" si="939"/>
        <v>0</v>
      </c>
      <c r="I534" s="119" t="s">
        <v>1242</v>
      </c>
      <c r="J534" s="298"/>
      <c r="K534" s="119" t="s">
        <v>1396</v>
      </c>
      <c r="L534" s="119">
        <v>75</v>
      </c>
      <c r="M534" s="119" t="s">
        <v>1675</v>
      </c>
      <c r="N534" s="119">
        <f t="shared" si="940"/>
        <v>0</v>
      </c>
      <c r="O534" s="298"/>
      <c r="P534" s="298"/>
      <c r="Q534" s="298"/>
      <c r="R534" s="298"/>
      <c r="S534" s="298"/>
      <c r="T534" s="298"/>
      <c r="U534" s="298"/>
      <c r="V534" s="298"/>
      <c r="W534" s="298"/>
      <c r="X534" s="298"/>
      <c r="Y534" s="298"/>
      <c r="Z534" s="298"/>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6"/>
      <c r="BM534" s="311"/>
      <c r="BN534" s="314"/>
    </row>
    <row r="535" s="118" customFormat="1" ht="33.95" customHeight="1" outlineLevel="5" spans="2:66">
      <c r="B535" s="119" t="s">
        <v>799</v>
      </c>
      <c r="C535" s="120" t="s">
        <v>2056</v>
      </c>
      <c r="D535" s="118" t="s">
        <v>2057</v>
      </c>
      <c r="E535" s="119" t="s">
        <v>2058</v>
      </c>
      <c r="F535" s="119" t="s">
        <v>1625</v>
      </c>
      <c r="G535" s="119" t="s">
        <v>943</v>
      </c>
      <c r="H535" s="119">
        <f t="shared" si="939"/>
        <v>0</v>
      </c>
      <c r="I535" s="119" t="s">
        <v>1242</v>
      </c>
      <c r="J535" s="298"/>
      <c r="K535" s="119" t="s">
        <v>1396</v>
      </c>
      <c r="L535" s="119">
        <v>48</v>
      </c>
      <c r="M535" s="119" t="s">
        <v>1675</v>
      </c>
      <c r="N535" s="119">
        <f t="shared" si="940"/>
        <v>0</v>
      </c>
      <c r="O535" s="298"/>
      <c r="P535" s="298"/>
      <c r="Q535" s="298"/>
      <c r="R535" s="298"/>
      <c r="S535" s="298"/>
      <c r="T535" s="298"/>
      <c r="U535" s="298"/>
      <c r="V535" s="298"/>
      <c r="W535" s="298"/>
      <c r="X535" s="298"/>
      <c r="Y535" s="298"/>
      <c r="Z535" s="298"/>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6"/>
      <c r="BM535" s="311"/>
      <c r="BN535" s="314"/>
    </row>
    <row r="536" s="118" customFormat="1" ht="33.95" customHeight="1" outlineLevel="5" spans="2:66">
      <c r="B536" s="119" t="s">
        <v>799</v>
      </c>
      <c r="C536" s="120" t="s">
        <v>2059</v>
      </c>
      <c r="D536" s="118" t="s">
        <v>2060</v>
      </c>
      <c r="E536" s="119"/>
      <c r="F536" s="119" t="s">
        <v>1625</v>
      </c>
      <c r="G536" s="119" t="s">
        <v>943</v>
      </c>
      <c r="H536" s="119">
        <f t="shared" si="939"/>
        <v>0</v>
      </c>
      <c r="I536" s="119" t="s">
        <v>1242</v>
      </c>
      <c r="J536" s="298"/>
      <c r="K536" s="119" t="s">
        <v>1396</v>
      </c>
      <c r="L536" s="119">
        <v>20</v>
      </c>
      <c r="M536" s="119" t="s">
        <v>1675</v>
      </c>
      <c r="N536" s="119">
        <f t="shared" si="940"/>
        <v>0</v>
      </c>
      <c r="O536" s="298"/>
      <c r="P536" s="298"/>
      <c r="Q536" s="298"/>
      <c r="R536" s="298"/>
      <c r="S536" s="298"/>
      <c r="T536" s="298"/>
      <c r="U536" s="298"/>
      <c r="V536" s="298"/>
      <c r="W536" s="298"/>
      <c r="X536" s="298"/>
      <c r="Y536" s="298"/>
      <c r="Z536" s="298"/>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6"/>
      <c r="BM536" s="311"/>
      <c r="BN536" s="314"/>
    </row>
    <row r="537" s="118" customFormat="1" ht="33.95" customHeight="1" outlineLevel="5" spans="2:66">
      <c r="B537" s="119" t="s">
        <v>799</v>
      </c>
      <c r="C537" s="120" t="s">
        <v>2061</v>
      </c>
      <c r="D537" s="118" t="s">
        <v>2062</v>
      </c>
      <c r="E537" s="119" t="s">
        <v>2063</v>
      </c>
      <c r="F537" s="119" t="s">
        <v>1625</v>
      </c>
      <c r="G537" s="119" t="s">
        <v>943</v>
      </c>
      <c r="H537" s="119">
        <f t="shared" si="939"/>
        <v>0</v>
      </c>
      <c r="I537" s="119" t="s">
        <v>1242</v>
      </c>
      <c r="J537" s="298"/>
      <c r="K537" s="119" t="s">
        <v>1396</v>
      </c>
      <c r="L537" s="119">
        <v>590</v>
      </c>
      <c r="M537" s="119" t="s">
        <v>1675</v>
      </c>
      <c r="N537" s="119">
        <f t="shared" si="940"/>
        <v>0</v>
      </c>
      <c r="O537" s="298"/>
      <c r="P537" s="298"/>
      <c r="Q537" s="298"/>
      <c r="R537" s="298"/>
      <c r="S537" s="298"/>
      <c r="T537" s="298"/>
      <c r="U537" s="298"/>
      <c r="V537" s="298"/>
      <c r="W537" s="298"/>
      <c r="X537" s="298"/>
      <c r="Y537" s="298"/>
      <c r="Z537" s="298"/>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6"/>
      <c r="BM537" s="311"/>
      <c r="BN537" s="314"/>
    </row>
    <row r="538" s="118" customFormat="1" ht="33.95" customHeight="1" outlineLevel="5" spans="2:66">
      <c r="B538" s="119" t="s">
        <v>799</v>
      </c>
      <c r="C538" s="120" t="s">
        <v>2064</v>
      </c>
      <c r="D538" s="118" t="s">
        <v>2065</v>
      </c>
      <c r="E538" s="119" t="s">
        <v>2066</v>
      </c>
      <c r="F538" s="119" t="s">
        <v>1625</v>
      </c>
      <c r="G538" s="119" t="s">
        <v>943</v>
      </c>
      <c r="H538" s="119">
        <f t="shared" si="939"/>
        <v>0</v>
      </c>
      <c r="I538" s="119" t="s">
        <v>1242</v>
      </c>
      <c r="J538" s="298"/>
      <c r="K538" s="119" t="s">
        <v>1396</v>
      </c>
      <c r="L538" s="119">
        <v>7000</v>
      </c>
      <c r="M538" s="119" t="s">
        <v>1675</v>
      </c>
      <c r="N538" s="119">
        <f t="shared" si="940"/>
        <v>0</v>
      </c>
      <c r="O538" s="298"/>
      <c r="P538" s="298"/>
      <c r="Q538" s="298"/>
      <c r="R538" s="298"/>
      <c r="S538" s="298"/>
      <c r="T538" s="298"/>
      <c r="U538" s="298"/>
      <c r="V538" s="298"/>
      <c r="W538" s="298"/>
      <c r="X538" s="298"/>
      <c r="Y538" s="298"/>
      <c r="Z538" s="298"/>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6"/>
      <c r="BM538" s="311"/>
      <c r="BN538" s="314"/>
    </row>
    <row r="539" s="118" customFormat="1" ht="33.95" customHeight="1" outlineLevel="5" spans="2:66">
      <c r="B539" s="119" t="s">
        <v>799</v>
      </c>
      <c r="C539" s="120" t="s">
        <v>2067</v>
      </c>
      <c r="D539" s="118" t="s">
        <v>2068</v>
      </c>
      <c r="E539" s="119" t="s">
        <v>2069</v>
      </c>
      <c r="F539" s="119" t="s">
        <v>1625</v>
      </c>
      <c r="G539" s="119" t="s">
        <v>943</v>
      </c>
      <c r="H539" s="119">
        <f t="shared" si="939"/>
        <v>0</v>
      </c>
      <c r="I539" s="119" t="s">
        <v>1242</v>
      </c>
      <c r="J539" s="298"/>
      <c r="K539" s="119" t="s">
        <v>1949</v>
      </c>
      <c r="L539" s="119">
        <v>783</v>
      </c>
      <c r="M539" s="119" t="s">
        <v>1950</v>
      </c>
      <c r="N539" s="119">
        <f t="shared" si="940"/>
        <v>0</v>
      </c>
      <c r="O539" s="316"/>
      <c r="P539" s="316"/>
      <c r="Q539" s="316"/>
      <c r="R539" s="316"/>
      <c r="S539" s="316"/>
      <c r="T539" s="316"/>
      <c r="U539" s="316"/>
      <c r="V539" s="316"/>
      <c r="W539" s="316"/>
      <c r="X539" s="316"/>
      <c r="Y539" s="316"/>
      <c r="Z539" s="316"/>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6"/>
      <c r="BM539" s="311"/>
      <c r="BN539" s="314"/>
    </row>
    <row r="540" s="22" customFormat="1" ht="33.95" customHeight="1" outlineLevel="2" spans="2:66">
      <c r="B540" s="112" t="s">
        <v>794</v>
      </c>
      <c r="C540" s="113" t="s">
        <v>2070</v>
      </c>
      <c r="D540" s="22" t="s">
        <v>2071</v>
      </c>
      <c r="E540" s="112"/>
      <c r="F540" s="112"/>
      <c r="G540" s="112"/>
      <c r="H540" s="112">
        <f>H541+H552+H570+H581</f>
        <v>0</v>
      </c>
      <c r="I540" s="112"/>
      <c r="J540" s="112"/>
      <c r="K540" s="112"/>
      <c r="L540" s="112"/>
      <c r="M540" s="112"/>
      <c r="N540" s="304"/>
      <c r="O540" s="287"/>
      <c r="P540" s="287"/>
      <c r="Q540" s="287"/>
      <c r="R540" s="287"/>
      <c r="S540" s="287"/>
      <c r="T540" s="287"/>
      <c r="U540" s="287"/>
      <c r="V540" s="287"/>
      <c r="W540" s="287"/>
      <c r="X540" s="287"/>
      <c r="Y540" s="287"/>
      <c r="Z540" s="287"/>
      <c r="AA540" s="287"/>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4"/>
      <c r="BM540" s="311"/>
      <c r="BN540" s="312"/>
    </row>
    <row r="541" s="47" customFormat="1" ht="33.95" customHeight="1" outlineLevel="3" spans="2:66">
      <c r="B541" s="115" t="s">
        <v>794</v>
      </c>
      <c r="C541" s="116" t="s">
        <v>2072</v>
      </c>
      <c r="D541" s="47" t="s">
        <v>2073</v>
      </c>
      <c r="E541" s="115"/>
      <c r="F541" s="115"/>
      <c r="G541" s="115"/>
      <c r="H541" s="115">
        <f>SUM(H542:H551)</f>
        <v>0</v>
      </c>
      <c r="I541" s="115"/>
      <c r="J541" s="115"/>
      <c r="K541" s="115"/>
      <c r="L541" s="115"/>
      <c r="M541" s="115"/>
      <c r="N541" s="305"/>
      <c r="O541" s="288"/>
      <c r="P541" s="288"/>
      <c r="Q541" s="288"/>
      <c r="R541" s="288"/>
      <c r="S541" s="288"/>
      <c r="T541" s="288"/>
      <c r="U541" s="288"/>
      <c r="V541" s="288"/>
      <c r="W541" s="288"/>
      <c r="X541" s="288"/>
      <c r="Y541" s="288"/>
      <c r="Z541" s="288"/>
      <c r="AA541" s="288"/>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5"/>
      <c r="BM541" s="311"/>
      <c r="BN541" s="313"/>
    </row>
    <row r="542" s="118" customFormat="1" ht="33.95" customHeight="1" outlineLevel="5" spans="2:66">
      <c r="B542" s="119" t="s">
        <v>799</v>
      </c>
      <c r="C542" s="120" t="s">
        <v>2074</v>
      </c>
      <c r="D542" s="118" t="s">
        <v>2075</v>
      </c>
      <c r="E542" s="119" t="s">
        <v>2076</v>
      </c>
      <c r="F542" s="119" t="s">
        <v>1625</v>
      </c>
      <c r="G542" s="119" t="s">
        <v>943</v>
      </c>
      <c r="H542" s="119">
        <f t="shared" ref="H542:H551" si="956">J542*L542</f>
        <v>0</v>
      </c>
      <c r="I542" s="119" t="s">
        <v>1242</v>
      </c>
      <c r="J542" s="298"/>
      <c r="K542" s="119" t="s">
        <v>1982</v>
      </c>
      <c r="L542" s="119">
        <v>280</v>
      </c>
      <c r="M542" s="119" t="s">
        <v>1983</v>
      </c>
      <c r="N542" s="119">
        <f t="shared" ref="N542:N551" si="957">COUNTA(O542:Z542)</f>
        <v>0</v>
      </c>
      <c r="O542" s="317"/>
      <c r="P542" s="317"/>
      <c r="Q542" s="317"/>
      <c r="R542" s="317"/>
      <c r="S542" s="317"/>
      <c r="T542" s="317"/>
      <c r="U542" s="317"/>
      <c r="V542" s="317"/>
      <c r="W542" s="317"/>
      <c r="X542" s="317"/>
      <c r="Y542" s="317"/>
      <c r="Z542" s="317"/>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6"/>
      <c r="BM542" s="311"/>
      <c r="BN542" s="314"/>
    </row>
    <row r="543" s="118" customFormat="1" ht="33.95" customHeight="1" outlineLevel="5" spans="2:66">
      <c r="B543" s="119" t="s">
        <v>799</v>
      </c>
      <c r="C543" s="120" t="s">
        <v>2077</v>
      </c>
      <c r="D543" s="118" t="s">
        <v>2078</v>
      </c>
      <c r="E543" s="119" t="s">
        <v>2079</v>
      </c>
      <c r="F543" s="119" t="s">
        <v>1625</v>
      </c>
      <c r="G543" s="119" t="s">
        <v>943</v>
      </c>
      <c r="H543" s="119">
        <f t="shared" si="956"/>
        <v>0</v>
      </c>
      <c r="I543" s="119" t="s">
        <v>1242</v>
      </c>
      <c r="J543" s="298"/>
      <c r="K543" s="119" t="s">
        <v>1396</v>
      </c>
      <c r="L543" s="119">
        <v>252</v>
      </c>
      <c r="M543" s="119" t="s">
        <v>1675</v>
      </c>
      <c r="N543" s="119">
        <f t="shared" si="957"/>
        <v>0</v>
      </c>
      <c r="O543" s="298"/>
      <c r="P543" s="298"/>
      <c r="Q543" s="298"/>
      <c r="R543" s="298"/>
      <c r="S543" s="298"/>
      <c r="T543" s="298"/>
      <c r="U543" s="298"/>
      <c r="V543" s="298"/>
      <c r="W543" s="298"/>
      <c r="X543" s="298"/>
      <c r="Y543" s="298"/>
      <c r="Z543" s="298"/>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6"/>
      <c r="BM543" s="311"/>
      <c r="BN543" s="314"/>
    </row>
    <row r="544" s="118" customFormat="1" ht="33.95" customHeight="1" outlineLevel="5" spans="2:66">
      <c r="B544" s="119" t="s">
        <v>799</v>
      </c>
      <c r="C544" s="120" t="s">
        <v>2080</v>
      </c>
      <c r="D544" s="118" t="s">
        <v>1784</v>
      </c>
      <c r="E544" s="119"/>
      <c r="F544" s="119" t="s">
        <v>1625</v>
      </c>
      <c r="G544" s="119" t="s">
        <v>943</v>
      </c>
      <c r="H544" s="119">
        <f t="shared" si="956"/>
        <v>0</v>
      </c>
      <c r="I544" s="119" t="s">
        <v>1242</v>
      </c>
      <c r="J544" s="298"/>
      <c r="K544" s="119" t="s">
        <v>1982</v>
      </c>
      <c r="L544" s="119">
        <v>7000</v>
      </c>
      <c r="M544" s="119" t="s">
        <v>1983</v>
      </c>
      <c r="N544" s="119">
        <f t="shared" si="957"/>
        <v>0</v>
      </c>
      <c r="O544" s="298"/>
      <c r="P544" s="298"/>
      <c r="Q544" s="298"/>
      <c r="R544" s="298"/>
      <c r="S544" s="298"/>
      <c r="T544" s="298"/>
      <c r="U544" s="298"/>
      <c r="V544" s="298"/>
      <c r="W544" s="298"/>
      <c r="X544" s="298"/>
      <c r="Y544" s="298"/>
      <c r="Z544" s="298"/>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6"/>
      <c r="BM544" s="311"/>
      <c r="BN544" s="314"/>
    </row>
    <row r="545" s="118" customFormat="1" ht="33.95" customHeight="1" outlineLevel="5" spans="2:66">
      <c r="B545" s="119" t="s">
        <v>799</v>
      </c>
      <c r="C545" s="120" t="s">
        <v>2081</v>
      </c>
      <c r="D545" s="118" t="s">
        <v>2082</v>
      </c>
      <c r="E545" s="119"/>
      <c r="F545" s="119" t="s">
        <v>1625</v>
      </c>
      <c r="G545" s="119" t="s">
        <v>943</v>
      </c>
      <c r="H545" s="119">
        <f t="shared" si="956"/>
        <v>0</v>
      </c>
      <c r="I545" s="119" t="s">
        <v>1242</v>
      </c>
      <c r="J545" s="298"/>
      <c r="K545" s="119" t="s">
        <v>1150</v>
      </c>
      <c r="L545" s="119">
        <v>36500</v>
      </c>
      <c r="M545" s="119" t="s">
        <v>1770</v>
      </c>
      <c r="N545" s="119">
        <f t="shared" si="957"/>
        <v>0</v>
      </c>
      <c r="O545" s="298"/>
      <c r="P545" s="298"/>
      <c r="Q545" s="298"/>
      <c r="R545" s="298"/>
      <c r="S545" s="298"/>
      <c r="T545" s="298"/>
      <c r="U545" s="298"/>
      <c r="V545" s="298"/>
      <c r="W545" s="298"/>
      <c r="X545" s="298"/>
      <c r="Y545" s="298"/>
      <c r="Z545" s="298"/>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6"/>
      <c r="BM545" s="311"/>
      <c r="BN545" s="314"/>
    </row>
    <row r="546" s="118" customFormat="1" ht="33.95" customHeight="1" outlineLevel="5" spans="2:66">
      <c r="B546" s="119" t="s">
        <v>799</v>
      </c>
      <c r="C546" s="120" t="s">
        <v>2083</v>
      </c>
      <c r="D546" s="118" t="s">
        <v>2084</v>
      </c>
      <c r="E546" s="119"/>
      <c r="F546" s="119" t="s">
        <v>1625</v>
      </c>
      <c r="G546" s="119" t="s">
        <v>943</v>
      </c>
      <c r="H546" s="119">
        <f t="shared" si="956"/>
        <v>0</v>
      </c>
      <c r="I546" s="119" t="s">
        <v>1242</v>
      </c>
      <c r="J546" s="298"/>
      <c r="K546" s="119" t="s">
        <v>1150</v>
      </c>
      <c r="L546" s="119">
        <v>1400</v>
      </c>
      <c r="M546" s="119" t="s">
        <v>1770</v>
      </c>
      <c r="N546" s="119">
        <f t="shared" si="957"/>
        <v>0</v>
      </c>
      <c r="O546" s="298"/>
      <c r="P546" s="298"/>
      <c r="Q546" s="298"/>
      <c r="R546" s="298"/>
      <c r="S546" s="298"/>
      <c r="T546" s="298"/>
      <c r="U546" s="298"/>
      <c r="V546" s="298"/>
      <c r="W546" s="298"/>
      <c r="X546" s="298"/>
      <c r="Y546" s="298"/>
      <c r="Z546" s="298"/>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6"/>
      <c r="BM546" s="311"/>
      <c r="BN546" s="314"/>
    </row>
    <row r="547" s="118" customFormat="1" ht="33.95" customHeight="1" outlineLevel="5" spans="2:66">
      <c r="B547" s="119" t="s">
        <v>799</v>
      </c>
      <c r="C547" s="120" t="s">
        <v>2085</v>
      </c>
      <c r="D547" s="118" t="s">
        <v>2086</v>
      </c>
      <c r="E547" s="119"/>
      <c r="F547" s="119" t="s">
        <v>1625</v>
      </c>
      <c r="G547" s="119" t="s">
        <v>943</v>
      </c>
      <c r="H547" s="119">
        <f t="shared" si="956"/>
        <v>0</v>
      </c>
      <c r="I547" s="119" t="s">
        <v>1242</v>
      </c>
      <c r="J547" s="298"/>
      <c r="K547" s="119" t="s">
        <v>1150</v>
      </c>
      <c r="L547" s="119">
        <v>2277.92857142857</v>
      </c>
      <c r="M547" s="119" t="s">
        <v>1770</v>
      </c>
      <c r="N547" s="119">
        <f t="shared" si="957"/>
        <v>0</v>
      </c>
      <c r="O547" s="298"/>
      <c r="P547" s="298"/>
      <c r="Q547" s="298"/>
      <c r="R547" s="298"/>
      <c r="S547" s="298"/>
      <c r="T547" s="298"/>
      <c r="U547" s="298"/>
      <c r="V547" s="298"/>
      <c r="W547" s="298"/>
      <c r="X547" s="298"/>
      <c r="Y547" s="298"/>
      <c r="Z547" s="298"/>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6"/>
      <c r="BM547" s="311"/>
      <c r="BN547" s="314"/>
    </row>
    <row r="548" s="118" customFormat="1" ht="33.95" customHeight="1" outlineLevel="5" spans="2:66">
      <c r="B548" s="119" t="s">
        <v>799</v>
      </c>
      <c r="C548" s="120" t="s">
        <v>2087</v>
      </c>
      <c r="D548" s="118" t="s">
        <v>2088</v>
      </c>
      <c r="E548" s="119"/>
      <c r="F548" s="119" t="s">
        <v>1625</v>
      </c>
      <c r="G548" s="119" t="s">
        <v>943</v>
      </c>
      <c r="H548" s="119">
        <f t="shared" si="956"/>
        <v>0</v>
      </c>
      <c r="I548" s="119" t="s">
        <v>1242</v>
      </c>
      <c r="J548" s="298"/>
      <c r="K548" s="119" t="s">
        <v>1150</v>
      </c>
      <c r="L548" s="119">
        <v>2634.13508090615</v>
      </c>
      <c r="M548" s="119" t="s">
        <v>1770</v>
      </c>
      <c r="N548" s="119">
        <f t="shared" si="957"/>
        <v>0</v>
      </c>
      <c r="O548" s="298"/>
      <c r="P548" s="298"/>
      <c r="Q548" s="298"/>
      <c r="R548" s="298"/>
      <c r="S548" s="298"/>
      <c r="T548" s="298"/>
      <c r="U548" s="298"/>
      <c r="V548" s="298"/>
      <c r="W548" s="298"/>
      <c r="X548" s="298"/>
      <c r="Y548" s="298"/>
      <c r="Z548" s="298"/>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6"/>
      <c r="BM548" s="311"/>
      <c r="BN548" s="314"/>
    </row>
    <row r="549" s="118" customFormat="1" ht="33.95" customHeight="1" outlineLevel="5" spans="2:66">
      <c r="B549" s="119" t="s">
        <v>799</v>
      </c>
      <c r="C549" s="120" t="s">
        <v>2089</v>
      </c>
      <c r="D549" s="118" t="s">
        <v>2090</v>
      </c>
      <c r="E549" s="119"/>
      <c r="F549" s="119" t="s">
        <v>1625</v>
      </c>
      <c r="G549" s="119" t="s">
        <v>943</v>
      </c>
      <c r="H549" s="119">
        <f t="shared" si="956"/>
        <v>0</v>
      </c>
      <c r="I549" s="119" t="s">
        <v>1242</v>
      </c>
      <c r="J549" s="298"/>
      <c r="K549" s="119" t="s">
        <v>1150</v>
      </c>
      <c r="L549" s="119">
        <v>88.4446601941746</v>
      </c>
      <c r="M549" s="119" t="s">
        <v>1770</v>
      </c>
      <c r="N549" s="119">
        <f t="shared" si="957"/>
        <v>0</v>
      </c>
      <c r="O549" s="298"/>
      <c r="P549" s="298"/>
      <c r="Q549" s="298"/>
      <c r="R549" s="298"/>
      <c r="S549" s="298"/>
      <c r="T549" s="298"/>
      <c r="U549" s="298"/>
      <c r="V549" s="298"/>
      <c r="W549" s="298"/>
      <c r="X549" s="298"/>
      <c r="Y549" s="298"/>
      <c r="Z549" s="298"/>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6"/>
      <c r="BM549" s="311"/>
      <c r="BN549" s="314"/>
    </row>
    <row r="550" s="118" customFormat="1" ht="33.95" customHeight="1" outlineLevel="5" spans="2:66">
      <c r="B550" s="119" t="s">
        <v>799</v>
      </c>
      <c r="C550" s="120" t="s">
        <v>2091</v>
      </c>
      <c r="D550" s="118" t="s">
        <v>2092</v>
      </c>
      <c r="E550" s="119"/>
      <c r="F550" s="119" t="s">
        <v>1625</v>
      </c>
      <c r="G550" s="119" t="s">
        <v>943</v>
      </c>
      <c r="H550" s="119">
        <f t="shared" si="956"/>
        <v>0</v>
      </c>
      <c r="I550" s="119" t="s">
        <v>1242</v>
      </c>
      <c r="J550" s="298"/>
      <c r="K550" s="119" t="s">
        <v>1150</v>
      </c>
      <c r="L550" s="119">
        <v>4754.2</v>
      </c>
      <c r="M550" s="119" t="s">
        <v>1770</v>
      </c>
      <c r="N550" s="119">
        <f t="shared" si="957"/>
        <v>0</v>
      </c>
      <c r="O550" s="298"/>
      <c r="P550" s="298"/>
      <c r="Q550" s="298"/>
      <c r="R550" s="298"/>
      <c r="S550" s="298"/>
      <c r="T550" s="298"/>
      <c r="U550" s="298"/>
      <c r="V550" s="298"/>
      <c r="W550" s="298"/>
      <c r="X550" s="298"/>
      <c r="Y550" s="298"/>
      <c r="Z550" s="298"/>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6"/>
      <c r="BM550" s="311"/>
      <c r="BN550" s="314"/>
    </row>
    <row r="551" s="118" customFormat="1" ht="33.95" customHeight="1" outlineLevel="5" spans="2:66">
      <c r="B551" s="119" t="s">
        <v>799</v>
      </c>
      <c r="C551" s="120" t="s">
        <v>2093</v>
      </c>
      <c r="D551" s="118" t="s">
        <v>2094</v>
      </c>
      <c r="E551" s="119"/>
      <c r="F551" s="119" t="s">
        <v>1625</v>
      </c>
      <c r="G551" s="119" t="s">
        <v>943</v>
      </c>
      <c r="H551" s="119">
        <f t="shared" si="956"/>
        <v>0</v>
      </c>
      <c r="I551" s="119" t="s">
        <v>1242</v>
      </c>
      <c r="J551" s="298"/>
      <c r="K551" s="119" t="s">
        <v>1150</v>
      </c>
      <c r="L551" s="119">
        <v>6363.33333333333</v>
      </c>
      <c r="M551" s="119" t="s">
        <v>1770</v>
      </c>
      <c r="N551" s="119">
        <f t="shared" si="957"/>
        <v>0</v>
      </c>
      <c r="O551" s="316"/>
      <c r="P551" s="316"/>
      <c r="Q551" s="316"/>
      <c r="R551" s="316"/>
      <c r="S551" s="316"/>
      <c r="T551" s="316"/>
      <c r="U551" s="316"/>
      <c r="V551" s="316"/>
      <c r="W551" s="316"/>
      <c r="X551" s="316"/>
      <c r="Y551" s="316"/>
      <c r="Z551" s="316"/>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6"/>
      <c r="BM551" s="311"/>
      <c r="BN551" s="314"/>
    </row>
    <row r="552" s="47" customFormat="1" ht="33.95" customHeight="1" outlineLevel="3" spans="2:66">
      <c r="B552" s="115" t="s">
        <v>794</v>
      </c>
      <c r="C552" s="116" t="s">
        <v>2095</v>
      </c>
      <c r="D552" s="47" t="s">
        <v>2096</v>
      </c>
      <c r="E552" s="115"/>
      <c r="F552" s="115"/>
      <c r="G552" s="115"/>
      <c r="H552" s="115">
        <f>SUM(H553:H569)</f>
        <v>0</v>
      </c>
      <c r="I552" s="115"/>
      <c r="J552" s="115"/>
      <c r="K552" s="115"/>
      <c r="L552" s="115"/>
      <c r="M552" s="115"/>
      <c r="N552" s="305"/>
      <c r="O552" s="288"/>
      <c r="P552" s="288"/>
      <c r="Q552" s="288"/>
      <c r="R552" s="288"/>
      <c r="S552" s="288"/>
      <c r="T552" s="288"/>
      <c r="U552" s="288"/>
      <c r="V552" s="288"/>
      <c r="W552" s="288"/>
      <c r="X552" s="288"/>
      <c r="Y552" s="288"/>
      <c r="Z552" s="288"/>
      <c r="AA552" s="288"/>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5"/>
      <c r="BM552" s="311"/>
      <c r="BN552" s="313"/>
    </row>
    <row r="553" s="118" customFormat="1" ht="33.95" customHeight="1" outlineLevel="5" spans="2:66">
      <c r="B553" s="119" t="s">
        <v>799</v>
      </c>
      <c r="C553" s="120" t="s">
        <v>2097</v>
      </c>
      <c r="D553" s="118" t="s">
        <v>2098</v>
      </c>
      <c r="E553" s="119"/>
      <c r="F553" s="119" t="s">
        <v>1625</v>
      </c>
      <c r="G553" s="119" t="s">
        <v>943</v>
      </c>
      <c r="H553" s="119">
        <f t="shared" ref="H553:H569" si="972">J553*L553</f>
        <v>0</v>
      </c>
      <c r="I553" s="119" t="s">
        <v>1242</v>
      </c>
      <c r="J553" s="298"/>
      <c r="K553" s="119" t="s">
        <v>1150</v>
      </c>
      <c r="L553" s="119">
        <v>750</v>
      </c>
      <c r="M553" s="119" t="s">
        <v>1770</v>
      </c>
      <c r="N553" s="119">
        <f t="shared" ref="N553:N569" si="973">COUNTA(O553:Z553)</f>
        <v>0</v>
      </c>
      <c r="O553" s="317"/>
      <c r="P553" s="317"/>
      <c r="Q553" s="317"/>
      <c r="R553" s="317"/>
      <c r="S553" s="317"/>
      <c r="T553" s="317"/>
      <c r="U553" s="317"/>
      <c r="V553" s="317"/>
      <c r="W553" s="317"/>
      <c r="X553" s="317"/>
      <c r="Y553" s="317"/>
      <c r="Z553" s="317"/>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6"/>
      <c r="BM553" s="311"/>
      <c r="BN553" s="314"/>
    </row>
    <row r="554" s="118" customFormat="1" ht="33.95" customHeight="1" outlineLevel="5" spans="2:66">
      <c r="B554" s="119" t="s">
        <v>799</v>
      </c>
      <c r="C554" s="120" t="s">
        <v>2099</v>
      </c>
      <c r="D554" s="118" t="s">
        <v>2100</v>
      </c>
      <c r="E554" s="119"/>
      <c r="F554" s="119" t="s">
        <v>1625</v>
      </c>
      <c r="G554" s="119" t="s">
        <v>943</v>
      </c>
      <c r="H554" s="119">
        <f t="shared" si="972"/>
        <v>0</v>
      </c>
      <c r="I554" s="119" t="s">
        <v>1242</v>
      </c>
      <c r="J554" s="298"/>
      <c r="K554" s="119" t="s">
        <v>1150</v>
      </c>
      <c r="L554" s="119">
        <v>500</v>
      </c>
      <c r="M554" s="119" t="s">
        <v>1770</v>
      </c>
      <c r="N554" s="119">
        <f t="shared" si="973"/>
        <v>0</v>
      </c>
      <c r="O554" s="298"/>
      <c r="P554" s="298"/>
      <c r="Q554" s="298"/>
      <c r="R554" s="298"/>
      <c r="S554" s="298"/>
      <c r="T554" s="298"/>
      <c r="U554" s="298"/>
      <c r="V554" s="298"/>
      <c r="W554" s="298"/>
      <c r="X554" s="298"/>
      <c r="Y554" s="298"/>
      <c r="Z554" s="298"/>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6"/>
      <c r="BM554" s="311"/>
      <c r="BN554" s="314"/>
    </row>
    <row r="555" s="118" customFormat="1" ht="33.95" customHeight="1" outlineLevel="5" spans="2:66">
      <c r="B555" s="119" t="s">
        <v>799</v>
      </c>
      <c r="C555" s="120" t="s">
        <v>2101</v>
      </c>
      <c r="D555" s="118" t="s">
        <v>2102</v>
      </c>
      <c r="E555" s="119"/>
      <c r="F555" s="119" t="s">
        <v>1625</v>
      </c>
      <c r="G555" s="119" t="s">
        <v>943</v>
      </c>
      <c r="H555" s="119">
        <f t="shared" si="972"/>
        <v>0</v>
      </c>
      <c r="I555" s="119" t="s">
        <v>1242</v>
      </c>
      <c r="J555" s="298"/>
      <c r="K555" s="119" t="s">
        <v>2103</v>
      </c>
      <c r="L555" s="119">
        <v>6.3</v>
      </c>
      <c r="M555" s="119" t="s">
        <v>2104</v>
      </c>
      <c r="N555" s="119">
        <f t="shared" si="973"/>
        <v>0</v>
      </c>
      <c r="O555" s="298"/>
      <c r="P555" s="298"/>
      <c r="Q555" s="298"/>
      <c r="R555" s="298"/>
      <c r="S555" s="298"/>
      <c r="T555" s="298"/>
      <c r="U555" s="298"/>
      <c r="V555" s="298"/>
      <c r="W555" s="298"/>
      <c r="X555" s="298"/>
      <c r="Y555" s="298"/>
      <c r="Z555" s="298"/>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6"/>
      <c r="BM555" s="311"/>
      <c r="BN555" s="314"/>
    </row>
    <row r="556" s="118" customFormat="1" ht="33.95" customHeight="1" outlineLevel="5" spans="2:66">
      <c r="B556" s="119" t="s">
        <v>799</v>
      </c>
      <c r="C556" s="120" t="s">
        <v>2105</v>
      </c>
      <c r="D556" s="118" t="s">
        <v>2106</v>
      </c>
      <c r="E556" s="119"/>
      <c r="F556" s="119" t="s">
        <v>1625</v>
      </c>
      <c r="G556" s="119" t="s">
        <v>943</v>
      </c>
      <c r="H556" s="119">
        <f t="shared" si="972"/>
        <v>0</v>
      </c>
      <c r="I556" s="119" t="s">
        <v>1242</v>
      </c>
      <c r="J556" s="298"/>
      <c r="K556" s="119" t="s">
        <v>1150</v>
      </c>
      <c r="L556" s="119">
        <v>500</v>
      </c>
      <c r="M556" s="119" t="s">
        <v>1770</v>
      </c>
      <c r="N556" s="119">
        <f t="shared" si="973"/>
        <v>0</v>
      </c>
      <c r="O556" s="298"/>
      <c r="P556" s="298"/>
      <c r="Q556" s="298"/>
      <c r="R556" s="298"/>
      <c r="S556" s="298"/>
      <c r="T556" s="298"/>
      <c r="U556" s="298"/>
      <c r="V556" s="298"/>
      <c r="W556" s="298"/>
      <c r="X556" s="298"/>
      <c r="Y556" s="298"/>
      <c r="Z556" s="298"/>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6"/>
      <c r="BM556" s="311"/>
      <c r="BN556" s="314"/>
    </row>
    <row r="557" s="118" customFormat="1" ht="33.95" customHeight="1" outlineLevel="5" spans="2:66">
      <c r="B557" s="119" t="s">
        <v>799</v>
      </c>
      <c r="C557" s="120" t="s">
        <v>2107</v>
      </c>
      <c r="D557" s="118" t="s">
        <v>2108</v>
      </c>
      <c r="E557" s="119"/>
      <c r="F557" s="119" t="s">
        <v>1625</v>
      </c>
      <c r="G557" s="119" t="s">
        <v>943</v>
      </c>
      <c r="H557" s="119">
        <f t="shared" si="972"/>
        <v>0</v>
      </c>
      <c r="I557" s="119" t="s">
        <v>1242</v>
      </c>
      <c r="J557" s="298"/>
      <c r="K557" s="119" t="s">
        <v>1150</v>
      </c>
      <c r="L557" s="119">
        <v>1400</v>
      </c>
      <c r="M557" s="119" t="s">
        <v>1770</v>
      </c>
      <c r="N557" s="119">
        <f t="shared" si="973"/>
        <v>0</v>
      </c>
      <c r="O557" s="298"/>
      <c r="P557" s="298"/>
      <c r="Q557" s="298"/>
      <c r="R557" s="298"/>
      <c r="S557" s="298"/>
      <c r="T557" s="298"/>
      <c r="U557" s="298"/>
      <c r="V557" s="298"/>
      <c r="W557" s="298"/>
      <c r="X557" s="298"/>
      <c r="Y557" s="298"/>
      <c r="Z557" s="298"/>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6"/>
      <c r="BM557" s="311"/>
      <c r="BN557" s="314"/>
    </row>
    <row r="558" s="118" customFormat="1" ht="33.95" customHeight="1" outlineLevel="5" spans="2:66">
      <c r="B558" s="119" t="s">
        <v>799</v>
      </c>
      <c r="C558" s="120" t="s">
        <v>2109</v>
      </c>
      <c r="D558" s="118" t="s">
        <v>2110</v>
      </c>
      <c r="E558" s="119"/>
      <c r="F558" s="119" t="s">
        <v>1625</v>
      </c>
      <c r="G558" s="119" t="s">
        <v>943</v>
      </c>
      <c r="H558" s="119">
        <f t="shared" si="972"/>
        <v>0</v>
      </c>
      <c r="I558" s="119" t="s">
        <v>1242</v>
      </c>
      <c r="J558" s="298"/>
      <c r="K558" s="119" t="s">
        <v>1150</v>
      </c>
      <c r="L558" s="119">
        <v>640</v>
      </c>
      <c r="M558" s="119" t="s">
        <v>1770</v>
      </c>
      <c r="N558" s="119">
        <f t="shared" si="973"/>
        <v>0</v>
      </c>
      <c r="O558" s="298"/>
      <c r="P558" s="298"/>
      <c r="Q558" s="298"/>
      <c r="R558" s="298"/>
      <c r="S558" s="298"/>
      <c r="T558" s="298"/>
      <c r="U558" s="298"/>
      <c r="V558" s="298"/>
      <c r="W558" s="298"/>
      <c r="X558" s="298"/>
      <c r="Y558" s="298"/>
      <c r="Z558" s="298"/>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6"/>
      <c r="BM558" s="311"/>
      <c r="BN558" s="314"/>
    </row>
    <row r="559" s="118" customFormat="1" ht="33.95" customHeight="1" outlineLevel="5" spans="2:66">
      <c r="B559" s="119" t="s">
        <v>799</v>
      </c>
      <c r="C559" s="120" t="s">
        <v>2111</v>
      </c>
      <c r="D559" s="118" t="s">
        <v>2112</v>
      </c>
      <c r="E559" s="119"/>
      <c r="F559" s="119" t="s">
        <v>1625</v>
      </c>
      <c r="G559" s="119" t="s">
        <v>943</v>
      </c>
      <c r="H559" s="119">
        <f t="shared" si="972"/>
        <v>0</v>
      </c>
      <c r="I559" s="119" t="s">
        <v>1242</v>
      </c>
      <c r="J559" s="298"/>
      <c r="K559" s="119" t="s">
        <v>1949</v>
      </c>
      <c r="L559" s="119">
        <v>35</v>
      </c>
      <c r="M559" s="119" t="s">
        <v>1950</v>
      </c>
      <c r="N559" s="119">
        <f t="shared" si="973"/>
        <v>0</v>
      </c>
      <c r="O559" s="298"/>
      <c r="P559" s="298"/>
      <c r="Q559" s="298"/>
      <c r="R559" s="298"/>
      <c r="S559" s="298"/>
      <c r="T559" s="298"/>
      <c r="U559" s="298"/>
      <c r="V559" s="298"/>
      <c r="W559" s="298"/>
      <c r="X559" s="298"/>
      <c r="Y559" s="298"/>
      <c r="Z559" s="298"/>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6"/>
      <c r="BM559" s="311"/>
      <c r="BN559" s="314"/>
    </row>
    <row r="560" s="118" customFormat="1" ht="33.95" customHeight="1" outlineLevel="5" spans="2:66">
      <c r="B560" s="119" t="s">
        <v>799</v>
      </c>
      <c r="C560" s="120" t="s">
        <v>2113</v>
      </c>
      <c r="D560" s="118" t="s">
        <v>2114</v>
      </c>
      <c r="E560" s="119"/>
      <c r="F560" s="119" t="s">
        <v>1625</v>
      </c>
      <c r="G560" s="119" t="s">
        <v>943</v>
      </c>
      <c r="H560" s="119">
        <f t="shared" si="972"/>
        <v>0</v>
      </c>
      <c r="I560" s="119" t="s">
        <v>1242</v>
      </c>
      <c r="J560" s="298"/>
      <c r="K560" s="119" t="s">
        <v>1150</v>
      </c>
      <c r="L560" s="119">
        <v>450</v>
      </c>
      <c r="M560" s="119" t="s">
        <v>1770</v>
      </c>
      <c r="N560" s="119">
        <f t="shared" si="973"/>
        <v>0</v>
      </c>
      <c r="O560" s="298"/>
      <c r="P560" s="298"/>
      <c r="Q560" s="298"/>
      <c r="R560" s="298"/>
      <c r="S560" s="298"/>
      <c r="T560" s="298"/>
      <c r="U560" s="298"/>
      <c r="V560" s="298"/>
      <c r="W560" s="298"/>
      <c r="X560" s="298"/>
      <c r="Y560" s="298"/>
      <c r="Z560" s="298"/>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6"/>
      <c r="BM560" s="311"/>
      <c r="BN560" s="314"/>
    </row>
    <row r="561" s="118" customFormat="1" ht="33.95" customHeight="1" outlineLevel="5" spans="2:66">
      <c r="B561" s="119" t="s">
        <v>799</v>
      </c>
      <c r="C561" s="120" t="s">
        <v>2115</v>
      </c>
      <c r="D561" s="118" t="s">
        <v>2116</v>
      </c>
      <c r="E561" s="119"/>
      <c r="F561" s="119" t="s">
        <v>1625</v>
      </c>
      <c r="G561" s="119" t="s">
        <v>943</v>
      </c>
      <c r="H561" s="119">
        <f t="shared" si="972"/>
        <v>0</v>
      </c>
      <c r="I561" s="119" t="s">
        <v>1242</v>
      </c>
      <c r="J561" s="298"/>
      <c r="K561" s="119" t="s">
        <v>1150</v>
      </c>
      <c r="L561" s="119">
        <v>300</v>
      </c>
      <c r="M561" s="119" t="s">
        <v>1770</v>
      </c>
      <c r="N561" s="119">
        <f t="shared" si="973"/>
        <v>0</v>
      </c>
      <c r="O561" s="298"/>
      <c r="P561" s="298"/>
      <c r="Q561" s="298"/>
      <c r="R561" s="298"/>
      <c r="S561" s="298"/>
      <c r="T561" s="298"/>
      <c r="U561" s="298"/>
      <c r="V561" s="298"/>
      <c r="W561" s="298"/>
      <c r="X561" s="298"/>
      <c r="Y561" s="298"/>
      <c r="Z561" s="298"/>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6"/>
      <c r="BM561" s="311"/>
      <c r="BN561" s="314"/>
    </row>
    <row r="562" s="118" customFormat="1" ht="33.95" customHeight="1" outlineLevel="5" spans="2:66">
      <c r="B562" s="119" t="s">
        <v>799</v>
      </c>
      <c r="C562" s="120" t="s">
        <v>2117</v>
      </c>
      <c r="D562" s="118" t="s">
        <v>2118</v>
      </c>
      <c r="E562" s="119"/>
      <c r="F562" s="119" t="s">
        <v>1625</v>
      </c>
      <c r="G562" s="119" t="s">
        <v>943</v>
      </c>
      <c r="H562" s="119">
        <f t="shared" si="972"/>
        <v>0</v>
      </c>
      <c r="I562" s="119" t="s">
        <v>1242</v>
      </c>
      <c r="J562" s="298"/>
      <c r="K562" s="119" t="s">
        <v>1150</v>
      </c>
      <c r="L562" s="119">
        <v>550</v>
      </c>
      <c r="M562" s="119" t="s">
        <v>1770</v>
      </c>
      <c r="N562" s="119">
        <f t="shared" si="973"/>
        <v>0</v>
      </c>
      <c r="O562" s="298"/>
      <c r="P562" s="298"/>
      <c r="Q562" s="298"/>
      <c r="R562" s="298"/>
      <c r="S562" s="298"/>
      <c r="T562" s="298"/>
      <c r="U562" s="298"/>
      <c r="V562" s="298"/>
      <c r="W562" s="298"/>
      <c r="X562" s="298"/>
      <c r="Y562" s="298"/>
      <c r="Z562" s="298"/>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6"/>
      <c r="BM562" s="311"/>
      <c r="BN562" s="314"/>
    </row>
    <row r="563" s="118" customFormat="1" ht="33.95" customHeight="1" outlineLevel="5" spans="2:66">
      <c r="B563" s="119" t="s">
        <v>799</v>
      </c>
      <c r="C563" s="120" t="s">
        <v>2119</v>
      </c>
      <c r="D563" s="118" t="s">
        <v>2120</v>
      </c>
      <c r="E563" s="119"/>
      <c r="F563" s="119" t="s">
        <v>1625</v>
      </c>
      <c r="G563" s="119" t="s">
        <v>943</v>
      </c>
      <c r="H563" s="119">
        <f t="shared" si="972"/>
        <v>0</v>
      </c>
      <c r="I563" s="119" t="s">
        <v>1242</v>
      </c>
      <c r="J563" s="298"/>
      <c r="K563" s="119" t="s">
        <v>1150</v>
      </c>
      <c r="L563" s="119">
        <v>610</v>
      </c>
      <c r="M563" s="119" t="s">
        <v>1770</v>
      </c>
      <c r="N563" s="119">
        <f t="shared" si="973"/>
        <v>0</v>
      </c>
      <c r="O563" s="298"/>
      <c r="P563" s="298"/>
      <c r="Q563" s="298"/>
      <c r="R563" s="298"/>
      <c r="S563" s="298"/>
      <c r="T563" s="298"/>
      <c r="U563" s="298"/>
      <c r="V563" s="298"/>
      <c r="W563" s="298"/>
      <c r="X563" s="298"/>
      <c r="Y563" s="298"/>
      <c r="Z563" s="298"/>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6"/>
      <c r="BM563" s="311"/>
      <c r="BN563" s="314"/>
    </row>
    <row r="564" s="118" customFormat="1" ht="33.95" customHeight="1" outlineLevel="5" spans="2:66">
      <c r="B564" s="119" t="s">
        <v>799</v>
      </c>
      <c r="C564" s="120" t="s">
        <v>2121</v>
      </c>
      <c r="D564" s="118" t="s">
        <v>2122</v>
      </c>
      <c r="E564" s="119"/>
      <c r="F564" s="119" t="s">
        <v>1625</v>
      </c>
      <c r="G564" s="119" t="s">
        <v>943</v>
      </c>
      <c r="H564" s="119">
        <f t="shared" si="972"/>
        <v>0</v>
      </c>
      <c r="I564" s="119" t="s">
        <v>1242</v>
      </c>
      <c r="J564" s="298"/>
      <c r="K564" s="119" t="s">
        <v>1150</v>
      </c>
      <c r="L564" s="119">
        <v>500</v>
      </c>
      <c r="M564" s="119" t="s">
        <v>1770</v>
      </c>
      <c r="N564" s="119">
        <f t="shared" si="973"/>
        <v>0</v>
      </c>
      <c r="O564" s="298"/>
      <c r="P564" s="298"/>
      <c r="Q564" s="298"/>
      <c r="R564" s="298"/>
      <c r="S564" s="298"/>
      <c r="T564" s="298"/>
      <c r="U564" s="298"/>
      <c r="V564" s="298"/>
      <c r="W564" s="298"/>
      <c r="X564" s="298"/>
      <c r="Y564" s="298"/>
      <c r="Z564" s="298"/>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6"/>
      <c r="BM564" s="311"/>
      <c r="BN564" s="314"/>
    </row>
    <row r="565" s="118" customFormat="1" ht="33.95" customHeight="1" outlineLevel="5" spans="2:66">
      <c r="B565" s="119" t="s">
        <v>799</v>
      </c>
      <c r="C565" s="120" t="s">
        <v>2123</v>
      </c>
      <c r="D565" s="118" t="s">
        <v>2124</v>
      </c>
      <c r="E565" s="119"/>
      <c r="F565" s="119" t="s">
        <v>1625</v>
      </c>
      <c r="G565" s="119" t="s">
        <v>943</v>
      </c>
      <c r="H565" s="119">
        <f t="shared" si="972"/>
        <v>0</v>
      </c>
      <c r="I565" s="119" t="s">
        <v>1242</v>
      </c>
      <c r="J565" s="298"/>
      <c r="K565" s="119" t="s">
        <v>2125</v>
      </c>
      <c r="L565" s="119">
        <v>570</v>
      </c>
      <c r="M565" s="119" t="s">
        <v>2126</v>
      </c>
      <c r="N565" s="119">
        <f t="shared" si="973"/>
        <v>0</v>
      </c>
      <c r="O565" s="298"/>
      <c r="P565" s="298"/>
      <c r="Q565" s="298"/>
      <c r="R565" s="298"/>
      <c r="S565" s="298"/>
      <c r="T565" s="298"/>
      <c r="U565" s="298"/>
      <c r="V565" s="298"/>
      <c r="W565" s="298"/>
      <c r="X565" s="298"/>
      <c r="Y565" s="298"/>
      <c r="Z565" s="298"/>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6"/>
      <c r="BM565" s="311"/>
      <c r="BN565" s="314"/>
    </row>
    <row r="566" s="118" customFormat="1" ht="33.95" customHeight="1" outlineLevel="5" spans="2:66">
      <c r="B566" s="119" t="s">
        <v>799</v>
      </c>
      <c r="C566" s="120" t="s">
        <v>2127</v>
      </c>
      <c r="D566" s="118" t="s">
        <v>2128</v>
      </c>
      <c r="E566" s="119"/>
      <c r="F566" s="119" t="s">
        <v>1625</v>
      </c>
      <c r="G566" s="119" t="s">
        <v>943</v>
      </c>
      <c r="H566" s="119">
        <f t="shared" si="972"/>
        <v>0</v>
      </c>
      <c r="I566" s="119" t="s">
        <v>1242</v>
      </c>
      <c r="J566" s="298"/>
      <c r="K566" s="119" t="s">
        <v>1633</v>
      </c>
      <c r="L566" s="119">
        <v>115</v>
      </c>
      <c r="M566" s="119" t="s">
        <v>1634</v>
      </c>
      <c r="N566" s="119">
        <f t="shared" si="973"/>
        <v>0</v>
      </c>
      <c r="O566" s="298"/>
      <c r="P566" s="298"/>
      <c r="Q566" s="298"/>
      <c r="R566" s="298"/>
      <c r="S566" s="298"/>
      <c r="T566" s="298"/>
      <c r="U566" s="298"/>
      <c r="V566" s="298"/>
      <c r="W566" s="298"/>
      <c r="X566" s="298"/>
      <c r="Y566" s="298"/>
      <c r="Z566" s="298"/>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6"/>
      <c r="BM566" s="311"/>
      <c r="BN566" s="314"/>
    </row>
    <row r="567" s="118" customFormat="1" ht="33.95" customHeight="1" outlineLevel="5" spans="2:66">
      <c r="B567" s="119" t="s">
        <v>799</v>
      </c>
      <c r="C567" s="120" t="s">
        <v>2129</v>
      </c>
      <c r="D567" s="118" t="s">
        <v>2130</v>
      </c>
      <c r="E567" s="119"/>
      <c r="F567" s="119" t="s">
        <v>1625</v>
      </c>
      <c r="G567" s="119" t="s">
        <v>943</v>
      </c>
      <c r="H567" s="119">
        <f t="shared" si="972"/>
        <v>0</v>
      </c>
      <c r="I567" s="119" t="s">
        <v>1242</v>
      </c>
      <c r="J567" s="298"/>
      <c r="K567" s="119" t="s">
        <v>1150</v>
      </c>
      <c r="L567" s="119">
        <v>150</v>
      </c>
      <c r="M567" s="119" t="s">
        <v>1770</v>
      </c>
      <c r="N567" s="119">
        <f t="shared" si="973"/>
        <v>0</v>
      </c>
      <c r="O567" s="298"/>
      <c r="P567" s="298"/>
      <c r="Q567" s="298"/>
      <c r="R567" s="298"/>
      <c r="S567" s="298"/>
      <c r="T567" s="298"/>
      <c r="U567" s="298"/>
      <c r="V567" s="298"/>
      <c r="W567" s="298"/>
      <c r="X567" s="298"/>
      <c r="Y567" s="298"/>
      <c r="Z567" s="298"/>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6"/>
      <c r="BM567" s="311"/>
      <c r="BN567" s="314"/>
    </row>
    <row r="568" s="118" customFormat="1" ht="33.95" customHeight="1" outlineLevel="5" spans="2:66">
      <c r="B568" s="119" t="s">
        <v>799</v>
      </c>
      <c r="C568" s="120" t="s">
        <v>2131</v>
      </c>
      <c r="D568" s="118" t="s">
        <v>2132</v>
      </c>
      <c r="E568" s="119"/>
      <c r="F568" s="119" t="s">
        <v>1625</v>
      </c>
      <c r="G568" s="119" t="s">
        <v>943</v>
      </c>
      <c r="H568" s="119">
        <f t="shared" si="972"/>
        <v>0</v>
      </c>
      <c r="I568" s="119" t="s">
        <v>1242</v>
      </c>
      <c r="J568" s="298"/>
      <c r="K568" s="119" t="s">
        <v>1150</v>
      </c>
      <c r="L568" s="119">
        <v>91</v>
      </c>
      <c r="M568" s="119" t="s">
        <v>1770</v>
      </c>
      <c r="N568" s="119">
        <f t="shared" si="973"/>
        <v>0</v>
      </c>
      <c r="O568" s="298"/>
      <c r="P568" s="298"/>
      <c r="Q568" s="298"/>
      <c r="R568" s="298"/>
      <c r="S568" s="298"/>
      <c r="T568" s="298"/>
      <c r="U568" s="298"/>
      <c r="V568" s="298"/>
      <c r="W568" s="298"/>
      <c r="X568" s="298"/>
      <c r="Y568" s="298"/>
      <c r="Z568" s="298"/>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6"/>
      <c r="BM568" s="311"/>
      <c r="BN568" s="314"/>
    </row>
    <row r="569" s="118" customFormat="1" ht="33.95" customHeight="1" outlineLevel="5" spans="2:66">
      <c r="B569" s="119" t="s">
        <v>799</v>
      </c>
      <c r="C569" s="120" t="s">
        <v>2133</v>
      </c>
      <c r="D569" s="118" t="s">
        <v>2134</v>
      </c>
      <c r="E569" s="119"/>
      <c r="F569" s="119" t="s">
        <v>1625</v>
      </c>
      <c r="G569" s="119" t="s">
        <v>943</v>
      </c>
      <c r="H569" s="119">
        <f t="shared" si="972"/>
        <v>0</v>
      </c>
      <c r="I569" s="119" t="s">
        <v>1242</v>
      </c>
      <c r="J569" s="298"/>
      <c r="K569" s="119" t="s">
        <v>1150</v>
      </c>
      <c r="L569" s="119">
        <v>165</v>
      </c>
      <c r="M569" s="119" t="s">
        <v>1770</v>
      </c>
      <c r="N569" s="119">
        <f t="shared" si="973"/>
        <v>0</v>
      </c>
      <c r="O569" s="316"/>
      <c r="P569" s="316"/>
      <c r="Q569" s="316"/>
      <c r="R569" s="316"/>
      <c r="S569" s="316"/>
      <c r="T569" s="316"/>
      <c r="U569" s="316"/>
      <c r="V569" s="316"/>
      <c r="W569" s="316"/>
      <c r="X569" s="316"/>
      <c r="Y569" s="316"/>
      <c r="Z569" s="316"/>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6"/>
      <c r="BM569" s="311"/>
      <c r="BN569" s="314"/>
    </row>
    <row r="570" s="47" customFormat="1" ht="33.95" customHeight="1" outlineLevel="3" spans="2:66">
      <c r="B570" s="115" t="s">
        <v>794</v>
      </c>
      <c r="C570" s="116" t="s">
        <v>2135</v>
      </c>
      <c r="D570" s="47" t="s">
        <v>2136</v>
      </c>
      <c r="E570" s="115"/>
      <c r="F570" s="115"/>
      <c r="G570" s="115"/>
      <c r="H570" s="115">
        <f>SUM(H571:H580)</f>
        <v>0</v>
      </c>
      <c r="I570" s="115"/>
      <c r="J570" s="115"/>
      <c r="K570" s="115"/>
      <c r="L570" s="115"/>
      <c r="M570" s="115"/>
      <c r="N570" s="305"/>
      <c r="O570" s="288"/>
      <c r="P570" s="288"/>
      <c r="Q570" s="288"/>
      <c r="R570" s="288"/>
      <c r="S570" s="288"/>
      <c r="T570" s="288"/>
      <c r="U570" s="288"/>
      <c r="V570" s="288"/>
      <c r="W570" s="288"/>
      <c r="X570" s="288"/>
      <c r="Y570" s="288"/>
      <c r="Z570" s="288"/>
      <c r="AA570" s="288"/>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5"/>
      <c r="BM570" s="311"/>
      <c r="BN570" s="313"/>
    </row>
    <row r="571" s="118" customFormat="1" ht="33.95" customHeight="1" outlineLevel="4" spans="2:66">
      <c r="B571" s="119" t="s">
        <v>799</v>
      </c>
      <c r="C571" s="120" t="s">
        <v>2137</v>
      </c>
      <c r="D571" s="118" t="s">
        <v>2138</v>
      </c>
      <c r="E571" s="119"/>
      <c r="F571" s="119" t="s">
        <v>2139</v>
      </c>
      <c r="G571" s="119" t="s">
        <v>1851</v>
      </c>
      <c r="H571" s="119">
        <f t="shared" ref="H571:H581" si="988">J571*L571*N571</f>
        <v>0</v>
      </c>
      <c r="I571" s="119" t="s">
        <v>1242</v>
      </c>
      <c r="J571" s="119">
        <v>1</v>
      </c>
      <c r="K571" s="119" t="s">
        <v>1243</v>
      </c>
      <c r="L571" s="298"/>
      <c r="M571" s="119" t="s">
        <v>1244</v>
      </c>
      <c r="N571" s="306">
        <v>12</v>
      </c>
      <c r="O571" s="289"/>
      <c r="P571" s="289"/>
      <c r="Q571" s="289"/>
      <c r="R571" s="289"/>
      <c r="S571" s="289"/>
      <c r="T571" s="289"/>
      <c r="U571" s="289"/>
      <c r="V571" s="289"/>
      <c r="W571" s="289"/>
      <c r="X571" s="289"/>
      <c r="Y571" s="289"/>
      <c r="Z571" s="289"/>
      <c r="AA571" s="289"/>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6"/>
      <c r="BM571" s="311"/>
      <c r="BN571" s="314"/>
    </row>
    <row r="572" s="118" customFormat="1" ht="33.95" customHeight="1" outlineLevel="4" spans="2:66">
      <c r="B572" s="119" t="s">
        <v>799</v>
      </c>
      <c r="C572" s="120" t="s">
        <v>2140</v>
      </c>
      <c r="D572" s="118" t="s">
        <v>2141</v>
      </c>
      <c r="E572" s="119"/>
      <c r="F572" s="119" t="s">
        <v>2139</v>
      </c>
      <c r="G572" s="119" t="s">
        <v>1851</v>
      </c>
      <c r="H572" s="119">
        <f t="shared" si="988"/>
        <v>0</v>
      </c>
      <c r="I572" s="119" t="s">
        <v>1242</v>
      </c>
      <c r="J572" s="119">
        <v>1</v>
      </c>
      <c r="K572" s="119" t="s">
        <v>1243</v>
      </c>
      <c r="L572" s="298"/>
      <c r="M572" s="119" t="s">
        <v>1244</v>
      </c>
      <c r="N572" s="306">
        <v>12</v>
      </c>
      <c r="O572" s="289"/>
      <c r="P572" s="289"/>
      <c r="Q572" s="289"/>
      <c r="R572" s="289"/>
      <c r="S572" s="289"/>
      <c r="T572" s="289"/>
      <c r="U572" s="289"/>
      <c r="V572" s="289"/>
      <c r="W572" s="289"/>
      <c r="X572" s="289"/>
      <c r="Y572" s="289"/>
      <c r="Z572" s="289"/>
      <c r="AA572" s="289"/>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6"/>
      <c r="BM572" s="311"/>
      <c r="BN572" s="314"/>
    </row>
    <row r="573" s="118" customFormat="1" ht="33.95" customHeight="1" outlineLevel="4" spans="2:66">
      <c r="B573" s="119" t="s">
        <v>799</v>
      </c>
      <c r="C573" s="120" t="s">
        <v>2142</v>
      </c>
      <c r="D573" s="118" t="s">
        <v>2143</v>
      </c>
      <c r="E573" s="119"/>
      <c r="F573" s="119" t="s">
        <v>2139</v>
      </c>
      <c r="G573" s="119" t="s">
        <v>1851</v>
      </c>
      <c r="H573" s="119">
        <f t="shared" si="988"/>
        <v>0</v>
      </c>
      <c r="I573" s="119" t="s">
        <v>1242</v>
      </c>
      <c r="J573" s="119">
        <v>1</v>
      </c>
      <c r="K573" s="119" t="s">
        <v>1243</v>
      </c>
      <c r="L573" s="298"/>
      <c r="M573" s="119" t="s">
        <v>1244</v>
      </c>
      <c r="N573" s="306">
        <v>12</v>
      </c>
      <c r="O573" s="289"/>
      <c r="P573" s="289"/>
      <c r="Q573" s="289"/>
      <c r="R573" s="289"/>
      <c r="S573" s="289"/>
      <c r="T573" s="289"/>
      <c r="U573" s="289"/>
      <c r="V573" s="289"/>
      <c r="W573" s="289"/>
      <c r="X573" s="289"/>
      <c r="Y573" s="289"/>
      <c r="Z573" s="289"/>
      <c r="AA573" s="289"/>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6"/>
      <c r="BM573" s="311"/>
      <c r="BN573" s="314"/>
    </row>
    <row r="574" s="118" customFormat="1" ht="33.95" customHeight="1" outlineLevel="4" spans="2:66">
      <c r="B574" s="119" t="s">
        <v>799</v>
      </c>
      <c r="C574" s="120" t="s">
        <v>2144</v>
      </c>
      <c r="D574" s="118" t="s">
        <v>2145</v>
      </c>
      <c r="E574" s="119"/>
      <c r="F574" s="119" t="s">
        <v>2139</v>
      </c>
      <c r="G574" s="119" t="s">
        <v>1851</v>
      </c>
      <c r="H574" s="119">
        <f t="shared" si="988"/>
        <v>0</v>
      </c>
      <c r="I574" s="119" t="s">
        <v>1242</v>
      </c>
      <c r="J574" s="119">
        <v>1</v>
      </c>
      <c r="K574" s="119" t="s">
        <v>1243</v>
      </c>
      <c r="L574" s="298"/>
      <c r="M574" s="119" t="s">
        <v>1244</v>
      </c>
      <c r="N574" s="306">
        <v>12</v>
      </c>
      <c r="O574" s="289"/>
      <c r="P574" s="289"/>
      <c r="Q574" s="289"/>
      <c r="R574" s="289"/>
      <c r="S574" s="289"/>
      <c r="T574" s="289"/>
      <c r="U574" s="289"/>
      <c r="V574" s="289"/>
      <c r="W574" s="289"/>
      <c r="X574" s="289"/>
      <c r="Y574" s="289"/>
      <c r="Z574" s="289"/>
      <c r="AA574" s="289"/>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6"/>
      <c r="BM574" s="311"/>
      <c r="BN574" s="314"/>
    </row>
    <row r="575" s="118" customFormat="1" ht="33.95" customHeight="1" outlineLevel="4" spans="2:66">
      <c r="B575" s="119" t="s">
        <v>799</v>
      </c>
      <c r="C575" s="120" t="s">
        <v>2146</v>
      </c>
      <c r="D575" s="118" t="s">
        <v>2147</v>
      </c>
      <c r="E575" s="119"/>
      <c r="F575" s="119" t="s">
        <v>2139</v>
      </c>
      <c r="G575" s="119" t="s">
        <v>1851</v>
      </c>
      <c r="H575" s="119">
        <f t="shared" si="988"/>
        <v>0</v>
      </c>
      <c r="I575" s="119" t="s">
        <v>1242</v>
      </c>
      <c r="J575" s="119">
        <v>1</v>
      </c>
      <c r="K575" s="119" t="s">
        <v>1243</v>
      </c>
      <c r="L575" s="298"/>
      <c r="M575" s="119" t="s">
        <v>1244</v>
      </c>
      <c r="N575" s="306">
        <v>12</v>
      </c>
      <c r="O575" s="289"/>
      <c r="P575" s="289"/>
      <c r="Q575" s="289"/>
      <c r="R575" s="289"/>
      <c r="S575" s="289"/>
      <c r="T575" s="289"/>
      <c r="U575" s="289"/>
      <c r="V575" s="289"/>
      <c r="W575" s="289"/>
      <c r="X575" s="289"/>
      <c r="Y575" s="289"/>
      <c r="Z575" s="289"/>
      <c r="AA575" s="289"/>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6"/>
      <c r="BM575" s="311"/>
      <c r="BN575" s="314"/>
    </row>
    <row r="576" s="118" customFormat="1" ht="33.95" customHeight="1" outlineLevel="4" spans="2:66">
      <c r="B576" s="119" t="s">
        <v>799</v>
      </c>
      <c r="C576" s="120" t="s">
        <v>2148</v>
      </c>
      <c r="D576" s="118" t="s">
        <v>2149</v>
      </c>
      <c r="E576" s="119"/>
      <c r="F576" s="119" t="s">
        <v>2139</v>
      </c>
      <c r="G576" s="119" t="s">
        <v>1851</v>
      </c>
      <c r="H576" s="119">
        <f t="shared" si="988"/>
        <v>0</v>
      </c>
      <c r="I576" s="119" t="s">
        <v>1242</v>
      </c>
      <c r="J576" s="119">
        <v>1</v>
      </c>
      <c r="K576" s="119" t="s">
        <v>1243</v>
      </c>
      <c r="L576" s="298"/>
      <c r="M576" s="119" t="s">
        <v>1244</v>
      </c>
      <c r="N576" s="306">
        <v>12</v>
      </c>
      <c r="O576" s="289"/>
      <c r="P576" s="289"/>
      <c r="Q576" s="289"/>
      <c r="R576" s="289"/>
      <c r="S576" s="289"/>
      <c r="T576" s="289"/>
      <c r="U576" s="289"/>
      <c r="V576" s="289"/>
      <c r="W576" s="289"/>
      <c r="X576" s="289"/>
      <c r="Y576" s="289"/>
      <c r="Z576" s="289"/>
      <c r="AA576" s="289"/>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6"/>
      <c r="BM576" s="311"/>
      <c r="BN576" s="314"/>
    </row>
    <row r="577" s="118" customFormat="1" ht="33.95" customHeight="1" outlineLevel="4" spans="2:66">
      <c r="B577" s="119" t="s">
        <v>799</v>
      </c>
      <c r="C577" s="120" t="s">
        <v>2150</v>
      </c>
      <c r="D577" s="118" t="s">
        <v>2151</v>
      </c>
      <c r="E577" s="119"/>
      <c r="F577" s="119" t="s">
        <v>2139</v>
      </c>
      <c r="G577" s="119" t="s">
        <v>1851</v>
      </c>
      <c r="H577" s="119">
        <f t="shared" si="988"/>
        <v>0</v>
      </c>
      <c r="I577" s="119" t="s">
        <v>1242</v>
      </c>
      <c r="J577" s="119">
        <v>1</v>
      </c>
      <c r="K577" s="119" t="s">
        <v>1243</v>
      </c>
      <c r="L577" s="298"/>
      <c r="M577" s="119" t="s">
        <v>1244</v>
      </c>
      <c r="N577" s="306">
        <v>12</v>
      </c>
      <c r="O577" s="289"/>
      <c r="P577" s="289"/>
      <c r="Q577" s="289"/>
      <c r="R577" s="289"/>
      <c r="S577" s="289"/>
      <c r="T577" s="289"/>
      <c r="U577" s="289"/>
      <c r="V577" s="289"/>
      <c r="W577" s="289"/>
      <c r="X577" s="289"/>
      <c r="Y577" s="289"/>
      <c r="Z577" s="289"/>
      <c r="AA577" s="289"/>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6"/>
      <c r="BM577" s="311"/>
      <c r="BN577" s="314"/>
    </row>
    <row r="578" s="118" customFormat="1" ht="33.95" customHeight="1" outlineLevel="4" spans="2:66">
      <c r="B578" s="119" t="s">
        <v>799</v>
      </c>
      <c r="C578" s="120" t="s">
        <v>2152</v>
      </c>
      <c r="D578" s="118" t="s">
        <v>2153</v>
      </c>
      <c r="E578" s="119"/>
      <c r="F578" s="119" t="s">
        <v>2139</v>
      </c>
      <c r="G578" s="119" t="s">
        <v>1851</v>
      </c>
      <c r="H578" s="119">
        <f t="shared" si="988"/>
        <v>0</v>
      </c>
      <c r="I578" s="119" t="s">
        <v>1242</v>
      </c>
      <c r="J578" s="119">
        <v>1</v>
      </c>
      <c r="K578" s="119" t="s">
        <v>1243</v>
      </c>
      <c r="L578" s="298"/>
      <c r="M578" s="119" t="s">
        <v>1244</v>
      </c>
      <c r="N578" s="306">
        <v>12</v>
      </c>
      <c r="O578" s="289"/>
      <c r="P578" s="289"/>
      <c r="Q578" s="289"/>
      <c r="R578" s="289"/>
      <c r="S578" s="289"/>
      <c r="T578" s="289"/>
      <c r="U578" s="289"/>
      <c r="V578" s="289"/>
      <c r="W578" s="289"/>
      <c r="X578" s="289"/>
      <c r="Y578" s="289"/>
      <c r="Z578" s="289"/>
      <c r="AA578" s="289"/>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6"/>
      <c r="BM578" s="311"/>
      <c r="BN578" s="314"/>
    </row>
    <row r="579" s="118" customFormat="1" ht="33.95" customHeight="1" outlineLevel="4" spans="2:66">
      <c r="B579" s="119" t="s">
        <v>799</v>
      </c>
      <c r="C579" s="120" t="s">
        <v>2154</v>
      </c>
      <c r="D579" s="118" t="s">
        <v>2155</v>
      </c>
      <c r="E579" s="119"/>
      <c r="F579" s="119" t="s">
        <v>2139</v>
      </c>
      <c r="G579" s="119" t="s">
        <v>1851</v>
      </c>
      <c r="H579" s="119">
        <f t="shared" si="988"/>
        <v>0</v>
      </c>
      <c r="I579" s="119" t="s">
        <v>1242</v>
      </c>
      <c r="J579" s="119">
        <v>1</v>
      </c>
      <c r="K579" s="119" t="s">
        <v>1243</v>
      </c>
      <c r="L579" s="298"/>
      <c r="M579" s="119" t="s">
        <v>1244</v>
      </c>
      <c r="N579" s="306">
        <v>12</v>
      </c>
      <c r="O579" s="289"/>
      <c r="P579" s="289"/>
      <c r="Q579" s="289"/>
      <c r="R579" s="289"/>
      <c r="S579" s="289"/>
      <c r="T579" s="289"/>
      <c r="U579" s="289"/>
      <c r="V579" s="289"/>
      <c r="W579" s="289"/>
      <c r="X579" s="289"/>
      <c r="Y579" s="289"/>
      <c r="Z579" s="289"/>
      <c r="AA579" s="289"/>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6"/>
      <c r="BM579" s="311"/>
      <c r="BN579" s="314"/>
    </row>
    <row r="580" s="118" customFormat="1" ht="33.95" customHeight="1" outlineLevel="4" spans="2:66">
      <c r="B580" s="119" t="s">
        <v>799</v>
      </c>
      <c r="C580" s="120" t="s">
        <v>2156</v>
      </c>
      <c r="D580" s="118" t="s">
        <v>2157</v>
      </c>
      <c r="E580" s="119" t="s">
        <v>2158</v>
      </c>
      <c r="F580" s="119" t="s">
        <v>2139</v>
      </c>
      <c r="G580" s="119" t="s">
        <v>1851</v>
      </c>
      <c r="H580" s="119">
        <f t="shared" si="988"/>
        <v>0</v>
      </c>
      <c r="I580" s="119" t="s">
        <v>1242</v>
      </c>
      <c r="J580" s="119">
        <v>1</v>
      </c>
      <c r="K580" s="119" t="s">
        <v>1243</v>
      </c>
      <c r="L580" s="298"/>
      <c r="M580" s="119" t="s">
        <v>1244</v>
      </c>
      <c r="N580" s="306">
        <v>12</v>
      </c>
      <c r="O580" s="289"/>
      <c r="P580" s="289"/>
      <c r="Q580" s="289"/>
      <c r="R580" s="289"/>
      <c r="S580" s="289"/>
      <c r="T580" s="289"/>
      <c r="U580" s="289"/>
      <c r="V580" s="289"/>
      <c r="W580" s="289"/>
      <c r="X580" s="289"/>
      <c r="Y580" s="289"/>
      <c r="Z580" s="289"/>
      <c r="AA580" s="289"/>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6"/>
      <c r="BM580" s="311"/>
      <c r="BN580" s="314"/>
    </row>
    <row r="581" s="47" customFormat="1" ht="33.95" customHeight="1" outlineLevel="3" spans="2:66">
      <c r="B581" s="115" t="s">
        <v>799</v>
      </c>
      <c r="C581" s="116" t="s">
        <v>2159</v>
      </c>
      <c r="D581" s="47" t="s">
        <v>2160</v>
      </c>
      <c r="E581" s="115"/>
      <c r="F581" s="115" t="s">
        <v>2139</v>
      </c>
      <c r="G581" s="115" t="s">
        <v>1851</v>
      </c>
      <c r="H581" s="115">
        <f t="shared" si="988"/>
        <v>0</v>
      </c>
      <c r="I581" s="115" t="s">
        <v>1242</v>
      </c>
      <c r="J581" s="115">
        <v>1</v>
      </c>
      <c r="K581" s="115" t="s">
        <v>1243</v>
      </c>
      <c r="L581" s="298"/>
      <c r="M581" s="115" t="s">
        <v>1244</v>
      </c>
      <c r="N581" s="305">
        <v>12</v>
      </c>
      <c r="O581" s="288"/>
      <c r="P581" s="288"/>
      <c r="Q581" s="288"/>
      <c r="R581" s="288"/>
      <c r="S581" s="288"/>
      <c r="T581" s="288"/>
      <c r="U581" s="288"/>
      <c r="V581" s="288"/>
      <c r="W581" s="288"/>
      <c r="X581" s="288"/>
      <c r="Y581" s="288"/>
      <c r="Z581" s="288"/>
      <c r="AA581" s="288"/>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5"/>
      <c r="BM581" s="311"/>
      <c r="BN581" s="313"/>
    </row>
    <row r="582" s="108" customFormat="1" ht="33.95" customHeight="1" outlineLevel="1" spans="2:66">
      <c r="B582" s="109" t="s">
        <v>794</v>
      </c>
      <c r="C582" s="110">
        <v>1.3</v>
      </c>
      <c r="D582" s="108" t="s">
        <v>64</v>
      </c>
      <c r="E582" s="109"/>
      <c r="F582" s="109"/>
      <c r="G582" s="109"/>
      <c r="H582" s="109">
        <f>H583+H601+H605+H614+H624+H627+H634+H643+H646+H651</f>
        <v>174049.811320755</v>
      </c>
      <c r="N582" s="303"/>
      <c r="O582" s="286"/>
      <c r="P582" s="286"/>
      <c r="Q582" s="286"/>
      <c r="R582" s="286"/>
      <c r="S582" s="286"/>
      <c r="T582" s="286"/>
      <c r="U582" s="286"/>
      <c r="V582" s="286"/>
      <c r="W582" s="286"/>
      <c r="X582" s="286"/>
      <c r="Y582" s="286"/>
      <c r="Z582" s="286"/>
      <c r="AA582" s="286"/>
      <c r="AB582" s="109">
        <f t="shared" ref="AB582:AF582" si="1002">AB583+AB601+AB605+AB614+AB624+AB627+AB634+AB643+AB646+AB651</f>
        <v>174049.811320755</v>
      </c>
      <c r="AC582" s="109">
        <f t="shared" si="1002"/>
        <v>33204.1509433962</v>
      </c>
      <c r="AF582" s="109">
        <f t="shared" si="1002"/>
        <v>12804.1509433962</v>
      </c>
      <c r="AI582" s="109">
        <f>AI583+AI601+AI605+AI614+AI624+AI627+AI634+AI643+AI646+AI651</f>
        <v>12804.1509433962</v>
      </c>
      <c r="AL582" s="109">
        <f>AL583+AL601+AL605+AL614+AL624+AL627+AL634+AL643+AL646+AL651</f>
        <v>12804.1509433962</v>
      </c>
      <c r="AO582" s="109">
        <f>AO583+AO601+AO605+AO614+AO624+AO627+AO634+AO643+AO646+AO651</f>
        <v>12804.1509433962</v>
      </c>
      <c r="AR582" s="109">
        <f>AR583+AR601+AR605+AR614+AR624+AR627+AR634+AR643+AR646+AR651</f>
        <v>12804.1509433962</v>
      </c>
      <c r="AU582" s="109">
        <f>AU583+AU601+AU605+AU614+AU624+AU627+AU634+AU643+AU646+AU651</f>
        <v>12804.1509433962</v>
      </c>
      <c r="AX582" s="109">
        <f>AX583+AX601+AX605+AX614+AX624+AX627+AX634+AX643+AX646+AX651</f>
        <v>12804.1509433962</v>
      </c>
      <c r="BA582" s="109">
        <f>BA583+BA601+BA605+BA614+BA624+BA627+BA634+BA643+BA646+BA651</f>
        <v>12804.1509433962</v>
      </c>
      <c r="BD582" s="109">
        <f>BD583+BD601+BD605+BD614+BD624+BD627+BD634+BD643+BD646+BD651</f>
        <v>12804.1509433962</v>
      </c>
      <c r="BG582" s="109">
        <f>BG583+BG601+BG605+BG614+BG624+BG627+BG634+BG643+BG646+BG651</f>
        <v>12804.1509433962</v>
      </c>
      <c r="BJ582" s="109">
        <f>BJ583+BJ601+BJ605+BJ614+BJ624+BJ627+BJ634+BJ643+BJ646+BJ651</f>
        <v>12804.1509433962</v>
      </c>
      <c r="BL582" s="303"/>
      <c r="BM582" s="311"/>
      <c r="BN582" s="286"/>
    </row>
    <row r="583" s="22" customFormat="1" ht="33.95" customHeight="1" outlineLevel="2" spans="2:66">
      <c r="B583" s="112" t="s">
        <v>794</v>
      </c>
      <c r="C583" s="113" t="s">
        <v>2161</v>
      </c>
      <c r="D583" s="22" t="s">
        <v>2162</v>
      </c>
      <c r="E583" s="112"/>
      <c r="F583" s="112"/>
      <c r="G583" s="112"/>
      <c r="H583" s="112">
        <f>SUM(H584:H600)</f>
        <v>20400</v>
      </c>
      <c r="I583" s="112"/>
      <c r="J583" s="112"/>
      <c r="K583" s="112"/>
      <c r="L583" s="112"/>
      <c r="M583" s="112"/>
      <c r="N583" s="304"/>
      <c r="O583" s="287"/>
      <c r="P583" s="287"/>
      <c r="Q583" s="287"/>
      <c r="R583" s="287"/>
      <c r="S583" s="287"/>
      <c r="T583" s="287"/>
      <c r="U583" s="287"/>
      <c r="V583" s="287"/>
      <c r="W583" s="287"/>
      <c r="X583" s="287"/>
      <c r="Y583" s="287"/>
      <c r="Z583" s="287"/>
      <c r="AA583" s="287"/>
      <c r="AB583" s="112">
        <f t="shared" ref="AB583:AF583" si="1003">SUM(AB584:AB600)</f>
        <v>20400</v>
      </c>
      <c r="AC583" s="112">
        <f t="shared" si="1003"/>
        <v>20400</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4"/>
      <c r="BM583" s="311"/>
      <c r="BN583" s="312"/>
    </row>
    <row r="584" s="47" customFormat="1" ht="33.95" customHeight="1" outlineLevel="3" spans="2:66">
      <c r="B584" s="115" t="s">
        <v>799</v>
      </c>
      <c r="C584" s="116" t="s">
        <v>2163</v>
      </c>
      <c r="D584" s="47" t="s">
        <v>2164</v>
      </c>
      <c r="E584" s="115"/>
      <c r="F584" s="115" t="s">
        <v>1625</v>
      </c>
      <c r="G584" s="115" t="s">
        <v>943</v>
      </c>
      <c r="H584" s="115">
        <f t="shared" ref="H584:H600" si="1004">J584*L584</f>
        <v>20400</v>
      </c>
      <c r="I584" s="115" t="s">
        <v>1242</v>
      </c>
      <c r="J584" s="115">
        <v>1</v>
      </c>
      <c r="K584" s="115" t="s">
        <v>1243</v>
      </c>
      <c r="L584" s="298">
        <f>预算主表!P84</f>
        <v>20400</v>
      </c>
      <c r="M584" s="115" t="s">
        <v>1377</v>
      </c>
      <c r="N584" s="115">
        <f t="shared" ref="N584:N600" si="1005">COUNTA(O584:Z584)</f>
        <v>1</v>
      </c>
      <c r="O584" s="317" t="s">
        <v>1292</v>
      </c>
      <c r="P584" s="317"/>
      <c r="Q584" s="317"/>
      <c r="R584" s="317"/>
      <c r="S584" s="317"/>
      <c r="T584" s="317"/>
      <c r="U584" s="317"/>
      <c r="V584" s="317"/>
      <c r="W584" s="317"/>
      <c r="X584" s="317"/>
      <c r="Y584" s="317"/>
      <c r="Z584" s="317"/>
      <c r="AA584" s="115"/>
      <c r="AB584" s="115">
        <f t="shared" ref="AB584:AB600" si="1006">SUM(AC584,AF584,AI584,AL584,AO584,AR584,AU584,AX584,BA584,BD584,BG584,BJ584)</f>
        <v>20400</v>
      </c>
      <c r="AC584" s="115">
        <f t="shared" ref="AC584:AC600" si="1007">IF(O584="√",$J584*$L584/$N584,0)</f>
        <v>20400</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5"/>
      <c r="BM584" s="311"/>
      <c r="BN584" s="313"/>
    </row>
    <row r="585" s="47" customFormat="1" ht="33.95" customHeight="1" outlineLevel="3" spans="2:66">
      <c r="B585" s="115" t="s">
        <v>799</v>
      </c>
      <c r="C585" s="116" t="s">
        <v>2165</v>
      </c>
      <c r="D585" s="47" t="s">
        <v>2166</v>
      </c>
      <c r="E585" s="115"/>
      <c r="F585" s="115" t="s">
        <v>1625</v>
      </c>
      <c r="G585" s="115" t="s">
        <v>943</v>
      </c>
      <c r="H585" s="115">
        <f t="shared" si="1004"/>
        <v>0</v>
      </c>
      <c r="I585" s="115" t="s">
        <v>1242</v>
      </c>
      <c r="J585" s="115">
        <v>1</v>
      </c>
      <c r="K585" s="115" t="s">
        <v>1243</v>
      </c>
      <c r="L585" s="298"/>
      <c r="M585" s="115" t="s">
        <v>1377</v>
      </c>
      <c r="N585" s="115">
        <f t="shared" si="1005"/>
        <v>0</v>
      </c>
      <c r="O585" s="298"/>
      <c r="P585" s="298"/>
      <c r="Q585" s="298"/>
      <c r="R585" s="298"/>
      <c r="S585" s="298"/>
      <c r="T585" s="298"/>
      <c r="U585" s="298"/>
      <c r="V585" s="298"/>
      <c r="W585" s="298"/>
      <c r="X585" s="298"/>
      <c r="Y585" s="298"/>
      <c r="Z585" s="298"/>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5"/>
      <c r="BM585" s="311"/>
      <c r="BN585" s="313"/>
    </row>
    <row r="586" s="47" customFormat="1" ht="33.95" customHeight="1" outlineLevel="3" spans="2:66">
      <c r="B586" s="115" t="s">
        <v>799</v>
      </c>
      <c r="C586" s="116" t="s">
        <v>2167</v>
      </c>
      <c r="D586" s="47" t="s">
        <v>2168</v>
      </c>
      <c r="E586" s="115"/>
      <c r="F586" s="115" t="s">
        <v>1625</v>
      </c>
      <c r="G586" s="115" t="s">
        <v>943</v>
      </c>
      <c r="H586" s="115">
        <f t="shared" si="1004"/>
        <v>0</v>
      </c>
      <c r="I586" s="115" t="s">
        <v>1242</v>
      </c>
      <c r="J586" s="115">
        <v>1</v>
      </c>
      <c r="K586" s="115" t="s">
        <v>1243</v>
      </c>
      <c r="L586" s="298"/>
      <c r="M586" s="115" t="s">
        <v>1377</v>
      </c>
      <c r="N586" s="115">
        <f t="shared" si="1005"/>
        <v>0</v>
      </c>
      <c r="O586" s="298"/>
      <c r="P586" s="298"/>
      <c r="Q586" s="298"/>
      <c r="R586" s="298"/>
      <c r="S586" s="298"/>
      <c r="T586" s="298"/>
      <c r="U586" s="298"/>
      <c r="V586" s="298"/>
      <c r="W586" s="298"/>
      <c r="X586" s="298"/>
      <c r="Y586" s="298"/>
      <c r="Z586" s="298"/>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5"/>
      <c r="BM586" s="311"/>
      <c r="BN586" s="313"/>
    </row>
    <row r="587" s="47" customFormat="1" ht="33.95" customHeight="1" outlineLevel="3" spans="2:66">
      <c r="B587" s="115" t="s">
        <v>799</v>
      </c>
      <c r="C587" s="116" t="s">
        <v>2169</v>
      </c>
      <c r="D587" s="47" t="s">
        <v>2170</v>
      </c>
      <c r="E587" s="115"/>
      <c r="F587" s="115" t="s">
        <v>1625</v>
      </c>
      <c r="G587" s="115" t="s">
        <v>943</v>
      </c>
      <c r="H587" s="115">
        <f t="shared" si="1004"/>
        <v>0</v>
      </c>
      <c r="I587" s="115" t="s">
        <v>1242</v>
      </c>
      <c r="J587" s="115">
        <v>1</v>
      </c>
      <c r="K587" s="115" t="s">
        <v>1243</v>
      </c>
      <c r="L587" s="298"/>
      <c r="M587" s="115" t="s">
        <v>1377</v>
      </c>
      <c r="N587" s="115">
        <f t="shared" si="1005"/>
        <v>0</v>
      </c>
      <c r="O587" s="298"/>
      <c r="P587" s="298"/>
      <c r="Q587" s="298"/>
      <c r="R587" s="298"/>
      <c r="S587" s="298"/>
      <c r="T587" s="298"/>
      <c r="U587" s="298"/>
      <c r="V587" s="298"/>
      <c r="W587" s="298"/>
      <c r="X587" s="298"/>
      <c r="Y587" s="298"/>
      <c r="Z587" s="298"/>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5"/>
      <c r="BM587" s="311"/>
      <c r="BN587" s="313"/>
    </row>
    <row r="588" s="47" customFormat="1" ht="33.95" customHeight="1" outlineLevel="3" spans="2:66">
      <c r="B588" s="115" t="s">
        <v>799</v>
      </c>
      <c r="C588" s="116" t="s">
        <v>2171</v>
      </c>
      <c r="D588" s="47" t="s">
        <v>2172</v>
      </c>
      <c r="E588" s="115"/>
      <c r="F588" s="115" t="s">
        <v>1625</v>
      </c>
      <c r="G588" s="115" t="s">
        <v>943</v>
      </c>
      <c r="H588" s="115">
        <f t="shared" si="1004"/>
        <v>0</v>
      </c>
      <c r="I588" s="115" t="s">
        <v>1242</v>
      </c>
      <c r="J588" s="115">
        <v>1</v>
      </c>
      <c r="K588" s="115" t="s">
        <v>1243</v>
      </c>
      <c r="L588" s="298"/>
      <c r="M588" s="115" t="s">
        <v>1377</v>
      </c>
      <c r="N588" s="115">
        <f t="shared" si="1005"/>
        <v>0</v>
      </c>
      <c r="O588" s="298"/>
      <c r="P588" s="298"/>
      <c r="Q588" s="298"/>
      <c r="R588" s="298"/>
      <c r="S588" s="298"/>
      <c r="T588" s="298"/>
      <c r="U588" s="298"/>
      <c r="V588" s="298"/>
      <c r="W588" s="298"/>
      <c r="X588" s="298"/>
      <c r="Y588" s="298"/>
      <c r="Z588" s="298"/>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5"/>
      <c r="BM588" s="311"/>
      <c r="BN588" s="313"/>
    </row>
    <row r="589" s="47" customFormat="1" ht="33.95" customHeight="1" outlineLevel="3" spans="2:66">
      <c r="B589" s="115" t="s">
        <v>799</v>
      </c>
      <c r="C589" s="116" t="s">
        <v>2173</v>
      </c>
      <c r="D589" s="47" t="s">
        <v>2174</v>
      </c>
      <c r="E589" s="115"/>
      <c r="F589" s="115" t="s">
        <v>1625</v>
      </c>
      <c r="G589" s="115" t="s">
        <v>943</v>
      </c>
      <c r="H589" s="115">
        <f t="shared" si="1004"/>
        <v>0</v>
      </c>
      <c r="I589" s="115" t="s">
        <v>1242</v>
      </c>
      <c r="J589" s="115">
        <v>1</v>
      </c>
      <c r="K589" s="115" t="s">
        <v>1243</v>
      </c>
      <c r="L589" s="298"/>
      <c r="M589" s="115" t="s">
        <v>1377</v>
      </c>
      <c r="N589" s="115">
        <f t="shared" si="1005"/>
        <v>0</v>
      </c>
      <c r="O589" s="298"/>
      <c r="P589" s="298"/>
      <c r="Q589" s="298"/>
      <c r="R589" s="298"/>
      <c r="S589" s="298"/>
      <c r="T589" s="298"/>
      <c r="U589" s="298"/>
      <c r="V589" s="298"/>
      <c r="W589" s="298"/>
      <c r="X589" s="298"/>
      <c r="Y589" s="298"/>
      <c r="Z589" s="298"/>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5"/>
      <c r="BM589" s="311"/>
      <c r="BN589" s="313"/>
    </row>
    <row r="590" s="47" customFormat="1" ht="33.95" customHeight="1" outlineLevel="3" spans="2:66">
      <c r="B590" s="115" t="s">
        <v>799</v>
      </c>
      <c r="C590" s="116" t="s">
        <v>2175</v>
      </c>
      <c r="D590" s="47" t="s">
        <v>2176</v>
      </c>
      <c r="E590" s="115"/>
      <c r="F590" s="115" t="s">
        <v>1625</v>
      </c>
      <c r="G590" s="115" t="s">
        <v>943</v>
      </c>
      <c r="H590" s="115">
        <f t="shared" si="1004"/>
        <v>0</v>
      </c>
      <c r="I590" s="115" t="s">
        <v>1242</v>
      </c>
      <c r="J590" s="115">
        <v>1</v>
      </c>
      <c r="K590" s="115" t="s">
        <v>1243</v>
      </c>
      <c r="L590" s="298"/>
      <c r="M590" s="115" t="s">
        <v>1377</v>
      </c>
      <c r="N590" s="115">
        <f t="shared" si="1005"/>
        <v>0</v>
      </c>
      <c r="O590" s="298"/>
      <c r="P590" s="298"/>
      <c r="Q590" s="298"/>
      <c r="R590" s="298"/>
      <c r="S590" s="298"/>
      <c r="T590" s="298"/>
      <c r="U590" s="298"/>
      <c r="V590" s="298"/>
      <c r="W590" s="298"/>
      <c r="X590" s="298"/>
      <c r="Y590" s="298"/>
      <c r="Z590" s="298"/>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5"/>
      <c r="BM590" s="311"/>
      <c r="BN590" s="313"/>
    </row>
    <row r="591" s="47" customFormat="1" ht="33.95" customHeight="1" outlineLevel="3" spans="2:66">
      <c r="B591" s="115" t="s">
        <v>799</v>
      </c>
      <c r="C591" s="116" t="s">
        <v>2177</v>
      </c>
      <c r="D591" s="47" t="s">
        <v>2178</v>
      </c>
      <c r="E591" s="115"/>
      <c r="F591" s="115" t="s">
        <v>1625</v>
      </c>
      <c r="G591" s="115" t="s">
        <v>943</v>
      </c>
      <c r="H591" s="115">
        <f t="shared" si="1004"/>
        <v>0</v>
      </c>
      <c r="I591" s="115" t="s">
        <v>1242</v>
      </c>
      <c r="J591" s="115">
        <v>1</v>
      </c>
      <c r="K591" s="115" t="s">
        <v>1243</v>
      </c>
      <c r="L591" s="298"/>
      <c r="M591" s="115" t="s">
        <v>1377</v>
      </c>
      <c r="N591" s="115">
        <f t="shared" si="1005"/>
        <v>0</v>
      </c>
      <c r="O591" s="298"/>
      <c r="P591" s="298"/>
      <c r="Q591" s="298"/>
      <c r="R591" s="298"/>
      <c r="S591" s="298"/>
      <c r="T591" s="298"/>
      <c r="U591" s="298"/>
      <c r="V591" s="298"/>
      <c r="W591" s="298"/>
      <c r="X591" s="298"/>
      <c r="Y591" s="298"/>
      <c r="Z591" s="298"/>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5"/>
      <c r="BM591" s="311"/>
      <c r="BN591" s="313"/>
    </row>
    <row r="592" s="47" customFormat="1" ht="33.95" customHeight="1" outlineLevel="3" spans="2:66">
      <c r="B592" s="115" t="s">
        <v>799</v>
      </c>
      <c r="C592" s="116" t="s">
        <v>2179</v>
      </c>
      <c r="D592" s="47" t="s">
        <v>2180</v>
      </c>
      <c r="E592" s="115"/>
      <c r="F592" s="115" t="s">
        <v>1625</v>
      </c>
      <c r="G592" s="115" t="s">
        <v>943</v>
      </c>
      <c r="H592" s="115">
        <f t="shared" si="1004"/>
        <v>0</v>
      </c>
      <c r="I592" s="115" t="s">
        <v>1242</v>
      </c>
      <c r="J592" s="115">
        <v>1</v>
      </c>
      <c r="K592" s="115" t="s">
        <v>1243</v>
      </c>
      <c r="L592" s="298"/>
      <c r="M592" s="115" t="s">
        <v>1377</v>
      </c>
      <c r="N592" s="115">
        <f t="shared" si="1005"/>
        <v>0</v>
      </c>
      <c r="O592" s="298"/>
      <c r="P592" s="298"/>
      <c r="Q592" s="298"/>
      <c r="R592" s="298"/>
      <c r="S592" s="298"/>
      <c r="T592" s="298"/>
      <c r="U592" s="298"/>
      <c r="V592" s="298"/>
      <c r="W592" s="298"/>
      <c r="X592" s="298"/>
      <c r="Y592" s="298"/>
      <c r="Z592" s="298"/>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5"/>
      <c r="BM592" s="311"/>
      <c r="BN592" s="313"/>
    </row>
    <row r="593" s="47" customFormat="1" ht="33.95" customHeight="1" outlineLevel="3" spans="2:66">
      <c r="B593" s="115" t="s">
        <v>799</v>
      </c>
      <c r="C593" s="116" t="s">
        <v>2181</v>
      </c>
      <c r="D593" s="47" t="s">
        <v>2182</v>
      </c>
      <c r="E593" s="115"/>
      <c r="F593" s="115" t="s">
        <v>1625</v>
      </c>
      <c r="G593" s="115" t="s">
        <v>943</v>
      </c>
      <c r="H593" s="115">
        <f t="shared" si="1004"/>
        <v>0</v>
      </c>
      <c r="I593" s="115" t="s">
        <v>1242</v>
      </c>
      <c r="J593" s="115">
        <v>1</v>
      </c>
      <c r="K593" s="115" t="s">
        <v>1243</v>
      </c>
      <c r="L593" s="298"/>
      <c r="M593" s="115" t="s">
        <v>1377</v>
      </c>
      <c r="N593" s="115">
        <f t="shared" si="1005"/>
        <v>0</v>
      </c>
      <c r="O593" s="298"/>
      <c r="P593" s="298"/>
      <c r="Q593" s="298"/>
      <c r="R593" s="298"/>
      <c r="S593" s="298"/>
      <c r="T593" s="298"/>
      <c r="U593" s="298"/>
      <c r="V593" s="298"/>
      <c r="W593" s="298"/>
      <c r="X593" s="298"/>
      <c r="Y593" s="298"/>
      <c r="Z593" s="298"/>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5"/>
      <c r="BM593" s="311"/>
      <c r="BN593" s="313"/>
    </row>
    <row r="594" s="47" customFormat="1" ht="33.95" customHeight="1" outlineLevel="3" spans="2:66">
      <c r="B594" s="115" t="s">
        <v>799</v>
      </c>
      <c r="C594" s="116" t="s">
        <v>2183</v>
      </c>
      <c r="D594" s="47" t="s">
        <v>2184</v>
      </c>
      <c r="E594" s="115"/>
      <c r="F594" s="115" t="s">
        <v>1625</v>
      </c>
      <c r="G594" s="115" t="s">
        <v>943</v>
      </c>
      <c r="H594" s="115">
        <f t="shared" si="1004"/>
        <v>0</v>
      </c>
      <c r="I594" s="115" t="s">
        <v>1242</v>
      </c>
      <c r="J594" s="115">
        <v>1</v>
      </c>
      <c r="K594" s="115" t="s">
        <v>1243</v>
      </c>
      <c r="L594" s="298"/>
      <c r="M594" s="115" t="s">
        <v>1377</v>
      </c>
      <c r="N594" s="115">
        <f t="shared" si="1005"/>
        <v>0</v>
      </c>
      <c r="O594" s="298"/>
      <c r="P594" s="298"/>
      <c r="Q594" s="298"/>
      <c r="R594" s="298"/>
      <c r="S594" s="298"/>
      <c r="T594" s="298"/>
      <c r="U594" s="298"/>
      <c r="V594" s="298"/>
      <c r="W594" s="298"/>
      <c r="X594" s="298"/>
      <c r="Y594" s="298"/>
      <c r="Z594" s="298"/>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5"/>
      <c r="BM594" s="311"/>
      <c r="BN594" s="313"/>
    </row>
    <row r="595" s="47" customFormat="1" ht="33.95" customHeight="1" outlineLevel="3" spans="2:66">
      <c r="B595" s="115" t="s">
        <v>799</v>
      </c>
      <c r="C595" s="116" t="s">
        <v>2185</v>
      </c>
      <c r="D595" s="47" t="s">
        <v>2186</v>
      </c>
      <c r="E595" s="115"/>
      <c r="F595" s="115" t="s">
        <v>1625</v>
      </c>
      <c r="G595" s="115" t="s">
        <v>943</v>
      </c>
      <c r="H595" s="115">
        <f t="shared" si="1004"/>
        <v>0</v>
      </c>
      <c r="I595" s="115" t="s">
        <v>1242</v>
      </c>
      <c r="J595" s="115">
        <v>1</v>
      </c>
      <c r="K595" s="115" t="s">
        <v>1243</v>
      </c>
      <c r="L595" s="298"/>
      <c r="M595" s="115" t="s">
        <v>1377</v>
      </c>
      <c r="N595" s="115">
        <f t="shared" si="1005"/>
        <v>0</v>
      </c>
      <c r="O595" s="298"/>
      <c r="P595" s="298"/>
      <c r="Q595" s="298"/>
      <c r="R595" s="298"/>
      <c r="S595" s="298"/>
      <c r="T595" s="298"/>
      <c r="U595" s="298"/>
      <c r="V595" s="298"/>
      <c r="W595" s="298"/>
      <c r="X595" s="298"/>
      <c r="Y595" s="298"/>
      <c r="Z595" s="298"/>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5"/>
      <c r="BM595" s="311"/>
      <c r="BN595" s="313"/>
    </row>
    <row r="596" s="47" customFormat="1" ht="33.95" customHeight="1" outlineLevel="3" spans="2:66">
      <c r="B596" s="115" t="s">
        <v>799</v>
      </c>
      <c r="C596" s="116" t="s">
        <v>2187</v>
      </c>
      <c r="D596" s="47" t="s">
        <v>2188</v>
      </c>
      <c r="E596" s="115"/>
      <c r="F596" s="115" t="s">
        <v>1625</v>
      </c>
      <c r="G596" s="115" t="s">
        <v>943</v>
      </c>
      <c r="H596" s="115">
        <f t="shared" si="1004"/>
        <v>0</v>
      </c>
      <c r="I596" s="115" t="s">
        <v>1242</v>
      </c>
      <c r="J596" s="115">
        <v>1</v>
      </c>
      <c r="K596" s="115" t="s">
        <v>1243</v>
      </c>
      <c r="L596" s="298"/>
      <c r="M596" s="115" t="s">
        <v>1377</v>
      </c>
      <c r="N596" s="115">
        <f t="shared" si="1005"/>
        <v>0</v>
      </c>
      <c r="O596" s="298"/>
      <c r="P596" s="298"/>
      <c r="Q596" s="298"/>
      <c r="R596" s="298"/>
      <c r="S596" s="298"/>
      <c r="T596" s="298"/>
      <c r="U596" s="298"/>
      <c r="V596" s="298"/>
      <c r="W596" s="298"/>
      <c r="X596" s="298"/>
      <c r="Y596" s="298"/>
      <c r="Z596" s="298"/>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5"/>
      <c r="BM596" s="311"/>
      <c r="BN596" s="313"/>
    </row>
    <row r="597" s="47" customFormat="1" ht="33.95" customHeight="1" outlineLevel="3" spans="2:66">
      <c r="B597" s="115" t="s">
        <v>799</v>
      </c>
      <c r="C597" s="116" t="s">
        <v>2189</v>
      </c>
      <c r="D597" s="47" t="s">
        <v>2190</v>
      </c>
      <c r="E597" s="115"/>
      <c r="F597" s="115" t="s">
        <v>1625</v>
      </c>
      <c r="G597" s="115" t="s">
        <v>943</v>
      </c>
      <c r="H597" s="115">
        <f t="shared" si="1004"/>
        <v>0</v>
      </c>
      <c r="I597" s="115" t="s">
        <v>1242</v>
      </c>
      <c r="J597" s="115">
        <v>1</v>
      </c>
      <c r="K597" s="115" t="s">
        <v>1243</v>
      </c>
      <c r="L597" s="298"/>
      <c r="M597" s="115" t="s">
        <v>1377</v>
      </c>
      <c r="N597" s="115">
        <f t="shared" si="1005"/>
        <v>0</v>
      </c>
      <c r="O597" s="298"/>
      <c r="P597" s="298"/>
      <c r="Q597" s="298"/>
      <c r="R597" s="298"/>
      <c r="S597" s="298"/>
      <c r="T597" s="298"/>
      <c r="U597" s="298"/>
      <c r="V597" s="298"/>
      <c r="W597" s="298"/>
      <c r="X597" s="298"/>
      <c r="Y597" s="298"/>
      <c r="Z597" s="298"/>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5"/>
      <c r="BM597" s="311"/>
      <c r="BN597" s="313"/>
    </row>
    <row r="598" s="47" customFormat="1" ht="33.95" customHeight="1" outlineLevel="3" spans="2:66">
      <c r="B598" s="115" t="s">
        <v>799</v>
      </c>
      <c r="C598" s="116" t="s">
        <v>2191</v>
      </c>
      <c r="D598" s="47" t="s">
        <v>2192</v>
      </c>
      <c r="E598" s="115"/>
      <c r="F598" s="115" t="s">
        <v>1625</v>
      </c>
      <c r="G598" s="115" t="s">
        <v>943</v>
      </c>
      <c r="H598" s="115">
        <f t="shared" si="1004"/>
        <v>0</v>
      </c>
      <c r="I598" s="115" t="s">
        <v>1242</v>
      </c>
      <c r="J598" s="115">
        <v>1</v>
      </c>
      <c r="K598" s="115" t="s">
        <v>1243</v>
      </c>
      <c r="L598" s="298"/>
      <c r="M598" s="115" t="s">
        <v>1377</v>
      </c>
      <c r="N598" s="115">
        <f t="shared" si="1005"/>
        <v>0</v>
      </c>
      <c r="O598" s="298"/>
      <c r="P598" s="298"/>
      <c r="Q598" s="298"/>
      <c r="R598" s="298"/>
      <c r="S598" s="298"/>
      <c r="T598" s="298"/>
      <c r="U598" s="298"/>
      <c r="V598" s="298"/>
      <c r="W598" s="298"/>
      <c r="X598" s="298"/>
      <c r="Y598" s="298"/>
      <c r="Z598" s="298"/>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5"/>
      <c r="BM598" s="311"/>
      <c r="BN598" s="313"/>
    </row>
    <row r="599" s="47" customFormat="1" ht="33.95" customHeight="1" outlineLevel="3" spans="2:66">
      <c r="B599" s="115" t="s">
        <v>799</v>
      </c>
      <c r="C599" s="116" t="s">
        <v>2193</v>
      </c>
      <c r="D599" s="47" t="s">
        <v>2194</v>
      </c>
      <c r="E599" s="115"/>
      <c r="F599" s="115" t="s">
        <v>1625</v>
      </c>
      <c r="G599" s="115" t="s">
        <v>943</v>
      </c>
      <c r="H599" s="115">
        <f t="shared" si="1004"/>
        <v>0</v>
      </c>
      <c r="I599" s="115" t="s">
        <v>1242</v>
      </c>
      <c r="J599" s="115">
        <v>1</v>
      </c>
      <c r="K599" s="115" t="s">
        <v>1243</v>
      </c>
      <c r="L599" s="298"/>
      <c r="M599" s="115" t="s">
        <v>1377</v>
      </c>
      <c r="N599" s="115">
        <f t="shared" si="1005"/>
        <v>0</v>
      </c>
      <c r="O599" s="298"/>
      <c r="P599" s="298"/>
      <c r="Q599" s="298"/>
      <c r="R599" s="298"/>
      <c r="S599" s="298"/>
      <c r="T599" s="298"/>
      <c r="U599" s="298"/>
      <c r="V599" s="298"/>
      <c r="W599" s="298"/>
      <c r="X599" s="298"/>
      <c r="Y599" s="298"/>
      <c r="Z599" s="298"/>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5"/>
      <c r="BM599" s="311"/>
      <c r="BN599" s="313"/>
    </row>
    <row r="600" s="47" customFormat="1" ht="33.95" customHeight="1" outlineLevel="3" spans="2:66">
      <c r="B600" s="115" t="s">
        <v>799</v>
      </c>
      <c r="C600" s="116" t="s">
        <v>2195</v>
      </c>
      <c r="D600" s="47" t="s">
        <v>2196</v>
      </c>
      <c r="E600" s="115"/>
      <c r="F600" s="115" t="s">
        <v>1625</v>
      </c>
      <c r="G600" s="115" t="s">
        <v>943</v>
      </c>
      <c r="H600" s="115">
        <f t="shared" si="1004"/>
        <v>0</v>
      </c>
      <c r="I600" s="115" t="s">
        <v>1242</v>
      </c>
      <c r="J600" s="115">
        <v>1</v>
      </c>
      <c r="K600" s="115" t="s">
        <v>1243</v>
      </c>
      <c r="L600" s="298"/>
      <c r="M600" s="115" t="s">
        <v>1377</v>
      </c>
      <c r="N600" s="115">
        <f t="shared" si="1005"/>
        <v>0</v>
      </c>
      <c r="O600" s="316"/>
      <c r="P600" s="316"/>
      <c r="Q600" s="316"/>
      <c r="R600" s="316"/>
      <c r="S600" s="316"/>
      <c r="T600" s="316"/>
      <c r="U600" s="316"/>
      <c r="V600" s="316"/>
      <c r="W600" s="316"/>
      <c r="X600" s="316"/>
      <c r="Y600" s="316"/>
      <c r="Z600" s="316"/>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5"/>
      <c r="BM600" s="311"/>
      <c r="BN600" s="313"/>
    </row>
    <row r="601" s="22" customFormat="1" ht="33.95" customHeight="1" outlineLevel="2" spans="2:66">
      <c r="B601" s="112" t="s">
        <v>794</v>
      </c>
      <c r="C601" s="113" t="s">
        <v>2197</v>
      </c>
      <c r="D601" s="22" t="s">
        <v>2198</v>
      </c>
      <c r="E601" s="112"/>
      <c r="F601" s="112"/>
      <c r="G601" s="112"/>
      <c r="H601" s="112">
        <f>SUM(H602:H604)</f>
        <v>0</v>
      </c>
      <c r="I601" s="112"/>
      <c r="J601" s="112"/>
      <c r="K601" s="112"/>
      <c r="L601" s="112"/>
      <c r="M601" s="112"/>
      <c r="N601" s="304"/>
      <c r="O601" s="287"/>
      <c r="P601" s="287"/>
      <c r="Q601" s="287"/>
      <c r="R601" s="287"/>
      <c r="S601" s="287"/>
      <c r="T601" s="287"/>
      <c r="U601" s="287"/>
      <c r="V601" s="287"/>
      <c r="W601" s="287"/>
      <c r="X601" s="287"/>
      <c r="Y601" s="287"/>
      <c r="Z601" s="287"/>
      <c r="AA601" s="287"/>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4"/>
      <c r="BM601" s="311"/>
      <c r="BN601" s="312"/>
    </row>
    <row r="602" s="47" customFormat="1" ht="33.95" customHeight="1" outlineLevel="3" spans="2:66">
      <c r="B602" s="115" t="s">
        <v>799</v>
      </c>
      <c r="C602" s="116" t="s">
        <v>2199</v>
      </c>
      <c r="D602" s="47" t="s">
        <v>2200</v>
      </c>
      <c r="E602" s="115"/>
      <c r="F602" s="115" t="s">
        <v>1625</v>
      </c>
      <c r="G602" s="115" t="s">
        <v>943</v>
      </c>
      <c r="H602" s="115">
        <f t="shared" ref="H602:H604" si="1020">J602*L602</f>
        <v>0</v>
      </c>
      <c r="I602" s="115" t="s">
        <v>1242</v>
      </c>
      <c r="J602" s="115">
        <v>1</v>
      </c>
      <c r="K602" s="115" t="s">
        <v>1243</v>
      </c>
      <c r="L602" s="298"/>
      <c r="M602" s="115" t="s">
        <v>1377</v>
      </c>
      <c r="N602" s="115">
        <f t="shared" ref="N602:N604" si="1021">COUNTA(O602:Z602)</f>
        <v>0</v>
      </c>
      <c r="O602" s="317"/>
      <c r="P602" s="317"/>
      <c r="Q602" s="317"/>
      <c r="R602" s="317"/>
      <c r="S602" s="317"/>
      <c r="T602" s="317"/>
      <c r="U602" s="317"/>
      <c r="V602" s="317"/>
      <c r="W602" s="317"/>
      <c r="X602" s="317"/>
      <c r="Y602" s="317"/>
      <c r="Z602" s="317"/>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5"/>
      <c r="BM602" s="311"/>
      <c r="BN602" s="313"/>
    </row>
    <row r="603" s="47" customFormat="1" ht="33.95" customHeight="1" outlineLevel="3" spans="2:66">
      <c r="B603" s="115" t="s">
        <v>799</v>
      </c>
      <c r="C603" s="116" t="s">
        <v>2201</v>
      </c>
      <c r="D603" s="47" t="s">
        <v>2202</v>
      </c>
      <c r="E603" s="115"/>
      <c r="F603" s="115" t="s">
        <v>1625</v>
      </c>
      <c r="G603" s="115" t="s">
        <v>943</v>
      </c>
      <c r="H603" s="115">
        <f t="shared" si="1020"/>
        <v>0</v>
      </c>
      <c r="I603" s="115" t="s">
        <v>1242</v>
      </c>
      <c r="J603" s="115">
        <v>1</v>
      </c>
      <c r="K603" s="115" t="s">
        <v>1243</v>
      </c>
      <c r="L603" s="298"/>
      <c r="M603" s="115" t="s">
        <v>1377</v>
      </c>
      <c r="N603" s="115">
        <f t="shared" si="1021"/>
        <v>0</v>
      </c>
      <c r="O603" s="298"/>
      <c r="P603" s="298"/>
      <c r="Q603" s="298"/>
      <c r="R603" s="298"/>
      <c r="S603" s="298"/>
      <c r="T603" s="298"/>
      <c r="U603" s="298"/>
      <c r="V603" s="298"/>
      <c r="W603" s="298"/>
      <c r="X603" s="298"/>
      <c r="Y603" s="298"/>
      <c r="Z603" s="298"/>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5"/>
      <c r="BM603" s="311"/>
      <c r="BN603" s="313"/>
    </row>
    <row r="604" s="47" customFormat="1" ht="33.95" customHeight="1" outlineLevel="3" spans="2:66">
      <c r="B604" s="115" t="s">
        <v>799</v>
      </c>
      <c r="C604" s="116" t="s">
        <v>2203</v>
      </c>
      <c r="D604" s="47" t="s">
        <v>2204</v>
      </c>
      <c r="E604" s="115"/>
      <c r="F604" s="115" t="s">
        <v>1625</v>
      </c>
      <c r="G604" s="115" t="s">
        <v>943</v>
      </c>
      <c r="H604" s="115">
        <f t="shared" si="1020"/>
        <v>0</v>
      </c>
      <c r="I604" s="115" t="s">
        <v>1242</v>
      </c>
      <c r="J604" s="115">
        <v>1</v>
      </c>
      <c r="K604" s="115" t="s">
        <v>1243</v>
      </c>
      <c r="L604" s="298"/>
      <c r="M604" s="115" t="s">
        <v>1377</v>
      </c>
      <c r="N604" s="115">
        <f t="shared" si="1021"/>
        <v>0</v>
      </c>
      <c r="O604" s="316"/>
      <c r="P604" s="316"/>
      <c r="Q604" s="316"/>
      <c r="R604" s="316"/>
      <c r="S604" s="316"/>
      <c r="T604" s="316"/>
      <c r="U604" s="316"/>
      <c r="V604" s="316"/>
      <c r="W604" s="316"/>
      <c r="X604" s="316"/>
      <c r="Y604" s="316"/>
      <c r="Z604" s="316"/>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5"/>
      <c r="BM604" s="311"/>
      <c r="BN604" s="313"/>
    </row>
    <row r="605" s="22" customFormat="1" ht="33.95" customHeight="1" outlineLevel="2" spans="2:66">
      <c r="B605" s="112" t="s">
        <v>794</v>
      </c>
      <c r="C605" s="113" t="s">
        <v>2205</v>
      </c>
      <c r="D605" s="22" t="s">
        <v>2206</v>
      </c>
      <c r="E605" s="112"/>
      <c r="F605" s="112"/>
      <c r="G605" s="112"/>
      <c r="H605" s="112">
        <f>SUM(H606:H613)</f>
        <v>0</v>
      </c>
      <c r="I605" s="112"/>
      <c r="J605" s="112"/>
      <c r="K605" s="112"/>
      <c r="L605" s="112"/>
      <c r="M605" s="112"/>
      <c r="N605" s="304"/>
      <c r="O605" s="287"/>
      <c r="P605" s="287"/>
      <c r="Q605" s="287"/>
      <c r="R605" s="287"/>
      <c r="S605" s="287"/>
      <c r="T605" s="287"/>
      <c r="U605" s="287"/>
      <c r="V605" s="287"/>
      <c r="W605" s="287"/>
      <c r="X605" s="287"/>
      <c r="Y605" s="287"/>
      <c r="Z605" s="287"/>
      <c r="AA605" s="287"/>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4"/>
      <c r="BM605" s="311"/>
      <c r="BN605" s="312"/>
    </row>
    <row r="606" s="47" customFormat="1" ht="33.95" customHeight="1" outlineLevel="3" spans="2:66">
      <c r="B606" s="115" t="s">
        <v>799</v>
      </c>
      <c r="C606" s="116" t="s">
        <v>2207</v>
      </c>
      <c r="D606" s="47" t="s">
        <v>2208</v>
      </c>
      <c r="E606" s="115"/>
      <c r="F606" s="115" t="s">
        <v>1625</v>
      </c>
      <c r="G606" s="115" t="s">
        <v>943</v>
      </c>
      <c r="H606" s="115">
        <f t="shared" ref="H606:H613" si="1036">J606*L606</f>
        <v>0</v>
      </c>
      <c r="I606" s="115" t="s">
        <v>1242</v>
      </c>
      <c r="J606" s="115">
        <v>1</v>
      </c>
      <c r="K606" s="115" t="s">
        <v>1243</v>
      </c>
      <c r="L606" s="298"/>
      <c r="M606" s="115" t="s">
        <v>1377</v>
      </c>
      <c r="N606" s="115">
        <f t="shared" ref="N606:N613" si="1037">COUNTA(O606:Z606)</f>
        <v>0</v>
      </c>
      <c r="O606" s="317"/>
      <c r="P606" s="317"/>
      <c r="Q606" s="317"/>
      <c r="R606" s="317"/>
      <c r="S606" s="317"/>
      <c r="T606" s="317"/>
      <c r="U606" s="317"/>
      <c r="V606" s="317"/>
      <c r="W606" s="317"/>
      <c r="X606" s="317"/>
      <c r="Y606" s="317"/>
      <c r="Z606" s="317"/>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5"/>
      <c r="BM606" s="311"/>
      <c r="BN606" s="313"/>
    </row>
    <row r="607" s="47" customFormat="1" ht="33.95" customHeight="1" outlineLevel="3" spans="2:66">
      <c r="B607" s="115" t="s">
        <v>799</v>
      </c>
      <c r="C607" s="116" t="s">
        <v>2209</v>
      </c>
      <c r="D607" s="47" t="s">
        <v>2210</v>
      </c>
      <c r="E607" s="115"/>
      <c r="F607" s="115" t="s">
        <v>1625</v>
      </c>
      <c r="G607" s="115" t="s">
        <v>943</v>
      </c>
      <c r="H607" s="115">
        <f t="shared" si="1036"/>
        <v>0</v>
      </c>
      <c r="I607" s="115" t="s">
        <v>1242</v>
      </c>
      <c r="J607" s="115">
        <v>1</v>
      </c>
      <c r="K607" s="115" t="s">
        <v>1243</v>
      </c>
      <c r="L607" s="298"/>
      <c r="M607" s="115" t="s">
        <v>1377</v>
      </c>
      <c r="N607" s="115">
        <f t="shared" si="1037"/>
        <v>0</v>
      </c>
      <c r="O607" s="298"/>
      <c r="P607" s="298"/>
      <c r="Q607" s="298"/>
      <c r="R607" s="298"/>
      <c r="S607" s="298"/>
      <c r="T607" s="298"/>
      <c r="U607" s="298"/>
      <c r="V607" s="298"/>
      <c r="W607" s="298"/>
      <c r="X607" s="298"/>
      <c r="Y607" s="298"/>
      <c r="Z607" s="298"/>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5"/>
      <c r="BM607" s="311"/>
      <c r="BN607" s="313"/>
    </row>
    <row r="608" s="47" customFormat="1" ht="33.95" customHeight="1" outlineLevel="3" spans="2:66">
      <c r="B608" s="115" t="s">
        <v>799</v>
      </c>
      <c r="C608" s="116" t="s">
        <v>2211</v>
      </c>
      <c r="D608" s="47" t="s">
        <v>2212</v>
      </c>
      <c r="E608" s="115"/>
      <c r="F608" s="115" t="s">
        <v>1625</v>
      </c>
      <c r="G608" s="115" t="s">
        <v>943</v>
      </c>
      <c r="H608" s="115">
        <f t="shared" si="1036"/>
        <v>0</v>
      </c>
      <c r="I608" s="115" t="s">
        <v>1242</v>
      </c>
      <c r="J608" s="115">
        <v>1</v>
      </c>
      <c r="K608" s="115" t="s">
        <v>1243</v>
      </c>
      <c r="L608" s="298"/>
      <c r="M608" s="115" t="s">
        <v>1377</v>
      </c>
      <c r="N608" s="115">
        <f t="shared" si="1037"/>
        <v>0</v>
      </c>
      <c r="O608" s="298"/>
      <c r="P608" s="298"/>
      <c r="Q608" s="298"/>
      <c r="R608" s="298"/>
      <c r="S608" s="298"/>
      <c r="T608" s="298"/>
      <c r="U608" s="298"/>
      <c r="V608" s="298"/>
      <c r="W608" s="298"/>
      <c r="X608" s="298"/>
      <c r="Y608" s="298"/>
      <c r="Z608" s="298"/>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5"/>
      <c r="BM608" s="311"/>
      <c r="BN608" s="313"/>
    </row>
    <row r="609" s="47" customFormat="1" ht="33.95" customHeight="1" outlineLevel="3" spans="2:66">
      <c r="B609" s="115" t="s">
        <v>799</v>
      </c>
      <c r="C609" s="116" t="s">
        <v>2213</v>
      </c>
      <c r="D609" s="47" t="s">
        <v>2214</v>
      </c>
      <c r="E609" s="115"/>
      <c r="F609" s="115" t="s">
        <v>1625</v>
      </c>
      <c r="G609" s="115" t="s">
        <v>943</v>
      </c>
      <c r="H609" s="115">
        <f t="shared" si="1036"/>
        <v>0</v>
      </c>
      <c r="I609" s="115" t="s">
        <v>1242</v>
      </c>
      <c r="J609" s="115">
        <v>1</v>
      </c>
      <c r="K609" s="115" t="s">
        <v>1243</v>
      </c>
      <c r="L609" s="298"/>
      <c r="M609" s="115" t="s">
        <v>1377</v>
      </c>
      <c r="N609" s="115">
        <f t="shared" si="1037"/>
        <v>0</v>
      </c>
      <c r="O609" s="298"/>
      <c r="P609" s="298"/>
      <c r="Q609" s="298"/>
      <c r="R609" s="298"/>
      <c r="S609" s="298"/>
      <c r="T609" s="298"/>
      <c r="U609" s="298"/>
      <c r="V609" s="298"/>
      <c r="W609" s="298"/>
      <c r="X609" s="298"/>
      <c r="Y609" s="298"/>
      <c r="Z609" s="298"/>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5"/>
      <c r="BM609" s="311"/>
      <c r="BN609" s="313"/>
    </row>
    <row r="610" s="47" customFormat="1" ht="33.95" customHeight="1" outlineLevel="3" spans="2:66">
      <c r="B610" s="115" t="s">
        <v>799</v>
      </c>
      <c r="C610" s="116" t="s">
        <v>2215</v>
      </c>
      <c r="D610" s="47" t="s">
        <v>2216</v>
      </c>
      <c r="E610" s="115"/>
      <c r="F610" s="115" t="s">
        <v>1625</v>
      </c>
      <c r="G610" s="115" t="s">
        <v>943</v>
      </c>
      <c r="H610" s="115">
        <f t="shared" si="1036"/>
        <v>0</v>
      </c>
      <c r="I610" s="115" t="s">
        <v>1242</v>
      </c>
      <c r="J610" s="115">
        <v>1</v>
      </c>
      <c r="K610" s="115" t="s">
        <v>1243</v>
      </c>
      <c r="L610" s="298"/>
      <c r="M610" s="115" t="s">
        <v>1377</v>
      </c>
      <c r="N610" s="115">
        <f t="shared" si="1037"/>
        <v>0</v>
      </c>
      <c r="O610" s="298"/>
      <c r="P610" s="298"/>
      <c r="Q610" s="298"/>
      <c r="R610" s="298"/>
      <c r="S610" s="298"/>
      <c r="T610" s="298"/>
      <c r="U610" s="298"/>
      <c r="V610" s="298"/>
      <c r="W610" s="298"/>
      <c r="X610" s="298"/>
      <c r="Y610" s="298"/>
      <c r="Z610" s="298"/>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5"/>
      <c r="BM610" s="311"/>
      <c r="BN610" s="313"/>
    </row>
    <row r="611" s="47" customFormat="1" ht="33.95" customHeight="1" outlineLevel="3" spans="2:66">
      <c r="B611" s="115" t="s">
        <v>799</v>
      </c>
      <c r="C611" s="116" t="s">
        <v>2217</v>
      </c>
      <c r="D611" s="47" t="s">
        <v>2218</v>
      </c>
      <c r="E611" s="115"/>
      <c r="F611" s="115" t="s">
        <v>1625</v>
      </c>
      <c r="G611" s="115" t="s">
        <v>943</v>
      </c>
      <c r="H611" s="115">
        <f t="shared" si="1036"/>
        <v>0</v>
      </c>
      <c r="I611" s="115" t="s">
        <v>1242</v>
      </c>
      <c r="J611" s="115">
        <v>1</v>
      </c>
      <c r="K611" s="115" t="s">
        <v>1243</v>
      </c>
      <c r="L611" s="298"/>
      <c r="M611" s="115" t="s">
        <v>1377</v>
      </c>
      <c r="N611" s="115">
        <f t="shared" si="1037"/>
        <v>0</v>
      </c>
      <c r="O611" s="298"/>
      <c r="P611" s="298"/>
      <c r="Q611" s="298"/>
      <c r="R611" s="298"/>
      <c r="S611" s="298"/>
      <c r="T611" s="298"/>
      <c r="U611" s="298"/>
      <c r="V611" s="298"/>
      <c r="W611" s="298"/>
      <c r="X611" s="298"/>
      <c r="Y611" s="298"/>
      <c r="Z611" s="298"/>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5"/>
      <c r="BM611" s="311"/>
      <c r="BN611" s="313"/>
    </row>
    <row r="612" s="47" customFormat="1" ht="33.95" customHeight="1" outlineLevel="3" spans="2:66">
      <c r="B612" s="115" t="s">
        <v>799</v>
      </c>
      <c r="C612" s="116" t="s">
        <v>2219</v>
      </c>
      <c r="D612" s="47" t="s">
        <v>2220</v>
      </c>
      <c r="E612" s="115"/>
      <c r="F612" s="115" t="s">
        <v>1625</v>
      </c>
      <c r="G612" s="115" t="s">
        <v>943</v>
      </c>
      <c r="H612" s="115">
        <f t="shared" si="1036"/>
        <v>0</v>
      </c>
      <c r="I612" s="115" t="s">
        <v>1242</v>
      </c>
      <c r="J612" s="115">
        <v>1</v>
      </c>
      <c r="K612" s="115" t="s">
        <v>1243</v>
      </c>
      <c r="L612" s="298"/>
      <c r="M612" s="115" t="s">
        <v>1377</v>
      </c>
      <c r="N612" s="115">
        <f t="shared" si="1037"/>
        <v>0</v>
      </c>
      <c r="O612" s="298"/>
      <c r="P612" s="298"/>
      <c r="Q612" s="298"/>
      <c r="R612" s="298"/>
      <c r="S612" s="298"/>
      <c r="T612" s="298"/>
      <c r="U612" s="298"/>
      <c r="V612" s="298"/>
      <c r="W612" s="298"/>
      <c r="X612" s="298"/>
      <c r="Y612" s="298"/>
      <c r="Z612" s="298"/>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5"/>
      <c r="BM612" s="311"/>
      <c r="BN612" s="313"/>
    </row>
    <row r="613" s="47" customFormat="1" ht="33.95" customHeight="1" outlineLevel="3" spans="2:66">
      <c r="B613" s="115" t="s">
        <v>799</v>
      </c>
      <c r="C613" s="116" t="s">
        <v>2221</v>
      </c>
      <c r="D613" s="47" t="s">
        <v>2222</v>
      </c>
      <c r="E613" s="115"/>
      <c r="F613" s="115" t="s">
        <v>1625</v>
      </c>
      <c r="G613" s="115" t="s">
        <v>943</v>
      </c>
      <c r="H613" s="115">
        <f t="shared" si="1036"/>
        <v>0</v>
      </c>
      <c r="I613" s="115" t="s">
        <v>1242</v>
      </c>
      <c r="J613" s="115">
        <v>1</v>
      </c>
      <c r="K613" s="115" t="s">
        <v>1243</v>
      </c>
      <c r="L613" s="298"/>
      <c r="M613" s="115" t="s">
        <v>1377</v>
      </c>
      <c r="N613" s="115">
        <f t="shared" si="1037"/>
        <v>0</v>
      </c>
      <c r="O613" s="316"/>
      <c r="P613" s="316"/>
      <c r="Q613" s="316"/>
      <c r="R613" s="316"/>
      <c r="S613" s="316"/>
      <c r="T613" s="316"/>
      <c r="U613" s="316"/>
      <c r="V613" s="316"/>
      <c r="W613" s="316"/>
      <c r="X613" s="316"/>
      <c r="Y613" s="316"/>
      <c r="Z613" s="316"/>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5"/>
      <c r="BM613" s="311"/>
      <c r="BN613" s="313"/>
    </row>
    <row r="614" s="22" customFormat="1" ht="33.95" customHeight="1" outlineLevel="2" spans="2:66">
      <c r="B614" s="112" t="s">
        <v>794</v>
      </c>
      <c r="C614" s="113" t="s">
        <v>2223</v>
      </c>
      <c r="D614" s="22" t="s">
        <v>2224</v>
      </c>
      <c r="E614" s="112"/>
      <c r="F614" s="112"/>
      <c r="G614" s="112"/>
      <c r="H614" s="112">
        <f>SUM(H615:H623)</f>
        <v>0</v>
      </c>
      <c r="I614" s="112"/>
      <c r="J614" s="112"/>
      <c r="K614" s="112"/>
      <c r="L614" s="112"/>
      <c r="M614" s="112"/>
      <c r="N614" s="304"/>
      <c r="O614" s="287"/>
      <c r="P614" s="287"/>
      <c r="Q614" s="287"/>
      <c r="R614" s="287"/>
      <c r="S614" s="287"/>
      <c r="T614" s="287"/>
      <c r="U614" s="287"/>
      <c r="V614" s="287"/>
      <c r="W614" s="287"/>
      <c r="X614" s="287"/>
      <c r="Y614" s="287"/>
      <c r="Z614" s="287"/>
      <c r="AA614" s="287"/>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4"/>
      <c r="BM614" s="311"/>
      <c r="BN614" s="312"/>
    </row>
    <row r="615" s="47" customFormat="1" ht="33.95" customHeight="1" outlineLevel="3" spans="2:66">
      <c r="B615" s="115" t="s">
        <v>799</v>
      </c>
      <c r="C615" s="116" t="s">
        <v>2225</v>
      </c>
      <c r="D615" s="47" t="s">
        <v>2226</v>
      </c>
      <c r="E615" s="115"/>
      <c r="F615" s="115" t="s">
        <v>1625</v>
      </c>
      <c r="G615" s="115" t="s">
        <v>943</v>
      </c>
      <c r="H615" s="115">
        <f t="shared" ref="H615:H623" si="1052">J615*L615</f>
        <v>0</v>
      </c>
      <c r="I615" s="115" t="s">
        <v>1242</v>
      </c>
      <c r="J615" s="115">
        <v>1</v>
      </c>
      <c r="K615" s="115" t="s">
        <v>1243</v>
      </c>
      <c r="L615" s="298"/>
      <c r="M615" s="115" t="s">
        <v>1377</v>
      </c>
      <c r="N615" s="115">
        <f t="shared" ref="N615:N623" si="1053">COUNTA(O615:Z615)</f>
        <v>0</v>
      </c>
      <c r="O615" s="317"/>
      <c r="P615" s="317"/>
      <c r="Q615" s="317"/>
      <c r="R615" s="317"/>
      <c r="S615" s="317"/>
      <c r="T615" s="317"/>
      <c r="U615" s="317"/>
      <c r="V615" s="317"/>
      <c r="W615" s="317"/>
      <c r="X615" s="317"/>
      <c r="Y615" s="317"/>
      <c r="Z615" s="317"/>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5"/>
      <c r="BM615" s="311"/>
      <c r="BN615" s="313"/>
    </row>
    <row r="616" s="47" customFormat="1" ht="33.95" customHeight="1" outlineLevel="3" spans="2:66">
      <c r="B616" s="115" t="s">
        <v>799</v>
      </c>
      <c r="C616" s="116" t="s">
        <v>2227</v>
      </c>
      <c r="D616" s="47" t="s">
        <v>2228</v>
      </c>
      <c r="E616" s="115"/>
      <c r="F616" s="115" t="s">
        <v>1625</v>
      </c>
      <c r="G616" s="115" t="s">
        <v>943</v>
      </c>
      <c r="H616" s="115">
        <f t="shared" si="1052"/>
        <v>0</v>
      </c>
      <c r="I616" s="115" t="s">
        <v>1242</v>
      </c>
      <c r="J616" s="115">
        <v>1</v>
      </c>
      <c r="K616" s="115" t="s">
        <v>1243</v>
      </c>
      <c r="L616" s="298"/>
      <c r="M616" s="115" t="s">
        <v>1377</v>
      </c>
      <c r="N616" s="115">
        <f t="shared" si="1053"/>
        <v>0</v>
      </c>
      <c r="O616" s="298"/>
      <c r="P616" s="298"/>
      <c r="Q616" s="298"/>
      <c r="R616" s="298"/>
      <c r="S616" s="298"/>
      <c r="T616" s="298"/>
      <c r="U616" s="298"/>
      <c r="V616" s="298"/>
      <c r="W616" s="298"/>
      <c r="X616" s="298"/>
      <c r="Y616" s="298"/>
      <c r="Z616" s="298"/>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5"/>
      <c r="BM616" s="311"/>
      <c r="BN616" s="313"/>
    </row>
    <row r="617" s="47" customFormat="1" ht="33.95" customHeight="1" outlineLevel="3" spans="2:66">
      <c r="B617" s="115" t="s">
        <v>799</v>
      </c>
      <c r="C617" s="116" t="s">
        <v>2229</v>
      </c>
      <c r="D617" s="47" t="s">
        <v>2230</v>
      </c>
      <c r="E617" s="115"/>
      <c r="F617" s="115" t="s">
        <v>1625</v>
      </c>
      <c r="G617" s="115" t="s">
        <v>943</v>
      </c>
      <c r="H617" s="115">
        <f t="shared" si="1052"/>
        <v>0</v>
      </c>
      <c r="I617" s="115" t="s">
        <v>1242</v>
      </c>
      <c r="J617" s="115">
        <v>1</v>
      </c>
      <c r="K617" s="115" t="s">
        <v>1243</v>
      </c>
      <c r="L617" s="298"/>
      <c r="M617" s="115" t="s">
        <v>1377</v>
      </c>
      <c r="N617" s="115">
        <f t="shared" si="1053"/>
        <v>0</v>
      </c>
      <c r="O617" s="298"/>
      <c r="P617" s="298"/>
      <c r="Q617" s="298"/>
      <c r="R617" s="298"/>
      <c r="S617" s="298"/>
      <c r="T617" s="298"/>
      <c r="U617" s="298"/>
      <c r="V617" s="298"/>
      <c r="W617" s="298"/>
      <c r="X617" s="298"/>
      <c r="Y617" s="298"/>
      <c r="Z617" s="298"/>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5"/>
      <c r="BM617" s="311"/>
      <c r="BN617" s="313"/>
    </row>
    <row r="618" s="47" customFormat="1" ht="33.95" customHeight="1" outlineLevel="3" spans="2:66">
      <c r="B618" s="115" t="s">
        <v>799</v>
      </c>
      <c r="C618" s="116" t="s">
        <v>2231</v>
      </c>
      <c r="D618" s="47" t="s">
        <v>2232</v>
      </c>
      <c r="E618" s="115"/>
      <c r="F618" s="115" t="s">
        <v>1625</v>
      </c>
      <c r="G618" s="115" t="s">
        <v>943</v>
      </c>
      <c r="H618" s="115">
        <f t="shared" si="1052"/>
        <v>0</v>
      </c>
      <c r="I618" s="115" t="s">
        <v>1242</v>
      </c>
      <c r="J618" s="115">
        <v>1</v>
      </c>
      <c r="K618" s="115" t="s">
        <v>1243</v>
      </c>
      <c r="L618" s="298"/>
      <c r="M618" s="115" t="s">
        <v>1377</v>
      </c>
      <c r="N618" s="115">
        <f t="shared" si="1053"/>
        <v>0</v>
      </c>
      <c r="O618" s="298"/>
      <c r="P618" s="298"/>
      <c r="Q618" s="298"/>
      <c r="R618" s="298"/>
      <c r="S618" s="298"/>
      <c r="T618" s="298"/>
      <c r="U618" s="298"/>
      <c r="V618" s="298"/>
      <c r="W618" s="298"/>
      <c r="X618" s="298"/>
      <c r="Y618" s="298"/>
      <c r="Z618" s="298"/>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5"/>
      <c r="BM618" s="311"/>
      <c r="BN618" s="313"/>
    </row>
    <row r="619" s="47" customFormat="1" ht="33.95" customHeight="1" outlineLevel="3" spans="2:66">
      <c r="B619" s="115" t="s">
        <v>799</v>
      </c>
      <c r="C619" s="116" t="s">
        <v>2233</v>
      </c>
      <c r="D619" s="47" t="s">
        <v>2234</v>
      </c>
      <c r="E619" s="115"/>
      <c r="F619" s="115" t="s">
        <v>1625</v>
      </c>
      <c r="G619" s="115" t="s">
        <v>943</v>
      </c>
      <c r="H619" s="115">
        <f t="shared" si="1052"/>
        <v>0</v>
      </c>
      <c r="I619" s="115" t="s">
        <v>1242</v>
      </c>
      <c r="J619" s="115">
        <v>1</v>
      </c>
      <c r="K619" s="115" t="s">
        <v>1243</v>
      </c>
      <c r="L619" s="298"/>
      <c r="M619" s="115" t="s">
        <v>1377</v>
      </c>
      <c r="N619" s="115">
        <f t="shared" si="1053"/>
        <v>0</v>
      </c>
      <c r="O619" s="298"/>
      <c r="P619" s="298"/>
      <c r="Q619" s="298"/>
      <c r="R619" s="298"/>
      <c r="S619" s="298"/>
      <c r="T619" s="298"/>
      <c r="U619" s="298"/>
      <c r="V619" s="298"/>
      <c r="W619" s="298"/>
      <c r="X619" s="298"/>
      <c r="Y619" s="298"/>
      <c r="Z619" s="298"/>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5"/>
      <c r="BM619" s="311"/>
      <c r="BN619" s="313"/>
    </row>
    <row r="620" s="47" customFormat="1" ht="33.95" customHeight="1" outlineLevel="3" spans="2:66">
      <c r="B620" s="115" t="s">
        <v>799</v>
      </c>
      <c r="C620" s="116" t="s">
        <v>2235</v>
      </c>
      <c r="D620" s="47" t="s">
        <v>2236</v>
      </c>
      <c r="E620" s="115"/>
      <c r="F620" s="115" t="s">
        <v>1625</v>
      </c>
      <c r="G620" s="115" t="s">
        <v>943</v>
      </c>
      <c r="H620" s="115">
        <f t="shared" si="1052"/>
        <v>0</v>
      </c>
      <c r="I620" s="115" t="s">
        <v>1242</v>
      </c>
      <c r="J620" s="115">
        <v>1</v>
      </c>
      <c r="K620" s="115" t="s">
        <v>1243</v>
      </c>
      <c r="L620" s="298"/>
      <c r="M620" s="115" t="s">
        <v>1377</v>
      </c>
      <c r="N620" s="115">
        <f t="shared" si="1053"/>
        <v>0</v>
      </c>
      <c r="O620" s="298"/>
      <c r="P620" s="298"/>
      <c r="Q620" s="298"/>
      <c r="R620" s="298"/>
      <c r="S620" s="298"/>
      <c r="T620" s="298"/>
      <c r="U620" s="298"/>
      <c r="V620" s="298"/>
      <c r="W620" s="298"/>
      <c r="X620" s="298"/>
      <c r="Y620" s="298"/>
      <c r="Z620" s="298"/>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5"/>
      <c r="BM620" s="311"/>
      <c r="BN620" s="313"/>
    </row>
    <row r="621" s="47" customFormat="1" ht="33.95" customHeight="1" outlineLevel="3" spans="2:66">
      <c r="B621" s="115" t="s">
        <v>799</v>
      </c>
      <c r="C621" s="116" t="s">
        <v>2237</v>
      </c>
      <c r="D621" s="47" t="s">
        <v>2238</v>
      </c>
      <c r="E621" s="115"/>
      <c r="F621" s="115" t="s">
        <v>1625</v>
      </c>
      <c r="G621" s="115" t="s">
        <v>943</v>
      </c>
      <c r="H621" s="115">
        <f t="shared" si="1052"/>
        <v>0</v>
      </c>
      <c r="I621" s="115" t="s">
        <v>1242</v>
      </c>
      <c r="J621" s="115">
        <v>1</v>
      </c>
      <c r="K621" s="115" t="s">
        <v>1243</v>
      </c>
      <c r="L621" s="298"/>
      <c r="M621" s="115" t="s">
        <v>1377</v>
      </c>
      <c r="N621" s="115">
        <f t="shared" si="1053"/>
        <v>0</v>
      </c>
      <c r="O621" s="298"/>
      <c r="P621" s="298"/>
      <c r="Q621" s="298"/>
      <c r="R621" s="298"/>
      <c r="S621" s="298"/>
      <c r="T621" s="298"/>
      <c r="U621" s="298"/>
      <c r="V621" s="298"/>
      <c r="W621" s="298"/>
      <c r="X621" s="298"/>
      <c r="Y621" s="298"/>
      <c r="Z621" s="298"/>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5"/>
      <c r="BM621" s="311"/>
      <c r="BN621" s="313"/>
    </row>
    <row r="622" s="47" customFormat="1" ht="33.95" customHeight="1" outlineLevel="3" spans="2:66">
      <c r="B622" s="115" t="s">
        <v>799</v>
      </c>
      <c r="C622" s="116" t="s">
        <v>2239</v>
      </c>
      <c r="D622" s="47" t="s">
        <v>2240</v>
      </c>
      <c r="E622" s="115"/>
      <c r="F622" s="115" t="s">
        <v>1625</v>
      </c>
      <c r="G622" s="115" t="s">
        <v>943</v>
      </c>
      <c r="H622" s="115">
        <f t="shared" si="1052"/>
        <v>0</v>
      </c>
      <c r="I622" s="115" t="s">
        <v>1242</v>
      </c>
      <c r="J622" s="115">
        <v>1</v>
      </c>
      <c r="K622" s="115" t="s">
        <v>1243</v>
      </c>
      <c r="L622" s="298"/>
      <c r="M622" s="115" t="s">
        <v>1377</v>
      </c>
      <c r="N622" s="115">
        <f t="shared" si="1053"/>
        <v>0</v>
      </c>
      <c r="O622" s="298"/>
      <c r="P622" s="298"/>
      <c r="Q622" s="298"/>
      <c r="R622" s="298"/>
      <c r="S622" s="298"/>
      <c r="T622" s="298"/>
      <c r="U622" s="298"/>
      <c r="V622" s="298"/>
      <c r="W622" s="298"/>
      <c r="X622" s="298"/>
      <c r="Y622" s="298"/>
      <c r="Z622" s="298"/>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5"/>
      <c r="BM622" s="311"/>
      <c r="BN622" s="313"/>
    </row>
    <row r="623" s="47" customFormat="1" ht="33.95" customHeight="1" outlineLevel="3" spans="2:66">
      <c r="B623" s="115" t="s">
        <v>799</v>
      </c>
      <c r="C623" s="116" t="s">
        <v>2241</v>
      </c>
      <c r="D623" s="47" t="s">
        <v>2242</v>
      </c>
      <c r="E623" s="115"/>
      <c r="F623" s="115" t="s">
        <v>1625</v>
      </c>
      <c r="G623" s="115" t="s">
        <v>943</v>
      </c>
      <c r="H623" s="115">
        <f t="shared" si="1052"/>
        <v>0</v>
      </c>
      <c r="I623" s="115" t="s">
        <v>1242</v>
      </c>
      <c r="J623" s="115">
        <v>1</v>
      </c>
      <c r="K623" s="115" t="s">
        <v>1243</v>
      </c>
      <c r="L623" s="298"/>
      <c r="M623" s="115" t="s">
        <v>1377</v>
      </c>
      <c r="N623" s="115">
        <f t="shared" si="1053"/>
        <v>0</v>
      </c>
      <c r="O623" s="316"/>
      <c r="P623" s="316"/>
      <c r="Q623" s="316"/>
      <c r="R623" s="316"/>
      <c r="S623" s="316"/>
      <c r="T623" s="316"/>
      <c r="U623" s="316"/>
      <c r="V623" s="316"/>
      <c r="W623" s="316"/>
      <c r="X623" s="316"/>
      <c r="Y623" s="316"/>
      <c r="Z623" s="316"/>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5"/>
      <c r="BM623" s="311"/>
      <c r="BN623" s="313"/>
    </row>
    <row r="624" s="22" customFormat="1" ht="33.95" customHeight="1" outlineLevel="2" spans="2:66">
      <c r="B624" s="112" t="s">
        <v>794</v>
      </c>
      <c r="C624" s="113" t="s">
        <v>2243</v>
      </c>
      <c r="D624" s="22" t="s">
        <v>2244</v>
      </c>
      <c r="E624" s="112"/>
      <c r="F624" s="112"/>
      <c r="G624" s="112"/>
      <c r="H624" s="112">
        <f>SUM(H625:H626)</f>
        <v>0</v>
      </c>
      <c r="I624" s="112"/>
      <c r="J624" s="112"/>
      <c r="K624" s="112"/>
      <c r="L624" s="112"/>
      <c r="M624" s="112"/>
      <c r="N624" s="304"/>
      <c r="O624" s="287"/>
      <c r="P624" s="287"/>
      <c r="Q624" s="287"/>
      <c r="R624" s="287"/>
      <c r="S624" s="287"/>
      <c r="T624" s="287"/>
      <c r="U624" s="287"/>
      <c r="V624" s="287"/>
      <c r="W624" s="287"/>
      <c r="X624" s="287"/>
      <c r="Y624" s="287"/>
      <c r="Z624" s="287"/>
      <c r="AA624" s="287"/>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4"/>
      <c r="BM624" s="311"/>
      <c r="BN624" s="312"/>
    </row>
    <row r="625" s="47" customFormat="1" ht="33.95" customHeight="1" outlineLevel="3" spans="2:66">
      <c r="B625" s="115" t="s">
        <v>799</v>
      </c>
      <c r="C625" s="116" t="s">
        <v>2245</v>
      </c>
      <c r="D625" s="47" t="s">
        <v>2246</v>
      </c>
      <c r="E625" s="115"/>
      <c r="F625" s="115" t="s">
        <v>1625</v>
      </c>
      <c r="G625" s="115" t="s">
        <v>943</v>
      </c>
      <c r="H625" s="115">
        <f t="shared" ref="H625:H633" si="1068">J625*L625</f>
        <v>0</v>
      </c>
      <c r="I625" s="115" t="s">
        <v>1242</v>
      </c>
      <c r="J625" s="115">
        <v>1</v>
      </c>
      <c r="K625" s="115" t="s">
        <v>1243</v>
      </c>
      <c r="L625" s="298"/>
      <c r="M625" s="115" t="s">
        <v>1377</v>
      </c>
      <c r="N625" s="115">
        <f t="shared" ref="N625:N633" si="1069">COUNTA(O625:Z625)</f>
        <v>0</v>
      </c>
      <c r="O625" s="317"/>
      <c r="P625" s="317"/>
      <c r="Q625" s="317"/>
      <c r="R625" s="317"/>
      <c r="S625" s="317"/>
      <c r="T625" s="317"/>
      <c r="U625" s="317"/>
      <c r="V625" s="317"/>
      <c r="W625" s="317"/>
      <c r="X625" s="317"/>
      <c r="Y625" s="317"/>
      <c r="Z625" s="317"/>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5"/>
      <c r="BM625" s="311"/>
      <c r="BN625" s="313"/>
    </row>
    <row r="626" s="47" customFormat="1" ht="33.95" customHeight="1" outlineLevel="3" spans="2:66">
      <c r="B626" s="115" t="s">
        <v>799</v>
      </c>
      <c r="C626" s="116" t="s">
        <v>2247</v>
      </c>
      <c r="D626" s="47" t="s">
        <v>2248</v>
      </c>
      <c r="E626" s="115"/>
      <c r="F626" s="115" t="s">
        <v>1625</v>
      </c>
      <c r="G626" s="115" t="s">
        <v>943</v>
      </c>
      <c r="H626" s="115">
        <f t="shared" si="1068"/>
        <v>0</v>
      </c>
      <c r="I626" s="115" t="s">
        <v>1242</v>
      </c>
      <c r="J626" s="115">
        <v>1</v>
      </c>
      <c r="K626" s="115" t="s">
        <v>1243</v>
      </c>
      <c r="L626" s="298"/>
      <c r="M626" s="115" t="s">
        <v>1377</v>
      </c>
      <c r="N626" s="115">
        <f t="shared" si="1069"/>
        <v>0</v>
      </c>
      <c r="O626" s="316"/>
      <c r="P626" s="316"/>
      <c r="Q626" s="316"/>
      <c r="R626" s="316"/>
      <c r="S626" s="316"/>
      <c r="T626" s="316"/>
      <c r="U626" s="316"/>
      <c r="V626" s="316"/>
      <c r="W626" s="316"/>
      <c r="X626" s="316"/>
      <c r="Y626" s="316"/>
      <c r="Z626" s="316"/>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5"/>
      <c r="BM626" s="311"/>
      <c r="BN626" s="313"/>
    </row>
    <row r="627" s="22" customFormat="1" ht="33.95" customHeight="1" outlineLevel="2" spans="2:66">
      <c r="B627" s="112" t="s">
        <v>794</v>
      </c>
      <c r="C627" s="113" t="s">
        <v>2249</v>
      </c>
      <c r="D627" s="22" t="s">
        <v>2250</v>
      </c>
      <c r="E627" s="112"/>
      <c r="F627" s="112"/>
      <c r="G627" s="112"/>
      <c r="H627" s="112">
        <f>SUM(H628:H633)</f>
        <v>0</v>
      </c>
      <c r="I627" s="112"/>
      <c r="J627" s="112"/>
      <c r="K627" s="112"/>
      <c r="L627" s="112"/>
      <c r="M627" s="112"/>
      <c r="N627" s="304"/>
      <c r="O627" s="287"/>
      <c r="P627" s="287"/>
      <c r="Q627" s="287"/>
      <c r="R627" s="287"/>
      <c r="S627" s="287"/>
      <c r="T627" s="287"/>
      <c r="U627" s="287"/>
      <c r="V627" s="287"/>
      <c r="W627" s="287"/>
      <c r="X627" s="287"/>
      <c r="Y627" s="287"/>
      <c r="Z627" s="287"/>
      <c r="AA627" s="287"/>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4"/>
      <c r="BM627" s="311"/>
      <c r="BN627" s="312"/>
    </row>
    <row r="628" s="47" customFormat="1" ht="33.95" customHeight="1" outlineLevel="3" spans="2:66">
      <c r="B628" s="115" t="s">
        <v>799</v>
      </c>
      <c r="C628" s="116" t="s">
        <v>2251</v>
      </c>
      <c r="D628" s="47" t="s">
        <v>2252</v>
      </c>
      <c r="E628" s="115"/>
      <c r="F628" s="115" t="s">
        <v>1625</v>
      </c>
      <c r="G628" s="115" t="s">
        <v>943</v>
      </c>
      <c r="H628" s="115">
        <f t="shared" si="1068"/>
        <v>0</v>
      </c>
      <c r="I628" s="115" t="s">
        <v>1242</v>
      </c>
      <c r="J628" s="115">
        <v>1</v>
      </c>
      <c r="K628" s="115" t="s">
        <v>1243</v>
      </c>
      <c r="L628" s="298"/>
      <c r="M628" s="115" t="s">
        <v>1377</v>
      </c>
      <c r="N628" s="115">
        <f t="shared" si="1069"/>
        <v>0</v>
      </c>
      <c r="O628" s="317"/>
      <c r="P628" s="317"/>
      <c r="Q628" s="317"/>
      <c r="R628" s="317"/>
      <c r="S628" s="317"/>
      <c r="T628" s="317"/>
      <c r="U628" s="317"/>
      <c r="V628" s="317"/>
      <c r="W628" s="317"/>
      <c r="X628" s="317"/>
      <c r="Y628" s="317"/>
      <c r="Z628" s="317"/>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5"/>
      <c r="BM628" s="311"/>
      <c r="BN628" s="313"/>
    </row>
    <row r="629" s="47" customFormat="1" ht="33.95" customHeight="1" outlineLevel="3" spans="2:66">
      <c r="B629" s="115" t="s">
        <v>799</v>
      </c>
      <c r="C629" s="116" t="s">
        <v>2253</v>
      </c>
      <c r="D629" s="47" t="s">
        <v>2254</v>
      </c>
      <c r="E629" s="115"/>
      <c r="F629" s="115" t="s">
        <v>1625</v>
      </c>
      <c r="G629" s="115" t="s">
        <v>943</v>
      </c>
      <c r="H629" s="115">
        <f t="shared" si="1068"/>
        <v>0</v>
      </c>
      <c r="I629" s="115" t="s">
        <v>1242</v>
      </c>
      <c r="J629" s="115">
        <v>1</v>
      </c>
      <c r="K629" s="115" t="s">
        <v>1243</v>
      </c>
      <c r="L629" s="298"/>
      <c r="M629" s="115" t="s">
        <v>1377</v>
      </c>
      <c r="N629" s="115">
        <f t="shared" si="1069"/>
        <v>0</v>
      </c>
      <c r="O629" s="298"/>
      <c r="P629" s="298"/>
      <c r="Q629" s="298"/>
      <c r="R629" s="298"/>
      <c r="S629" s="298"/>
      <c r="T629" s="298"/>
      <c r="U629" s="298"/>
      <c r="V629" s="298"/>
      <c r="W629" s="298"/>
      <c r="X629" s="298"/>
      <c r="Y629" s="298"/>
      <c r="Z629" s="298"/>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5"/>
      <c r="BM629" s="311"/>
      <c r="BN629" s="313"/>
    </row>
    <row r="630" s="47" customFormat="1" ht="33.95" customHeight="1" outlineLevel="3" spans="2:66">
      <c r="B630" s="115" t="s">
        <v>799</v>
      </c>
      <c r="C630" s="116" t="s">
        <v>2255</v>
      </c>
      <c r="D630" s="47" t="s">
        <v>2256</v>
      </c>
      <c r="E630" s="115"/>
      <c r="F630" s="115" t="s">
        <v>1625</v>
      </c>
      <c r="G630" s="115" t="s">
        <v>943</v>
      </c>
      <c r="H630" s="115">
        <f t="shared" si="1068"/>
        <v>0</v>
      </c>
      <c r="I630" s="115" t="s">
        <v>1242</v>
      </c>
      <c r="J630" s="115">
        <v>1</v>
      </c>
      <c r="K630" s="115" t="s">
        <v>1243</v>
      </c>
      <c r="L630" s="298"/>
      <c r="M630" s="115" t="s">
        <v>1377</v>
      </c>
      <c r="N630" s="115">
        <f t="shared" si="1069"/>
        <v>0</v>
      </c>
      <c r="O630" s="298"/>
      <c r="P630" s="298"/>
      <c r="Q630" s="298"/>
      <c r="R630" s="298"/>
      <c r="S630" s="298"/>
      <c r="T630" s="298"/>
      <c r="U630" s="298"/>
      <c r="V630" s="298"/>
      <c r="W630" s="298"/>
      <c r="X630" s="298"/>
      <c r="Y630" s="298"/>
      <c r="Z630" s="298"/>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5"/>
      <c r="BM630" s="311"/>
      <c r="BN630" s="313"/>
    </row>
    <row r="631" s="47" customFormat="1" ht="33.95" customHeight="1" outlineLevel="3" spans="2:66">
      <c r="B631" s="115" t="s">
        <v>799</v>
      </c>
      <c r="C631" s="116" t="s">
        <v>2257</v>
      </c>
      <c r="D631" s="47" t="s">
        <v>2258</v>
      </c>
      <c r="E631" s="115"/>
      <c r="F631" s="115" t="s">
        <v>1625</v>
      </c>
      <c r="G631" s="115" t="s">
        <v>943</v>
      </c>
      <c r="H631" s="115">
        <f t="shared" si="1068"/>
        <v>0</v>
      </c>
      <c r="I631" s="115" t="s">
        <v>1242</v>
      </c>
      <c r="J631" s="115">
        <v>1</v>
      </c>
      <c r="K631" s="115" t="s">
        <v>1243</v>
      </c>
      <c r="L631" s="298"/>
      <c r="M631" s="115" t="s">
        <v>1377</v>
      </c>
      <c r="N631" s="115">
        <f t="shared" si="1069"/>
        <v>0</v>
      </c>
      <c r="O631" s="298"/>
      <c r="P631" s="298"/>
      <c r="Q631" s="298"/>
      <c r="R631" s="298"/>
      <c r="S631" s="298"/>
      <c r="T631" s="298"/>
      <c r="U631" s="298"/>
      <c r="V631" s="298"/>
      <c r="W631" s="298"/>
      <c r="X631" s="298"/>
      <c r="Y631" s="298"/>
      <c r="Z631" s="298"/>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5"/>
      <c r="BM631" s="311"/>
      <c r="BN631" s="313"/>
    </row>
    <row r="632" s="47" customFormat="1" ht="33.95" customHeight="1" outlineLevel="3" spans="2:66">
      <c r="B632" s="115" t="s">
        <v>799</v>
      </c>
      <c r="C632" s="116" t="s">
        <v>2259</v>
      </c>
      <c r="D632" s="47" t="s">
        <v>2260</v>
      </c>
      <c r="E632" s="115"/>
      <c r="F632" s="115" t="s">
        <v>1625</v>
      </c>
      <c r="G632" s="115" t="s">
        <v>943</v>
      </c>
      <c r="H632" s="115">
        <f t="shared" si="1068"/>
        <v>0</v>
      </c>
      <c r="I632" s="115" t="s">
        <v>1242</v>
      </c>
      <c r="J632" s="115">
        <v>1</v>
      </c>
      <c r="K632" s="115" t="s">
        <v>1243</v>
      </c>
      <c r="L632" s="298"/>
      <c r="M632" s="115" t="s">
        <v>1377</v>
      </c>
      <c r="N632" s="115">
        <f t="shared" si="1069"/>
        <v>0</v>
      </c>
      <c r="O632" s="298"/>
      <c r="P632" s="298"/>
      <c r="Q632" s="298"/>
      <c r="R632" s="298"/>
      <c r="S632" s="298"/>
      <c r="T632" s="298"/>
      <c r="U632" s="298"/>
      <c r="V632" s="298"/>
      <c r="W632" s="298"/>
      <c r="X632" s="298"/>
      <c r="Y632" s="298"/>
      <c r="Z632" s="298"/>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5"/>
      <c r="BM632" s="311"/>
      <c r="BN632" s="313"/>
    </row>
    <row r="633" s="47" customFormat="1" ht="33.95" customHeight="1" outlineLevel="3" spans="2:66">
      <c r="B633" s="115" t="s">
        <v>799</v>
      </c>
      <c r="C633" s="116" t="s">
        <v>2261</v>
      </c>
      <c r="D633" s="47" t="s">
        <v>2262</v>
      </c>
      <c r="E633" s="115"/>
      <c r="F633" s="115" t="s">
        <v>1625</v>
      </c>
      <c r="G633" s="115" t="s">
        <v>943</v>
      </c>
      <c r="H633" s="115">
        <f t="shared" si="1068"/>
        <v>0</v>
      </c>
      <c r="I633" s="115" t="s">
        <v>1242</v>
      </c>
      <c r="J633" s="115">
        <v>1</v>
      </c>
      <c r="K633" s="115" t="s">
        <v>1243</v>
      </c>
      <c r="L633" s="298"/>
      <c r="M633" s="115" t="s">
        <v>1377</v>
      </c>
      <c r="N633" s="115">
        <f t="shared" si="1069"/>
        <v>0</v>
      </c>
      <c r="O633" s="316"/>
      <c r="P633" s="316"/>
      <c r="Q633" s="316"/>
      <c r="R633" s="316"/>
      <c r="S633" s="316"/>
      <c r="T633" s="316"/>
      <c r="U633" s="316"/>
      <c r="V633" s="316"/>
      <c r="W633" s="316"/>
      <c r="X633" s="316"/>
      <c r="Y633" s="316"/>
      <c r="Z633" s="316"/>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5"/>
      <c r="BM633" s="311"/>
      <c r="BN633" s="313"/>
    </row>
    <row r="634" s="22" customFormat="1" ht="33.95" customHeight="1" outlineLevel="2" spans="2:66">
      <c r="B634" s="112" t="s">
        <v>794</v>
      </c>
      <c r="C634" s="113" t="s">
        <v>2263</v>
      </c>
      <c r="D634" s="22" t="s">
        <v>2264</v>
      </c>
      <c r="E634" s="112"/>
      <c r="F634" s="112"/>
      <c r="G634" s="112"/>
      <c r="H634" s="112">
        <f>SUM(H635:H642)</f>
        <v>0</v>
      </c>
      <c r="I634" s="112"/>
      <c r="J634" s="112"/>
      <c r="K634" s="112"/>
      <c r="L634" s="112"/>
      <c r="M634" s="112"/>
      <c r="N634" s="304"/>
      <c r="O634" s="287"/>
      <c r="P634" s="287"/>
      <c r="Q634" s="287"/>
      <c r="R634" s="287"/>
      <c r="S634" s="287"/>
      <c r="T634" s="287"/>
      <c r="U634" s="287"/>
      <c r="V634" s="287"/>
      <c r="W634" s="287"/>
      <c r="X634" s="287"/>
      <c r="Y634" s="287"/>
      <c r="Z634" s="287"/>
      <c r="AA634" s="287"/>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4"/>
      <c r="BM634" s="311"/>
      <c r="BN634" s="312"/>
    </row>
    <row r="635" s="47" customFormat="1" ht="33.95" customHeight="1" outlineLevel="3" spans="2:66">
      <c r="B635" s="115" t="s">
        <v>799</v>
      </c>
      <c r="C635" s="116" t="s">
        <v>2265</v>
      </c>
      <c r="D635" s="47" t="s">
        <v>2266</v>
      </c>
      <c r="E635" s="115"/>
      <c r="F635" s="115" t="s">
        <v>1625</v>
      </c>
      <c r="G635" s="115" t="s">
        <v>943</v>
      </c>
      <c r="H635" s="115">
        <f t="shared" ref="H635:H642" si="1085">J635*L635</f>
        <v>0</v>
      </c>
      <c r="I635" s="115" t="s">
        <v>1242</v>
      </c>
      <c r="J635" s="115">
        <v>1</v>
      </c>
      <c r="K635" s="115" t="s">
        <v>1243</v>
      </c>
      <c r="L635" s="298"/>
      <c r="M635" s="115" t="s">
        <v>1377</v>
      </c>
      <c r="N635" s="115">
        <f t="shared" ref="N635:N642" si="1086">COUNTA(O635:Z635)</f>
        <v>0</v>
      </c>
      <c r="O635" s="317"/>
      <c r="P635" s="317"/>
      <c r="Q635" s="317"/>
      <c r="R635" s="317"/>
      <c r="S635" s="317"/>
      <c r="T635" s="317"/>
      <c r="U635" s="317"/>
      <c r="V635" s="317"/>
      <c r="W635" s="317"/>
      <c r="X635" s="317"/>
      <c r="Y635" s="317"/>
      <c r="Z635" s="317"/>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5"/>
      <c r="BM635" s="311"/>
      <c r="BN635" s="313"/>
    </row>
    <row r="636" s="47" customFormat="1" ht="33.95" customHeight="1" outlineLevel="3" spans="2:66">
      <c r="B636" s="115" t="s">
        <v>799</v>
      </c>
      <c r="C636" s="116" t="s">
        <v>2267</v>
      </c>
      <c r="D636" s="47" t="s">
        <v>2268</v>
      </c>
      <c r="E636" s="115"/>
      <c r="F636" s="115" t="s">
        <v>1625</v>
      </c>
      <c r="G636" s="115" t="s">
        <v>943</v>
      </c>
      <c r="H636" s="115">
        <f t="shared" si="1085"/>
        <v>0</v>
      </c>
      <c r="I636" s="115" t="s">
        <v>1242</v>
      </c>
      <c r="J636" s="115">
        <v>1</v>
      </c>
      <c r="K636" s="115" t="s">
        <v>1243</v>
      </c>
      <c r="L636" s="298"/>
      <c r="M636" s="115" t="s">
        <v>1377</v>
      </c>
      <c r="N636" s="115">
        <f t="shared" si="1086"/>
        <v>0</v>
      </c>
      <c r="O636" s="298"/>
      <c r="P636" s="298"/>
      <c r="Q636" s="298"/>
      <c r="R636" s="298"/>
      <c r="S636" s="298"/>
      <c r="T636" s="298"/>
      <c r="U636" s="298"/>
      <c r="V636" s="298"/>
      <c r="W636" s="298"/>
      <c r="X636" s="298"/>
      <c r="Y636" s="298"/>
      <c r="Z636" s="298"/>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5"/>
      <c r="BM636" s="311"/>
      <c r="BN636" s="313"/>
    </row>
    <row r="637" s="47" customFormat="1" ht="33.95" customHeight="1" outlineLevel="3" spans="2:66">
      <c r="B637" s="115" t="s">
        <v>799</v>
      </c>
      <c r="C637" s="116" t="s">
        <v>2269</v>
      </c>
      <c r="D637" s="47" t="s">
        <v>2270</v>
      </c>
      <c r="E637" s="115"/>
      <c r="F637" s="115" t="s">
        <v>1625</v>
      </c>
      <c r="G637" s="115" t="s">
        <v>943</v>
      </c>
      <c r="H637" s="115">
        <f t="shared" si="1085"/>
        <v>0</v>
      </c>
      <c r="I637" s="115" t="s">
        <v>1242</v>
      </c>
      <c r="J637" s="115">
        <v>1</v>
      </c>
      <c r="K637" s="115" t="s">
        <v>1243</v>
      </c>
      <c r="L637" s="298"/>
      <c r="M637" s="115" t="s">
        <v>1377</v>
      </c>
      <c r="N637" s="115">
        <f t="shared" si="1086"/>
        <v>0</v>
      </c>
      <c r="O637" s="298"/>
      <c r="P637" s="298"/>
      <c r="Q637" s="298"/>
      <c r="R637" s="298"/>
      <c r="S637" s="298"/>
      <c r="T637" s="298"/>
      <c r="U637" s="298"/>
      <c r="V637" s="298"/>
      <c r="W637" s="298"/>
      <c r="X637" s="298"/>
      <c r="Y637" s="298"/>
      <c r="Z637" s="298"/>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5"/>
      <c r="BM637" s="311"/>
      <c r="BN637" s="313"/>
    </row>
    <row r="638" s="47" customFormat="1" ht="33.95" customHeight="1" outlineLevel="3" spans="2:66">
      <c r="B638" s="115" t="s">
        <v>799</v>
      </c>
      <c r="C638" s="116" t="s">
        <v>2271</v>
      </c>
      <c r="D638" s="47" t="s">
        <v>2272</v>
      </c>
      <c r="E638" s="115"/>
      <c r="F638" s="115" t="s">
        <v>1625</v>
      </c>
      <c r="G638" s="115" t="s">
        <v>943</v>
      </c>
      <c r="H638" s="115">
        <f t="shared" si="1085"/>
        <v>0</v>
      </c>
      <c r="I638" s="115" t="s">
        <v>1242</v>
      </c>
      <c r="J638" s="115">
        <v>1</v>
      </c>
      <c r="K638" s="115" t="s">
        <v>1243</v>
      </c>
      <c r="L638" s="298"/>
      <c r="M638" s="115" t="s">
        <v>1377</v>
      </c>
      <c r="N638" s="115">
        <f t="shared" si="1086"/>
        <v>0</v>
      </c>
      <c r="O638" s="298"/>
      <c r="P638" s="298"/>
      <c r="Q638" s="298"/>
      <c r="R638" s="298"/>
      <c r="S638" s="298"/>
      <c r="T638" s="298"/>
      <c r="U638" s="298"/>
      <c r="V638" s="298"/>
      <c r="W638" s="298"/>
      <c r="X638" s="298"/>
      <c r="Y638" s="298"/>
      <c r="Z638" s="298"/>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5"/>
      <c r="BM638" s="311"/>
      <c r="BN638" s="313"/>
    </row>
    <row r="639" s="47" customFormat="1" ht="33.95" customHeight="1" outlineLevel="3" spans="2:66">
      <c r="B639" s="115" t="s">
        <v>799</v>
      </c>
      <c r="C639" s="116" t="s">
        <v>2273</v>
      </c>
      <c r="D639" s="47" t="s">
        <v>2274</v>
      </c>
      <c r="E639" s="115"/>
      <c r="F639" s="115" t="s">
        <v>1625</v>
      </c>
      <c r="G639" s="115" t="s">
        <v>943</v>
      </c>
      <c r="H639" s="115">
        <f t="shared" si="1085"/>
        <v>0</v>
      </c>
      <c r="I639" s="115" t="s">
        <v>1242</v>
      </c>
      <c r="J639" s="115">
        <v>1</v>
      </c>
      <c r="K639" s="115" t="s">
        <v>1243</v>
      </c>
      <c r="L639" s="298"/>
      <c r="M639" s="115" t="s">
        <v>1377</v>
      </c>
      <c r="N639" s="115">
        <f t="shared" si="1086"/>
        <v>0</v>
      </c>
      <c r="O639" s="298"/>
      <c r="P639" s="298"/>
      <c r="Q639" s="298"/>
      <c r="R639" s="298"/>
      <c r="S639" s="298"/>
      <c r="T639" s="298"/>
      <c r="U639" s="298"/>
      <c r="V639" s="298"/>
      <c r="W639" s="298"/>
      <c r="X639" s="298"/>
      <c r="Y639" s="298"/>
      <c r="Z639" s="298"/>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5"/>
      <c r="BM639" s="311"/>
      <c r="BN639" s="313"/>
    </row>
    <row r="640" s="47" customFormat="1" ht="33.95" customHeight="1" outlineLevel="3" spans="2:66">
      <c r="B640" s="115" t="s">
        <v>799</v>
      </c>
      <c r="C640" s="116" t="s">
        <v>2275</v>
      </c>
      <c r="D640" s="47" t="s">
        <v>2276</v>
      </c>
      <c r="E640" s="115"/>
      <c r="F640" s="115" t="s">
        <v>1625</v>
      </c>
      <c r="G640" s="115" t="s">
        <v>943</v>
      </c>
      <c r="H640" s="115">
        <f t="shared" si="1085"/>
        <v>0</v>
      </c>
      <c r="I640" s="115" t="s">
        <v>1242</v>
      </c>
      <c r="J640" s="115">
        <v>1</v>
      </c>
      <c r="K640" s="115" t="s">
        <v>1243</v>
      </c>
      <c r="L640" s="298"/>
      <c r="M640" s="115" t="s">
        <v>1377</v>
      </c>
      <c r="N640" s="115">
        <f t="shared" si="1086"/>
        <v>0</v>
      </c>
      <c r="O640" s="298"/>
      <c r="P640" s="298"/>
      <c r="Q640" s="298"/>
      <c r="R640" s="298"/>
      <c r="S640" s="298"/>
      <c r="T640" s="298"/>
      <c r="U640" s="298"/>
      <c r="V640" s="298"/>
      <c r="W640" s="298"/>
      <c r="X640" s="298"/>
      <c r="Y640" s="298"/>
      <c r="Z640" s="298"/>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5"/>
      <c r="BM640" s="311"/>
      <c r="BN640" s="313"/>
    </row>
    <row r="641" s="47" customFormat="1" ht="33.95" customHeight="1" outlineLevel="3" spans="2:66">
      <c r="B641" s="115" t="s">
        <v>799</v>
      </c>
      <c r="C641" s="116" t="s">
        <v>2277</v>
      </c>
      <c r="D641" s="47" t="s">
        <v>2278</v>
      </c>
      <c r="E641" s="115"/>
      <c r="F641" s="115" t="s">
        <v>1625</v>
      </c>
      <c r="G641" s="115" t="s">
        <v>943</v>
      </c>
      <c r="H641" s="115">
        <f t="shared" si="1085"/>
        <v>0</v>
      </c>
      <c r="I641" s="115" t="s">
        <v>1242</v>
      </c>
      <c r="J641" s="115">
        <v>1</v>
      </c>
      <c r="K641" s="115" t="s">
        <v>1243</v>
      </c>
      <c r="L641" s="298"/>
      <c r="M641" s="115" t="s">
        <v>1377</v>
      </c>
      <c r="N641" s="115">
        <f t="shared" si="1086"/>
        <v>0</v>
      </c>
      <c r="O641" s="298"/>
      <c r="P641" s="298"/>
      <c r="Q641" s="298"/>
      <c r="R641" s="298"/>
      <c r="S641" s="298"/>
      <c r="T641" s="298"/>
      <c r="U641" s="298"/>
      <c r="V641" s="298"/>
      <c r="W641" s="298"/>
      <c r="X641" s="298"/>
      <c r="Y641" s="298"/>
      <c r="Z641" s="298"/>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5"/>
      <c r="BM641" s="311"/>
      <c r="BN641" s="313"/>
    </row>
    <row r="642" s="47" customFormat="1" ht="33.95" customHeight="1" outlineLevel="3" spans="2:66">
      <c r="B642" s="115" t="s">
        <v>799</v>
      </c>
      <c r="C642" s="116" t="s">
        <v>2279</v>
      </c>
      <c r="D642" s="47" t="s">
        <v>2280</v>
      </c>
      <c r="E642" s="115"/>
      <c r="F642" s="115" t="s">
        <v>1625</v>
      </c>
      <c r="G642" s="115" t="s">
        <v>943</v>
      </c>
      <c r="H642" s="115">
        <f t="shared" si="1085"/>
        <v>0</v>
      </c>
      <c r="I642" s="115" t="s">
        <v>1242</v>
      </c>
      <c r="J642" s="115">
        <v>1</v>
      </c>
      <c r="K642" s="115" t="s">
        <v>1243</v>
      </c>
      <c r="L642" s="298"/>
      <c r="M642" s="115" t="s">
        <v>1377</v>
      </c>
      <c r="N642" s="115">
        <f t="shared" si="1086"/>
        <v>0</v>
      </c>
      <c r="O642" s="316"/>
      <c r="P642" s="316"/>
      <c r="Q642" s="316"/>
      <c r="R642" s="316"/>
      <c r="S642" s="316"/>
      <c r="T642" s="316"/>
      <c r="U642" s="316"/>
      <c r="V642" s="316"/>
      <c r="W642" s="316"/>
      <c r="X642" s="316"/>
      <c r="Y642" s="316"/>
      <c r="Z642" s="316"/>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5"/>
      <c r="BM642" s="311"/>
      <c r="BN642" s="313"/>
    </row>
    <row r="643" s="22" customFormat="1" ht="33.95" customHeight="1" outlineLevel="2" spans="2:66">
      <c r="B643" s="112" t="s">
        <v>794</v>
      </c>
      <c r="C643" s="113" t="s">
        <v>2281</v>
      </c>
      <c r="D643" s="22" t="s">
        <v>2282</v>
      </c>
      <c r="E643" s="112"/>
      <c r="F643" s="112"/>
      <c r="G643" s="112"/>
      <c r="H643" s="112">
        <f>SUM(H644:H645)</f>
        <v>0</v>
      </c>
      <c r="I643" s="112"/>
      <c r="J643" s="112"/>
      <c r="K643" s="112"/>
      <c r="L643" s="112"/>
      <c r="M643" s="112"/>
      <c r="N643" s="304"/>
      <c r="O643" s="287"/>
      <c r="P643" s="287"/>
      <c r="Q643" s="287"/>
      <c r="R643" s="287"/>
      <c r="S643" s="287"/>
      <c r="T643" s="287"/>
      <c r="U643" s="287"/>
      <c r="V643" s="287"/>
      <c r="W643" s="287"/>
      <c r="X643" s="287"/>
      <c r="Y643" s="287"/>
      <c r="Z643" s="287"/>
      <c r="AA643" s="287"/>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4"/>
      <c r="BM643" s="311"/>
      <c r="BN643" s="312"/>
    </row>
    <row r="644" s="47" customFormat="1" ht="33.95" customHeight="1" outlineLevel="3" spans="2:66">
      <c r="B644" s="115" t="s">
        <v>799</v>
      </c>
      <c r="C644" s="116" t="s">
        <v>2283</v>
      </c>
      <c r="D644" s="47" t="s">
        <v>2284</v>
      </c>
      <c r="E644" s="115"/>
      <c r="F644" s="115" t="s">
        <v>1625</v>
      </c>
      <c r="G644" s="115" t="s">
        <v>943</v>
      </c>
      <c r="H644" s="115">
        <f t="shared" ref="H644:H650" si="1101">J644*L644</f>
        <v>0</v>
      </c>
      <c r="I644" s="115" t="s">
        <v>1242</v>
      </c>
      <c r="J644" s="115">
        <v>1</v>
      </c>
      <c r="K644" s="115" t="s">
        <v>1243</v>
      </c>
      <c r="L644" s="298"/>
      <c r="M644" s="115" t="s">
        <v>1377</v>
      </c>
      <c r="N644" s="115">
        <f t="shared" ref="N644:N650" si="1102">COUNTA(O644:Z644)</f>
        <v>0</v>
      </c>
      <c r="O644" s="317"/>
      <c r="P644" s="317"/>
      <c r="Q644" s="317"/>
      <c r="R644" s="317"/>
      <c r="S644" s="317"/>
      <c r="T644" s="317"/>
      <c r="U644" s="317"/>
      <c r="V644" s="317"/>
      <c r="W644" s="317"/>
      <c r="X644" s="317"/>
      <c r="Y644" s="317"/>
      <c r="Z644" s="317"/>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5"/>
      <c r="BM644" s="311"/>
      <c r="BN644" s="313"/>
    </row>
    <row r="645" s="47" customFormat="1" ht="33.95" customHeight="1" outlineLevel="3" spans="2:66">
      <c r="B645" s="115" t="s">
        <v>799</v>
      </c>
      <c r="C645" s="116" t="s">
        <v>2285</v>
      </c>
      <c r="D645" s="47" t="s">
        <v>2286</v>
      </c>
      <c r="E645" s="115"/>
      <c r="F645" s="115" t="s">
        <v>1625</v>
      </c>
      <c r="G645" s="115" t="s">
        <v>943</v>
      </c>
      <c r="H645" s="115">
        <f t="shared" si="1101"/>
        <v>0</v>
      </c>
      <c r="I645" s="115" t="s">
        <v>1242</v>
      </c>
      <c r="J645" s="115">
        <v>1</v>
      </c>
      <c r="K645" s="115" t="s">
        <v>1243</v>
      </c>
      <c r="L645" s="298"/>
      <c r="M645" s="115" t="s">
        <v>1377</v>
      </c>
      <c r="N645" s="115">
        <f t="shared" si="1102"/>
        <v>0</v>
      </c>
      <c r="O645" s="316"/>
      <c r="P645" s="316"/>
      <c r="Q645" s="316"/>
      <c r="R645" s="316"/>
      <c r="S645" s="316"/>
      <c r="T645" s="316"/>
      <c r="U645" s="316"/>
      <c r="V645" s="316"/>
      <c r="W645" s="316"/>
      <c r="X645" s="316"/>
      <c r="Y645" s="316"/>
      <c r="Z645" s="316"/>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5"/>
      <c r="BM645" s="311"/>
      <c r="BN645" s="313"/>
    </row>
    <row r="646" s="22" customFormat="1" ht="33.95" customHeight="1" outlineLevel="2" spans="2:66">
      <c r="B646" s="112" t="s">
        <v>794</v>
      </c>
      <c r="C646" s="113" t="s">
        <v>2287</v>
      </c>
      <c r="D646" s="22" t="s">
        <v>2288</v>
      </c>
      <c r="E646" s="112"/>
      <c r="F646" s="112"/>
      <c r="G646" s="112"/>
      <c r="H646" s="112">
        <f>SUM(H647:H650)</f>
        <v>0</v>
      </c>
      <c r="I646" s="112"/>
      <c r="J646" s="112"/>
      <c r="K646" s="112"/>
      <c r="L646" s="112"/>
      <c r="M646" s="112"/>
      <c r="N646" s="304"/>
      <c r="O646" s="287"/>
      <c r="P646" s="287"/>
      <c r="Q646" s="287"/>
      <c r="R646" s="287"/>
      <c r="S646" s="287"/>
      <c r="T646" s="287"/>
      <c r="U646" s="287"/>
      <c r="V646" s="287"/>
      <c r="W646" s="287"/>
      <c r="X646" s="287"/>
      <c r="Y646" s="287"/>
      <c r="Z646" s="287"/>
      <c r="AA646" s="287"/>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4"/>
      <c r="BM646" s="311"/>
      <c r="BN646" s="312"/>
    </row>
    <row r="647" s="47" customFormat="1" ht="33.95" customHeight="1" outlineLevel="3" spans="2:66">
      <c r="B647" s="115" t="s">
        <v>799</v>
      </c>
      <c r="C647" s="116" t="s">
        <v>2289</v>
      </c>
      <c r="D647" s="47" t="s">
        <v>2290</v>
      </c>
      <c r="E647" s="115" t="s">
        <v>2291</v>
      </c>
      <c r="F647" s="115" t="s">
        <v>1625</v>
      </c>
      <c r="G647" s="115" t="s">
        <v>943</v>
      </c>
      <c r="H647" s="115">
        <f t="shared" si="1101"/>
        <v>0</v>
      </c>
      <c r="I647" s="115" t="s">
        <v>1242</v>
      </c>
      <c r="J647" s="115">
        <v>1</v>
      </c>
      <c r="K647" s="115" t="s">
        <v>1243</v>
      </c>
      <c r="L647" s="298"/>
      <c r="M647" s="115" t="s">
        <v>1377</v>
      </c>
      <c r="N647" s="115">
        <f t="shared" si="1102"/>
        <v>0</v>
      </c>
      <c r="O647" s="317"/>
      <c r="P647" s="317"/>
      <c r="Q647" s="317"/>
      <c r="R647" s="317"/>
      <c r="S647" s="317"/>
      <c r="T647" s="317"/>
      <c r="U647" s="317"/>
      <c r="V647" s="317"/>
      <c r="W647" s="317"/>
      <c r="X647" s="317"/>
      <c r="Y647" s="317"/>
      <c r="Z647" s="317"/>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5"/>
      <c r="BM647" s="311"/>
      <c r="BN647" s="313"/>
    </row>
    <row r="648" s="47" customFormat="1" ht="33.95" customHeight="1" outlineLevel="3" spans="2:66">
      <c r="B648" s="115" t="s">
        <v>799</v>
      </c>
      <c r="C648" s="116" t="s">
        <v>2292</v>
      </c>
      <c r="D648" s="47" t="s">
        <v>2293</v>
      </c>
      <c r="E648" s="115" t="s">
        <v>2294</v>
      </c>
      <c r="F648" s="115" t="s">
        <v>1625</v>
      </c>
      <c r="G648" s="115" t="s">
        <v>943</v>
      </c>
      <c r="H648" s="115">
        <f t="shared" si="1101"/>
        <v>0</v>
      </c>
      <c r="I648" s="115" t="s">
        <v>1242</v>
      </c>
      <c r="J648" s="115">
        <v>1</v>
      </c>
      <c r="K648" s="115" t="s">
        <v>1243</v>
      </c>
      <c r="L648" s="298"/>
      <c r="M648" s="115" t="s">
        <v>1377</v>
      </c>
      <c r="N648" s="115">
        <f t="shared" si="1102"/>
        <v>0</v>
      </c>
      <c r="O648" s="298"/>
      <c r="P648" s="298"/>
      <c r="Q648" s="298"/>
      <c r="R648" s="298"/>
      <c r="S648" s="298"/>
      <c r="T648" s="298"/>
      <c r="U648" s="298"/>
      <c r="V648" s="298"/>
      <c r="W648" s="298"/>
      <c r="X648" s="298"/>
      <c r="Y648" s="298"/>
      <c r="Z648" s="298"/>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5"/>
      <c r="BM648" s="311"/>
      <c r="BN648" s="313"/>
    </row>
    <row r="649" s="47" customFormat="1" ht="33.95" customHeight="1" outlineLevel="3" spans="2:66">
      <c r="B649" s="115" t="s">
        <v>799</v>
      </c>
      <c r="C649" s="116" t="s">
        <v>2295</v>
      </c>
      <c r="D649" s="47" t="s">
        <v>2296</v>
      </c>
      <c r="E649" s="115" t="s">
        <v>2297</v>
      </c>
      <c r="F649" s="115" t="s">
        <v>1625</v>
      </c>
      <c r="G649" s="115" t="s">
        <v>943</v>
      </c>
      <c r="H649" s="115">
        <f t="shared" si="1101"/>
        <v>0</v>
      </c>
      <c r="I649" s="115" t="s">
        <v>1242</v>
      </c>
      <c r="J649" s="115">
        <v>1</v>
      </c>
      <c r="K649" s="115" t="s">
        <v>1243</v>
      </c>
      <c r="L649" s="298"/>
      <c r="M649" s="115" t="s">
        <v>1377</v>
      </c>
      <c r="N649" s="115">
        <f t="shared" si="1102"/>
        <v>0</v>
      </c>
      <c r="O649" s="298"/>
      <c r="P649" s="298"/>
      <c r="Q649" s="298"/>
      <c r="R649" s="298"/>
      <c r="S649" s="298"/>
      <c r="T649" s="298"/>
      <c r="U649" s="298"/>
      <c r="V649" s="298"/>
      <c r="W649" s="298"/>
      <c r="X649" s="298"/>
      <c r="Y649" s="298"/>
      <c r="Z649" s="298"/>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5"/>
      <c r="BM649" s="311"/>
      <c r="BN649" s="313"/>
    </row>
    <row r="650" s="47" customFormat="1" ht="33.95" customHeight="1" outlineLevel="3" spans="2:66">
      <c r="B650" s="115" t="s">
        <v>799</v>
      </c>
      <c r="C650" s="116" t="s">
        <v>2298</v>
      </c>
      <c r="D650" s="47" t="s">
        <v>2299</v>
      </c>
      <c r="E650" s="115"/>
      <c r="F650" s="115" t="s">
        <v>1625</v>
      </c>
      <c r="G650" s="115" t="s">
        <v>943</v>
      </c>
      <c r="H650" s="115">
        <f t="shared" si="1101"/>
        <v>0</v>
      </c>
      <c r="I650" s="115" t="s">
        <v>1242</v>
      </c>
      <c r="J650" s="115">
        <v>1</v>
      </c>
      <c r="K650" s="115" t="s">
        <v>1243</v>
      </c>
      <c r="L650" s="298"/>
      <c r="M650" s="115" t="s">
        <v>1377</v>
      </c>
      <c r="N650" s="115">
        <f t="shared" si="1102"/>
        <v>0</v>
      </c>
      <c r="O650" s="316"/>
      <c r="P650" s="316"/>
      <c r="Q650" s="316"/>
      <c r="R650" s="316"/>
      <c r="S650" s="316"/>
      <c r="T650" s="316"/>
      <c r="U650" s="316"/>
      <c r="V650" s="316"/>
      <c r="W650" s="316"/>
      <c r="X650" s="316"/>
      <c r="Y650" s="316"/>
      <c r="Z650" s="316"/>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5"/>
      <c r="BM650" s="311"/>
      <c r="BN650" s="313"/>
    </row>
    <row r="651" s="22" customFormat="1" ht="33.95" customHeight="1" outlineLevel="2" spans="2:66">
      <c r="B651" s="112" t="s">
        <v>799</v>
      </c>
      <c r="C651" s="113" t="s">
        <v>2300</v>
      </c>
      <c r="D651" s="22" t="s">
        <v>2301</v>
      </c>
      <c r="G651" s="112" t="s">
        <v>1851</v>
      </c>
      <c r="H651" s="112">
        <f>J651*L651*N651</f>
        <v>153649.811320755</v>
      </c>
      <c r="I651" s="112" t="s">
        <v>1242</v>
      </c>
      <c r="J651" s="112">
        <v>1</v>
      </c>
      <c r="K651" s="112" t="s">
        <v>1243</v>
      </c>
      <c r="L651" s="298">
        <f>预算主表!P88/12</f>
        <v>12804.1509433962</v>
      </c>
      <c r="M651" s="112" t="s">
        <v>1244</v>
      </c>
      <c r="N651" s="304">
        <v>12</v>
      </c>
      <c r="O651" s="287"/>
      <c r="P651" s="287"/>
      <c r="Q651" s="287"/>
      <c r="R651" s="287"/>
      <c r="S651" s="287"/>
      <c r="T651" s="287"/>
      <c r="U651" s="287"/>
      <c r="V651" s="287"/>
      <c r="W651" s="287"/>
      <c r="X651" s="287"/>
      <c r="Y651" s="287"/>
      <c r="Z651" s="287"/>
      <c r="AA651" s="287"/>
      <c r="AB651" s="112">
        <f t="shared" si="1103"/>
        <v>153649.811320755</v>
      </c>
      <c r="AC651" s="112">
        <f t="shared" ref="AC651:AC655" si="1116">$H651/12</f>
        <v>12804.1509433962</v>
      </c>
      <c r="AD651" s="112"/>
      <c r="AE651" s="112"/>
      <c r="AF651" s="112">
        <f t="shared" ref="AF651:AF655" si="1117">$H651/12</f>
        <v>12804.1509433962</v>
      </c>
      <c r="AG651" s="112"/>
      <c r="AH651" s="112"/>
      <c r="AI651" s="112">
        <f t="shared" ref="AI651:AI655" si="1118">$H651/12</f>
        <v>12804.1509433962</v>
      </c>
      <c r="AJ651" s="112"/>
      <c r="AK651" s="112"/>
      <c r="AL651" s="112">
        <f t="shared" ref="AL651:AL655" si="1119">$H651/12</f>
        <v>12804.1509433962</v>
      </c>
      <c r="AM651" s="112"/>
      <c r="AN651" s="112"/>
      <c r="AO651" s="112">
        <f t="shared" ref="AO651:AO655" si="1120">$H651/12</f>
        <v>12804.1509433962</v>
      </c>
      <c r="AP651" s="112"/>
      <c r="AQ651" s="112"/>
      <c r="AR651" s="112">
        <f t="shared" ref="AR651:AR655" si="1121">$H651/12</f>
        <v>12804.1509433962</v>
      </c>
      <c r="AS651" s="112"/>
      <c r="AT651" s="112"/>
      <c r="AU651" s="112">
        <f t="shared" ref="AU651:AU655" si="1122">$H651/12</f>
        <v>12804.1509433962</v>
      </c>
      <c r="AV651" s="112"/>
      <c r="AW651" s="112"/>
      <c r="AX651" s="112">
        <f t="shared" ref="AX651:AX655" si="1123">$H651/12</f>
        <v>12804.1509433962</v>
      </c>
      <c r="AY651" s="112"/>
      <c r="AZ651" s="112"/>
      <c r="BA651" s="112">
        <f t="shared" ref="BA651:BA655" si="1124">$H651/12</f>
        <v>12804.1509433962</v>
      </c>
      <c r="BB651" s="112"/>
      <c r="BC651" s="112"/>
      <c r="BD651" s="112">
        <f t="shared" ref="BD651:BD655" si="1125">$H651/12</f>
        <v>12804.1509433962</v>
      </c>
      <c r="BE651" s="112"/>
      <c r="BF651" s="112"/>
      <c r="BG651" s="112">
        <f t="shared" ref="BG651:BG655" si="1126">$H651/12</f>
        <v>12804.1509433962</v>
      </c>
      <c r="BH651" s="112"/>
      <c r="BI651" s="112"/>
      <c r="BJ651" s="112">
        <f t="shared" ref="BJ651:BJ655" si="1127">$H651/12</f>
        <v>12804.1509433962</v>
      </c>
      <c r="BK651" s="112"/>
      <c r="BL651" s="304"/>
      <c r="BM651" s="311"/>
      <c r="BN651" s="312"/>
    </row>
    <row r="652" s="108" customFormat="1" ht="33.95" customHeight="1" outlineLevel="1" spans="2:66">
      <c r="B652" s="109" t="s">
        <v>794</v>
      </c>
      <c r="C652" s="110">
        <v>1.4</v>
      </c>
      <c r="D652" s="108" t="s">
        <v>215</v>
      </c>
      <c r="G652" s="109"/>
      <c r="H652" s="109">
        <f>SUM(H653:H657)</f>
        <v>0</v>
      </c>
      <c r="N652" s="303"/>
      <c r="O652" s="286"/>
      <c r="P652" s="286"/>
      <c r="Q652" s="286"/>
      <c r="R652" s="286"/>
      <c r="S652" s="286"/>
      <c r="T652" s="286"/>
      <c r="U652" s="286"/>
      <c r="V652" s="286"/>
      <c r="W652" s="286"/>
      <c r="X652" s="286"/>
      <c r="Y652" s="286"/>
      <c r="Z652" s="286"/>
      <c r="AA652" s="286"/>
      <c r="AB652" s="109">
        <f t="shared" ref="AB652:AC652" si="1128">SUM(AB653:AB657)</f>
        <v>0</v>
      </c>
      <c r="AC652" s="109">
        <f t="shared" si="1128"/>
        <v>0</v>
      </c>
      <c r="AF652" s="109">
        <f>SUM(AF653:AF657)</f>
        <v>0</v>
      </c>
      <c r="AI652" s="109">
        <f>SUM(AI653:AI657)</f>
        <v>0</v>
      </c>
      <c r="AL652" s="109">
        <f>SUM(AL653:AL657)</f>
        <v>0</v>
      </c>
      <c r="AO652" s="109">
        <f>SUM(AO653:AO657)</f>
        <v>0</v>
      </c>
      <c r="AR652" s="109">
        <f>SUM(AR653:AR657)</f>
        <v>0</v>
      </c>
      <c r="AU652" s="109">
        <f>SUM(AU653:AU657)</f>
        <v>0</v>
      </c>
      <c r="AX652" s="109">
        <f>SUM(AX653:AX657)</f>
        <v>0</v>
      </c>
      <c r="BA652" s="109">
        <f>SUM(BA653:BA657)</f>
        <v>0</v>
      </c>
      <c r="BD652" s="109">
        <f>SUM(BD653:BD657)</f>
        <v>0</v>
      </c>
      <c r="BG652" s="109">
        <f>SUM(BG653:BG657)</f>
        <v>0</v>
      </c>
      <c r="BJ652" s="109">
        <f>SUM(BJ653:BJ657)</f>
        <v>0</v>
      </c>
      <c r="BL652" s="303"/>
      <c r="BM652" s="311"/>
      <c r="BN652" s="286"/>
    </row>
    <row r="653" s="22" customFormat="1" ht="33.95" customHeight="1" outlineLevel="2" spans="2:66">
      <c r="B653" s="112" t="s">
        <v>799</v>
      </c>
      <c r="C653" s="113" t="s">
        <v>84</v>
      </c>
      <c r="D653" s="22" t="s">
        <v>85</v>
      </c>
      <c r="E653" s="112" t="s">
        <v>2302</v>
      </c>
      <c r="F653" s="112"/>
      <c r="G653" s="112" t="s">
        <v>1851</v>
      </c>
      <c r="H653" s="112">
        <f t="shared" ref="H653:H657" si="1129">J653*L653*N653</f>
        <v>0</v>
      </c>
      <c r="I653" s="112" t="s">
        <v>2303</v>
      </c>
      <c r="J653" s="298">
        <f>预算主表!P100/(12*L653)</f>
        <v>0</v>
      </c>
      <c r="K653" s="112" t="s">
        <v>2304</v>
      </c>
      <c r="L653" s="298">
        <v>5.24</v>
      </c>
      <c r="M653" s="112" t="s">
        <v>2305</v>
      </c>
      <c r="N653" s="304">
        <v>12</v>
      </c>
      <c r="O653" s="287"/>
      <c r="P653" s="287"/>
      <c r="Q653" s="287"/>
      <c r="R653" s="287"/>
      <c r="S653" s="287"/>
      <c r="T653" s="287"/>
      <c r="U653" s="287"/>
      <c r="V653" s="287"/>
      <c r="W653" s="287"/>
      <c r="X653" s="287"/>
      <c r="Y653" s="287"/>
      <c r="Z653" s="287"/>
      <c r="AA653" s="287"/>
      <c r="AB653" s="112">
        <f t="shared" ref="AB653:AB657" si="1130">SUM(AC653,AF653,AI653,AL653,AO653,AR653,AU653,AX653,BA653,BD653,BG653,BJ653)</f>
        <v>0</v>
      </c>
      <c r="AC653" s="112">
        <f t="shared" si="1116"/>
        <v>0</v>
      </c>
      <c r="AD653" s="112"/>
      <c r="AE653" s="112"/>
      <c r="AF653" s="112">
        <f t="shared" si="1117"/>
        <v>0</v>
      </c>
      <c r="AG653" s="112"/>
      <c r="AH653" s="112"/>
      <c r="AI653" s="112">
        <f t="shared" si="1118"/>
        <v>0</v>
      </c>
      <c r="AJ653" s="112"/>
      <c r="AK653" s="112"/>
      <c r="AL653" s="112">
        <f t="shared" si="1119"/>
        <v>0</v>
      </c>
      <c r="AM653" s="112"/>
      <c r="AN653" s="112"/>
      <c r="AO653" s="112">
        <f t="shared" si="1120"/>
        <v>0</v>
      </c>
      <c r="AP653" s="112"/>
      <c r="AQ653" s="112"/>
      <c r="AR653" s="112">
        <f t="shared" si="1121"/>
        <v>0</v>
      </c>
      <c r="AS653" s="112"/>
      <c r="AT653" s="112"/>
      <c r="AU653" s="112">
        <f t="shared" si="1122"/>
        <v>0</v>
      </c>
      <c r="AV653" s="112"/>
      <c r="AW653" s="112"/>
      <c r="AX653" s="112">
        <f t="shared" si="1123"/>
        <v>0</v>
      </c>
      <c r="AY653" s="112"/>
      <c r="AZ653" s="112"/>
      <c r="BA653" s="112">
        <f t="shared" si="1124"/>
        <v>0</v>
      </c>
      <c r="BB653" s="112"/>
      <c r="BC653" s="112"/>
      <c r="BD653" s="112">
        <f t="shared" si="1125"/>
        <v>0</v>
      </c>
      <c r="BE653" s="112"/>
      <c r="BF653" s="112"/>
      <c r="BG653" s="112">
        <f t="shared" si="1126"/>
        <v>0</v>
      </c>
      <c r="BH653" s="112"/>
      <c r="BI653" s="112"/>
      <c r="BJ653" s="112">
        <f t="shared" si="1127"/>
        <v>0</v>
      </c>
      <c r="BK653" s="112"/>
      <c r="BL653" s="304"/>
      <c r="BM653" s="311"/>
      <c r="BN653" s="312"/>
    </row>
    <row r="654" s="22" customFormat="1" ht="33.95" customHeight="1" outlineLevel="2" spans="2:66">
      <c r="B654" s="112" t="s">
        <v>799</v>
      </c>
      <c r="C654" s="113" t="s">
        <v>88</v>
      </c>
      <c r="D654" s="22" t="s">
        <v>89</v>
      </c>
      <c r="E654" s="112" t="s">
        <v>2306</v>
      </c>
      <c r="F654" s="112"/>
      <c r="G654" s="112" t="s">
        <v>1851</v>
      </c>
      <c r="H654" s="112">
        <f t="shared" si="1129"/>
        <v>0</v>
      </c>
      <c r="I654" s="112" t="s">
        <v>2307</v>
      </c>
      <c r="J654" s="298">
        <f>预算主表!P101/(12*L654)</f>
        <v>0</v>
      </c>
      <c r="K654" s="112" t="s">
        <v>2308</v>
      </c>
      <c r="L654" s="298">
        <v>0.69</v>
      </c>
      <c r="M654" s="112" t="s">
        <v>2309</v>
      </c>
      <c r="N654" s="304">
        <v>12</v>
      </c>
      <c r="O654" s="287"/>
      <c r="P654" s="287"/>
      <c r="Q654" s="287"/>
      <c r="R654" s="287"/>
      <c r="S654" s="287"/>
      <c r="T654" s="287"/>
      <c r="U654" s="287"/>
      <c r="V654" s="287"/>
      <c r="W654" s="287"/>
      <c r="X654" s="287"/>
      <c r="Y654" s="287"/>
      <c r="Z654" s="287"/>
      <c r="AA654" s="287"/>
      <c r="AB654" s="112">
        <f t="shared" si="1130"/>
        <v>0</v>
      </c>
      <c r="AC654" s="112">
        <f t="shared" si="1116"/>
        <v>0</v>
      </c>
      <c r="AD654" s="112"/>
      <c r="AE654" s="112"/>
      <c r="AF654" s="112">
        <f t="shared" si="1117"/>
        <v>0</v>
      </c>
      <c r="AG654" s="112"/>
      <c r="AH654" s="112"/>
      <c r="AI654" s="112">
        <f t="shared" si="1118"/>
        <v>0</v>
      </c>
      <c r="AJ654" s="112"/>
      <c r="AK654" s="112"/>
      <c r="AL654" s="112">
        <f t="shared" si="1119"/>
        <v>0</v>
      </c>
      <c r="AM654" s="112"/>
      <c r="AN654" s="112"/>
      <c r="AO654" s="112">
        <f t="shared" si="1120"/>
        <v>0</v>
      </c>
      <c r="AP654" s="112"/>
      <c r="AQ654" s="112"/>
      <c r="AR654" s="112">
        <f t="shared" si="1121"/>
        <v>0</v>
      </c>
      <c r="AS654" s="112"/>
      <c r="AT654" s="112"/>
      <c r="AU654" s="112">
        <f t="shared" si="1122"/>
        <v>0</v>
      </c>
      <c r="AV654" s="112"/>
      <c r="AW654" s="112"/>
      <c r="AX654" s="112">
        <f t="shared" si="1123"/>
        <v>0</v>
      </c>
      <c r="AY654" s="112"/>
      <c r="AZ654" s="112"/>
      <c r="BA654" s="112">
        <f t="shared" si="1124"/>
        <v>0</v>
      </c>
      <c r="BB654" s="112"/>
      <c r="BC654" s="112"/>
      <c r="BD654" s="112">
        <f t="shared" si="1125"/>
        <v>0</v>
      </c>
      <c r="BE654" s="112"/>
      <c r="BF654" s="112"/>
      <c r="BG654" s="112">
        <f t="shared" si="1126"/>
        <v>0</v>
      </c>
      <c r="BH654" s="112"/>
      <c r="BI654" s="112"/>
      <c r="BJ654" s="112">
        <f t="shared" si="1127"/>
        <v>0</v>
      </c>
      <c r="BK654" s="112"/>
      <c r="BL654" s="304"/>
      <c r="BM654" s="311"/>
      <c r="BN654" s="312"/>
    </row>
    <row r="655" s="22" customFormat="1" ht="33.95" customHeight="1" outlineLevel="2" spans="2:66">
      <c r="B655" s="112" t="s">
        <v>799</v>
      </c>
      <c r="C655" s="113" t="s">
        <v>96</v>
      </c>
      <c r="D655" s="22" t="s">
        <v>97</v>
      </c>
      <c r="E655" s="112" t="s">
        <v>2310</v>
      </c>
      <c r="F655" s="112"/>
      <c r="G655" s="112" t="s">
        <v>1851</v>
      </c>
      <c r="H655" s="112">
        <f t="shared" si="1129"/>
        <v>0</v>
      </c>
      <c r="I655" s="112" t="s">
        <v>2311</v>
      </c>
      <c r="J655" s="298"/>
      <c r="K655" s="112" t="s">
        <v>2304</v>
      </c>
      <c r="L655" s="298"/>
      <c r="M655" s="112" t="s">
        <v>2305</v>
      </c>
      <c r="N655" s="304">
        <v>12</v>
      </c>
      <c r="O655" s="287"/>
      <c r="P655" s="287"/>
      <c r="Q655" s="287"/>
      <c r="R655" s="287"/>
      <c r="S655" s="287"/>
      <c r="T655" s="287"/>
      <c r="U655" s="287"/>
      <c r="V655" s="287"/>
      <c r="W655" s="287"/>
      <c r="X655" s="287"/>
      <c r="Y655" s="287"/>
      <c r="Z655" s="287"/>
      <c r="AA655" s="287"/>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4"/>
      <c r="BM655" s="311"/>
      <c r="BN655" s="312"/>
    </row>
    <row r="656" s="22" customFormat="1" ht="33.95" customHeight="1" outlineLevel="2" spans="2:66">
      <c r="B656" s="112" t="s">
        <v>799</v>
      </c>
      <c r="C656" s="113" t="s">
        <v>92</v>
      </c>
      <c r="D656" s="22" t="s">
        <v>93</v>
      </c>
      <c r="E656" s="112" t="s">
        <v>2312</v>
      </c>
      <c r="F656" s="112" t="s">
        <v>1625</v>
      </c>
      <c r="G656" s="112" t="s">
        <v>1851</v>
      </c>
      <c r="H656" s="112">
        <f>J656*L656</f>
        <v>0</v>
      </c>
      <c r="I656" s="112" t="s">
        <v>2313</v>
      </c>
      <c r="J656" s="298"/>
      <c r="K656" s="112" t="s">
        <v>1243</v>
      </c>
      <c r="L656" s="298"/>
      <c r="M656" s="112" t="s">
        <v>2314</v>
      </c>
      <c r="N656" s="112">
        <f>COUNTA(O656:Z656)</f>
        <v>0</v>
      </c>
      <c r="O656" s="323"/>
      <c r="P656" s="323"/>
      <c r="Q656" s="323"/>
      <c r="R656" s="323"/>
      <c r="S656" s="323"/>
      <c r="T656" s="323"/>
      <c r="U656" s="323"/>
      <c r="V656" s="323"/>
      <c r="W656" s="323"/>
      <c r="X656" s="323"/>
      <c r="Y656" s="323"/>
      <c r="Z656" s="323"/>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4"/>
      <c r="BM656" s="311"/>
      <c r="BN656" s="312"/>
    </row>
    <row r="657" s="22" customFormat="1" ht="33.95" customHeight="1" outlineLevel="2" spans="2:66">
      <c r="B657" s="112" t="s">
        <v>799</v>
      </c>
      <c r="C657" s="113" t="s">
        <v>100</v>
      </c>
      <c r="D657" s="22" t="s">
        <v>101</v>
      </c>
      <c r="E657" s="112" t="s">
        <v>2315</v>
      </c>
      <c r="F657" s="112"/>
      <c r="G657" s="112" t="s">
        <v>1851</v>
      </c>
      <c r="H657" s="112">
        <f t="shared" si="1129"/>
        <v>0</v>
      </c>
      <c r="I657" s="112" t="s">
        <v>1242</v>
      </c>
      <c r="J657" s="112">
        <v>1</v>
      </c>
      <c r="K657" s="112" t="s">
        <v>1243</v>
      </c>
      <c r="L657" s="298"/>
      <c r="M657" s="112" t="s">
        <v>1244</v>
      </c>
      <c r="N657" s="304">
        <v>12</v>
      </c>
      <c r="O657" s="287"/>
      <c r="P657" s="287"/>
      <c r="Q657" s="287"/>
      <c r="R657" s="287"/>
      <c r="S657" s="287"/>
      <c r="T657" s="287"/>
      <c r="U657" s="287"/>
      <c r="V657" s="287"/>
      <c r="W657" s="287"/>
      <c r="X657" s="287"/>
      <c r="Y657" s="287"/>
      <c r="Z657" s="287"/>
      <c r="AA657" s="287"/>
      <c r="AB657" s="112">
        <f t="shared" si="1130"/>
        <v>0</v>
      </c>
      <c r="AC657" s="112">
        <f>$H657/12</f>
        <v>0</v>
      </c>
      <c r="AD657" s="112"/>
      <c r="AE657" s="112"/>
      <c r="AF657" s="112">
        <f>$H657/12</f>
        <v>0</v>
      </c>
      <c r="AG657" s="112"/>
      <c r="AH657" s="112"/>
      <c r="AI657" s="112">
        <f>$H657/12</f>
        <v>0</v>
      </c>
      <c r="AJ657" s="112"/>
      <c r="AK657" s="112"/>
      <c r="AL657" s="112">
        <f>$H657/12</f>
        <v>0</v>
      </c>
      <c r="AM657" s="112"/>
      <c r="AN657" s="112"/>
      <c r="AO657" s="112">
        <f>$H657/12</f>
        <v>0</v>
      </c>
      <c r="AP657" s="112"/>
      <c r="AQ657" s="112"/>
      <c r="AR657" s="112">
        <f>$H657/12</f>
        <v>0</v>
      </c>
      <c r="AS657" s="112"/>
      <c r="AT657" s="112"/>
      <c r="AU657" s="112">
        <f>$H657/12</f>
        <v>0</v>
      </c>
      <c r="AV657" s="112"/>
      <c r="AW657" s="112"/>
      <c r="AX657" s="112">
        <f>$H657/12</f>
        <v>0</v>
      </c>
      <c r="AY657" s="112"/>
      <c r="AZ657" s="112"/>
      <c r="BA657" s="112">
        <f>$H657/12</f>
        <v>0</v>
      </c>
      <c r="BB657" s="112"/>
      <c r="BC657" s="112"/>
      <c r="BD657" s="112">
        <f>$H657/12</f>
        <v>0</v>
      </c>
      <c r="BE657" s="112"/>
      <c r="BF657" s="112"/>
      <c r="BG657" s="112">
        <f>$H657/12</f>
        <v>0</v>
      </c>
      <c r="BH657" s="112"/>
      <c r="BI657" s="112"/>
      <c r="BJ657" s="112">
        <f>$H657/12</f>
        <v>0</v>
      </c>
      <c r="BK657" s="112"/>
      <c r="BL657" s="304"/>
      <c r="BM657" s="311"/>
      <c r="BN657" s="312"/>
    </row>
    <row r="658" s="108" customFormat="1" ht="33.95" customHeight="1" outlineLevel="1" spans="2:66">
      <c r="B658" s="109" t="s">
        <v>794</v>
      </c>
      <c r="C658" s="322">
        <v>1.5</v>
      </c>
      <c r="D658" s="108" t="s">
        <v>216</v>
      </c>
      <c r="G658" s="109"/>
      <c r="H658" s="109">
        <f>SUM(H659:H667)</f>
        <v>129600</v>
      </c>
      <c r="N658" s="303"/>
      <c r="O658" s="286"/>
      <c r="P658" s="286"/>
      <c r="Q658" s="286"/>
      <c r="R658" s="286"/>
      <c r="S658" s="286"/>
      <c r="T658" s="286"/>
      <c r="U658" s="286"/>
      <c r="V658" s="286"/>
      <c r="W658" s="286"/>
      <c r="X658" s="286"/>
      <c r="Y658" s="286"/>
      <c r="Z658" s="286"/>
      <c r="AA658" s="286"/>
      <c r="AB658" s="109">
        <f t="shared" ref="AB658:AF658" si="1131">SUM(AB659:AB667)</f>
        <v>129600</v>
      </c>
      <c r="AC658" s="109">
        <f t="shared" si="1131"/>
        <v>10800</v>
      </c>
      <c r="AF658" s="109">
        <f t="shared" si="1131"/>
        <v>10800</v>
      </c>
      <c r="AI658" s="109">
        <f>SUM(AI659:AI667)</f>
        <v>10800</v>
      </c>
      <c r="AL658" s="109">
        <f>SUM(AL659:AL667)</f>
        <v>10800</v>
      </c>
      <c r="AO658" s="109">
        <f>SUM(AO659:AO667)</f>
        <v>10800</v>
      </c>
      <c r="AR658" s="109">
        <f>SUM(AR659:AR667)</f>
        <v>10800</v>
      </c>
      <c r="AU658" s="109">
        <f>SUM(AU659:AU667)</f>
        <v>10800</v>
      </c>
      <c r="AX658" s="109">
        <f>SUM(AX659:AX667)</f>
        <v>10800</v>
      </c>
      <c r="BA658" s="109">
        <f>SUM(BA659:BA667)</f>
        <v>10800</v>
      </c>
      <c r="BD658" s="109">
        <f>SUM(BD659:BD667)</f>
        <v>10800</v>
      </c>
      <c r="BG658" s="109">
        <f>SUM(BG659:BG667)</f>
        <v>10800</v>
      </c>
      <c r="BJ658" s="109">
        <f>SUM(BJ659:BJ667)</f>
        <v>10800</v>
      </c>
      <c r="BL658" s="303"/>
      <c r="BM658" s="311"/>
      <c r="BN658" s="286"/>
    </row>
    <row r="659" s="22" customFormat="1" ht="33.95" customHeight="1" outlineLevel="2" spans="2:66">
      <c r="B659" s="112" t="s">
        <v>799</v>
      </c>
      <c r="C659" s="113" t="s">
        <v>135</v>
      </c>
      <c r="D659" s="22" t="s">
        <v>136</v>
      </c>
      <c r="E659" s="112" t="s">
        <v>2316</v>
      </c>
      <c r="F659" s="112"/>
      <c r="G659" s="112" t="s">
        <v>943</v>
      </c>
      <c r="H659" s="112">
        <f>J659*L659*N659</f>
        <v>0</v>
      </c>
      <c r="I659" s="112" t="s">
        <v>1242</v>
      </c>
      <c r="J659" s="298"/>
      <c r="K659" s="112" t="s">
        <v>1396</v>
      </c>
      <c r="L659" s="112">
        <v>100</v>
      </c>
      <c r="M659" s="112" t="s">
        <v>1417</v>
      </c>
      <c r="N659" s="112">
        <f>COUNTA(O659:Z659)</f>
        <v>0</v>
      </c>
      <c r="O659" s="323"/>
      <c r="P659" s="323"/>
      <c r="Q659" s="323"/>
      <c r="R659" s="323"/>
      <c r="S659" s="323"/>
      <c r="T659" s="323"/>
      <c r="U659" s="323"/>
      <c r="V659" s="323"/>
      <c r="W659" s="323"/>
      <c r="X659" s="323"/>
      <c r="Y659" s="323"/>
      <c r="Z659" s="323"/>
      <c r="AA659" s="112"/>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2" customFormat="1" ht="33.95" customHeight="1" outlineLevel="2" spans="2:66">
      <c r="B660" s="112" t="s">
        <v>799</v>
      </c>
      <c r="C660" s="113" t="s">
        <v>137</v>
      </c>
      <c r="D660" s="22" t="s">
        <v>138</v>
      </c>
      <c r="E660" s="112" t="s">
        <v>2317</v>
      </c>
      <c r="F660" s="112"/>
      <c r="G660" s="112" t="s">
        <v>1851</v>
      </c>
      <c r="H660" s="112">
        <f t="shared" ref="H660:H667" si="1132">J660*L660*N660</f>
        <v>60000</v>
      </c>
      <c r="I660" s="112" t="s">
        <v>1242</v>
      </c>
      <c r="J660" s="112">
        <v>1</v>
      </c>
      <c r="K660" s="112" t="s">
        <v>1243</v>
      </c>
      <c r="L660" s="298">
        <f>预算主表!P116/12</f>
        <v>5000</v>
      </c>
      <c r="M660" s="112" t="s">
        <v>1244</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60000</v>
      </c>
      <c r="AC660" s="325">
        <f t="shared" ref="AC660:AC667" si="1134">$H660/12</f>
        <v>5000</v>
      </c>
      <c r="AD660" s="325"/>
      <c r="AE660" s="325"/>
      <c r="AF660" s="325">
        <f t="shared" ref="AF660:AF667" si="1135">$H660/12</f>
        <v>5000</v>
      </c>
      <c r="AG660" s="325"/>
      <c r="AH660" s="325"/>
      <c r="AI660" s="325">
        <f t="shared" ref="AI660:AI667" si="1136">$H660/12</f>
        <v>5000</v>
      </c>
      <c r="AJ660" s="325"/>
      <c r="AK660" s="325"/>
      <c r="AL660" s="325">
        <f t="shared" ref="AL660:AL667" si="1137">$H660/12</f>
        <v>5000</v>
      </c>
      <c r="AM660" s="325"/>
      <c r="AN660" s="325"/>
      <c r="AO660" s="325">
        <f t="shared" ref="AO660:AO667" si="1138">$H660/12</f>
        <v>5000</v>
      </c>
      <c r="AP660" s="325"/>
      <c r="AQ660" s="325"/>
      <c r="AR660" s="325">
        <f t="shared" ref="AR660:AR667" si="1139">$H660/12</f>
        <v>5000</v>
      </c>
      <c r="AS660" s="325"/>
      <c r="AT660" s="325"/>
      <c r="AU660" s="325">
        <f t="shared" ref="AU660:AU667" si="1140">$H660/12</f>
        <v>5000</v>
      </c>
      <c r="AV660" s="325"/>
      <c r="AW660" s="325"/>
      <c r="AX660" s="325">
        <f t="shared" ref="AX660:AX667" si="1141">$H660/12</f>
        <v>5000</v>
      </c>
      <c r="AY660" s="325"/>
      <c r="AZ660" s="325"/>
      <c r="BA660" s="325">
        <f t="shared" ref="BA660:BA667" si="1142">$H660/12</f>
        <v>5000</v>
      </c>
      <c r="BB660" s="325"/>
      <c r="BC660" s="325"/>
      <c r="BD660" s="325">
        <f t="shared" ref="BD660:BD667" si="1143">$H660/12</f>
        <v>5000</v>
      </c>
      <c r="BE660" s="325"/>
      <c r="BF660" s="325"/>
      <c r="BG660" s="325">
        <f t="shared" ref="BG660:BG667" si="1144">$H660/12</f>
        <v>5000</v>
      </c>
      <c r="BH660" s="325"/>
      <c r="BI660" s="325"/>
      <c r="BJ660" s="325">
        <f t="shared" ref="BJ660:BJ667" si="1145">$H660/12</f>
        <v>5000</v>
      </c>
      <c r="BK660" s="325"/>
      <c r="BL660" s="326"/>
      <c r="BM660" s="311"/>
      <c r="BN660" s="312"/>
    </row>
    <row r="661" s="22" customFormat="1" ht="33.95" customHeight="1" outlineLevel="2" spans="2:66">
      <c r="B661" s="112" t="s">
        <v>799</v>
      </c>
      <c r="C661" s="113" t="s">
        <v>141</v>
      </c>
      <c r="D661" s="22" t="s">
        <v>142</v>
      </c>
      <c r="E661" s="112" t="s">
        <v>2318</v>
      </c>
      <c r="F661" s="112"/>
      <c r="G661" s="112" t="s">
        <v>1851</v>
      </c>
      <c r="H661" s="112">
        <f t="shared" si="1132"/>
        <v>9600</v>
      </c>
      <c r="I661" s="112" t="s">
        <v>1242</v>
      </c>
      <c r="J661" s="112">
        <v>1</v>
      </c>
      <c r="K661" s="112" t="s">
        <v>1243</v>
      </c>
      <c r="L661" s="298">
        <f>预算主表!P117/12</f>
        <v>800</v>
      </c>
      <c r="M661" s="112" t="s">
        <v>1244</v>
      </c>
      <c r="N661" s="304">
        <v>12</v>
      </c>
      <c r="O661" s="287"/>
      <c r="P661" s="287"/>
      <c r="Q661" s="287"/>
      <c r="R661" s="287"/>
      <c r="S661" s="287"/>
      <c r="T661" s="287"/>
      <c r="U661" s="287"/>
      <c r="V661" s="287"/>
      <c r="W661" s="287"/>
      <c r="X661" s="287"/>
      <c r="Y661" s="287"/>
      <c r="Z661" s="287"/>
      <c r="AA661" s="287"/>
      <c r="AB661" s="325">
        <f t="shared" si="1133"/>
        <v>9600</v>
      </c>
      <c r="AC661" s="325">
        <f t="shared" si="1134"/>
        <v>800</v>
      </c>
      <c r="AD661" s="325"/>
      <c r="AE661" s="325"/>
      <c r="AF661" s="325">
        <f t="shared" si="1135"/>
        <v>800</v>
      </c>
      <c r="AG661" s="325"/>
      <c r="AH661" s="325"/>
      <c r="AI661" s="325">
        <f t="shared" si="1136"/>
        <v>800</v>
      </c>
      <c r="AJ661" s="325"/>
      <c r="AK661" s="325"/>
      <c r="AL661" s="325">
        <f t="shared" si="1137"/>
        <v>800</v>
      </c>
      <c r="AM661" s="325"/>
      <c r="AN661" s="325"/>
      <c r="AO661" s="325">
        <f t="shared" si="1138"/>
        <v>800</v>
      </c>
      <c r="AP661" s="325"/>
      <c r="AQ661" s="325"/>
      <c r="AR661" s="325">
        <f t="shared" si="1139"/>
        <v>800</v>
      </c>
      <c r="AS661" s="325"/>
      <c r="AT661" s="325"/>
      <c r="AU661" s="325">
        <f t="shared" si="1140"/>
        <v>800</v>
      </c>
      <c r="AV661" s="325"/>
      <c r="AW661" s="325"/>
      <c r="AX661" s="325">
        <f t="shared" si="1141"/>
        <v>800</v>
      </c>
      <c r="AY661" s="325"/>
      <c r="AZ661" s="325"/>
      <c r="BA661" s="325">
        <f t="shared" si="1142"/>
        <v>800</v>
      </c>
      <c r="BB661" s="325"/>
      <c r="BC661" s="325"/>
      <c r="BD661" s="325">
        <f t="shared" si="1143"/>
        <v>800</v>
      </c>
      <c r="BE661" s="325"/>
      <c r="BF661" s="325"/>
      <c r="BG661" s="325">
        <f t="shared" si="1144"/>
        <v>800</v>
      </c>
      <c r="BH661" s="325"/>
      <c r="BI661" s="325"/>
      <c r="BJ661" s="325">
        <f t="shared" si="1145"/>
        <v>800</v>
      </c>
      <c r="BK661" s="325"/>
      <c r="BL661" s="326"/>
      <c r="BM661" s="311"/>
      <c r="BN661" s="312"/>
    </row>
    <row r="662" s="22" customFormat="1" ht="33.95" customHeight="1" outlineLevel="2" spans="2:66">
      <c r="B662" s="112" t="s">
        <v>799</v>
      </c>
      <c r="C662" s="113" t="s">
        <v>102</v>
      </c>
      <c r="D662" s="22" t="s">
        <v>103</v>
      </c>
      <c r="E662" s="112" t="s">
        <v>2319</v>
      </c>
      <c r="F662" s="112"/>
      <c r="G662" s="112" t="s">
        <v>1851</v>
      </c>
      <c r="H662" s="112">
        <f t="shared" si="1132"/>
        <v>0</v>
      </c>
      <c r="I662" s="112" t="s">
        <v>1242</v>
      </c>
      <c r="J662" s="112">
        <v>1</v>
      </c>
      <c r="K662" s="112" t="s">
        <v>1243</v>
      </c>
      <c r="L662" s="298"/>
      <c r="M662" s="112" t="s">
        <v>1244</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2" customFormat="1" ht="33.95" customHeight="1" outlineLevel="2" spans="2:66">
      <c r="B663" s="112" t="s">
        <v>799</v>
      </c>
      <c r="C663" s="113" t="s">
        <v>143</v>
      </c>
      <c r="D663" s="22" t="s">
        <v>144</v>
      </c>
      <c r="E663" s="112"/>
      <c r="F663" s="112"/>
      <c r="G663" s="112" t="s">
        <v>1851</v>
      </c>
      <c r="H663" s="112">
        <f t="shared" si="1132"/>
        <v>0</v>
      </c>
      <c r="I663" s="112" t="s">
        <v>1242</v>
      </c>
      <c r="J663" s="112">
        <v>1</v>
      </c>
      <c r="K663" s="112" t="s">
        <v>1243</v>
      </c>
      <c r="L663" s="298"/>
      <c r="M663" s="112" t="s">
        <v>1244</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2" customFormat="1" ht="33.95" customHeight="1" outlineLevel="2" spans="2:66">
      <c r="B664" s="112" t="s">
        <v>799</v>
      </c>
      <c r="C664" s="113" t="s">
        <v>147</v>
      </c>
      <c r="D664" s="22" t="s">
        <v>148</v>
      </c>
      <c r="E664" s="112" t="s">
        <v>2320</v>
      </c>
      <c r="F664" s="112"/>
      <c r="G664" s="112" t="s">
        <v>1851</v>
      </c>
      <c r="H664" s="112">
        <f t="shared" si="1132"/>
        <v>0</v>
      </c>
      <c r="I664" s="112" t="s">
        <v>1242</v>
      </c>
      <c r="J664" s="112">
        <v>1</v>
      </c>
      <c r="K664" s="112" t="s">
        <v>1243</v>
      </c>
      <c r="L664" s="298">
        <f>预算主表!P119/12</f>
        <v>0</v>
      </c>
      <c r="M664" s="112" t="s">
        <v>1244</v>
      </c>
      <c r="N664" s="304">
        <v>12</v>
      </c>
      <c r="O664" s="287"/>
      <c r="P664" s="287"/>
      <c r="Q664" s="287"/>
      <c r="R664" s="287"/>
      <c r="S664" s="287"/>
      <c r="T664" s="287"/>
      <c r="U664" s="287"/>
      <c r="V664" s="287"/>
      <c r="W664" s="287"/>
      <c r="X664" s="287"/>
      <c r="Y664" s="287"/>
      <c r="Z664" s="287"/>
      <c r="AA664" s="287"/>
      <c r="AB664" s="325">
        <f t="shared" si="1133"/>
        <v>0</v>
      </c>
      <c r="AC664" s="325">
        <f t="shared" si="1134"/>
        <v>0</v>
      </c>
      <c r="AD664" s="325"/>
      <c r="AE664" s="325"/>
      <c r="AF664" s="325">
        <f t="shared" si="1135"/>
        <v>0</v>
      </c>
      <c r="AG664" s="325"/>
      <c r="AH664" s="325"/>
      <c r="AI664" s="325">
        <f t="shared" si="1136"/>
        <v>0</v>
      </c>
      <c r="AJ664" s="325"/>
      <c r="AK664" s="325"/>
      <c r="AL664" s="325">
        <f t="shared" si="1137"/>
        <v>0</v>
      </c>
      <c r="AM664" s="325"/>
      <c r="AN664" s="325"/>
      <c r="AO664" s="325">
        <f t="shared" si="1138"/>
        <v>0</v>
      </c>
      <c r="AP664" s="325"/>
      <c r="AQ664" s="325"/>
      <c r="AR664" s="325">
        <f t="shared" si="1139"/>
        <v>0</v>
      </c>
      <c r="AS664" s="325"/>
      <c r="AT664" s="325"/>
      <c r="AU664" s="325">
        <f t="shared" si="1140"/>
        <v>0</v>
      </c>
      <c r="AV664" s="325"/>
      <c r="AW664" s="325"/>
      <c r="AX664" s="325">
        <f t="shared" si="1141"/>
        <v>0</v>
      </c>
      <c r="AY664" s="325"/>
      <c r="AZ664" s="325"/>
      <c r="BA664" s="325">
        <f t="shared" si="1142"/>
        <v>0</v>
      </c>
      <c r="BB664" s="325"/>
      <c r="BC664" s="325"/>
      <c r="BD664" s="325">
        <f t="shared" si="1143"/>
        <v>0</v>
      </c>
      <c r="BE664" s="325"/>
      <c r="BF664" s="325"/>
      <c r="BG664" s="325">
        <f t="shared" si="1144"/>
        <v>0</v>
      </c>
      <c r="BH664" s="325"/>
      <c r="BI664" s="325"/>
      <c r="BJ664" s="325">
        <f t="shared" si="1145"/>
        <v>0</v>
      </c>
      <c r="BK664" s="325"/>
      <c r="BL664" s="326"/>
      <c r="BM664" s="311"/>
      <c r="BN664" s="312"/>
    </row>
    <row r="665" s="22" customFormat="1" ht="33.95" customHeight="1" outlineLevel="2" spans="2:66">
      <c r="B665" s="112" t="s">
        <v>799</v>
      </c>
      <c r="C665" s="113" t="s">
        <v>153</v>
      </c>
      <c r="D665" s="22" t="s">
        <v>154</v>
      </c>
      <c r="E665" s="112" t="s">
        <v>2321</v>
      </c>
      <c r="F665" s="112"/>
      <c r="G665" s="112" t="s">
        <v>1851</v>
      </c>
      <c r="H665" s="112">
        <f t="shared" si="1132"/>
        <v>0</v>
      </c>
      <c r="I665" s="112" t="s">
        <v>1242</v>
      </c>
      <c r="J665" s="112">
        <v>1</v>
      </c>
      <c r="K665" s="112" t="s">
        <v>1243</v>
      </c>
      <c r="L665" s="298">
        <f>预算主表!P125/12</f>
        <v>0</v>
      </c>
      <c r="M665" s="112" t="s">
        <v>1244</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2" customFormat="1" ht="33.95" customHeight="1" outlineLevel="2" spans="2:66">
      <c r="B666" s="112" t="s">
        <v>799</v>
      </c>
      <c r="C666" s="113" t="s">
        <v>157</v>
      </c>
      <c r="D666" s="22" t="s">
        <v>158</v>
      </c>
      <c r="E666" s="112" t="s">
        <v>2322</v>
      </c>
      <c r="F666" s="112"/>
      <c r="G666" s="112" t="s">
        <v>1851</v>
      </c>
      <c r="H666" s="112">
        <f t="shared" si="1132"/>
        <v>60000</v>
      </c>
      <c r="I666" s="112" t="s">
        <v>1242</v>
      </c>
      <c r="J666" s="112">
        <v>1</v>
      </c>
      <c r="K666" s="112" t="s">
        <v>1243</v>
      </c>
      <c r="L666" s="298">
        <f>预算主表!P127/12</f>
        <v>5000</v>
      </c>
      <c r="M666" s="112" t="s">
        <v>1244</v>
      </c>
      <c r="N666" s="304">
        <v>12</v>
      </c>
      <c r="O666" s="287"/>
      <c r="P666" s="287"/>
      <c r="Q666" s="287"/>
      <c r="R666" s="287"/>
      <c r="S666" s="287"/>
      <c r="T666" s="287"/>
      <c r="U666" s="287"/>
      <c r="V666" s="287"/>
      <c r="W666" s="287"/>
      <c r="X666" s="287"/>
      <c r="Y666" s="287"/>
      <c r="Z666" s="287"/>
      <c r="AA666" s="287"/>
      <c r="AB666" s="325">
        <f t="shared" si="1133"/>
        <v>60000</v>
      </c>
      <c r="AC666" s="325">
        <f t="shared" si="1134"/>
        <v>5000</v>
      </c>
      <c r="AD666" s="325"/>
      <c r="AE666" s="325"/>
      <c r="AF666" s="325">
        <f t="shared" si="1135"/>
        <v>5000</v>
      </c>
      <c r="AG666" s="325"/>
      <c r="AH666" s="325"/>
      <c r="AI666" s="325">
        <f t="shared" si="1136"/>
        <v>5000</v>
      </c>
      <c r="AJ666" s="325"/>
      <c r="AK666" s="325"/>
      <c r="AL666" s="325">
        <f t="shared" si="1137"/>
        <v>5000</v>
      </c>
      <c r="AM666" s="325"/>
      <c r="AN666" s="325"/>
      <c r="AO666" s="325">
        <f t="shared" si="1138"/>
        <v>5000</v>
      </c>
      <c r="AP666" s="325"/>
      <c r="AQ666" s="325"/>
      <c r="AR666" s="325">
        <f t="shared" si="1139"/>
        <v>5000</v>
      </c>
      <c r="AS666" s="325"/>
      <c r="AT666" s="325"/>
      <c r="AU666" s="325">
        <f t="shared" si="1140"/>
        <v>5000</v>
      </c>
      <c r="AV666" s="325"/>
      <c r="AW666" s="325"/>
      <c r="AX666" s="325">
        <f t="shared" si="1141"/>
        <v>5000</v>
      </c>
      <c r="AY666" s="325"/>
      <c r="AZ666" s="325"/>
      <c r="BA666" s="325">
        <f t="shared" si="1142"/>
        <v>5000</v>
      </c>
      <c r="BB666" s="325"/>
      <c r="BC666" s="325"/>
      <c r="BD666" s="325">
        <f t="shared" si="1143"/>
        <v>5000</v>
      </c>
      <c r="BE666" s="325"/>
      <c r="BF666" s="325"/>
      <c r="BG666" s="325">
        <f t="shared" si="1144"/>
        <v>5000</v>
      </c>
      <c r="BH666" s="325"/>
      <c r="BI666" s="325"/>
      <c r="BJ666" s="325">
        <f t="shared" si="1145"/>
        <v>5000</v>
      </c>
      <c r="BK666" s="325"/>
      <c r="BL666" s="326"/>
      <c r="BM666" s="311"/>
      <c r="BN666" s="312"/>
    </row>
    <row r="667" s="22" customFormat="1" ht="33.95" customHeight="1" outlineLevel="2" spans="2:66">
      <c r="B667" s="112" t="s">
        <v>799</v>
      </c>
      <c r="C667" s="113" t="s">
        <v>78</v>
      </c>
      <c r="D667" s="22" t="s">
        <v>79</v>
      </c>
      <c r="E667" s="112" t="s">
        <v>2323</v>
      </c>
      <c r="F667" s="112"/>
      <c r="G667" s="112" t="s">
        <v>1851</v>
      </c>
      <c r="H667" s="112">
        <f t="shared" si="1132"/>
        <v>0</v>
      </c>
      <c r="I667" s="112" t="s">
        <v>1242</v>
      </c>
      <c r="J667" s="112">
        <v>1</v>
      </c>
      <c r="K667" s="112" t="s">
        <v>1243</v>
      </c>
      <c r="L667" s="298">
        <f>预算主表!P98/12</f>
        <v>0</v>
      </c>
      <c r="M667" s="112" t="s">
        <v>1244</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8" customFormat="1" ht="33.95" customHeight="1" outlineLevel="1" spans="2:66">
      <c r="B668" s="109" t="s">
        <v>794</v>
      </c>
      <c r="C668" s="110">
        <v>1.6</v>
      </c>
      <c r="D668" s="108" t="s">
        <v>217</v>
      </c>
      <c r="F668" s="108" t="s">
        <v>2324</v>
      </c>
      <c r="G668" s="109"/>
      <c r="H668" s="109">
        <f>H669+H691+H692+H693+H694</f>
        <v>201509.433962264</v>
      </c>
      <c r="N668" s="303"/>
      <c r="O668" s="286"/>
      <c r="P668" s="286"/>
      <c r="Q668" s="286"/>
      <c r="R668" s="286"/>
      <c r="S668" s="286"/>
      <c r="T668" s="286"/>
      <c r="U668" s="286"/>
      <c r="V668" s="286"/>
      <c r="W668" s="286"/>
      <c r="X668" s="286"/>
      <c r="Y668" s="286"/>
      <c r="Z668" s="286"/>
      <c r="AA668" s="286"/>
      <c r="AB668" s="109">
        <f t="shared" ref="AB668:AF668" si="1146">AB669+AB691+AB692+AB693+AB694</f>
        <v>201509.433962264</v>
      </c>
      <c r="AC668" s="109">
        <f t="shared" si="1146"/>
        <v>201509.433962264</v>
      </c>
      <c r="AF668" s="109">
        <f t="shared" si="1146"/>
        <v>0</v>
      </c>
      <c r="AI668" s="109">
        <f>AI669+AI691+AI692+AI693+AI694</f>
        <v>0</v>
      </c>
      <c r="AL668" s="109">
        <f>AL669+AL691+AL692+AL693+AL694</f>
        <v>0</v>
      </c>
      <c r="AO668" s="109">
        <f>AO669+AO691+AO692+AO693+AO694</f>
        <v>0</v>
      </c>
      <c r="AR668" s="109">
        <f>AR669+AR691+AR692+AR693+AR694</f>
        <v>0</v>
      </c>
      <c r="AU668" s="109">
        <f>AU669+AU691+AU692+AU693+AU694</f>
        <v>0</v>
      </c>
      <c r="AX668" s="109">
        <f>AX669+AX691+AX692+AX693+AX694</f>
        <v>0</v>
      </c>
      <c r="BA668" s="109">
        <f>BA669+BA691+BA692+BA693+BA694</f>
        <v>0</v>
      </c>
      <c r="BD668" s="109">
        <f>BD669+BD691+BD692+BD693+BD694</f>
        <v>0</v>
      </c>
      <c r="BG668" s="109">
        <f>BG669+BG691+BG692+BG693+BG694</f>
        <v>0</v>
      </c>
      <c r="BJ668" s="109">
        <f>BJ669+BJ691+BJ692+BJ693+BJ694</f>
        <v>0</v>
      </c>
      <c r="BL668" s="303"/>
      <c r="BM668" s="311"/>
      <c r="BN668" s="286"/>
    </row>
    <row r="669" s="22" customFormat="1" ht="33.95" customHeight="1" outlineLevel="2" spans="2:66">
      <c r="B669" s="112" t="s">
        <v>794</v>
      </c>
      <c r="C669" s="113" t="s">
        <v>2325</v>
      </c>
      <c r="D669" s="22" t="s">
        <v>2326</v>
      </c>
      <c r="G669" s="112"/>
      <c r="H669" s="112">
        <f>SUM(H670:H690)</f>
        <v>0</v>
      </c>
      <c r="I669" s="112"/>
      <c r="N669" s="324"/>
      <c r="O669" s="287"/>
      <c r="P669" s="287"/>
      <c r="Q669" s="287"/>
      <c r="R669" s="287"/>
      <c r="S669" s="287"/>
      <c r="T669" s="287"/>
      <c r="U669" s="287"/>
      <c r="V669" s="287"/>
      <c r="W669" s="287"/>
      <c r="X669" s="287"/>
      <c r="Y669" s="287"/>
      <c r="Z669" s="287"/>
      <c r="AA669" s="312"/>
      <c r="AB669" s="112">
        <f t="shared" ref="AB669:AF669" si="1147">SUM(AB670:AB690)</f>
        <v>0</v>
      </c>
      <c r="AC669" s="112">
        <f t="shared" si="1147"/>
        <v>0</v>
      </c>
      <c r="AF669" s="112">
        <f t="shared" si="1147"/>
        <v>0</v>
      </c>
      <c r="AI669" s="112">
        <f>SUM(AI670:AI690)</f>
        <v>0</v>
      </c>
      <c r="AL669" s="112">
        <f>SUM(AL670:AL690)</f>
        <v>0</v>
      </c>
      <c r="AO669" s="112">
        <f>SUM(AO670:AO690)</f>
        <v>0</v>
      </c>
      <c r="AR669" s="112">
        <f>SUM(AR670:AR690)</f>
        <v>0</v>
      </c>
      <c r="AU669" s="112">
        <f>SUM(AU670:AU690)</f>
        <v>0</v>
      </c>
      <c r="AX669" s="112">
        <f>SUM(AX670:AX690)</f>
        <v>0</v>
      </c>
      <c r="BA669" s="112">
        <f>SUM(BA670:BA690)</f>
        <v>0</v>
      </c>
      <c r="BD669" s="112">
        <f>SUM(BD670:BD690)</f>
        <v>0</v>
      </c>
      <c r="BG669" s="112">
        <f>SUM(BG670:BG690)</f>
        <v>0</v>
      </c>
      <c r="BJ669" s="112">
        <f>SUM(BJ670:BJ690)</f>
        <v>0</v>
      </c>
      <c r="BL669" s="324"/>
      <c r="BM669" s="311"/>
      <c r="BN669" s="312"/>
    </row>
    <row r="670" s="47" customFormat="1" ht="33.95" customHeight="1" outlineLevel="3" spans="2:66">
      <c r="B670" s="115" t="s">
        <v>799</v>
      </c>
      <c r="C670" s="116" t="s">
        <v>2327</v>
      </c>
      <c r="D670" s="47" t="s">
        <v>2328</v>
      </c>
      <c r="F670" s="115" t="s">
        <v>1625</v>
      </c>
      <c r="G670" s="115" t="s">
        <v>943</v>
      </c>
      <c r="H670" s="115">
        <f t="shared" ref="H670:H681" si="1148">J670*L670</f>
        <v>0</v>
      </c>
      <c r="I670" s="115" t="s">
        <v>1242</v>
      </c>
      <c r="J670" s="298"/>
      <c r="K670" s="115" t="s">
        <v>1396</v>
      </c>
      <c r="L670" s="115">
        <v>1700</v>
      </c>
      <c r="M670" s="115" t="s">
        <v>1675</v>
      </c>
      <c r="N670" s="115">
        <f t="shared" ref="N670:N681" si="1149">COUNTA(O670:Z670)</f>
        <v>0</v>
      </c>
      <c r="O670" s="317"/>
      <c r="P670" s="317"/>
      <c r="Q670" s="317"/>
      <c r="R670" s="317"/>
      <c r="S670" s="317"/>
      <c r="T670" s="317"/>
      <c r="U670" s="317"/>
      <c r="V670" s="317"/>
      <c r="W670" s="317"/>
      <c r="X670" s="317"/>
      <c r="Y670" s="317"/>
      <c r="Z670" s="317"/>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5"/>
      <c r="BM670" s="311"/>
      <c r="BN670" s="313"/>
    </row>
    <row r="671" s="47" customFormat="1" ht="33.95" customHeight="1" outlineLevel="3" spans="2:66">
      <c r="B671" s="115" t="s">
        <v>799</v>
      </c>
      <c r="C671" s="116" t="s">
        <v>2329</v>
      </c>
      <c r="D671" s="47" t="s">
        <v>2330</v>
      </c>
      <c r="F671" s="115" t="s">
        <v>1625</v>
      </c>
      <c r="G671" s="115" t="s">
        <v>943</v>
      </c>
      <c r="H671" s="115">
        <f t="shared" si="1148"/>
        <v>0</v>
      </c>
      <c r="I671" s="115" t="s">
        <v>1242</v>
      </c>
      <c r="J671" s="298"/>
      <c r="K671" s="115" t="s">
        <v>1396</v>
      </c>
      <c r="L671" s="115">
        <v>510</v>
      </c>
      <c r="M671" s="115" t="s">
        <v>1675</v>
      </c>
      <c r="N671" s="115">
        <f t="shared" si="1149"/>
        <v>0</v>
      </c>
      <c r="O671" s="298"/>
      <c r="P671" s="298"/>
      <c r="Q671" s="298"/>
      <c r="R671" s="298"/>
      <c r="S671" s="298"/>
      <c r="T671" s="298"/>
      <c r="U671" s="298"/>
      <c r="V671" s="298"/>
      <c r="W671" s="298"/>
      <c r="X671" s="298"/>
      <c r="Y671" s="298"/>
      <c r="Z671" s="298"/>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5"/>
      <c r="BM671" s="311"/>
      <c r="BN671" s="313"/>
    </row>
    <row r="672" s="47" customFormat="1" ht="33.95" customHeight="1" outlineLevel="3" spans="2:66">
      <c r="B672" s="115" t="s">
        <v>799</v>
      </c>
      <c r="C672" s="116" t="s">
        <v>2331</v>
      </c>
      <c r="D672" s="47" t="s">
        <v>2332</v>
      </c>
      <c r="F672" s="115" t="s">
        <v>1625</v>
      </c>
      <c r="G672" s="115" t="s">
        <v>943</v>
      </c>
      <c r="H672" s="115">
        <f t="shared" si="1148"/>
        <v>0</v>
      </c>
      <c r="I672" s="115" t="s">
        <v>1242</v>
      </c>
      <c r="J672" s="298"/>
      <c r="K672" s="115" t="s">
        <v>1396</v>
      </c>
      <c r="L672" s="115">
        <v>200</v>
      </c>
      <c r="M672" s="115" t="s">
        <v>1675</v>
      </c>
      <c r="N672" s="115">
        <f t="shared" si="1149"/>
        <v>0</v>
      </c>
      <c r="O672" s="298"/>
      <c r="P672" s="298"/>
      <c r="Q672" s="298"/>
      <c r="R672" s="298"/>
      <c r="S672" s="298"/>
      <c r="T672" s="298"/>
      <c r="U672" s="298"/>
      <c r="V672" s="298"/>
      <c r="W672" s="298"/>
      <c r="X672" s="298"/>
      <c r="Y672" s="298"/>
      <c r="Z672" s="298"/>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5"/>
      <c r="BM672" s="311"/>
      <c r="BN672" s="313"/>
    </row>
    <row r="673" s="47" customFormat="1" ht="33.95" customHeight="1" outlineLevel="3" spans="2:66">
      <c r="B673" s="115" t="s">
        <v>799</v>
      </c>
      <c r="C673" s="116" t="s">
        <v>2333</v>
      </c>
      <c r="D673" s="47" t="s">
        <v>2334</v>
      </c>
      <c r="E673" s="115" t="s">
        <v>2335</v>
      </c>
      <c r="F673" s="115" t="s">
        <v>1625</v>
      </c>
      <c r="G673" s="115" t="s">
        <v>943</v>
      </c>
      <c r="H673" s="115">
        <f t="shared" si="1148"/>
        <v>0</v>
      </c>
      <c r="I673" s="115" t="s">
        <v>1242</v>
      </c>
      <c r="J673" s="298"/>
      <c r="K673" s="115" t="s">
        <v>1396</v>
      </c>
      <c r="L673" s="115">
        <v>450</v>
      </c>
      <c r="M673" s="115" t="s">
        <v>1675</v>
      </c>
      <c r="N673" s="115">
        <f t="shared" si="1149"/>
        <v>0</v>
      </c>
      <c r="O673" s="298"/>
      <c r="P673" s="298"/>
      <c r="Q673" s="298"/>
      <c r="R673" s="298"/>
      <c r="S673" s="298"/>
      <c r="T673" s="298"/>
      <c r="U673" s="298"/>
      <c r="V673" s="298"/>
      <c r="W673" s="298"/>
      <c r="X673" s="298"/>
      <c r="Y673" s="298"/>
      <c r="Z673" s="298"/>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5"/>
      <c r="BM673" s="311"/>
      <c r="BN673" s="313"/>
    </row>
    <row r="674" s="47" customFormat="1" ht="33.95" customHeight="1" outlineLevel="3" spans="2:66">
      <c r="B674" s="115" t="s">
        <v>799</v>
      </c>
      <c r="C674" s="116" t="s">
        <v>2336</v>
      </c>
      <c r="D674" s="47" t="s">
        <v>2337</v>
      </c>
      <c r="E674" s="115" t="s">
        <v>2338</v>
      </c>
      <c r="F674" s="115" t="s">
        <v>1625</v>
      </c>
      <c r="G674" s="115" t="s">
        <v>943</v>
      </c>
      <c r="H674" s="115">
        <f t="shared" si="1148"/>
        <v>0</v>
      </c>
      <c r="I674" s="115" t="s">
        <v>1242</v>
      </c>
      <c r="J674" s="298"/>
      <c r="K674" s="115" t="s">
        <v>1396</v>
      </c>
      <c r="L674" s="115">
        <v>460</v>
      </c>
      <c r="M674" s="115" t="s">
        <v>1675</v>
      </c>
      <c r="N674" s="115">
        <f t="shared" si="1149"/>
        <v>0</v>
      </c>
      <c r="O674" s="298"/>
      <c r="P674" s="298"/>
      <c r="Q674" s="298"/>
      <c r="R674" s="298"/>
      <c r="S674" s="298"/>
      <c r="T674" s="298"/>
      <c r="U674" s="298"/>
      <c r="V674" s="298"/>
      <c r="W674" s="298"/>
      <c r="X674" s="298"/>
      <c r="Y674" s="298"/>
      <c r="Z674" s="298"/>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5"/>
      <c r="BM674" s="311"/>
      <c r="BN674" s="313"/>
    </row>
    <row r="675" s="47" customFormat="1" ht="33.95" customHeight="1" outlineLevel="3" spans="2:66">
      <c r="B675" s="115" t="s">
        <v>799</v>
      </c>
      <c r="C675" s="116" t="s">
        <v>2339</v>
      </c>
      <c r="D675" s="47" t="s">
        <v>2340</v>
      </c>
      <c r="E675" s="115" t="s">
        <v>2341</v>
      </c>
      <c r="F675" s="115" t="s">
        <v>1625</v>
      </c>
      <c r="G675" s="115" t="s">
        <v>943</v>
      </c>
      <c r="H675" s="115">
        <f t="shared" si="1148"/>
        <v>0</v>
      </c>
      <c r="I675" s="115" t="s">
        <v>1242</v>
      </c>
      <c r="J675" s="298"/>
      <c r="K675" s="115" t="s">
        <v>1396</v>
      </c>
      <c r="L675" s="115">
        <v>1300</v>
      </c>
      <c r="M675" s="115" t="s">
        <v>1675</v>
      </c>
      <c r="N675" s="115">
        <f t="shared" si="1149"/>
        <v>0</v>
      </c>
      <c r="O675" s="298"/>
      <c r="P675" s="298"/>
      <c r="Q675" s="298"/>
      <c r="R675" s="298"/>
      <c r="S675" s="298"/>
      <c r="T675" s="298"/>
      <c r="U675" s="298"/>
      <c r="V675" s="298"/>
      <c r="W675" s="298"/>
      <c r="X675" s="298"/>
      <c r="Y675" s="298"/>
      <c r="Z675" s="298"/>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5"/>
      <c r="BM675" s="311"/>
      <c r="BN675" s="313"/>
    </row>
    <row r="676" s="47" customFormat="1" ht="33.95" customHeight="1" outlineLevel="3" spans="2:66">
      <c r="B676" s="115" t="s">
        <v>799</v>
      </c>
      <c r="C676" s="116" t="s">
        <v>2342</v>
      </c>
      <c r="D676" s="47" t="s">
        <v>2343</v>
      </c>
      <c r="E676" s="115" t="s">
        <v>2344</v>
      </c>
      <c r="F676" s="115" t="s">
        <v>1625</v>
      </c>
      <c r="G676" s="115" t="s">
        <v>943</v>
      </c>
      <c r="H676" s="115">
        <f t="shared" si="1148"/>
        <v>0</v>
      </c>
      <c r="I676" s="115" t="s">
        <v>1242</v>
      </c>
      <c r="J676" s="298"/>
      <c r="K676" s="115" t="s">
        <v>1396</v>
      </c>
      <c r="L676" s="115">
        <v>1100</v>
      </c>
      <c r="M676" s="115" t="s">
        <v>1675</v>
      </c>
      <c r="N676" s="115">
        <f t="shared" si="1149"/>
        <v>0</v>
      </c>
      <c r="O676" s="298"/>
      <c r="P676" s="298"/>
      <c r="Q676" s="298"/>
      <c r="R676" s="298"/>
      <c r="S676" s="298"/>
      <c r="T676" s="298"/>
      <c r="U676" s="298"/>
      <c r="V676" s="298"/>
      <c r="W676" s="298"/>
      <c r="X676" s="298"/>
      <c r="Y676" s="298"/>
      <c r="Z676" s="298"/>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5"/>
      <c r="BM676" s="311"/>
      <c r="BN676" s="313"/>
    </row>
    <row r="677" s="47" customFormat="1" ht="33.95" customHeight="1" outlineLevel="3" spans="2:66">
      <c r="B677" s="115" t="s">
        <v>799</v>
      </c>
      <c r="C677" s="116" t="s">
        <v>2345</v>
      </c>
      <c r="D677" s="47" t="s">
        <v>2346</v>
      </c>
      <c r="E677" s="115" t="s">
        <v>2347</v>
      </c>
      <c r="F677" s="115" t="s">
        <v>1625</v>
      </c>
      <c r="G677" s="115" t="s">
        <v>943</v>
      </c>
      <c r="H677" s="115">
        <f t="shared" si="1148"/>
        <v>0</v>
      </c>
      <c r="I677" s="115" t="s">
        <v>1242</v>
      </c>
      <c r="J677" s="298"/>
      <c r="K677" s="115" t="s">
        <v>1396</v>
      </c>
      <c r="L677" s="115">
        <v>240</v>
      </c>
      <c r="M677" s="115" t="s">
        <v>1675</v>
      </c>
      <c r="N677" s="115">
        <f t="shared" si="1149"/>
        <v>0</v>
      </c>
      <c r="O677" s="298"/>
      <c r="P677" s="298"/>
      <c r="Q677" s="298"/>
      <c r="R677" s="298"/>
      <c r="S677" s="298"/>
      <c r="T677" s="298"/>
      <c r="U677" s="298"/>
      <c r="V677" s="298"/>
      <c r="W677" s="298"/>
      <c r="X677" s="298"/>
      <c r="Y677" s="298"/>
      <c r="Z677" s="298"/>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5"/>
      <c r="BM677" s="311"/>
      <c r="BN677" s="313"/>
    </row>
    <row r="678" s="47" customFormat="1" ht="33.95" customHeight="1" outlineLevel="3" spans="2:66">
      <c r="B678" s="115" t="s">
        <v>799</v>
      </c>
      <c r="C678" s="116" t="s">
        <v>2348</v>
      </c>
      <c r="D678" s="47" t="s">
        <v>2349</v>
      </c>
      <c r="E678" s="115" t="s">
        <v>2350</v>
      </c>
      <c r="F678" s="115" t="s">
        <v>1625</v>
      </c>
      <c r="G678" s="115" t="s">
        <v>943</v>
      </c>
      <c r="H678" s="115">
        <f t="shared" si="1148"/>
        <v>0</v>
      </c>
      <c r="I678" s="115" t="s">
        <v>1242</v>
      </c>
      <c r="J678" s="298"/>
      <c r="K678" s="115" t="s">
        <v>1396</v>
      </c>
      <c r="L678" s="115">
        <v>1200</v>
      </c>
      <c r="M678" s="115" t="s">
        <v>1675</v>
      </c>
      <c r="N678" s="115">
        <f t="shared" si="1149"/>
        <v>0</v>
      </c>
      <c r="O678" s="298"/>
      <c r="P678" s="298"/>
      <c r="Q678" s="298"/>
      <c r="R678" s="298"/>
      <c r="S678" s="298"/>
      <c r="T678" s="298"/>
      <c r="U678" s="298"/>
      <c r="V678" s="298"/>
      <c r="W678" s="298"/>
      <c r="X678" s="298"/>
      <c r="Y678" s="298"/>
      <c r="Z678" s="298"/>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5"/>
      <c r="BM678" s="311"/>
      <c r="BN678" s="313"/>
    </row>
    <row r="679" s="47" customFormat="1" ht="33.95" customHeight="1" outlineLevel="3" spans="2:66">
      <c r="B679" s="115" t="s">
        <v>799</v>
      </c>
      <c r="C679" s="116" t="s">
        <v>2351</v>
      </c>
      <c r="D679" s="47" t="s">
        <v>2352</v>
      </c>
      <c r="E679" s="115" t="s">
        <v>2353</v>
      </c>
      <c r="F679" s="115" t="s">
        <v>1625</v>
      </c>
      <c r="G679" s="115" t="s">
        <v>943</v>
      </c>
      <c r="H679" s="115">
        <f t="shared" si="1148"/>
        <v>0</v>
      </c>
      <c r="I679" s="115" t="s">
        <v>1242</v>
      </c>
      <c r="J679" s="298"/>
      <c r="K679" s="115" t="s">
        <v>1396</v>
      </c>
      <c r="L679" s="115">
        <v>225</v>
      </c>
      <c r="M679" s="115" t="s">
        <v>1675</v>
      </c>
      <c r="N679" s="115">
        <f t="shared" si="1149"/>
        <v>0</v>
      </c>
      <c r="O679" s="298"/>
      <c r="P679" s="298"/>
      <c r="Q679" s="298"/>
      <c r="R679" s="298"/>
      <c r="S679" s="298"/>
      <c r="T679" s="298"/>
      <c r="U679" s="298"/>
      <c r="V679" s="298"/>
      <c r="W679" s="298"/>
      <c r="X679" s="298"/>
      <c r="Y679" s="298"/>
      <c r="Z679" s="298"/>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5"/>
      <c r="BM679" s="311"/>
      <c r="BN679" s="313"/>
    </row>
    <row r="680" s="47" customFormat="1" ht="33.95" customHeight="1" outlineLevel="3" spans="2:66">
      <c r="B680" s="115" t="s">
        <v>799</v>
      </c>
      <c r="C680" s="116" t="s">
        <v>2354</v>
      </c>
      <c r="D680" s="47" t="s">
        <v>2355</v>
      </c>
      <c r="E680" s="115" t="s">
        <v>2356</v>
      </c>
      <c r="F680" s="115" t="s">
        <v>1625</v>
      </c>
      <c r="G680" s="115" t="s">
        <v>943</v>
      </c>
      <c r="H680" s="115">
        <f t="shared" si="1148"/>
        <v>0</v>
      </c>
      <c r="I680" s="115" t="s">
        <v>1242</v>
      </c>
      <c r="J680" s="298"/>
      <c r="K680" s="115" t="s">
        <v>1396</v>
      </c>
      <c r="L680" s="115">
        <v>4000</v>
      </c>
      <c r="M680" s="115" t="s">
        <v>1675</v>
      </c>
      <c r="N680" s="115">
        <f t="shared" si="1149"/>
        <v>0</v>
      </c>
      <c r="O680" s="298"/>
      <c r="P680" s="298"/>
      <c r="Q680" s="298"/>
      <c r="R680" s="298"/>
      <c r="S680" s="298"/>
      <c r="T680" s="298"/>
      <c r="U680" s="298"/>
      <c r="V680" s="298"/>
      <c r="W680" s="298"/>
      <c r="X680" s="298"/>
      <c r="Y680" s="298"/>
      <c r="Z680" s="298"/>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5"/>
      <c r="BM680" s="311"/>
      <c r="BN680" s="313"/>
    </row>
    <row r="681" s="47" customFormat="1" ht="33.95" customHeight="1" outlineLevel="3" spans="2:66">
      <c r="B681" s="115" t="s">
        <v>799</v>
      </c>
      <c r="C681" s="116" t="s">
        <v>2357</v>
      </c>
      <c r="D681" s="47" t="s">
        <v>2358</v>
      </c>
      <c r="E681" s="115" t="s">
        <v>2359</v>
      </c>
      <c r="F681" s="115" t="s">
        <v>1625</v>
      </c>
      <c r="G681" s="115" t="s">
        <v>943</v>
      </c>
      <c r="H681" s="115">
        <f t="shared" si="1148"/>
        <v>0</v>
      </c>
      <c r="I681" s="115" t="s">
        <v>1242</v>
      </c>
      <c r="J681" s="298"/>
      <c r="K681" s="115" t="s">
        <v>1633</v>
      </c>
      <c r="L681" s="115">
        <v>4100</v>
      </c>
      <c r="M681" s="115" t="s">
        <v>1634</v>
      </c>
      <c r="N681" s="115">
        <f t="shared" si="1149"/>
        <v>0</v>
      </c>
      <c r="O681" s="298"/>
      <c r="P681" s="298"/>
      <c r="Q681" s="298"/>
      <c r="R681" s="298"/>
      <c r="S681" s="298"/>
      <c r="T681" s="298"/>
      <c r="U681" s="298"/>
      <c r="V681" s="298"/>
      <c r="W681" s="298"/>
      <c r="X681" s="298"/>
      <c r="Y681" s="298"/>
      <c r="Z681" s="298"/>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5"/>
      <c r="BM681" s="311"/>
      <c r="BN681" s="313"/>
    </row>
    <row r="682" s="47" customFormat="1" ht="33.95" customHeight="1" outlineLevel="3" spans="2:66">
      <c r="B682" s="115" t="s">
        <v>799</v>
      </c>
      <c r="C682" s="116" t="s">
        <v>2360</v>
      </c>
      <c r="D682" s="47" t="s">
        <v>2361</v>
      </c>
      <c r="E682" s="115" t="s">
        <v>2362</v>
      </c>
      <c r="F682" s="115" t="s">
        <v>1625</v>
      </c>
      <c r="G682" s="115" t="s">
        <v>943</v>
      </c>
      <c r="H682" s="115">
        <f t="shared" ref="H682:H690" si="1163">J682*L682</f>
        <v>0</v>
      </c>
      <c r="I682" s="115" t="s">
        <v>1242</v>
      </c>
      <c r="J682" s="298"/>
      <c r="K682" s="115" t="s">
        <v>1396</v>
      </c>
      <c r="L682" s="115">
        <v>1500</v>
      </c>
      <c r="M682" s="115" t="s">
        <v>1675</v>
      </c>
      <c r="N682" s="115">
        <f t="shared" ref="N682:N689" si="1164">COUNTA(O682:Z682)</f>
        <v>0</v>
      </c>
      <c r="O682" s="298"/>
      <c r="P682" s="298"/>
      <c r="Q682" s="298"/>
      <c r="R682" s="298"/>
      <c r="S682" s="298"/>
      <c r="T682" s="298"/>
      <c r="U682" s="298"/>
      <c r="V682" s="298"/>
      <c r="W682" s="298"/>
      <c r="X682" s="298"/>
      <c r="Y682" s="298"/>
      <c r="Z682" s="298"/>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5"/>
      <c r="BM682" s="311"/>
      <c r="BN682" s="313"/>
    </row>
    <row r="683" s="47" customFormat="1" ht="33.95" customHeight="1" outlineLevel="3" spans="2:66">
      <c r="B683" s="115" t="s">
        <v>799</v>
      </c>
      <c r="C683" s="116" t="s">
        <v>2363</v>
      </c>
      <c r="D683" s="47" t="s">
        <v>2364</v>
      </c>
      <c r="E683" s="115"/>
      <c r="F683" s="115" t="s">
        <v>1625</v>
      </c>
      <c r="G683" s="115" t="s">
        <v>943</v>
      </c>
      <c r="H683" s="115">
        <f t="shared" si="1163"/>
        <v>0</v>
      </c>
      <c r="I683" s="115" t="s">
        <v>1242</v>
      </c>
      <c r="J683" s="298"/>
      <c r="K683" s="115" t="s">
        <v>1396</v>
      </c>
      <c r="L683" s="115">
        <v>5000</v>
      </c>
      <c r="M683" s="115" t="s">
        <v>1675</v>
      </c>
      <c r="N683" s="115">
        <f t="shared" si="1164"/>
        <v>0</v>
      </c>
      <c r="O683" s="298"/>
      <c r="P683" s="298"/>
      <c r="Q683" s="298"/>
      <c r="R683" s="298"/>
      <c r="S683" s="298"/>
      <c r="T683" s="298"/>
      <c r="U683" s="298"/>
      <c r="V683" s="298"/>
      <c r="W683" s="298"/>
      <c r="X683" s="298"/>
      <c r="Y683" s="298"/>
      <c r="Z683" s="298"/>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5"/>
      <c r="BM683" s="311"/>
      <c r="BN683" s="313"/>
    </row>
    <row r="684" s="47" customFormat="1" ht="33.95" customHeight="1" outlineLevel="3" spans="2:66">
      <c r="B684" s="115" t="s">
        <v>799</v>
      </c>
      <c r="C684" s="116" t="s">
        <v>2365</v>
      </c>
      <c r="D684" s="47" t="s">
        <v>2366</v>
      </c>
      <c r="E684" s="115"/>
      <c r="F684" s="115" t="s">
        <v>1625</v>
      </c>
      <c r="G684" s="115" t="s">
        <v>943</v>
      </c>
      <c r="H684" s="115">
        <f t="shared" si="1163"/>
        <v>0</v>
      </c>
      <c r="I684" s="115" t="s">
        <v>1242</v>
      </c>
      <c r="J684" s="298"/>
      <c r="K684" s="115" t="s">
        <v>1396</v>
      </c>
      <c r="L684" s="115">
        <v>8500</v>
      </c>
      <c r="M684" s="115" t="s">
        <v>1675</v>
      </c>
      <c r="N684" s="115">
        <f t="shared" si="1164"/>
        <v>0</v>
      </c>
      <c r="O684" s="298"/>
      <c r="P684" s="298"/>
      <c r="Q684" s="298"/>
      <c r="R684" s="298"/>
      <c r="S684" s="298"/>
      <c r="T684" s="298"/>
      <c r="U684" s="298"/>
      <c r="V684" s="298"/>
      <c r="W684" s="298"/>
      <c r="X684" s="298"/>
      <c r="Y684" s="298"/>
      <c r="Z684" s="298"/>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5"/>
      <c r="BM684" s="311"/>
      <c r="BN684" s="313"/>
    </row>
    <row r="685" s="47" customFormat="1" ht="33.95" customHeight="1" outlineLevel="3" spans="2:66">
      <c r="B685" s="115" t="s">
        <v>799</v>
      </c>
      <c r="C685" s="116" t="s">
        <v>2367</v>
      </c>
      <c r="D685" s="47" t="s">
        <v>2368</v>
      </c>
      <c r="E685" s="115"/>
      <c r="F685" s="115" t="s">
        <v>1625</v>
      </c>
      <c r="G685" s="115" t="s">
        <v>943</v>
      </c>
      <c r="H685" s="115">
        <f t="shared" si="1163"/>
        <v>0</v>
      </c>
      <c r="I685" s="115" t="s">
        <v>1242</v>
      </c>
      <c r="J685" s="298"/>
      <c r="K685" s="115" t="s">
        <v>1396</v>
      </c>
      <c r="L685" s="115">
        <v>2700</v>
      </c>
      <c r="M685" s="115" t="s">
        <v>1675</v>
      </c>
      <c r="N685" s="115">
        <f t="shared" si="1164"/>
        <v>0</v>
      </c>
      <c r="O685" s="298"/>
      <c r="P685" s="298"/>
      <c r="Q685" s="298"/>
      <c r="R685" s="298"/>
      <c r="S685" s="298"/>
      <c r="T685" s="298"/>
      <c r="U685" s="298"/>
      <c r="V685" s="298"/>
      <c r="W685" s="298"/>
      <c r="X685" s="298"/>
      <c r="Y685" s="298"/>
      <c r="Z685" s="298"/>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5"/>
      <c r="BM685" s="311"/>
      <c r="BN685" s="313"/>
    </row>
    <row r="686" s="47" customFormat="1" ht="33.95" customHeight="1" outlineLevel="3" spans="2:66">
      <c r="B686" s="115" t="s">
        <v>799</v>
      </c>
      <c r="C686" s="116" t="s">
        <v>2369</v>
      </c>
      <c r="D686" s="47" t="s">
        <v>2370</v>
      </c>
      <c r="E686" s="115" t="s">
        <v>2371</v>
      </c>
      <c r="F686" s="115" t="s">
        <v>1625</v>
      </c>
      <c r="G686" s="115" t="s">
        <v>943</v>
      </c>
      <c r="H686" s="115">
        <f t="shared" si="1163"/>
        <v>0</v>
      </c>
      <c r="I686" s="115" t="s">
        <v>1242</v>
      </c>
      <c r="J686" s="298"/>
      <c r="K686" s="115" t="s">
        <v>1396</v>
      </c>
      <c r="L686" s="115">
        <v>400</v>
      </c>
      <c r="M686" s="115" t="s">
        <v>1675</v>
      </c>
      <c r="N686" s="115">
        <f t="shared" si="1164"/>
        <v>0</v>
      </c>
      <c r="O686" s="298"/>
      <c r="P686" s="298"/>
      <c r="Q686" s="298"/>
      <c r="R686" s="298"/>
      <c r="S686" s="298"/>
      <c r="T686" s="298"/>
      <c r="U686" s="298"/>
      <c r="V686" s="298"/>
      <c r="W686" s="298"/>
      <c r="X686" s="298"/>
      <c r="Y686" s="298"/>
      <c r="Z686" s="298"/>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5"/>
      <c r="BM686" s="311"/>
      <c r="BN686" s="313"/>
    </row>
    <row r="687" s="47" customFormat="1" ht="33.95" customHeight="1" outlineLevel="3" spans="2:66">
      <c r="B687" s="115" t="s">
        <v>799</v>
      </c>
      <c r="C687" s="116" t="s">
        <v>2372</v>
      </c>
      <c r="D687" s="47" t="s">
        <v>2334</v>
      </c>
      <c r="E687" s="115" t="s">
        <v>2335</v>
      </c>
      <c r="F687" s="115" t="s">
        <v>1625</v>
      </c>
      <c r="G687" s="115" t="s">
        <v>943</v>
      </c>
      <c r="H687" s="115">
        <f t="shared" si="1163"/>
        <v>0</v>
      </c>
      <c r="I687" s="115" t="s">
        <v>1242</v>
      </c>
      <c r="J687" s="298"/>
      <c r="K687" s="115" t="s">
        <v>1396</v>
      </c>
      <c r="L687" s="115">
        <v>450</v>
      </c>
      <c r="M687" s="115" t="s">
        <v>1675</v>
      </c>
      <c r="N687" s="115">
        <f t="shared" si="1164"/>
        <v>0</v>
      </c>
      <c r="O687" s="298"/>
      <c r="P687" s="298"/>
      <c r="Q687" s="298"/>
      <c r="R687" s="298"/>
      <c r="S687" s="298"/>
      <c r="T687" s="298"/>
      <c r="U687" s="298"/>
      <c r="V687" s="298"/>
      <c r="W687" s="298"/>
      <c r="X687" s="298"/>
      <c r="Y687" s="298"/>
      <c r="Z687" s="298"/>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5"/>
      <c r="BM687" s="311"/>
      <c r="BN687" s="313"/>
    </row>
    <row r="688" s="47" customFormat="1" ht="33.95" customHeight="1" outlineLevel="3" spans="2:66">
      <c r="B688" s="115" t="s">
        <v>799</v>
      </c>
      <c r="C688" s="116" t="s">
        <v>2373</v>
      </c>
      <c r="D688" s="47" t="s">
        <v>2337</v>
      </c>
      <c r="E688" s="115" t="s">
        <v>2338</v>
      </c>
      <c r="F688" s="115" t="s">
        <v>1625</v>
      </c>
      <c r="G688" s="115" t="s">
        <v>943</v>
      </c>
      <c r="H688" s="115">
        <f t="shared" si="1163"/>
        <v>0</v>
      </c>
      <c r="I688" s="115" t="s">
        <v>1242</v>
      </c>
      <c r="J688" s="298"/>
      <c r="K688" s="115" t="s">
        <v>1396</v>
      </c>
      <c r="L688" s="115">
        <v>460</v>
      </c>
      <c r="M688" s="115" t="s">
        <v>1675</v>
      </c>
      <c r="N688" s="115">
        <f t="shared" si="1164"/>
        <v>0</v>
      </c>
      <c r="O688" s="298"/>
      <c r="P688" s="298"/>
      <c r="Q688" s="298"/>
      <c r="R688" s="298"/>
      <c r="S688" s="298"/>
      <c r="T688" s="298"/>
      <c r="U688" s="298"/>
      <c r="V688" s="298"/>
      <c r="W688" s="298"/>
      <c r="X688" s="298"/>
      <c r="Y688" s="298"/>
      <c r="Z688" s="298"/>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5"/>
      <c r="BM688" s="311"/>
      <c r="BN688" s="313"/>
    </row>
    <row r="689" s="47" customFormat="1" ht="33.95" customHeight="1" outlineLevel="3" spans="2:66">
      <c r="B689" s="115" t="s">
        <v>799</v>
      </c>
      <c r="C689" s="116" t="s">
        <v>2374</v>
      </c>
      <c r="D689" s="47" t="s">
        <v>2375</v>
      </c>
      <c r="E689" s="115" t="s">
        <v>2376</v>
      </c>
      <c r="F689" s="115" t="s">
        <v>1625</v>
      </c>
      <c r="G689" s="115" t="s">
        <v>943</v>
      </c>
      <c r="H689" s="115">
        <f t="shared" si="1163"/>
        <v>0</v>
      </c>
      <c r="I689" s="115" t="s">
        <v>1242</v>
      </c>
      <c r="J689" s="298"/>
      <c r="K689" s="115" t="s">
        <v>1396</v>
      </c>
      <c r="L689" s="115">
        <v>500</v>
      </c>
      <c r="M689" s="115" t="s">
        <v>1675</v>
      </c>
      <c r="N689" s="115">
        <f t="shared" si="1164"/>
        <v>0</v>
      </c>
      <c r="O689" s="316"/>
      <c r="P689" s="316"/>
      <c r="Q689" s="316"/>
      <c r="R689" s="316"/>
      <c r="S689" s="316"/>
      <c r="T689" s="316"/>
      <c r="U689" s="316"/>
      <c r="V689" s="316"/>
      <c r="W689" s="316"/>
      <c r="X689" s="316"/>
      <c r="Y689" s="316"/>
      <c r="Z689" s="316"/>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5"/>
      <c r="BM689" s="311"/>
      <c r="BN689" s="313"/>
    </row>
    <row r="690" s="47" customFormat="1" ht="33.95" customHeight="1" outlineLevel="3" spans="2:66">
      <c r="B690" s="115" t="s">
        <v>799</v>
      </c>
      <c r="C690" s="116" t="s">
        <v>2377</v>
      </c>
      <c r="D690" s="47" t="s">
        <v>2378</v>
      </c>
      <c r="E690" s="115"/>
      <c r="F690" s="115"/>
      <c r="G690" s="115" t="s">
        <v>943</v>
      </c>
      <c r="H690" s="115">
        <f t="shared" si="1163"/>
        <v>0</v>
      </c>
      <c r="I690" s="115" t="s">
        <v>1242</v>
      </c>
      <c r="J690" s="298">
        <v>12</v>
      </c>
      <c r="K690" s="115" t="s">
        <v>1243</v>
      </c>
      <c r="L690" s="298">
        <f>预算主表!P123/12</f>
        <v>0</v>
      </c>
      <c r="M690" s="115" t="s">
        <v>1244</v>
      </c>
      <c r="N690" s="305">
        <v>12</v>
      </c>
      <c r="O690" s="288"/>
      <c r="P690" s="288"/>
      <c r="Q690" s="288"/>
      <c r="R690" s="288"/>
      <c r="S690" s="288"/>
      <c r="T690" s="288"/>
      <c r="U690" s="288"/>
      <c r="V690" s="288"/>
      <c r="W690" s="288"/>
      <c r="X690" s="288"/>
      <c r="Y690" s="288"/>
      <c r="Z690" s="288"/>
      <c r="AA690" s="288"/>
      <c r="AB690" s="115">
        <f t="shared" si="1165"/>
        <v>0</v>
      </c>
      <c r="AC690" s="115">
        <f>$H690/12</f>
        <v>0</v>
      </c>
      <c r="AD690" s="115"/>
      <c r="AE690" s="115"/>
      <c r="AF690" s="115">
        <f>$H690/12</f>
        <v>0</v>
      </c>
      <c r="AG690" s="115"/>
      <c r="AH690" s="115"/>
      <c r="AI690" s="115">
        <f>$H690/12</f>
        <v>0</v>
      </c>
      <c r="AJ690" s="115"/>
      <c r="AK690" s="115"/>
      <c r="AL690" s="115">
        <f>$H690/12</f>
        <v>0</v>
      </c>
      <c r="AM690" s="115"/>
      <c r="AN690" s="115"/>
      <c r="AO690" s="115">
        <f>$H690/12</f>
        <v>0</v>
      </c>
      <c r="AP690" s="115"/>
      <c r="AQ690" s="115"/>
      <c r="AR690" s="115">
        <f>$H690/12</f>
        <v>0</v>
      </c>
      <c r="AS690" s="115"/>
      <c r="AT690" s="115"/>
      <c r="AU690" s="115">
        <f>$H690/12</f>
        <v>0</v>
      </c>
      <c r="AV690" s="115"/>
      <c r="AW690" s="115"/>
      <c r="AX690" s="115">
        <f>$H690/12</f>
        <v>0</v>
      </c>
      <c r="AY690" s="115"/>
      <c r="AZ690" s="115"/>
      <c r="BA690" s="115">
        <f>$H690/12</f>
        <v>0</v>
      </c>
      <c r="BB690" s="115"/>
      <c r="BC690" s="115"/>
      <c r="BD690" s="115">
        <f>$H690/12</f>
        <v>0</v>
      </c>
      <c r="BE690" s="115"/>
      <c r="BF690" s="115"/>
      <c r="BG690" s="115">
        <f>$H690/12</f>
        <v>0</v>
      </c>
      <c r="BH690" s="115"/>
      <c r="BI690" s="115"/>
      <c r="BJ690" s="115">
        <f>$H690/12</f>
        <v>0</v>
      </c>
      <c r="BK690" s="115"/>
      <c r="BL690" s="305"/>
      <c r="BM690" s="311"/>
      <c r="BN690" s="313"/>
    </row>
    <row r="691" s="22" customFormat="1" ht="33.95" customHeight="1" outlineLevel="2" collapsed="1" spans="2:66">
      <c r="B691" s="112" t="s">
        <v>799</v>
      </c>
      <c r="C691" s="113" t="s">
        <v>2379</v>
      </c>
      <c r="D691" s="22" t="s">
        <v>2380</v>
      </c>
      <c r="E691" s="112" t="s">
        <v>2381</v>
      </c>
      <c r="F691" s="112" t="s">
        <v>1625</v>
      </c>
      <c r="G691" s="112" t="s">
        <v>943</v>
      </c>
      <c r="H691" s="112">
        <f t="shared" ref="H691:H694" si="1178">J691*L691</f>
        <v>60000</v>
      </c>
      <c r="I691" s="112" t="s">
        <v>1242</v>
      </c>
      <c r="J691" s="112">
        <v>1</v>
      </c>
      <c r="K691" s="112" t="s">
        <v>1243</v>
      </c>
      <c r="L691" s="298">
        <f>预算主表!P132</f>
        <v>60000</v>
      </c>
      <c r="M691" s="112" t="s">
        <v>1377</v>
      </c>
      <c r="N691" s="112">
        <f t="shared" ref="N691:N694" si="1179">COUNTA(O691:Z691)</f>
        <v>1</v>
      </c>
      <c r="O691" s="317" t="s">
        <v>1292</v>
      </c>
      <c r="P691" s="317"/>
      <c r="Q691" s="317"/>
      <c r="R691" s="317"/>
      <c r="S691" s="317"/>
      <c r="T691" s="317"/>
      <c r="U691" s="317"/>
      <c r="V691" s="317"/>
      <c r="W691" s="317"/>
      <c r="X691" s="317"/>
      <c r="Y691" s="317"/>
      <c r="Z691" s="317"/>
      <c r="AA691" s="112"/>
      <c r="AB691" s="112">
        <f t="shared" si="1165"/>
        <v>60000</v>
      </c>
      <c r="AC691" s="112">
        <f t="shared" ref="AC691:AC694" si="1180">IF(O691="√",$J691*$L691/$N691,0)</f>
        <v>60000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4"/>
      <c r="BM691" s="311"/>
      <c r="BN691" s="312"/>
    </row>
    <row r="692" s="22" customFormat="1" ht="33.95" customHeight="1" outlineLevel="2" collapsed="1" spans="2:66">
      <c r="B692" s="112" t="s">
        <v>799</v>
      </c>
      <c r="C692" s="113" t="s">
        <v>2382</v>
      </c>
      <c r="D692" s="22" t="s">
        <v>2383</v>
      </c>
      <c r="E692" s="112" t="s">
        <v>2384</v>
      </c>
      <c r="F692" s="112" t="s">
        <v>1625</v>
      </c>
      <c r="G692" s="112" t="s">
        <v>943</v>
      </c>
      <c r="H692" s="112">
        <f t="shared" si="1178"/>
        <v>0</v>
      </c>
      <c r="I692" s="112" t="s">
        <v>1242</v>
      </c>
      <c r="J692" s="112">
        <v>1</v>
      </c>
      <c r="K692" s="112" t="s">
        <v>1243</v>
      </c>
      <c r="L692" s="298"/>
      <c r="M692" s="112" t="s">
        <v>1377</v>
      </c>
      <c r="N692" s="112">
        <f t="shared" si="1179"/>
        <v>1</v>
      </c>
      <c r="O692" s="298" t="s">
        <v>1292</v>
      </c>
      <c r="P692" s="298"/>
      <c r="Q692" s="298"/>
      <c r="R692" s="298"/>
      <c r="S692" s="298"/>
      <c r="T692" s="298"/>
      <c r="U692" s="298"/>
      <c r="V692" s="298"/>
      <c r="W692" s="298"/>
      <c r="X692" s="298"/>
      <c r="Y692" s="298"/>
      <c r="Z692" s="298"/>
      <c r="AA692" s="112"/>
      <c r="AB692" s="112">
        <f t="shared" si="1165"/>
        <v>0</v>
      </c>
      <c r="AC692" s="112">
        <f t="shared" si="1180"/>
        <v>0</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4"/>
      <c r="BM692" s="311"/>
      <c r="BN692" s="312"/>
    </row>
    <row r="693" s="22" customFormat="1" ht="33.95" customHeight="1" outlineLevel="2" collapsed="1" spans="2:66">
      <c r="B693" s="112" t="s">
        <v>799</v>
      </c>
      <c r="C693" s="113" t="s">
        <v>2385</v>
      </c>
      <c r="D693" s="22" t="s">
        <v>2386</v>
      </c>
      <c r="F693" s="112" t="s">
        <v>1625</v>
      </c>
      <c r="G693" s="112" t="s">
        <v>943</v>
      </c>
      <c r="H693" s="112">
        <f t="shared" si="1178"/>
        <v>141509.433962264</v>
      </c>
      <c r="I693" s="112" t="s">
        <v>1242</v>
      </c>
      <c r="J693" s="112">
        <v>1</v>
      </c>
      <c r="K693" s="112" t="s">
        <v>1243</v>
      </c>
      <c r="L693" s="298">
        <f>预算主表!P93</f>
        <v>141509.433962264</v>
      </c>
      <c r="M693" s="112" t="s">
        <v>1377</v>
      </c>
      <c r="N693" s="112">
        <f t="shared" si="1179"/>
        <v>1</v>
      </c>
      <c r="O693" s="298" t="s">
        <v>1292</v>
      </c>
      <c r="P693" s="298"/>
      <c r="Q693" s="298"/>
      <c r="R693" s="298"/>
      <c r="S693" s="298"/>
      <c r="T693" s="298"/>
      <c r="U693" s="298"/>
      <c r="V693" s="298"/>
      <c r="W693" s="298"/>
      <c r="X693" s="298"/>
      <c r="Y693" s="298"/>
      <c r="Z693" s="298"/>
      <c r="AA693" s="112"/>
      <c r="AB693" s="112">
        <f t="shared" si="1165"/>
        <v>141509.433962264</v>
      </c>
      <c r="AC693" s="112">
        <f t="shared" si="1180"/>
        <v>141509.433962264</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4"/>
      <c r="BM693" s="311"/>
      <c r="BN693" s="312"/>
    </row>
    <row r="694" s="22" customFormat="1" ht="33.95" customHeight="1" outlineLevel="2" collapsed="1" spans="2:66">
      <c r="B694" s="112" t="s">
        <v>799</v>
      </c>
      <c r="C694" s="113" t="s">
        <v>2387</v>
      </c>
      <c r="D694" s="22" t="s">
        <v>2388</v>
      </c>
      <c r="F694" s="112" t="s">
        <v>1625</v>
      </c>
      <c r="G694" s="112" t="s">
        <v>943</v>
      </c>
      <c r="H694" s="112">
        <f t="shared" si="1178"/>
        <v>0</v>
      </c>
      <c r="I694" s="112" t="s">
        <v>1242</v>
      </c>
      <c r="J694" s="112">
        <v>1</v>
      </c>
      <c r="K694" s="112" t="s">
        <v>1243</v>
      </c>
      <c r="L694" s="298">
        <f>预算主表!P95</f>
        <v>0</v>
      </c>
      <c r="M694" s="112" t="s">
        <v>1377</v>
      </c>
      <c r="N694" s="112">
        <f t="shared" si="1179"/>
        <v>1</v>
      </c>
      <c r="O694" s="298" t="s">
        <v>1292</v>
      </c>
      <c r="P694" s="298"/>
      <c r="Q694" s="298"/>
      <c r="R694" s="298"/>
      <c r="S694" s="298"/>
      <c r="T694" s="298"/>
      <c r="U694" s="298"/>
      <c r="V694" s="298"/>
      <c r="W694" s="298"/>
      <c r="X694" s="298"/>
      <c r="Y694" s="298"/>
      <c r="Z694" s="298"/>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4"/>
      <c r="BM694" s="311"/>
      <c r="BN694" s="312"/>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I9" sqref="I9"/>
    </sheetView>
  </sheetViews>
  <sheetFormatPr defaultColWidth="8.75833333333333" defaultRowHeight="16.5"/>
  <cols>
    <col min="1" max="1" width="2.375" style="245" customWidth="1"/>
    <col min="2" max="2" width="2.875" style="246" customWidth="1"/>
    <col min="3" max="3" width="12.875" style="247" customWidth="1"/>
    <col min="4" max="4" width="28.7583333333333" style="248" customWidth="1"/>
    <col min="5" max="5" width="4" style="246" customWidth="1"/>
    <col min="6" max="6" width="31.125" style="246" customWidth="1"/>
    <col min="7" max="7" width="7.75833333333333" style="246" customWidth="1"/>
    <col min="8" max="19" width="12.125" style="247" customWidth="1"/>
    <col min="20" max="20" width="8.75833333333333" style="246"/>
    <col min="21" max="21" width="1.875" style="245" customWidth="1"/>
    <col min="22" max="16384" width="8.75833333333333"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2389</v>
      </c>
      <c r="D2" s="251"/>
      <c r="E2" s="251"/>
      <c r="F2" s="251"/>
      <c r="G2" s="251"/>
      <c r="H2" s="251"/>
      <c r="I2" s="251"/>
      <c r="J2" s="251"/>
      <c r="K2" s="251"/>
      <c r="L2" s="251"/>
      <c r="M2" s="251"/>
      <c r="N2" s="251"/>
      <c r="O2" s="251"/>
      <c r="P2" s="251"/>
      <c r="Q2" s="251"/>
      <c r="R2" s="251"/>
      <c r="S2" s="251"/>
    </row>
    <row r="3" ht="27" customHeight="1" spans="3:19">
      <c r="C3" s="82" t="s">
        <v>2390</v>
      </c>
      <c r="D3" s="252" t="s">
        <v>2391</v>
      </c>
      <c r="F3" s="253" t="s">
        <v>2392</v>
      </c>
      <c r="G3" s="254"/>
      <c r="H3" s="254"/>
      <c r="I3" s="254"/>
      <c r="J3" s="254"/>
      <c r="K3" s="254"/>
      <c r="L3" s="254"/>
      <c r="M3" s="254"/>
      <c r="N3" s="254"/>
      <c r="O3" s="254"/>
      <c r="P3" s="254"/>
      <c r="Q3" s="254"/>
      <c r="R3" s="254"/>
      <c r="S3" s="259"/>
    </row>
    <row r="4" ht="27" customHeight="1" spans="3:19">
      <c r="C4" s="82" t="s">
        <v>2393</v>
      </c>
      <c r="D4" s="252" t="s">
        <v>2394</v>
      </c>
      <c r="F4" s="82" t="s">
        <v>2395</v>
      </c>
      <c r="G4" s="255" t="s">
        <v>2396</v>
      </c>
      <c r="H4" s="82" t="s">
        <v>1242</v>
      </c>
      <c r="I4" s="82" t="s">
        <v>1242</v>
      </c>
      <c r="J4" s="82" t="s">
        <v>1242</v>
      </c>
      <c r="K4" s="82" t="s">
        <v>1242</v>
      </c>
      <c r="L4" s="82" t="s">
        <v>1242</v>
      </c>
      <c r="M4" s="82" t="s">
        <v>1242</v>
      </c>
      <c r="N4" s="82" t="s">
        <v>1242</v>
      </c>
      <c r="O4" s="82" t="s">
        <v>1242</v>
      </c>
      <c r="P4" s="82" t="s">
        <v>1242</v>
      </c>
      <c r="Q4" s="82" t="s">
        <v>1242</v>
      </c>
      <c r="R4" s="82" t="s">
        <v>1242</v>
      </c>
      <c r="S4" s="82" t="s">
        <v>1242</v>
      </c>
    </row>
    <row r="5" ht="27" customHeight="1" spans="3:19">
      <c r="C5" s="82" t="s">
        <v>2397</v>
      </c>
      <c r="D5" s="252" t="s">
        <v>2398</v>
      </c>
      <c r="F5" s="82"/>
      <c r="G5" s="256"/>
      <c r="H5" s="82" t="s">
        <v>766</v>
      </c>
      <c r="I5" s="82" t="s">
        <v>767</v>
      </c>
      <c r="J5" s="82" t="s">
        <v>768</v>
      </c>
      <c r="K5" s="82" t="s">
        <v>769</v>
      </c>
      <c r="L5" s="82" t="s">
        <v>770</v>
      </c>
      <c r="M5" s="82" t="s">
        <v>771</v>
      </c>
      <c r="N5" s="82" t="s">
        <v>772</v>
      </c>
      <c r="O5" s="82" t="s">
        <v>773</v>
      </c>
      <c r="P5" s="82" t="s">
        <v>774</v>
      </c>
      <c r="Q5" s="82" t="s">
        <v>775</v>
      </c>
      <c r="R5" s="82" t="s">
        <v>776</v>
      </c>
      <c r="S5" s="82" t="s">
        <v>777</v>
      </c>
    </row>
    <row r="6" ht="27" customHeight="1" spans="3:19">
      <c r="C6" s="82" t="s">
        <v>2399</v>
      </c>
      <c r="D6" s="252" t="s">
        <v>2400</v>
      </c>
      <c r="F6" s="82" t="s">
        <v>2401</v>
      </c>
      <c r="G6" s="82" t="s">
        <v>1304</v>
      </c>
      <c r="H6" s="257">
        <v>1</v>
      </c>
      <c r="I6" s="257">
        <v>1</v>
      </c>
      <c r="J6" s="257">
        <v>1</v>
      </c>
      <c r="K6" s="257">
        <v>1</v>
      </c>
      <c r="L6" s="257">
        <v>1</v>
      </c>
      <c r="M6" s="257">
        <v>1</v>
      </c>
      <c r="N6" s="257">
        <v>1</v>
      </c>
      <c r="O6" s="257">
        <v>1</v>
      </c>
      <c r="P6" s="257">
        <v>1</v>
      </c>
      <c r="Q6" s="257">
        <v>1</v>
      </c>
      <c r="R6" s="257">
        <v>1</v>
      </c>
      <c r="S6" s="257">
        <v>1</v>
      </c>
    </row>
    <row r="7" ht="27" customHeight="1" spans="3:19">
      <c r="C7" s="82" t="s">
        <v>2402</v>
      </c>
      <c r="D7" s="252"/>
      <c r="F7" s="82" t="s">
        <v>2403</v>
      </c>
      <c r="G7" s="82" t="s">
        <v>1396</v>
      </c>
      <c r="H7" s="257">
        <v>0</v>
      </c>
      <c r="I7" s="257">
        <v>0</v>
      </c>
      <c r="J7" s="257">
        <v>0</v>
      </c>
      <c r="K7" s="257">
        <v>0</v>
      </c>
      <c r="L7" s="257">
        <v>0</v>
      </c>
      <c r="M7" s="257">
        <v>0</v>
      </c>
      <c r="N7" s="257">
        <v>0</v>
      </c>
      <c r="O7" s="257">
        <v>0</v>
      </c>
      <c r="P7" s="257">
        <v>0</v>
      </c>
      <c r="Q7" s="257">
        <v>0</v>
      </c>
      <c r="R7" s="257">
        <v>0</v>
      </c>
      <c r="S7" s="257">
        <v>0</v>
      </c>
    </row>
    <row r="8" ht="27" customHeight="1" spans="3:19">
      <c r="C8" s="82" t="s">
        <v>170</v>
      </c>
      <c r="D8" s="252" t="s">
        <v>2404</v>
      </c>
      <c r="F8" s="82" t="s">
        <v>2405</v>
      </c>
      <c r="G8" s="82" t="s">
        <v>1033</v>
      </c>
      <c r="H8" s="257">
        <v>281758.63</v>
      </c>
      <c r="I8" s="257">
        <v>281758.63</v>
      </c>
      <c r="J8" s="257">
        <v>281758.63</v>
      </c>
      <c r="K8" s="257">
        <v>281758.63</v>
      </c>
      <c r="L8" s="257">
        <v>281758.63</v>
      </c>
      <c r="M8" s="257">
        <v>281758.63</v>
      </c>
      <c r="N8" s="257">
        <v>281758.63</v>
      </c>
      <c r="O8" s="257">
        <v>281758.63</v>
      </c>
      <c r="P8" s="257">
        <v>281758.63</v>
      </c>
      <c r="Q8" s="257">
        <v>281758.63</v>
      </c>
      <c r="R8" s="257">
        <v>281758.63</v>
      </c>
      <c r="S8" s="257">
        <v>281758.63</v>
      </c>
    </row>
    <row r="9" ht="27" customHeight="1" spans="3:19">
      <c r="C9" s="82" t="s">
        <v>2406</v>
      </c>
      <c r="D9" s="252" t="s">
        <v>2407</v>
      </c>
      <c r="F9" s="82" t="s">
        <v>1032</v>
      </c>
      <c r="G9" s="82" t="s">
        <v>1033</v>
      </c>
      <c r="H9" s="257">
        <v>281758.63</v>
      </c>
      <c r="I9" s="257">
        <v>281758.63</v>
      </c>
      <c r="J9" s="257">
        <v>281758.63</v>
      </c>
      <c r="K9" s="257">
        <v>281758.63</v>
      </c>
      <c r="L9" s="257">
        <v>281758.63</v>
      </c>
      <c r="M9" s="257">
        <v>281758.63</v>
      </c>
      <c r="N9" s="257">
        <v>281758.63</v>
      </c>
      <c r="O9" s="257">
        <v>281758.63</v>
      </c>
      <c r="P9" s="257">
        <v>281758.63</v>
      </c>
      <c r="Q9" s="257">
        <v>281758.63</v>
      </c>
      <c r="R9" s="257">
        <v>281758.63</v>
      </c>
      <c r="S9" s="257">
        <v>281758.63</v>
      </c>
    </row>
    <row r="10" ht="27" customHeight="1" spans="3:19">
      <c r="C10" s="82" t="s">
        <v>2408</v>
      </c>
      <c r="D10" s="252" t="s">
        <v>2409</v>
      </c>
      <c r="F10" s="82" t="s">
        <v>2410</v>
      </c>
      <c r="G10" s="82" t="s">
        <v>1033</v>
      </c>
      <c r="H10" s="257">
        <v>281758.63</v>
      </c>
      <c r="I10" s="257">
        <v>281758.63</v>
      </c>
      <c r="J10" s="257">
        <v>281758.63</v>
      </c>
      <c r="K10" s="257">
        <v>281758.63</v>
      </c>
      <c r="L10" s="257">
        <v>281758.63</v>
      </c>
      <c r="M10" s="257">
        <v>281758.63</v>
      </c>
      <c r="N10" s="257">
        <v>281758.63</v>
      </c>
      <c r="O10" s="257">
        <v>281758.63</v>
      </c>
      <c r="P10" s="257">
        <v>281758.63</v>
      </c>
      <c r="Q10" s="257">
        <v>281758.63</v>
      </c>
      <c r="R10" s="257">
        <v>281758.63</v>
      </c>
      <c r="S10" s="257">
        <v>281758.63</v>
      </c>
    </row>
    <row r="11" ht="27" customHeight="1" spans="3:19">
      <c r="C11" s="82" t="s">
        <v>2411</v>
      </c>
      <c r="D11" s="252" t="s">
        <v>2412</v>
      </c>
      <c r="F11" s="82" t="s">
        <v>1096</v>
      </c>
      <c r="G11" s="82" t="s">
        <v>1033</v>
      </c>
      <c r="H11" s="257">
        <v>0</v>
      </c>
      <c r="I11" s="257">
        <v>0</v>
      </c>
      <c r="J11" s="257">
        <v>0</v>
      </c>
      <c r="K11" s="257">
        <v>0</v>
      </c>
      <c r="L11" s="257">
        <v>0</v>
      </c>
      <c r="M11" s="257">
        <v>0</v>
      </c>
      <c r="N11" s="257">
        <v>0</v>
      </c>
      <c r="O11" s="257">
        <v>0</v>
      </c>
      <c r="P11" s="257">
        <v>0</v>
      </c>
      <c r="Q11" s="257">
        <v>0</v>
      </c>
      <c r="R11" s="257">
        <v>0</v>
      </c>
      <c r="S11" s="257">
        <v>0</v>
      </c>
    </row>
    <row r="12" ht="27" customHeight="1" spans="3:19">
      <c r="C12" s="82" t="s">
        <v>2413</v>
      </c>
      <c r="D12" s="252"/>
      <c r="F12" s="82" t="s">
        <v>1177</v>
      </c>
      <c r="G12" s="82" t="s">
        <v>1033</v>
      </c>
      <c r="H12" s="257">
        <v>281758.63</v>
      </c>
      <c r="I12" s="257">
        <v>281758.63</v>
      </c>
      <c r="J12" s="257">
        <v>281758.63</v>
      </c>
      <c r="K12" s="257">
        <v>281758.63</v>
      </c>
      <c r="L12" s="257">
        <v>281758.63</v>
      </c>
      <c r="M12" s="257">
        <v>281758.63</v>
      </c>
      <c r="N12" s="257">
        <v>281758.63</v>
      </c>
      <c r="O12" s="257">
        <v>281758.63</v>
      </c>
      <c r="P12" s="257">
        <v>281758.63</v>
      </c>
      <c r="Q12" s="257">
        <v>281758.63</v>
      </c>
      <c r="R12" s="257">
        <v>281758.63</v>
      </c>
      <c r="S12" s="257">
        <v>281758.63</v>
      </c>
    </row>
    <row r="13" ht="27" customHeight="1" spans="3:19">
      <c r="C13" s="82" t="s">
        <v>2414</v>
      </c>
      <c r="D13" s="252"/>
      <c r="F13" s="82" t="s">
        <v>2313</v>
      </c>
      <c r="G13" s="82" t="s">
        <v>1033</v>
      </c>
      <c r="H13" s="257">
        <v>281758.63</v>
      </c>
      <c r="I13" s="257">
        <v>281758.63</v>
      </c>
      <c r="J13" s="257">
        <v>281758.63</v>
      </c>
      <c r="K13" s="257">
        <v>281758.63</v>
      </c>
      <c r="L13" s="257">
        <v>281758.63</v>
      </c>
      <c r="M13" s="257">
        <v>281758.63</v>
      </c>
      <c r="N13" s="257">
        <v>281758.63</v>
      </c>
      <c r="O13" s="257">
        <v>281758.63</v>
      </c>
      <c r="P13" s="257">
        <v>281758.63</v>
      </c>
      <c r="Q13" s="257">
        <v>281758.63</v>
      </c>
      <c r="R13" s="257">
        <v>281758.63</v>
      </c>
      <c r="S13" s="257">
        <v>281758.63</v>
      </c>
    </row>
    <row r="14" ht="27" customHeight="1" spans="3:4">
      <c r="C14" s="82" t="s">
        <v>2415</v>
      </c>
      <c r="D14" s="252" t="s">
        <v>2416</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2417</v>
      </c>
      <c r="D17" s="251"/>
      <c r="E17" s="251"/>
      <c r="F17" s="251"/>
      <c r="G17" s="251"/>
      <c r="H17" s="251"/>
      <c r="I17" s="251"/>
      <c r="J17" s="251"/>
      <c r="K17" s="251"/>
      <c r="L17" s="251"/>
      <c r="M17" s="251"/>
      <c r="N17" s="251"/>
      <c r="O17" s="251"/>
      <c r="P17" s="251"/>
      <c r="Q17" s="251"/>
      <c r="R17" s="251"/>
      <c r="S17" s="251"/>
    </row>
    <row r="18" ht="27" customHeight="1" spans="3:19">
      <c r="C18" s="82" t="s">
        <v>2418</v>
      </c>
      <c r="D18" s="258" t="s">
        <v>2407</v>
      </c>
      <c r="F18" s="253" t="s">
        <v>2419</v>
      </c>
      <c r="G18" s="254"/>
      <c r="H18" s="254"/>
      <c r="I18" s="254"/>
      <c r="J18" s="254"/>
      <c r="K18" s="254"/>
      <c r="L18" s="254"/>
      <c r="M18" s="254"/>
      <c r="N18" s="254"/>
      <c r="O18" s="254"/>
      <c r="P18" s="254"/>
      <c r="Q18" s="254"/>
      <c r="R18" s="254"/>
      <c r="S18" s="259"/>
    </row>
    <row r="19" ht="27" customHeight="1" spans="3:19">
      <c r="C19" s="82" t="s">
        <v>2420</v>
      </c>
      <c r="D19" s="258" t="s">
        <v>2421</v>
      </c>
      <c r="F19" s="82" t="s">
        <v>2395</v>
      </c>
      <c r="G19" s="255" t="s">
        <v>2396</v>
      </c>
      <c r="H19" s="82" t="s">
        <v>1242</v>
      </c>
      <c r="I19" s="82" t="s">
        <v>1242</v>
      </c>
      <c r="J19" s="82" t="s">
        <v>1242</v>
      </c>
      <c r="K19" s="82" t="s">
        <v>1242</v>
      </c>
      <c r="L19" s="82" t="s">
        <v>1242</v>
      </c>
      <c r="M19" s="82" t="s">
        <v>1242</v>
      </c>
      <c r="N19" s="82" t="s">
        <v>1242</v>
      </c>
      <c r="O19" s="82" t="s">
        <v>1242</v>
      </c>
      <c r="P19" s="82" t="s">
        <v>1242</v>
      </c>
      <c r="Q19" s="82" t="s">
        <v>1242</v>
      </c>
      <c r="R19" s="82" t="s">
        <v>1242</v>
      </c>
      <c r="S19" s="82" t="s">
        <v>1242</v>
      </c>
    </row>
    <row r="20" ht="27" customHeight="1" spans="3:19">
      <c r="C20" s="82" t="s">
        <v>2422</v>
      </c>
      <c r="D20" s="258" t="s">
        <v>2423</v>
      </c>
      <c r="F20" s="82"/>
      <c r="G20" s="256"/>
      <c r="H20" s="82" t="s">
        <v>766</v>
      </c>
      <c r="I20" s="82" t="s">
        <v>767</v>
      </c>
      <c r="J20" s="82" t="s">
        <v>768</v>
      </c>
      <c r="K20" s="82" t="s">
        <v>769</v>
      </c>
      <c r="L20" s="82" t="s">
        <v>770</v>
      </c>
      <c r="M20" s="82" t="s">
        <v>771</v>
      </c>
      <c r="N20" s="82" t="s">
        <v>772</v>
      </c>
      <c r="O20" s="82" t="s">
        <v>773</v>
      </c>
      <c r="P20" s="82" t="s">
        <v>774</v>
      </c>
      <c r="Q20" s="82" t="s">
        <v>775</v>
      </c>
      <c r="R20" s="82" t="s">
        <v>776</v>
      </c>
      <c r="S20" s="82" t="s">
        <v>777</v>
      </c>
    </row>
    <row r="21" ht="27" customHeight="1" spans="3:19">
      <c r="C21" s="82" t="s">
        <v>2424</v>
      </c>
      <c r="D21" s="91" t="str">
        <f>VLOOKUP(D4,'附表1-数据库'!B46:C383,2,FALSE)</f>
        <v>一类城市</v>
      </c>
      <c r="F21" s="81" t="s">
        <v>1148</v>
      </c>
      <c r="G21" s="81" t="s">
        <v>1150</v>
      </c>
      <c r="H21" s="252">
        <f>预算主表!$P$83/(12*330)</f>
        <v>28.3209453020774</v>
      </c>
      <c r="I21" s="252">
        <f>预算主表!$P$83/(12*330)</f>
        <v>28.3209453020774</v>
      </c>
      <c r="J21" s="252">
        <f>预算主表!$P$83/(12*330)</f>
        <v>28.3209453020774</v>
      </c>
      <c r="K21" s="252">
        <f>预算主表!$P$83/(12*330)</f>
        <v>28.3209453020774</v>
      </c>
      <c r="L21" s="252">
        <f>预算主表!$P$83/(12*330)</f>
        <v>28.3209453020774</v>
      </c>
      <c r="M21" s="252">
        <f>预算主表!$P$83/(12*330)</f>
        <v>28.3209453020774</v>
      </c>
      <c r="N21" s="252">
        <f>预算主表!$P$83/(12*330)</f>
        <v>28.3209453020774</v>
      </c>
      <c r="O21" s="252">
        <f>预算主表!$P$83/(12*330)</f>
        <v>28.3209453020774</v>
      </c>
      <c r="P21" s="252">
        <f>预算主表!$P$83/(12*330)</f>
        <v>28.3209453020774</v>
      </c>
      <c r="Q21" s="252">
        <f>预算主表!$P$83/(12*330)</f>
        <v>28.3209453020774</v>
      </c>
      <c r="R21" s="252">
        <f>预算主表!$P$83/(12*330)</f>
        <v>28.3209453020774</v>
      </c>
      <c r="S21" s="252">
        <f>预算主表!$P$83/(12*330)</f>
        <v>28.3209453020774</v>
      </c>
    </row>
    <row r="22" ht="27" customHeight="1" spans="3:19">
      <c r="C22" s="248"/>
      <c r="F22" s="81" t="s">
        <v>1153</v>
      </c>
      <c r="G22" s="81" t="s">
        <v>1150</v>
      </c>
      <c r="H22" s="252"/>
      <c r="I22" s="252"/>
      <c r="J22" s="252"/>
      <c r="K22" s="252"/>
      <c r="L22" s="252"/>
      <c r="M22" s="252"/>
      <c r="N22" s="252"/>
      <c r="O22" s="252"/>
      <c r="P22" s="252"/>
      <c r="Q22" s="252"/>
      <c r="R22" s="252"/>
      <c r="S22" s="252"/>
    </row>
    <row r="23" ht="27" customHeight="1" spans="6:19">
      <c r="F23" s="81" t="s">
        <v>1155</v>
      </c>
      <c r="G23" s="81" t="s">
        <v>1150</v>
      </c>
      <c r="H23" s="252"/>
      <c r="I23" s="252"/>
      <c r="J23" s="252"/>
      <c r="K23" s="252"/>
      <c r="L23" s="252"/>
      <c r="M23" s="252"/>
      <c r="N23" s="252"/>
      <c r="O23" s="252"/>
      <c r="P23" s="252"/>
      <c r="Q23" s="252"/>
      <c r="R23" s="252"/>
      <c r="S23" s="252"/>
    </row>
    <row r="24" ht="27" customHeight="1" spans="6:19">
      <c r="F24" s="81" t="s">
        <v>1157</v>
      </c>
      <c r="G24" s="81" t="s">
        <v>1150</v>
      </c>
      <c r="H24" s="252"/>
      <c r="I24" s="252"/>
      <c r="J24" s="252"/>
      <c r="K24" s="252"/>
      <c r="L24" s="252"/>
      <c r="M24" s="252"/>
      <c r="N24" s="252"/>
      <c r="O24" s="252"/>
      <c r="P24" s="252"/>
      <c r="Q24" s="252"/>
      <c r="R24" s="252"/>
      <c r="S24" s="252"/>
    </row>
    <row r="25" ht="27" customHeight="1" spans="6:19">
      <c r="F25" s="81" t="s">
        <v>1159</v>
      </c>
      <c r="G25" s="81" t="s">
        <v>1150</v>
      </c>
      <c r="H25" s="252"/>
      <c r="I25" s="252"/>
      <c r="J25" s="252"/>
      <c r="K25" s="252"/>
      <c r="L25" s="252"/>
      <c r="M25" s="252"/>
      <c r="N25" s="252"/>
      <c r="O25" s="252"/>
      <c r="P25" s="252"/>
      <c r="Q25" s="252"/>
      <c r="R25" s="252"/>
      <c r="S25" s="252"/>
    </row>
    <row r="26" ht="27" customHeight="1" spans="6:19">
      <c r="F26" s="81" t="s">
        <v>1161</v>
      </c>
      <c r="G26" s="81" t="s">
        <v>1150</v>
      </c>
      <c r="H26" s="252"/>
      <c r="I26" s="252"/>
      <c r="J26" s="252"/>
      <c r="K26" s="252"/>
      <c r="L26" s="252"/>
      <c r="M26" s="252"/>
      <c r="N26" s="252"/>
      <c r="O26" s="252"/>
      <c r="P26" s="252"/>
      <c r="Q26" s="252"/>
      <c r="R26" s="252"/>
      <c r="S26" s="252"/>
    </row>
    <row r="27" ht="27" customHeight="1" spans="6:19">
      <c r="F27" s="81" t="s">
        <v>1163</v>
      </c>
      <c r="G27" s="81" t="s">
        <v>1150</v>
      </c>
      <c r="H27" s="252"/>
      <c r="I27" s="252"/>
      <c r="J27" s="252"/>
      <c r="K27" s="252"/>
      <c r="L27" s="252"/>
      <c r="M27" s="252"/>
      <c r="N27" s="252"/>
      <c r="O27" s="252"/>
      <c r="P27" s="252"/>
      <c r="Q27" s="252"/>
      <c r="R27" s="252"/>
      <c r="S27" s="252"/>
    </row>
    <row r="28" ht="27" customHeight="1" spans="6:19">
      <c r="F28" s="81" t="s">
        <v>1165</v>
      </c>
      <c r="G28" s="81" t="s">
        <v>1150</v>
      </c>
      <c r="H28" s="252"/>
      <c r="I28" s="252"/>
      <c r="J28" s="252"/>
      <c r="K28" s="252"/>
      <c r="L28" s="252"/>
      <c r="M28" s="252"/>
      <c r="N28" s="252"/>
      <c r="O28" s="252"/>
      <c r="P28" s="252"/>
      <c r="Q28" s="252"/>
      <c r="R28" s="252"/>
      <c r="S28" s="252"/>
    </row>
    <row r="29" ht="27" customHeight="1" spans="6:19">
      <c r="F29" s="81" t="s">
        <v>1167</v>
      </c>
      <c r="G29" s="81" t="s">
        <v>1150</v>
      </c>
      <c r="H29" s="252"/>
      <c r="I29" s="252"/>
      <c r="J29" s="252"/>
      <c r="K29" s="252"/>
      <c r="L29" s="252"/>
      <c r="M29" s="252"/>
      <c r="N29" s="252"/>
      <c r="O29" s="252"/>
      <c r="P29" s="252"/>
      <c r="Q29" s="252"/>
      <c r="R29" s="252"/>
      <c r="S29" s="252"/>
    </row>
    <row r="30" ht="27" customHeight="1" spans="6:19">
      <c r="F30" s="81" t="s">
        <v>1169</v>
      </c>
      <c r="G30" s="81" t="s">
        <v>1150</v>
      </c>
      <c r="H30" s="252"/>
      <c r="I30" s="252"/>
      <c r="J30" s="252"/>
      <c r="K30" s="252"/>
      <c r="L30" s="252"/>
      <c r="M30" s="252"/>
      <c r="N30" s="252"/>
      <c r="O30" s="252"/>
      <c r="P30" s="252"/>
      <c r="Q30" s="252"/>
      <c r="R30" s="252"/>
      <c r="S30" s="252"/>
    </row>
    <row r="31" ht="27" customHeight="1" spans="6:19">
      <c r="F31" s="81" t="s">
        <v>1171</v>
      </c>
      <c r="G31" s="81" t="s">
        <v>1150</v>
      </c>
      <c r="H31" s="252"/>
      <c r="I31" s="252"/>
      <c r="J31" s="252"/>
      <c r="K31" s="252"/>
      <c r="L31" s="252"/>
      <c r="M31" s="252"/>
      <c r="N31" s="252"/>
      <c r="O31" s="252"/>
      <c r="P31" s="252"/>
      <c r="Q31" s="252"/>
      <c r="R31" s="252"/>
      <c r="S31" s="252"/>
    </row>
    <row r="32" ht="27" customHeight="1" spans="6:19">
      <c r="F32" s="81" t="s">
        <v>1173</v>
      </c>
      <c r="G32" s="81" t="s">
        <v>1150</v>
      </c>
      <c r="H32" s="252"/>
      <c r="I32" s="252"/>
      <c r="J32" s="252"/>
      <c r="K32" s="252"/>
      <c r="L32" s="252"/>
      <c r="M32" s="252"/>
      <c r="N32" s="252"/>
      <c r="O32" s="252"/>
      <c r="P32" s="252"/>
      <c r="Q32" s="252"/>
      <c r="R32" s="252"/>
      <c r="S32" s="252"/>
    </row>
    <row r="33" ht="27" customHeight="1" spans="6:19">
      <c r="F33" s="81" t="s">
        <v>1175</v>
      </c>
      <c r="G33" s="81" t="s">
        <v>1150</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J206" activePane="bottomRight" state="frozen"/>
      <selection/>
      <selection pane="topRight"/>
      <selection pane="bottomLeft"/>
      <selection pane="bottomRight" activeCell="F215" sqref="F215"/>
    </sheetView>
  </sheetViews>
  <sheetFormatPr defaultColWidth="8.75833333333333" defaultRowHeight="16.5"/>
  <cols>
    <col min="1" max="1" width="8.75833333333333" style="217"/>
    <col min="2" max="2" width="16.875" style="218" customWidth="1"/>
    <col min="3" max="3" width="12.875" style="218" customWidth="1"/>
    <col min="4" max="4" width="12.875" style="219" customWidth="1"/>
    <col min="5" max="5" width="7.125" style="218" customWidth="1"/>
    <col min="6" max="16384" width="8.75833333333333" style="217"/>
  </cols>
  <sheetData>
    <row r="1" ht="30.95" customHeight="1" spans="1:17">
      <c r="A1" s="217">
        <v>11</v>
      </c>
      <c r="B1" s="220" t="s">
        <v>2425</v>
      </c>
      <c r="C1" s="220" t="s">
        <v>2426</v>
      </c>
      <c r="D1" s="221" t="s">
        <v>2427</v>
      </c>
      <c r="E1" s="220" t="s">
        <v>2396</v>
      </c>
      <c r="F1" s="222" t="s">
        <v>766</v>
      </c>
      <c r="G1" s="222" t="s">
        <v>767</v>
      </c>
      <c r="H1" s="222" t="s">
        <v>768</v>
      </c>
      <c r="I1" s="222" t="s">
        <v>769</v>
      </c>
      <c r="J1" s="222" t="s">
        <v>770</v>
      </c>
      <c r="K1" s="222" t="s">
        <v>771</v>
      </c>
      <c r="L1" s="222" t="s">
        <v>772</v>
      </c>
      <c r="M1" s="222" t="s">
        <v>773</v>
      </c>
      <c r="N1" s="222" t="s">
        <v>774</v>
      </c>
      <c r="O1" s="222" t="s">
        <v>775</v>
      </c>
      <c r="P1" s="222" t="s">
        <v>776</v>
      </c>
      <c r="Q1" s="222" t="s">
        <v>777</v>
      </c>
    </row>
    <row r="2" spans="1:17">
      <c r="A2" s="217">
        <v>1</v>
      </c>
      <c r="B2" s="223" t="s">
        <v>2428</v>
      </c>
      <c r="C2" s="223" t="s">
        <v>745</v>
      </c>
      <c r="D2" s="224">
        <f t="shared" ref="D2:D65" si="0">IFERROR(SUM(F2:Q2)/COUNTIF(F2:Q2,"&lt;&gt;0"),0)</f>
        <v>590</v>
      </c>
      <c r="E2" s="224" t="s">
        <v>805</v>
      </c>
      <c r="F2" s="225">
        <f t="shared" ref="F2:Q2" si="1">F3+F4+F5</f>
        <v>623</v>
      </c>
      <c r="G2" s="225">
        <f t="shared" si="1"/>
        <v>587</v>
      </c>
      <c r="H2" s="225">
        <f t="shared" si="1"/>
        <v>587</v>
      </c>
      <c r="I2" s="225">
        <f t="shared" si="1"/>
        <v>587</v>
      </c>
      <c r="J2" s="225">
        <f t="shared" si="1"/>
        <v>587</v>
      </c>
      <c r="K2" s="225">
        <f t="shared" si="1"/>
        <v>587</v>
      </c>
      <c r="L2" s="225">
        <f t="shared" si="1"/>
        <v>587</v>
      </c>
      <c r="M2" s="225">
        <f t="shared" si="1"/>
        <v>587</v>
      </c>
      <c r="N2" s="225">
        <f t="shared" si="1"/>
        <v>587</v>
      </c>
      <c r="O2" s="225">
        <f t="shared" si="1"/>
        <v>587</v>
      </c>
      <c r="P2" s="225">
        <f t="shared" si="1"/>
        <v>587</v>
      </c>
      <c r="Q2" s="225">
        <f t="shared" si="1"/>
        <v>587</v>
      </c>
    </row>
    <row r="3" spans="1:17">
      <c r="A3" s="217">
        <v>1</v>
      </c>
      <c r="B3" s="223" t="s">
        <v>2428</v>
      </c>
      <c r="C3" s="226" t="s">
        <v>109</v>
      </c>
      <c r="D3" s="227">
        <f t="shared" si="0"/>
        <v>585.583333333333</v>
      </c>
      <c r="E3" s="227" t="s">
        <v>805</v>
      </c>
      <c r="F3" s="228">
        <f t="shared" ref="F3:Q3" si="2">F7+F35+F71+F115+F155+F175+F195+F211</f>
        <v>581</v>
      </c>
      <c r="G3" s="228">
        <f t="shared" si="2"/>
        <v>586</v>
      </c>
      <c r="H3" s="228">
        <f t="shared" si="2"/>
        <v>586</v>
      </c>
      <c r="I3" s="228">
        <f t="shared" si="2"/>
        <v>586</v>
      </c>
      <c r="J3" s="228">
        <f t="shared" si="2"/>
        <v>586</v>
      </c>
      <c r="K3" s="228">
        <f t="shared" si="2"/>
        <v>586</v>
      </c>
      <c r="L3" s="228">
        <f t="shared" si="2"/>
        <v>586</v>
      </c>
      <c r="M3" s="228">
        <f t="shared" si="2"/>
        <v>586</v>
      </c>
      <c r="N3" s="228">
        <f t="shared" si="2"/>
        <v>586</v>
      </c>
      <c r="O3" s="228">
        <f t="shared" si="2"/>
        <v>586</v>
      </c>
      <c r="P3" s="228">
        <f t="shared" si="2"/>
        <v>586</v>
      </c>
      <c r="Q3" s="228">
        <f t="shared" si="2"/>
        <v>586</v>
      </c>
    </row>
    <row r="4" spans="1:17">
      <c r="A4" s="217">
        <v>1</v>
      </c>
      <c r="B4" s="223" t="s">
        <v>2428</v>
      </c>
      <c r="C4" s="229" t="s">
        <v>68</v>
      </c>
      <c r="D4" s="230">
        <f t="shared" si="0"/>
        <v>20</v>
      </c>
      <c r="E4" s="230" t="s">
        <v>805</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2428</v>
      </c>
      <c r="C5" s="232" t="s">
        <v>19</v>
      </c>
      <c r="D5" s="233">
        <f t="shared" si="0"/>
        <v>2.75</v>
      </c>
      <c r="E5" s="233" t="s">
        <v>805</v>
      </c>
      <c r="F5" s="234">
        <f t="shared" ref="F5:Q5" si="4">F9+F37+F73+F117+F157+F177+F197+F213</f>
        <v>22</v>
      </c>
      <c r="G5" s="234">
        <f t="shared" si="4"/>
        <v>1</v>
      </c>
      <c r="H5" s="234">
        <f t="shared" si="4"/>
        <v>1</v>
      </c>
      <c r="I5" s="234">
        <f t="shared" si="4"/>
        <v>1</v>
      </c>
      <c r="J5" s="234">
        <f t="shared" si="4"/>
        <v>1</v>
      </c>
      <c r="K5" s="234">
        <f t="shared" si="4"/>
        <v>1</v>
      </c>
      <c r="L5" s="234">
        <f t="shared" si="4"/>
        <v>1</v>
      </c>
      <c r="M5" s="234">
        <f t="shared" si="4"/>
        <v>1</v>
      </c>
      <c r="N5" s="234">
        <f t="shared" si="4"/>
        <v>1</v>
      </c>
      <c r="O5" s="234">
        <f t="shared" si="4"/>
        <v>1</v>
      </c>
      <c r="P5" s="234">
        <f t="shared" si="4"/>
        <v>1</v>
      </c>
      <c r="Q5" s="234">
        <f t="shared" si="4"/>
        <v>1</v>
      </c>
    </row>
    <row r="6" spans="1:17">
      <c r="A6" s="217">
        <v>1</v>
      </c>
      <c r="B6" s="235" t="s">
        <v>187</v>
      </c>
      <c r="C6" s="235" t="s">
        <v>745</v>
      </c>
      <c r="D6" s="236">
        <f t="shared" si="0"/>
        <v>160</v>
      </c>
      <c r="E6" s="236" t="s">
        <v>805</v>
      </c>
      <c r="F6" s="237">
        <f t="shared" ref="F6:Q6" si="5">F7+F8+F9</f>
        <v>160</v>
      </c>
      <c r="G6" s="237">
        <f t="shared" si="5"/>
        <v>160</v>
      </c>
      <c r="H6" s="237">
        <f t="shared" si="5"/>
        <v>160</v>
      </c>
      <c r="I6" s="237">
        <f t="shared" si="5"/>
        <v>160</v>
      </c>
      <c r="J6" s="237">
        <f t="shared" si="5"/>
        <v>160</v>
      </c>
      <c r="K6" s="237">
        <f t="shared" si="5"/>
        <v>160</v>
      </c>
      <c r="L6" s="237">
        <f t="shared" si="5"/>
        <v>160</v>
      </c>
      <c r="M6" s="237">
        <f t="shared" si="5"/>
        <v>160</v>
      </c>
      <c r="N6" s="237">
        <f t="shared" si="5"/>
        <v>160</v>
      </c>
      <c r="O6" s="237">
        <f t="shared" si="5"/>
        <v>160</v>
      </c>
      <c r="P6" s="237">
        <f t="shared" si="5"/>
        <v>160</v>
      </c>
      <c r="Q6" s="237">
        <f t="shared" si="5"/>
        <v>160</v>
      </c>
    </row>
    <row r="7" spans="1:17">
      <c r="A7" s="217">
        <v>1</v>
      </c>
      <c r="B7" s="235" t="s">
        <v>187</v>
      </c>
      <c r="C7" s="226" t="s">
        <v>109</v>
      </c>
      <c r="D7" s="227">
        <f t="shared" si="0"/>
        <v>160</v>
      </c>
      <c r="E7" s="227" t="s">
        <v>805</v>
      </c>
      <c r="F7" s="228">
        <f t="shared" ref="F7:Q7" si="6">F11+F15+F19+F23+F27+F31</f>
        <v>160</v>
      </c>
      <c r="G7" s="228">
        <f t="shared" si="6"/>
        <v>160</v>
      </c>
      <c r="H7" s="228">
        <f t="shared" si="6"/>
        <v>160</v>
      </c>
      <c r="I7" s="228">
        <f t="shared" si="6"/>
        <v>160</v>
      </c>
      <c r="J7" s="228">
        <f t="shared" si="6"/>
        <v>160</v>
      </c>
      <c r="K7" s="228">
        <f t="shared" si="6"/>
        <v>160</v>
      </c>
      <c r="L7" s="228">
        <f t="shared" si="6"/>
        <v>160</v>
      </c>
      <c r="M7" s="228">
        <f t="shared" si="6"/>
        <v>160</v>
      </c>
      <c r="N7" s="228">
        <f t="shared" si="6"/>
        <v>160</v>
      </c>
      <c r="O7" s="228">
        <f t="shared" si="6"/>
        <v>160</v>
      </c>
      <c r="P7" s="228">
        <f t="shared" si="6"/>
        <v>160</v>
      </c>
      <c r="Q7" s="228">
        <f t="shared" si="6"/>
        <v>160</v>
      </c>
    </row>
    <row r="8" spans="1:17">
      <c r="A8" s="217">
        <v>1</v>
      </c>
      <c r="B8" s="235" t="s">
        <v>187</v>
      </c>
      <c r="C8" s="229" t="s">
        <v>68</v>
      </c>
      <c r="D8" s="230">
        <f t="shared" si="0"/>
        <v>0</v>
      </c>
      <c r="E8" s="230" t="s">
        <v>805</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0</v>
      </c>
      <c r="E9" s="233" t="s">
        <v>805</v>
      </c>
      <c r="F9" s="234">
        <f t="shared" ref="F9:Q9" si="8">F13+F17+F21+F25+F29+F33</f>
        <v>0</v>
      </c>
      <c r="G9" s="234">
        <f t="shared" si="8"/>
        <v>0</v>
      </c>
      <c r="H9" s="234">
        <f t="shared" si="8"/>
        <v>0</v>
      </c>
      <c r="I9" s="234">
        <f t="shared" si="8"/>
        <v>0</v>
      </c>
      <c r="J9" s="234">
        <f t="shared" si="8"/>
        <v>0</v>
      </c>
      <c r="K9" s="234">
        <f t="shared" si="8"/>
        <v>0</v>
      </c>
      <c r="L9" s="234">
        <f t="shared" si="8"/>
        <v>0</v>
      </c>
      <c r="M9" s="234">
        <f t="shared" si="8"/>
        <v>0</v>
      </c>
      <c r="N9" s="234">
        <f t="shared" si="8"/>
        <v>0</v>
      </c>
      <c r="O9" s="234">
        <f t="shared" si="8"/>
        <v>0</v>
      </c>
      <c r="P9" s="234">
        <f t="shared" si="8"/>
        <v>0</v>
      </c>
      <c r="Q9" s="234">
        <f t="shared" si="8"/>
        <v>0</v>
      </c>
    </row>
    <row r="10" outlineLevel="1" spans="1:17">
      <c r="A10" s="217">
        <v>2</v>
      </c>
      <c r="B10" s="238" t="s">
        <v>801</v>
      </c>
      <c r="C10" s="239" t="s">
        <v>745</v>
      </c>
      <c r="D10" s="240">
        <f t="shared" si="0"/>
        <v>160</v>
      </c>
      <c r="E10" s="240" t="s">
        <v>805</v>
      </c>
      <c r="F10" s="241">
        <f t="shared" ref="F10:Q10" si="9">F11+F12+F13</f>
        <v>160</v>
      </c>
      <c r="G10" s="241">
        <f t="shared" si="9"/>
        <v>160</v>
      </c>
      <c r="H10" s="241">
        <f t="shared" si="9"/>
        <v>160</v>
      </c>
      <c r="I10" s="241">
        <f t="shared" si="9"/>
        <v>160</v>
      </c>
      <c r="J10" s="241">
        <f t="shared" si="9"/>
        <v>160</v>
      </c>
      <c r="K10" s="241">
        <f t="shared" si="9"/>
        <v>160</v>
      </c>
      <c r="L10" s="241">
        <f t="shared" si="9"/>
        <v>160</v>
      </c>
      <c r="M10" s="241">
        <f t="shared" si="9"/>
        <v>160</v>
      </c>
      <c r="N10" s="241">
        <f t="shared" si="9"/>
        <v>160</v>
      </c>
      <c r="O10" s="241">
        <f t="shared" si="9"/>
        <v>160</v>
      </c>
      <c r="P10" s="241">
        <f t="shared" si="9"/>
        <v>160</v>
      </c>
      <c r="Q10" s="241">
        <f t="shared" si="9"/>
        <v>160</v>
      </c>
    </row>
    <row r="11" outlineLevel="1" spans="1:17">
      <c r="A11" s="217">
        <v>2</v>
      </c>
      <c r="B11" s="238" t="s">
        <v>801</v>
      </c>
      <c r="C11" s="226" t="s">
        <v>109</v>
      </c>
      <c r="D11" s="227">
        <f t="shared" si="0"/>
        <v>160</v>
      </c>
      <c r="E11" s="227" t="s">
        <v>805</v>
      </c>
      <c r="F11" s="242">
        <f>自有人工预算!E11</f>
        <v>160</v>
      </c>
      <c r="G11" s="242">
        <f>自有人工预算!F11</f>
        <v>160</v>
      </c>
      <c r="H11" s="242">
        <f>自有人工预算!G11</f>
        <v>160</v>
      </c>
      <c r="I11" s="242">
        <f>自有人工预算!H11</f>
        <v>160</v>
      </c>
      <c r="J11" s="242">
        <f>自有人工预算!I11</f>
        <v>160</v>
      </c>
      <c r="K11" s="242">
        <f>自有人工预算!J11</f>
        <v>160</v>
      </c>
      <c r="L11" s="242">
        <f>自有人工预算!K11</f>
        <v>160</v>
      </c>
      <c r="M11" s="242">
        <f>自有人工预算!L11</f>
        <v>160</v>
      </c>
      <c r="N11" s="242">
        <f>自有人工预算!M11</f>
        <v>160</v>
      </c>
      <c r="O11" s="242">
        <f>自有人工预算!N11</f>
        <v>160</v>
      </c>
      <c r="P11" s="242">
        <f>自有人工预算!O11</f>
        <v>160</v>
      </c>
      <c r="Q11" s="242">
        <f>自有人工预算!P11</f>
        <v>160</v>
      </c>
    </row>
    <row r="12" outlineLevel="1" spans="1:17">
      <c r="A12" s="217">
        <v>2</v>
      </c>
      <c r="B12" s="238" t="s">
        <v>801</v>
      </c>
      <c r="C12" s="229" t="s">
        <v>68</v>
      </c>
      <c r="D12" s="230">
        <f t="shared" si="0"/>
        <v>0</v>
      </c>
      <c r="E12" s="230" t="s">
        <v>805</v>
      </c>
      <c r="F12" s="242"/>
      <c r="G12" s="242"/>
      <c r="H12" s="242"/>
      <c r="I12" s="242"/>
      <c r="J12" s="242"/>
      <c r="K12" s="242"/>
      <c r="L12" s="242"/>
      <c r="M12" s="242"/>
      <c r="N12" s="242"/>
      <c r="O12" s="242"/>
      <c r="P12" s="242"/>
      <c r="Q12" s="242"/>
    </row>
    <row r="13" outlineLevel="1" spans="1:17">
      <c r="A13" s="217">
        <v>2</v>
      </c>
      <c r="B13" s="238" t="s">
        <v>801</v>
      </c>
      <c r="C13" s="232" t="s">
        <v>19</v>
      </c>
      <c r="D13" s="233">
        <f t="shared" si="0"/>
        <v>0</v>
      </c>
      <c r="E13" s="233" t="s">
        <v>805</v>
      </c>
      <c r="F13" s="242"/>
      <c r="G13" s="242"/>
      <c r="H13" s="242"/>
      <c r="I13" s="242"/>
      <c r="J13" s="242"/>
      <c r="K13" s="242"/>
      <c r="L13" s="242"/>
      <c r="M13" s="242"/>
      <c r="N13" s="242"/>
      <c r="O13" s="242"/>
      <c r="P13" s="242"/>
      <c r="Q13" s="242"/>
    </row>
    <row r="14" outlineLevel="1" spans="1:17">
      <c r="A14" s="217">
        <v>3</v>
      </c>
      <c r="B14" s="238" t="s">
        <v>808</v>
      </c>
      <c r="C14" s="239" t="s">
        <v>745</v>
      </c>
      <c r="D14" s="240">
        <f t="shared" si="0"/>
        <v>0</v>
      </c>
      <c r="E14" s="240" t="s">
        <v>805</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808</v>
      </c>
      <c r="C15" s="226" t="s">
        <v>109</v>
      </c>
      <c r="D15" s="227">
        <f t="shared" si="0"/>
        <v>0</v>
      </c>
      <c r="E15" s="227" t="s">
        <v>805</v>
      </c>
      <c r="F15" s="242"/>
      <c r="G15" s="242"/>
      <c r="H15" s="242"/>
      <c r="I15" s="242"/>
      <c r="J15" s="242"/>
      <c r="K15" s="242"/>
      <c r="L15" s="242"/>
      <c r="M15" s="242"/>
      <c r="N15" s="242"/>
      <c r="O15" s="242"/>
      <c r="P15" s="242"/>
      <c r="Q15" s="242"/>
    </row>
    <row r="16" outlineLevel="1" spans="1:17">
      <c r="A16" s="217">
        <v>3</v>
      </c>
      <c r="B16" s="238" t="s">
        <v>808</v>
      </c>
      <c r="C16" s="229" t="s">
        <v>68</v>
      </c>
      <c r="D16" s="230">
        <f t="shared" si="0"/>
        <v>0</v>
      </c>
      <c r="E16" s="230" t="s">
        <v>805</v>
      </c>
      <c r="F16" s="242"/>
      <c r="G16" s="242"/>
      <c r="H16" s="242"/>
      <c r="I16" s="242"/>
      <c r="J16" s="242"/>
      <c r="K16" s="242"/>
      <c r="L16" s="242"/>
      <c r="M16" s="242"/>
      <c r="N16" s="242"/>
      <c r="O16" s="242"/>
      <c r="P16" s="242"/>
      <c r="Q16" s="242"/>
    </row>
    <row r="17" outlineLevel="1" spans="1:17">
      <c r="A17" s="217">
        <v>3</v>
      </c>
      <c r="B17" s="238" t="s">
        <v>808</v>
      </c>
      <c r="C17" s="232" t="s">
        <v>19</v>
      </c>
      <c r="D17" s="233">
        <f t="shared" si="0"/>
        <v>0</v>
      </c>
      <c r="E17" s="233" t="s">
        <v>805</v>
      </c>
      <c r="F17" s="242"/>
      <c r="G17" s="242"/>
      <c r="H17" s="242"/>
      <c r="I17" s="242"/>
      <c r="J17" s="242"/>
      <c r="K17" s="242"/>
      <c r="L17" s="242"/>
      <c r="M17" s="242"/>
      <c r="N17" s="242"/>
      <c r="O17" s="242"/>
      <c r="P17" s="242"/>
      <c r="Q17" s="242"/>
    </row>
    <row r="18" outlineLevel="1" spans="1:17">
      <c r="A18" s="217">
        <v>4</v>
      </c>
      <c r="B18" s="238" t="s">
        <v>811</v>
      </c>
      <c r="C18" s="239" t="s">
        <v>745</v>
      </c>
      <c r="D18" s="240">
        <f t="shared" si="0"/>
        <v>0</v>
      </c>
      <c r="E18" s="240" t="s">
        <v>805</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811</v>
      </c>
      <c r="C19" s="226" t="s">
        <v>109</v>
      </c>
      <c r="D19" s="227">
        <f t="shared" si="0"/>
        <v>0</v>
      </c>
      <c r="E19" s="227" t="s">
        <v>805</v>
      </c>
      <c r="F19" s="242"/>
      <c r="G19" s="242"/>
      <c r="H19" s="242"/>
      <c r="I19" s="242"/>
      <c r="J19" s="242"/>
      <c r="K19" s="242"/>
      <c r="L19" s="242"/>
      <c r="M19" s="242"/>
      <c r="N19" s="242"/>
      <c r="O19" s="242"/>
      <c r="P19" s="242"/>
      <c r="Q19" s="242"/>
    </row>
    <row r="20" outlineLevel="1" spans="1:17">
      <c r="A20" s="217">
        <v>4</v>
      </c>
      <c r="B20" s="238" t="s">
        <v>811</v>
      </c>
      <c r="C20" s="229" t="s">
        <v>68</v>
      </c>
      <c r="D20" s="230">
        <f t="shared" si="0"/>
        <v>0</v>
      </c>
      <c r="E20" s="230" t="s">
        <v>805</v>
      </c>
      <c r="F20" s="242"/>
      <c r="G20" s="242"/>
      <c r="H20" s="242"/>
      <c r="I20" s="242"/>
      <c r="J20" s="242"/>
      <c r="K20" s="242"/>
      <c r="L20" s="242"/>
      <c r="M20" s="242"/>
      <c r="N20" s="242"/>
      <c r="O20" s="242"/>
      <c r="P20" s="242"/>
      <c r="Q20" s="242"/>
    </row>
    <row r="21" outlineLevel="1" spans="1:17">
      <c r="A21" s="217">
        <v>4</v>
      </c>
      <c r="B21" s="238" t="s">
        <v>811</v>
      </c>
      <c r="C21" s="232" t="s">
        <v>19</v>
      </c>
      <c r="D21" s="233">
        <f t="shared" si="0"/>
        <v>0</v>
      </c>
      <c r="E21" s="233" t="s">
        <v>805</v>
      </c>
      <c r="F21" s="242"/>
      <c r="G21" s="242"/>
      <c r="H21" s="242"/>
      <c r="I21" s="242"/>
      <c r="J21" s="242"/>
      <c r="K21" s="242"/>
      <c r="L21" s="242"/>
      <c r="M21" s="242"/>
      <c r="N21" s="242"/>
      <c r="O21" s="242"/>
      <c r="P21" s="242"/>
      <c r="Q21" s="242"/>
    </row>
    <row r="22" outlineLevel="1" spans="1:17">
      <c r="A22" s="217">
        <v>5</v>
      </c>
      <c r="B22" s="238" t="s">
        <v>814</v>
      </c>
      <c r="C22" s="239" t="s">
        <v>745</v>
      </c>
      <c r="D22" s="240">
        <f t="shared" si="0"/>
        <v>0</v>
      </c>
      <c r="E22" s="240" t="s">
        <v>805</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814</v>
      </c>
      <c r="C23" s="226" t="s">
        <v>109</v>
      </c>
      <c r="D23" s="227">
        <f t="shared" si="0"/>
        <v>0</v>
      </c>
      <c r="E23" s="227" t="s">
        <v>805</v>
      </c>
      <c r="F23" s="242"/>
      <c r="G23" s="242"/>
      <c r="H23" s="242"/>
      <c r="I23" s="242"/>
      <c r="J23" s="242"/>
      <c r="K23" s="242"/>
      <c r="L23" s="242"/>
      <c r="M23" s="242"/>
      <c r="N23" s="242"/>
      <c r="O23" s="242"/>
      <c r="P23" s="242"/>
      <c r="Q23" s="242"/>
    </row>
    <row r="24" outlineLevel="1" spans="1:17">
      <c r="A24" s="217">
        <v>5</v>
      </c>
      <c r="B24" s="238" t="s">
        <v>814</v>
      </c>
      <c r="C24" s="229" t="s">
        <v>68</v>
      </c>
      <c r="D24" s="230">
        <f t="shared" si="0"/>
        <v>0</v>
      </c>
      <c r="E24" s="230" t="s">
        <v>805</v>
      </c>
      <c r="F24" s="242"/>
      <c r="G24" s="242"/>
      <c r="H24" s="242"/>
      <c r="I24" s="242"/>
      <c r="J24" s="242"/>
      <c r="K24" s="242"/>
      <c r="L24" s="242"/>
      <c r="M24" s="242"/>
      <c r="N24" s="242"/>
      <c r="O24" s="242"/>
      <c r="P24" s="242"/>
      <c r="Q24" s="242"/>
    </row>
    <row r="25" outlineLevel="1" spans="1:17">
      <c r="A25" s="217">
        <v>5</v>
      </c>
      <c r="B25" s="238" t="s">
        <v>814</v>
      </c>
      <c r="C25" s="232" t="s">
        <v>19</v>
      </c>
      <c r="D25" s="233">
        <f t="shared" si="0"/>
        <v>0</v>
      </c>
      <c r="E25" s="233" t="s">
        <v>805</v>
      </c>
      <c r="F25" s="242"/>
      <c r="G25" s="242"/>
      <c r="H25" s="242"/>
      <c r="I25" s="242"/>
      <c r="J25" s="242"/>
      <c r="K25" s="242"/>
      <c r="L25" s="242"/>
      <c r="M25" s="242"/>
      <c r="N25" s="242"/>
      <c r="O25" s="242"/>
      <c r="P25" s="242"/>
      <c r="Q25" s="242"/>
    </row>
    <row r="26" outlineLevel="1" spans="1:17">
      <c r="A26" s="217">
        <v>6</v>
      </c>
      <c r="B26" s="238" t="s">
        <v>817</v>
      </c>
      <c r="C26" s="239" t="s">
        <v>745</v>
      </c>
      <c r="D26" s="240">
        <f t="shared" si="0"/>
        <v>0</v>
      </c>
      <c r="E26" s="240" t="s">
        <v>805</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817</v>
      </c>
      <c r="C27" s="226" t="s">
        <v>109</v>
      </c>
      <c r="D27" s="227">
        <f t="shared" si="0"/>
        <v>0</v>
      </c>
      <c r="E27" s="227" t="s">
        <v>805</v>
      </c>
      <c r="F27" s="242"/>
      <c r="G27" s="242"/>
      <c r="H27" s="242"/>
      <c r="I27" s="242"/>
      <c r="J27" s="242"/>
      <c r="K27" s="242"/>
      <c r="L27" s="242"/>
      <c r="M27" s="242"/>
      <c r="N27" s="242"/>
      <c r="O27" s="242"/>
      <c r="P27" s="242"/>
      <c r="Q27" s="242"/>
    </row>
    <row r="28" outlineLevel="1" spans="1:17">
      <c r="A28" s="217">
        <v>6</v>
      </c>
      <c r="B28" s="238" t="s">
        <v>817</v>
      </c>
      <c r="C28" s="229" t="s">
        <v>68</v>
      </c>
      <c r="D28" s="230">
        <f t="shared" si="0"/>
        <v>0</v>
      </c>
      <c r="E28" s="230" t="s">
        <v>805</v>
      </c>
      <c r="F28" s="242"/>
      <c r="G28" s="242"/>
      <c r="H28" s="242"/>
      <c r="I28" s="242"/>
      <c r="J28" s="242"/>
      <c r="K28" s="242"/>
      <c r="L28" s="242"/>
      <c r="M28" s="242"/>
      <c r="N28" s="242"/>
      <c r="O28" s="242"/>
      <c r="P28" s="242"/>
      <c r="Q28" s="242"/>
    </row>
    <row r="29" outlineLevel="1" spans="1:17">
      <c r="A29" s="217">
        <v>6</v>
      </c>
      <c r="B29" s="238" t="s">
        <v>817</v>
      </c>
      <c r="C29" s="232" t="s">
        <v>19</v>
      </c>
      <c r="D29" s="233">
        <f t="shared" si="0"/>
        <v>0</v>
      </c>
      <c r="E29" s="233" t="s">
        <v>805</v>
      </c>
      <c r="F29" s="242"/>
      <c r="G29" s="242"/>
      <c r="H29" s="242"/>
      <c r="I29" s="242"/>
      <c r="J29" s="242"/>
      <c r="K29" s="242"/>
      <c r="L29" s="242"/>
      <c r="M29" s="242"/>
      <c r="N29" s="242"/>
      <c r="O29" s="242"/>
      <c r="P29" s="242"/>
      <c r="Q29" s="242"/>
    </row>
    <row r="30" outlineLevel="1" spans="1:17">
      <c r="A30" s="217">
        <v>7</v>
      </c>
      <c r="B30" s="238" t="s">
        <v>820</v>
      </c>
      <c r="C30" s="239" t="s">
        <v>745</v>
      </c>
      <c r="D30" s="240">
        <f t="shared" si="0"/>
        <v>0</v>
      </c>
      <c r="E30" s="240" t="s">
        <v>805</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820</v>
      </c>
      <c r="C31" s="226" t="s">
        <v>109</v>
      </c>
      <c r="D31" s="227">
        <f t="shared" si="0"/>
        <v>0</v>
      </c>
      <c r="E31" s="227" t="s">
        <v>805</v>
      </c>
      <c r="F31" s="242"/>
      <c r="G31" s="242"/>
      <c r="H31" s="242"/>
      <c r="I31" s="242"/>
      <c r="J31" s="242"/>
      <c r="K31" s="242"/>
      <c r="L31" s="242"/>
      <c r="M31" s="242"/>
      <c r="N31" s="242"/>
      <c r="O31" s="242"/>
      <c r="P31" s="242"/>
      <c r="Q31" s="242"/>
    </row>
    <row r="32" outlineLevel="1" spans="1:17">
      <c r="A32" s="217">
        <v>7</v>
      </c>
      <c r="B32" s="238" t="s">
        <v>820</v>
      </c>
      <c r="C32" s="229" t="s">
        <v>68</v>
      </c>
      <c r="D32" s="230">
        <f t="shared" si="0"/>
        <v>0</v>
      </c>
      <c r="E32" s="230" t="s">
        <v>805</v>
      </c>
      <c r="F32" s="242"/>
      <c r="G32" s="242"/>
      <c r="H32" s="242"/>
      <c r="I32" s="242"/>
      <c r="J32" s="242"/>
      <c r="K32" s="242"/>
      <c r="L32" s="242"/>
      <c r="M32" s="242"/>
      <c r="N32" s="242"/>
      <c r="O32" s="242"/>
      <c r="P32" s="242"/>
      <c r="Q32" s="242"/>
    </row>
    <row r="33" outlineLevel="1" spans="1:17">
      <c r="A33" s="217">
        <v>7</v>
      </c>
      <c r="B33" s="238" t="s">
        <v>820</v>
      </c>
      <c r="C33" s="232" t="s">
        <v>19</v>
      </c>
      <c r="D33" s="233">
        <f t="shared" si="0"/>
        <v>0</v>
      </c>
      <c r="E33" s="233" t="s">
        <v>805</v>
      </c>
      <c r="F33" s="242"/>
      <c r="G33" s="242"/>
      <c r="H33" s="242"/>
      <c r="I33" s="242"/>
      <c r="J33" s="242"/>
      <c r="K33" s="242"/>
      <c r="L33" s="242"/>
      <c r="M33" s="242"/>
      <c r="N33" s="242"/>
      <c r="O33" s="242"/>
      <c r="P33" s="242"/>
      <c r="Q33" s="242"/>
    </row>
    <row r="34" spans="1:17">
      <c r="A34" s="217">
        <v>8</v>
      </c>
      <c r="B34" s="235" t="s">
        <v>203</v>
      </c>
      <c r="C34" s="235" t="s">
        <v>745</v>
      </c>
      <c r="D34" s="236">
        <f t="shared" si="0"/>
        <v>27</v>
      </c>
      <c r="E34" s="236" t="s">
        <v>805</v>
      </c>
      <c r="F34" s="237">
        <f t="shared" ref="F34:Q34" si="15">F35+F36+F37</f>
        <v>60</v>
      </c>
      <c r="G34" s="237">
        <f t="shared" si="15"/>
        <v>24</v>
      </c>
      <c r="H34" s="237">
        <f t="shared" si="15"/>
        <v>24</v>
      </c>
      <c r="I34" s="237">
        <f t="shared" si="15"/>
        <v>24</v>
      </c>
      <c r="J34" s="237">
        <f t="shared" si="15"/>
        <v>24</v>
      </c>
      <c r="K34" s="237">
        <f t="shared" si="15"/>
        <v>24</v>
      </c>
      <c r="L34" s="237">
        <f t="shared" si="15"/>
        <v>24</v>
      </c>
      <c r="M34" s="237">
        <f t="shared" si="15"/>
        <v>24</v>
      </c>
      <c r="N34" s="237">
        <f t="shared" si="15"/>
        <v>24</v>
      </c>
      <c r="O34" s="237">
        <f t="shared" si="15"/>
        <v>24</v>
      </c>
      <c r="P34" s="237">
        <f t="shared" si="15"/>
        <v>24</v>
      </c>
      <c r="Q34" s="237">
        <f t="shared" si="15"/>
        <v>24</v>
      </c>
    </row>
    <row r="35" spans="1:17">
      <c r="A35" s="217">
        <v>8</v>
      </c>
      <c r="B35" s="235" t="s">
        <v>203</v>
      </c>
      <c r="C35" s="226" t="s">
        <v>109</v>
      </c>
      <c r="D35" s="227">
        <f t="shared" si="0"/>
        <v>23.5833333333333</v>
      </c>
      <c r="E35" s="227" t="s">
        <v>805</v>
      </c>
      <c r="F35" s="228">
        <v>19</v>
      </c>
      <c r="G35" s="228">
        <f t="shared" ref="G35:Q35" si="16">G39+G43+G47+G51+G55+G59+G63+G67</f>
        <v>24</v>
      </c>
      <c r="H35" s="228">
        <f t="shared" si="16"/>
        <v>24</v>
      </c>
      <c r="I35" s="228">
        <f t="shared" si="16"/>
        <v>24</v>
      </c>
      <c r="J35" s="228">
        <f t="shared" si="16"/>
        <v>24</v>
      </c>
      <c r="K35" s="228">
        <f t="shared" si="16"/>
        <v>24</v>
      </c>
      <c r="L35" s="228">
        <f t="shared" si="16"/>
        <v>24</v>
      </c>
      <c r="M35" s="228">
        <f t="shared" si="16"/>
        <v>24</v>
      </c>
      <c r="N35" s="228">
        <f t="shared" si="16"/>
        <v>24</v>
      </c>
      <c r="O35" s="228">
        <f t="shared" si="16"/>
        <v>24</v>
      </c>
      <c r="P35" s="228">
        <f t="shared" si="16"/>
        <v>24</v>
      </c>
      <c r="Q35" s="228">
        <f t="shared" si="16"/>
        <v>24</v>
      </c>
    </row>
    <row r="36" spans="1:17">
      <c r="A36" s="217">
        <v>8</v>
      </c>
      <c r="B36" s="235" t="s">
        <v>203</v>
      </c>
      <c r="C36" s="229" t="s">
        <v>68</v>
      </c>
      <c r="D36" s="230">
        <f t="shared" si="0"/>
        <v>20</v>
      </c>
      <c r="E36" s="230" t="s">
        <v>805</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805</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841</v>
      </c>
      <c r="C38" s="239" t="s">
        <v>745</v>
      </c>
      <c r="D38" s="240">
        <f t="shared" si="0"/>
        <v>24</v>
      </c>
      <c r="E38" s="240" t="s">
        <v>805</v>
      </c>
      <c r="F38" s="241">
        <f t="shared" ref="F38:Q38" si="19">F39+F40+F41</f>
        <v>24</v>
      </c>
      <c r="G38" s="241">
        <f t="shared" si="19"/>
        <v>24</v>
      </c>
      <c r="H38" s="241">
        <f t="shared" si="19"/>
        <v>24</v>
      </c>
      <c r="I38" s="241">
        <f t="shared" si="19"/>
        <v>24</v>
      </c>
      <c r="J38" s="241">
        <f t="shared" si="19"/>
        <v>24</v>
      </c>
      <c r="K38" s="241">
        <f t="shared" si="19"/>
        <v>24</v>
      </c>
      <c r="L38" s="241">
        <f t="shared" si="19"/>
        <v>24</v>
      </c>
      <c r="M38" s="241">
        <f t="shared" si="19"/>
        <v>24</v>
      </c>
      <c r="N38" s="241">
        <f t="shared" si="19"/>
        <v>24</v>
      </c>
      <c r="O38" s="241">
        <f t="shared" si="19"/>
        <v>24</v>
      </c>
      <c r="P38" s="241">
        <f t="shared" si="19"/>
        <v>24</v>
      </c>
      <c r="Q38" s="241">
        <f t="shared" si="19"/>
        <v>24</v>
      </c>
    </row>
    <row r="39" outlineLevel="1" spans="1:17">
      <c r="A39" s="217">
        <v>9</v>
      </c>
      <c r="B39" s="238" t="s">
        <v>841</v>
      </c>
      <c r="C39" s="226" t="s">
        <v>109</v>
      </c>
      <c r="D39" s="227">
        <f t="shared" si="0"/>
        <v>24</v>
      </c>
      <c r="E39" s="227" t="s">
        <v>805</v>
      </c>
      <c r="F39" s="242">
        <f>自有人工预算!E13</f>
        <v>24</v>
      </c>
      <c r="G39" s="242">
        <f>自有人工预算!F13</f>
        <v>24</v>
      </c>
      <c r="H39" s="242">
        <f>自有人工预算!G13</f>
        <v>24</v>
      </c>
      <c r="I39" s="242">
        <f>自有人工预算!H13</f>
        <v>24</v>
      </c>
      <c r="J39" s="242">
        <f>自有人工预算!I13</f>
        <v>24</v>
      </c>
      <c r="K39" s="242">
        <f>自有人工预算!J13</f>
        <v>24</v>
      </c>
      <c r="L39" s="242">
        <f>自有人工预算!K13</f>
        <v>24</v>
      </c>
      <c r="M39" s="242">
        <f>自有人工预算!L13</f>
        <v>24</v>
      </c>
      <c r="N39" s="242">
        <f>自有人工预算!M13</f>
        <v>24</v>
      </c>
      <c r="O39" s="242">
        <f>自有人工预算!N13</f>
        <v>24</v>
      </c>
      <c r="P39" s="242">
        <f>自有人工预算!O13</f>
        <v>24</v>
      </c>
      <c r="Q39" s="242">
        <f>自有人工预算!P13</f>
        <v>24</v>
      </c>
    </row>
    <row r="40" outlineLevel="1" spans="1:17">
      <c r="A40" s="217">
        <v>9</v>
      </c>
      <c r="B40" s="238" t="s">
        <v>841</v>
      </c>
      <c r="C40" s="229" t="s">
        <v>68</v>
      </c>
      <c r="D40" s="230">
        <f t="shared" si="0"/>
        <v>0</v>
      </c>
      <c r="E40" s="230" t="s">
        <v>805</v>
      </c>
      <c r="F40" s="242"/>
      <c r="G40" s="242"/>
      <c r="H40" s="242"/>
      <c r="I40" s="242"/>
      <c r="J40" s="242"/>
      <c r="K40" s="242"/>
      <c r="L40" s="242"/>
      <c r="M40" s="242"/>
      <c r="N40" s="242"/>
      <c r="O40" s="242"/>
      <c r="P40" s="242"/>
      <c r="Q40" s="242"/>
    </row>
    <row r="41" outlineLevel="1" spans="1:17">
      <c r="A41" s="217">
        <v>9</v>
      </c>
      <c r="B41" s="238" t="s">
        <v>841</v>
      </c>
      <c r="C41" s="232" t="s">
        <v>19</v>
      </c>
      <c r="D41" s="233">
        <f t="shared" si="0"/>
        <v>0</v>
      </c>
      <c r="E41" s="233" t="s">
        <v>805</v>
      </c>
      <c r="F41" s="242"/>
      <c r="G41" s="242"/>
      <c r="H41" s="242"/>
      <c r="I41" s="242"/>
      <c r="J41" s="242"/>
      <c r="K41" s="242"/>
      <c r="L41" s="242"/>
      <c r="M41" s="242"/>
      <c r="N41" s="242"/>
      <c r="O41" s="242"/>
      <c r="P41" s="242"/>
      <c r="Q41" s="242"/>
    </row>
    <row r="42" outlineLevel="1" spans="1:17">
      <c r="A42" s="217">
        <v>10</v>
      </c>
      <c r="B42" s="238" t="s">
        <v>844</v>
      </c>
      <c r="C42" s="239" t="s">
        <v>745</v>
      </c>
      <c r="D42" s="240">
        <f t="shared" si="0"/>
        <v>0</v>
      </c>
      <c r="E42" s="240" t="s">
        <v>805</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844</v>
      </c>
      <c r="C43" s="226" t="s">
        <v>109</v>
      </c>
      <c r="D43" s="227">
        <f t="shared" si="0"/>
        <v>0</v>
      </c>
      <c r="E43" s="227" t="s">
        <v>805</v>
      </c>
      <c r="F43" s="242"/>
      <c r="G43" s="242"/>
      <c r="H43" s="242"/>
      <c r="I43" s="242"/>
      <c r="J43" s="242"/>
      <c r="K43" s="242"/>
      <c r="L43" s="242"/>
      <c r="M43" s="242"/>
      <c r="N43" s="242"/>
      <c r="O43" s="242"/>
      <c r="P43" s="242"/>
      <c r="Q43" s="242"/>
    </row>
    <row r="44" outlineLevel="1" spans="1:17">
      <c r="A44" s="217">
        <v>10</v>
      </c>
      <c r="B44" s="238" t="s">
        <v>844</v>
      </c>
      <c r="C44" s="229" t="s">
        <v>68</v>
      </c>
      <c r="D44" s="230">
        <f t="shared" si="0"/>
        <v>0</v>
      </c>
      <c r="E44" s="230" t="s">
        <v>805</v>
      </c>
      <c r="F44" s="242"/>
      <c r="G44" s="242"/>
      <c r="H44" s="242"/>
      <c r="I44" s="242"/>
      <c r="J44" s="242"/>
      <c r="K44" s="242"/>
      <c r="L44" s="242"/>
      <c r="M44" s="242"/>
      <c r="N44" s="242"/>
      <c r="O44" s="242"/>
      <c r="P44" s="242"/>
      <c r="Q44" s="242"/>
    </row>
    <row r="45" outlineLevel="1" spans="1:17">
      <c r="A45" s="217">
        <v>10</v>
      </c>
      <c r="B45" s="238" t="s">
        <v>844</v>
      </c>
      <c r="C45" s="232" t="s">
        <v>19</v>
      </c>
      <c r="D45" s="233">
        <f t="shared" si="0"/>
        <v>0</v>
      </c>
      <c r="E45" s="233" t="s">
        <v>805</v>
      </c>
      <c r="F45" s="242"/>
      <c r="G45" s="242"/>
      <c r="H45" s="242"/>
      <c r="I45" s="242"/>
      <c r="J45" s="242"/>
      <c r="K45" s="242"/>
      <c r="L45" s="242"/>
      <c r="M45" s="242"/>
      <c r="N45" s="242"/>
      <c r="O45" s="242"/>
      <c r="P45" s="242"/>
      <c r="Q45" s="242"/>
    </row>
    <row r="46" outlineLevel="1" spans="1:17">
      <c r="A46" s="217">
        <v>11</v>
      </c>
      <c r="B46" s="238" t="s">
        <v>846</v>
      </c>
      <c r="C46" s="239" t="s">
        <v>745</v>
      </c>
      <c r="D46" s="240">
        <f t="shared" si="0"/>
        <v>0</v>
      </c>
      <c r="E46" s="240" t="s">
        <v>805</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846</v>
      </c>
      <c r="C47" s="226" t="s">
        <v>109</v>
      </c>
      <c r="D47" s="227">
        <f t="shared" si="0"/>
        <v>0</v>
      </c>
      <c r="E47" s="227" t="s">
        <v>805</v>
      </c>
      <c r="F47" s="242"/>
      <c r="G47" s="242"/>
      <c r="H47" s="242"/>
      <c r="I47" s="242"/>
      <c r="J47" s="242"/>
      <c r="K47" s="242"/>
      <c r="L47" s="242"/>
      <c r="M47" s="242"/>
      <c r="N47" s="242"/>
      <c r="O47" s="242"/>
      <c r="P47" s="242"/>
      <c r="Q47" s="242"/>
    </row>
    <row r="48" outlineLevel="1" spans="1:17">
      <c r="A48" s="217">
        <v>11</v>
      </c>
      <c r="B48" s="238" t="s">
        <v>846</v>
      </c>
      <c r="C48" s="229" t="s">
        <v>68</v>
      </c>
      <c r="D48" s="230">
        <f t="shared" si="0"/>
        <v>0</v>
      </c>
      <c r="E48" s="230" t="s">
        <v>805</v>
      </c>
      <c r="F48" s="242"/>
      <c r="G48" s="242"/>
      <c r="H48" s="242"/>
      <c r="I48" s="242"/>
      <c r="J48" s="242"/>
      <c r="K48" s="242"/>
      <c r="L48" s="242"/>
      <c r="M48" s="242"/>
      <c r="N48" s="242"/>
      <c r="O48" s="242"/>
      <c r="P48" s="242"/>
      <c r="Q48" s="242"/>
    </row>
    <row r="49" outlineLevel="1" spans="1:17">
      <c r="A49" s="217">
        <v>11</v>
      </c>
      <c r="B49" s="238" t="s">
        <v>846</v>
      </c>
      <c r="C49" s="232" t="s">
        <v>19</v>
      </c>
      <c r="D49" s="233">
        <f t="shared" si="0"/>
        <v>0</v>
      </c>
      <c r="E49" s="233" t="s">
        <v>805</v>
      </c>
      <c r="F49" s="242"/>
      <c r="G49" s="242"/>
      <c r="H49" s="242"/>
      <c r="I49" s="242"/>
      <c r="J49" s="242"/>
      <c r="K49" s="242"/>
      <c r="L49" s="242"/>
      <c r="M49" s="242"/>
      <c r="N49" s="242"/>
      <c r="O49" s="242"/>
      <c r="P49" s="242"/>
      <c r="Q49" s="242"/>
    </row>
    <row r="50" outlineLevel="1" spans="1:17">
      <c r="A50" s="217">
        <v>12</v>
      </c>
      <c r="B50" s="238" t="s">
        <v>849</v>
      </c>
      <c r="C50" s="239" t="s">
        <v>745</v>
      </c>
      <c r="D50" s="240">
        <f t="shared" si="0"/>
        <v>0</v>
      </c>
      <c r="E50" s="240" t="s">
        <v>805</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849</v>
      </c>
      <c r="C51" s="226" t="s">
        <v>109</v>
      </c>
      <c r="D51" s="227">
        <f t="shared" si="0"/>
        <v>0</v>
      </c>
      <c r="E51" s="227" t="s">
        <v>805</v>
      </c>
      <c r="F51" s="242"/>
      <c r="G51" s="242"/>
      <c r="H51" s="242"/>
      <c r="I51" s="242"/>
      <c r="J51" s="242"/>
      <c r="K51" s="242"/>
      <c r="L51" s="242"/>
      <c r="M51" s="242"/>
      <c r="N51" s="242"/>
      <c r="O51" s="242"/>
      <c r="P51" s="242"/>
      <c r="Q51" s="242"/>
    </row>
    <row r="52" outlineLevel="1" spans="1:17">
      <c r="A52" s="217">
        <v>12</v>
      </c>
      <c r="B52" s="238" t="s">
        <v>849</v>
      </c>
      <c r="C52" s="229" t="s">
        <v>68</v>
      </c>
      <c r="D52" s="230">
        <f t="shared" si="0"/>
        <v>0</v>
      </c>
      <c r="E52" s="230" t="s">
        <v>805</v>
      </c>
      <c r="F52" s="242"/>
      <c r="G52" s="242"/>
      <c r="H52" s="242"/>
      <c r="I52" s="242"/>
      <c r="J52" s="242"/>
      <c r="K52" s="242"/>
      <c r="L52" s="242"/>
      <c r="M52" s="242"/>
      <c r="N52" s="242"/>
      <c r="O52" s="242"/>
      <c r="P52" s="242"/>
      <c r="Q52" s="242"/>
    </row>
    <row r="53" outlineLevel="1" spans="1:17">
      <c r="A53" s="217">
        <v>12</v>
      </c>
      <c r="B53" s="238" t="s">
        <v>849</v>
      </c>
      <c r="C53" s="232" t="s">
        <v>19</v>
      </c>
      <c r="D53" s="233">
        <f t="shared" si="0"/>
        <v>0</v>
      </c>
      <c r="E53" s="233" t="s">
        <v>805</v>
      </c>
      <c r="F53" s="242"/>
      <c r="G53" s="242"/>
      <c r="H53" s="242"/>
      <c r="I53" s="242"/>
      <c r="J53" s="242"/>
      <c r="K53" s="242"/>
      <c r="L53" s="242"/>
      <c r="M53" s="242"/>
      <c r="N53" s="242"/>
      <c r="O53" s="242"/>
      <c r="P53" s="242"/>
      <c r="Q53" s="242"/>
    </row>
    <row r="54" outlineLevel="1" spans="1:17">
      <c r="A54" s="217">
        <v>13</v>
      </c>
      <c r="B54" s="238" t="s">
        <v>852</v>
      </c>
      <c r="C54" s="239" t="s">
        <v>745</v>
      </c>
      <c r="D54" s="240">
        <f t="shared" si="0"/>
        <v>0</v>
      </c>
      <c r="E54" s="240" t="s">
        <v>805</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852</v>
      </c>
      <c r="C55" s="226" t="s">
        <v>109</v>
      </c>
      <c r="D55" s="227">
        <f t="shared" si="0"/>
        <v>0</v>
      </c>
      <c r="E55" s="227" t="s">
        <v>805</v>
      </c>
      <c r="F55" s="242"/>
      <c r="G55" s="242"/>
      <c r="H55" s="242"/>
      <c r="I55" s="242"/>
      <c r="J55" s="242"/>
      <c r="K55" s="242"/>
      <c r="L55" s="242"/>
      <c r="M55" s="242"/>
      <c r="N55" s="242"/>
      <c r="O55" s="242"/>
      <c r="P55" s="242"/>
      <c r="Q55" s="242"/>
    </row>
    <row r="56" outlineLevel="1" spans="1:17">
      <c r="A56" s="217">
        <v>13</v>
      </c>
      <c r="B56" s="238" t="s">
        <v>852</v>
      </c>
      <c r="C56" s="229" t="s">
        <v>68</v>
      </c>
      <c r="D56" s="230">
        <f t="shared" si="0"/>
        <v>0</v>
      </c>
      <c r="E56" s="230" t="s">
        <v>805</v>
      </c>
      <c r="F56" s="242"/>
      <c r="G56" s="242"/>
      <c r="H56" s="242"/>
      <c r="I56" s="242"/>
      <c r="J56" s="242"/>
      <c r="K56" s="242"/>
      <c r="L56" s="242"/>
      <c r="M56" s="242"/>
      <c r="N56" s="242"/>
      <c r="O56" s="242"/>
      <c r="P56" s="242"/>
      <c r="Q56" s="242"/>
    </row>
    <row r="57" outlineLevel="1" spans="1:17">
      <c r="A57" s="217">
        <v>13</v>
      </c>
      <c r="B57" s="238" t="s">
        <v>852</v>
      </c>
      <c r="C57" s="232" t="s">
        <v>19</v>
      </c>
      <c r="D57" s="233">
        <f t="shared" si="0"/>
        <v>0</v>
      </c>
      <c r="E57" s="233" t="s">
        <v>805</v>
      </c>
      <c r="F57" s="242"/>
      <c r="G57" s="242"/>
      <c r="H57" s="242"/>
      <c r="I57" s="242"/>
      <c r="J57" s="242"/>
      <c r="K57" s="242"/>
      <c r="L57" s="242"/>
      <c r="M57" s="242"/>
      <c r="N57" s="242"/>
      <c r="O57" s="242"/>
      <c r="P57" s="242"/>
      <c r="Q57" s="242"/>
    </row>
    <row r="58" outlineLevel="1" spans="1:17">
      <c r="A58" s="217">
        <v>14</v>
      </c>
      <c r="B58" s="238" t="s">
        <v>855</v>
      </c>
      <c r="C58" s="239" t="s">
        <v>745</v>
      </c>
      <c r="D58" s="240">
        <f t="shared" si="0"/>
        <v>0</v>
      </c>
      <c r="E58" s="240" t="s">
        <v>805</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855</v>
      </c>
      <c r="C59" s="226" t="s">
        <v>109</v>
      </c>
      <c r="D59" s="227">
        <f t="shared" si="0"/>
        <v>0</v>
      </c>
      <c r="E59" s="227" t="s">
        <v>805</v>
      </c>
      <c r="F59" s="242"/>
      <c r="G59" s="242"/>
      <c r="H59" s="242"/>
      <c r="I59" s="242"/>
      <c r="J59" s="242"/>
      <c r="K59" s="242"/>
      <c r="L59" s="242"/>
      <c r="M59" s="242"/>
      <c r="N59" s="242"/>
      <c r="O59" s="242"/>
      <c r="P59" s="242"/>
      <c r="Q59" s="242"/>
    </row>
    <row r="60" outlineLevel="1" spans="1:17">
      <c r="A60" s="217">
        <v>14</v>
      </c>
      <c r="B60" s="238" t="s">
        <v>855</v>
      </c>
      <c r="C60" s="229" t="s">
        <v>68</v>
      </c>
      <c r="D60" s="230">
        <f t="shared" si="0"/>
        <v>0</v>
      </c>
      <c r="E60" s="230" t="s">
        <v>805</v>
      </c>
      <c r="F60" s="242"/>
      <c r="G60" s="242"/>
      <c r="H60" s="242"/>
      <c r="I60" s="242"/>
      <c r="J60" s="242"/>
      <c r="K60" s="242"/>
      <c r="L60" s="242"/>
      <c r="M60" s="242"/>
      <c r="N60" s="242"/>
      <c r="O60" s="242"/>
      <c r="P60" s="242"/>
      <c r="Q60" s="242"/>
    </row>
    <row r="61" outlineLevel="1" spans="1:17">
      <c r="A61" s="217">
        <v>14</v>
      </c>
      <c r="B61" s="238" t="s">
        <v>855</v>
      </c>
      <c r="C61" s="232" t="s">
        <v>19</v>
      </c>
      <c r="D61" s="233">
        <f t="shared" si="0"/>
        <v>0</v>
      </c>
      <c r="E61" s="233" t="s">
        <v>805</v>
      </c>
      <c r="F61" s="242"/>
      <c r="G61" s="242"/>
      <c r="H61" s="242"/>
      <c r="I61" s="242"/>
      <c r="J61" s="242"/>
      <c r="K61" s="242"/>
      <c r="L61" s="242"/>
      <c r="M61" s="242"/>
      <c r="N61" s="242"/>
      <c r="O61" s="242"/>
      <c r="P61" s="242"/>
      <c r="Q61" s="242"/>
    </row>
    <row r="62" outlineLevel="1" spans="1:17">
      <c r="A62" s="217">
        <v>15</v>
      </c>
      <c r="B62" s="238" t="s">
        <v>858</v>
      </c>
      <c r="C62" s="239" t="s">
        <v>745</v>
      </c>
      <c r="D62" s="240">
        <f t="shared" si="0"/>
        <v>0</v>
      </c>
      <c r="E62" s="240" t="s">
        <v>805</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858</v>
      </c>
      <c r="C63" s="226" t="s">
        <v>109</v>
      </c>
      <c r="D63" s="227">
        <f t="shared" si="0"/>
        <v>0</v>
      </c>
      <c r="E63" s="227" t="s">
        <v>805</v>
      </c>
      <c r="F63" s="242"/>
      <c r="G63" s="242"/>
      <c r="H63" s="242"/>
      <c r="I63" s="242"/>
      <c r="J63" s="242"/>
      <c r="K63" s="242"/>
      <c r="L63" s="242"/>
      <c r="M63" s="242"/>
      <c r="N63" s="242"/>
      <c r="O63" s="242"/>
      <c r="P63" s="242"/>
      <c r="Q63" s="242"/>
    </row>
    <row r="64" outlineLevel="1" spans="1:17">
      <c r="A64" s="217">
        <v>15</v>
      </c>
      <c r="B64" s="238" t="s">
        <v>858</v>
      </c>
      <c r="C64" s="229" t="s">
        <v>68</v>
      </c>
      <c r="D64" s="230">
        <f t="shared" si="0"/>
        <v>0</v>
      </c>
      <c r="E64" s="230" t="s">
        <v>805</v>
      </c>
      <c r="F64" s="242"/>
      <c r="G64" s="242"/>
      <c r="H64" s="242"/>
      <c r="I64" s="242"/>
      <c r="J64" s="242"/>
      <c r="K64" s="242"/>
      <c r="L64" s="242"/>
      <c r="M64" s="242"/>
      <c r="N64" s="242"/>
      <c r="O64" s="242"/>
      <c r="P64" s="242"/>
      <c r="Q64" s="242"/>
    </row>
    <row r="65" outlineLevel="1" spans="1:17">
      <c r="A65" s="217">
        <v>15</v>
      </c>
      <c r="B65" s="238" t="s">
        <v>858</v>
      </c>
      <c r="C65" s="232" t="s">
        <v>19</v>
      </c>
      <c r="D65" s="233">
        <f t="shared" si="0"/>
        <v>0</v>
      </c>
      <c r="E65" s="233" t="s">
        <v>805</v>
      </c>
      <c r="F65" s="242"/>
      <c r="G65" s="242"/>
      <c r="H65" s="242"/>
      <c r="I65" s="242"/>
      <c r="J65" s="242"/>
      <c r="K65" s="242"/>
      <c r="L65" s="242"/>
      <c r="M65" s="242"/>
      <c r="N65" s="242"/>
      <c r="O65" s="242"/>
      <c r="P65" s="242"/>
      <c r="Q65" s="242"/>
    </row>
    <row r="66" outlineLevel="1" spans="1:17">
      <c r="A66" s="217">
        <v>16</v>
      </c>
      <c r="B66" s="238" t="s">
        <v>861</v>
      </c>
      <c r="C66" s="239" t="s">
        <v>745</v>
      </c>
      <c r="D66" s="240">
        <f t="shared" ref="D66:D129" si="26">IFERROR(SUM(F66:Q66)/COUNTIF(F66:Q66,"&lt;&gt;0"),0)</f>
        <v>0</v>
      </c>
      <c r="E66" s="240" t="s">
        <v>805</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861</v>
      </c>
      <c r="C67" s="226" t="s">
        <v>109</v>
      </c>
      <c r="D67" s="227">
        <f t="shared" si="26"/>
        <v>0</v>
      </c>
      <c r="E67" s="227" t="s">
        <v>805</v>
      </c>
      <c r="F67" s="242"/>
      <c r="G67" s="242"/>
      <c r="H67" s="242"/>
      <c r="I67" s="242"/>
      <c r="J67" s="242"/>
      <c r="K67" s="242"/>
      <c r="L67" s="242"/>
      <c r="M67" s="242"/>
      <c r="N67" s="242"/>
      <c r="O67" s="242"/>
      <c r="P67" s="242"/>
      <c r="Q67" s="242"/>
    </row>
    <row r="68" outlineLevel="1" spans="1:17">
      <c r="A68" s="217">
        <v>16</v>
      </c>
      <c r="B68" s="238" t="s">
        <v>861</v>
      </c>
      <c r="C68" s="229" t="s">
        <v>68</v>
      </c>
      <c r="D68" s="230">
        <f t="shared" si="26"/>
        <v>0</v>
      </c>
      <c r="E68" s="230" t="s">
        <v>805</v>
      </c>
      <c r="F68" s="242"/>
      <c r="G68" s="242"/>
      <c r="H68" s="242"/>
      <c r="I68" s="242"/>
      <c r="J68" s="242"/>
      <c r="K68" s="242"/>
      <c r="L68" s="242"/>
      <c r="M68" s="242"/>
      <c r="N68" s="242"/>
      <c r="O68" s="242"/>
      <c r="P68" s="242"/>
      <c r="Q68" s="242"/>
    </row>
    <row r="69" outlineLevel="1" spans="1:17">
      <c r="A69" s="217">
        <v>16</v>
      </c>
      <c r="B69" s="238" t="s">
        <v>861</v>
      </c>
      <c r="C69" s="232" t="s">
        <v>19</v>
      </c>
      <c r="D69" s="233">
        <f t="shared" si="26"/>
        <v>0</v>
      </c>
      <c r="E69" s="233" t="s">
        <v>805</v>
      </c>
      <c r="F69" s="242"/>
      <c r="G69" s="242"/>
      <c r="H69" s="242"/>
      <c r="I69" s="242"/>
      <c r="J69" s="242"/>
      <c r="K69" s="242"/>
      <c r="L69" s="242"/>
      <c r="M69" s="242"/>
      <c r="N69" s="242"/>
      <c r="O69" s="242"/>
      <c r="P69" s="242"/>
      <c r="Q69" s="242"/>
    </row>
    <row r="70" spans="1:17">
      <c r="A70" s="217">
        <v>17</v>
      </c>
      <c r="B70" s="235" t="s">
        <v>191</v>
      </c>
      <c r="C70" s="235" t="s">
        <v>745</v>
      </c>
      <c r="D70" s="236">
        <f t="shared" si="26"/>
        <v>1</v>
      </c>
      <c r="E70" s="236" t="s">
        <v>805</v>
      </c>
      <c r="F70" s="237">
        <f t="shared" ref="F70:Q70" si="28">F71+F72+F73</f>
        <v>1</v>
      </c>
      <c r="G70" s="237">
        <f t="shared" si="28"/>
        <v>1</v>
      </c>
      <c r="H70" s="237">
        <f t="shared" si="28"/>
        <v>1</v>
      </c>
      <c r="I70" s="237">
        <f t="shared" si="28"/>
        <v>1</v>
      </c>
      <c r="J70" s="237">
        <f t="shared" si="28"/>
        <v>1</v>
      </c>
      <c r="K70" s="237">
        <f t="shared" si="28"/>
        <v>1</v>
      </c>
      <c r="L70" s="237">
        <f t="shared" si="28"/>
        <v>1</v>
      </c>
      <c r="M70" s="237">
        <f t="shared" si="28"/>
        <v>1</v>
      </c>
      <c r="N70" s="237">
        <f t="shared" si="28"/>
        <v>1</v>
      </c>
      <c r="O70" s="237">
        <f t="shared" si="28"/>
        <v>1</v>
      </c>
      <c r="P70" s="237">
        <f t="shared" si="28"/>
        <v>1</v>
      </c>
      <c r="Q70" s="237">
        <f t="shared" si="28"/>
        <v>1</v>
      </c>
    </row>
    <row r="71" spans="1:17">
      <c r="A71" s="217">
        <v>17</v>
      </c>
      <c r="B71" s="235" t="s">
        <v>191</v>
      </c>
      <c r="C71" s="226" t="s">
        <v>109</v>
      </c>
      <c r="D71" s="227">
        <f t="shared" si="26"/>
        <v>0</v>
      </c>
      <c r="E71" s="227" t="s">
        <v>805</v>
      </c>
      <c r="F71" s="228">
        <f t="shared" ref="F71:Q71" si="29">F75+F79+F83+F87+F91+F95+F99+F103+F107+F111</f>
        <v>0</v>
      </c>
      <c r="G71" s="228">
        <f t="shared" si="29"/>
        <v>0</v>
      </c>
      <c r="H71" s="228">
        <f t="shared" si="29"/>
        <v>0</v>
      </c>
      <c r="I71" s="228">
        <f t="shared" si="29"/>
        <v>0</v>
      </c>
      <c r="J71" s="228">
        <f t="shared" si="29"/>
        <v>0</v>
      </c>
      <c r="K71" s="228">
        <f t="shared" si="29"/>
        <v>0</v>
      </c>
      <c r="L71" s="228">
        <f t="shared" si="29"/>
        <v>0</v>
      </c>
      <c r="M71" s="228">
        <f t="shared" si="29"/>
        <v>0</v>
      </c>
      <c r="N71" s="228">
        <f t="shared" si="29"/>
        <v>0</v>
      </c>
      <c r="O71" s="228">
        <f t="shared" si="29"/>
        <v>0</v>
      </c>
      <c r="P71" s="228">
        <f t="shared" si="29"/>
        <v>0</v>
      </c>
      <c r="Q71" s="228">
        <f t="shared" si="29"/>
        <v>0</v>
      </c>
    </row>
    <row r="72" spans="1:17">
      <c r="A72" s="217">
        <v>17</v>
      </c>
      <c r="B72" s="235" t="s">
        <v>191</v>
      </c>
      <c r="C72" s="229" t="s">
        <v>68</v>
      </c>
      <c r="D72" s="230">
        <f t="shared" si="26"/>
        <v>0</v>
      </c>
      <c r="E72" s="230" t="s">
        <v>805</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1</v>
      </c>
      <c r="E73" s="233" t="s">
        <v>805</v>
      </c>
      <c r="F73" s="234">
        <f t="shared" ref="F73:Q73" si="31">F77+F81+F85+F89+F93+F97+F101+F105+F109+F113</f>
        <v>1</v>
      </c>
      <c r="G73" s="234">
        <f t="shared" si="31"/>
        <v>1</v>
      </c>
      <c r="H73" s="234">
        <f t="shared" si="31"/>
        <v>1</v>
      </c>
      <c r="I73" s="234">
        <f t="shared" si="31"/>
        <v>1</v>
      </c>
      <c r="J73" s="234">
        <f t="shared" si="31"/>
        <v>1</v>
      </c>
      <c r="K73" s="234">
        <f t="shared" si="31"/>
        <v>1</v>
      </c>
      <c r="L73" s="234">
        <f t="shared" si="31"/>
        <v>1</v>
      </c>
      <c r="M73" s="234">
        <f t="shared" si="31"/>
        <v>1</v>
      </c>
      <c r="N73" s="234">
        <f t="shared" si="31"/>
        <v>1</v>
      </c>
      <c r="O73" s="234">
        <f t="shared" si="31"/>
        <v>1</v>
      </c>
      <c r="P73" s="234">
        <f t="shared" si="31"/>
        <v>1</v>
      </c>
      <c r="Q73" s="234">
        <f t="shared" si="31"/>
        <v>1</v>
      </c>
    </row>
    <row r="74" outlineLevel="1" spans="1:17">
      <c r="A74" s="217">
        <v>18</v>
      </c>
      <c r="B74" s="238" t="s">
        <v>885</v>
      </c>
      <c r="C74" s="239" t="s">
        <v>745</v>
      </c>
      <c r="D74" s="240">
        <f t="shared" si="26"/>
        <v>1</v>
      </c>
      <c r="E74" s="240" t="s">
        <v>805</v>
      </c>
      <c r="F74" s="241">
        <f t="shared" ref="F74:Q74" si="32">F75+F76+F77</f>
        <v>1</v>
      </c>
      <c r="G74" s="241">
        <f t="shared" si="32"/>
        <v>1</v>
      </c>
      <c r="H74" s="241">
        <f t="shared" si="32"/>
        <v>1</v>
      </c>
      <c r="I74" s="241">
        <f t="shared" si="32"/>
        <v>1</v>
      </c>
      <c r="J74" s="241">
        <f t="shared" si="32"/>
        <v>1</v>
      </c>
      <c r="K74" s="241">
        <f t="shared" si="32"/>
        <v>1</v>
      </c>
      <c r="L74" s="241">
        <f t="shared" si="32"/>
        <v>1</v>
      </c>
      <c r="M74" s="241">
        <f t="shared" si="32"/>
        <v>1</v>
      </c>
      <c r="N74" s="241">
        <f t="shared" si="32"/>
        <v>1</v>
      </c>
      <c r="O74" s="241">
        <f t="shared" si="32"/>
        <v>1</v>
      </c>
      <c r="P74" s="241">
        <f t="shared" si="32"/>
        <v>1</v>
      </c>
      <c r="Q74" s="241">
        <f t="shared" si="32"/>
        <v>1</v>
      </c>
    </row>
    <row r="75" outlineLevel="1" spans="1:17">
      <c r="A75" s="217">
        <v>18</v>
      </c>
      <c r="B75" s="238" t="s">
        <v>885</v>
      </c>
      <c r="C75" s="226" t="s">
        <v>109</v>
      </c>
      <c r="D75" s="227">
        <f t="shared" si="26"/>
        <v>0</v>
      </c>
      <c r="E75" s="227" t="s">
        <v>805</v>
      </c>
      <c r="F75" s="242"/>
      <c r="G75" s="242"/>
      <c r="H75" s="242"/>
      <c r="I75" s="242"/>
      <c r="J75" s="242"/>
      <c r="K75" s="242"/>
      <c r="L75" s="242"/>
      <c r="M75" s="242"/>
      <c r="N75" s="242"/>
      <c r="O75" s="242"/>
      <c r="P75" s="242"/>
      <c r="Q75" s="242"/>
    </row>
    <row r="76" outlineLevel="1" spans="1:17">
      <c r="A76" s="217">
        <v>18</v>
      </c>
      <c r="B76" s="238" t="s">
        <v>885</v>
      </c>
      <c r="C76" s="229" t="s">
        <v>68</v>
      </c>
      <c r="D76" s="230">
        <f t="shared" si="26"/>
        <v>0</v>
      </c>
      <c r="E76" s="230" t="s">
        <v>805</v>
      </c>
      <c r="F76" s="242"/>
      <c r="G76" s="242"/>
      <c r="H76" s="242"/>
      <c r="I76" s="242"/>
      <c r="J76" s="242"/>
      <c r="K76" s="242"/>
      <c r="L76" s="242"/>
      <c r="M76" s="242"/>
      <c r="N76" s="242"/>
      <c r="O76" s="242"/>
      <c r="P76" s="242"/>
      <c r="Q76" s="242"/>
    </row>
    <row r="77" outlineLevel="1" spans="1:17">
      <c r="A77" s="217">
        <v>18</v>
      </c>
      <c r="B77" s="238" t="s">
        <v>885</v>
      </c>
      <c r="C77" s="232" t="s">
        <v>19</v>
      </c>
      <c r="D77" s="233">
        <f t="shared" si="26"/>
        <v>1</v>
      </c>
      <c r="E77" s="233" t="s">
        <v>805</v>
      </c>
      <c r="F77" s="242">
        <v>1</v>
      </c>
      <c r="G77" s="242">
        <v>1</v>
      </c>
      <c r="H77" s="242">
        <v>1</v>
      </c>
      <c r="I77" s="242">
        <v>1</v>
      </c>
      <c r="J77" s="242">
        <v>1</v>
      </c>
      <c r="K77" s="242">
        <v>1</v>
      </c>
      <c r="L77" s="242">
        <v>1</v>
      </c>
      <c r="M77" s="242">
        <v>1</v>
      </c>
      <c r="N77" s="242">
        <v>1</v>
      </c>
      <c r="O77" s="242">
        <v>1</v>
      </c>
      <c r="P77" s="242">
        <v>1</v>
      </c>
      <c r="Q77" s="242">
        <v>1</v>
      </c>
    </row>
    <row r="78" outlineLevel="1" spans="1:17">
      <c r="A78" s="217">
        <v>19</v>
      </c>
      <c r="B78" s="238" t="s">
        <v>888</v>
      </c>
      <c r="C78" s="239" t="s">
        <v>745</v>
      </c>
      <c r="D78" s="240">
        <f t="shared" si="26"/>
        <v>0</v>
      </c>
      <c r="E78" s="240" t="s">
        <v>805</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888</v>
      </c>
      <c r="C79" s="226" t="s">
        <v>109</v>
      </c>
      <c r="D79" s="227">
        <f t="shared" si="26"/>
        <v>0</v>
      </c>
      <c r="E79" s="227" t="s">
        <v>805</v>
      </c>
      <c r="F79" s="242"/>
      <c r="G79" s="242"/>
      <c r="H79" s="242"/>
      <c r="I79" s="242"/>
      <c r="J79" s="242"/>
      <c r="K79" s="242"/>
      <c r="L79" s="242"/>
      <c r="M79" s="242"/>
      <c r="N79" s="242"/>
      <c r="O79" s="242"/>
      <c r="P79" s="242"/>
      <c r="Q79" s="242"/>
    </row>
    <row r="80" outlineLevel="1" spans="1:17">
      <c r="A80" s="217">
        <v>19</v>
      </c>
      <c r="B80" s="238" t="s">
        <v>888</v>
      </c>
      <c r="C80" s="229" t="s">
        <v>68</v>
      </c>
      <c r="D80" s="230">
        <f t="shared" si="26"/>
        <v>0</v>
      </c>
      <c r="E80" s="230" t="s">
        <v>805</v>
      </c>
      <c r="F80" s="242"/>
      <c r="G80" s="242"/>
      <c r="H80" s="242"/>
      <c r="I80" s="242"/>
      <c r="J80" s="242"/>
      <c r="K80" s="242"/>
      <c r="L80" s="242"/>
      <c r="M80" s="242"/>
      <c r="N80" s="242"/>
      <c r="O80" s="242"/>
      <c r="P80" s="242"/>
      <c r="Q80" s="242"/>
    </row>
    <row r="81" outlineLevel="1" spans="1:17">
      <c r="A81" s="217">
        <v>19</v>
      </c>
      <c r="B81" s="238" t="s">
        <v>888</v>
      </c>
      <c r="C81" s="232" t="s">
        <v>19</v>
      </c>
      <c r="D81" s="233">
        <f t="shared" si="26"/>
        <v>0</v>
      </c>
      <c r="E81" s="233" t="s">
        <v>805</v>
      </c>
      <c r="F81" s="242"/>
      <c r="G81" s="242"/>
      <c r="H81" s="242"/>
      <c r="I81" s="242"/>
      <c r="J81" s="242"/>
      <c r="K81" s="242"/>
      <c r="L81" s="242"/>
      <c r="M81" s="242"/>
      <c r="N81" s="242"/>
      <c r="O81" s="242"/>
      <c r="P81" s="242"/>
      <c r="Q81" s="242"/>
    </row>
    <row r="82" outlineLevel="1" spans="1:17">
      <c r="A82" s="217">
        <v>20</v>
      </c>
      <c r="B82" s="238" t="s">
        <v>891</v>
      </c>
      <c r="C82" s="239" t="s">
        <v>745</v>
      </c>
      <c r="D82" s="240">
        <f t="shared" si="26"/>
        <v>0</v>
      </c>
      <c r="E82" s="240" t="s">
        <v>805</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891</v>
      </c>
      <c r="C83" s="226" t="s">
        <v>109</v>
      </c>
      <c r="D83" s="227">
        <f t="shared" si="26"/>
        <v>0</v>
      </c>
      <c r="E83" s="227" t="s">
        <v>805</v>
      </c>
      <c r="F83" s="242"/>
      <c r="G83" s="242"/>
      <c r="H83" s="242"/>
      <c r="I83" s="242"/>
      <c r="J83" s="242"/>
      <c r="K83" s="242"/>
      <c r="L83" s="242"/>
      <c r="M83" s="242"/>
      <c r="N83" s="242"/>
      <c r="O83" s="242"/>
      <c r="P83" s="242"/>
      <c r="Q83" s="242"/>
    </row>
    <row r="84" outlineLevel="1" spans="1:17">
      <c r="A84" s="217">
        <v>20</v>
      </c>
      <c r="B84" s="238" t="s">
        <v>891</v>
      </c>
      <c r="C84" s="229" t="s">
        <v>68</v>
      </c>
      <c r="D84" s="230">
        <f t="shared" si="26"/>
        <v>0</v>
      </c>
      <c r="E84" s="230" t="s">
        <v>805</v>
      </c>
      <c r="F84" s="242"/>
      <c r="G84" s="242"/>
      <c r="H84" s="242"/>
      <c r="I84" s="242"/>
      <c r="J84" s="242"/>
      <c r="K84" s="242"/>
      <c r="L84" s="242"/>
      <c r="M84" s="242"/>
      <c r="N84" s="242"/>
      <c r="O84" s="242"/>
      <c r="P84" s="242"/>
      <c r="Q84" s="242"/>
    </row>
    <row r="85" outlineLevel="1" spans="1:17">
      <c r="A85" s="217">
        <v>20</v>
      </c>
      <c r="B85" s="238" t="s">
        <v>891</v>
      </c>
      <c r="C85" s="232" t="s">
        <v>19</v>
      </c>
      <c r="D85" s="233">
        <f t="shared" si="26"/>
        <v>0</v>
      </c>
      <c r="E85" s="233" t="s">
        <v>805</v>
      </c>
      <c r="F85" s="242"/>
      <c r="G85" s="242"/>
      <c r="H85" s="242"/>
      <c r="I85" s="242"/>
      <c r="J85" s="242"/>
      <c r="K85" s="242"/>
      <c r="L85" s="242"/>
      <c r="M85" s="242"/>
      <c r="N85" s="242"/>
      <c r="O85" s="242"/>
      <c r="P85" s="242"/>
      <c r="Q85" s="242"/>
    </row>
    <row r="86" outlineLevel="1" spans="1:17">
      <c r="A86" s="217">
        <v>21</v>
      </c>
      <c r="B86" s="238" t="s">
        <v>894</v>
      </c>
      <c r="C86" s="239" t="s">
        <v>745</v>
      </c>
      <c r="D86" s="240">
        <f t="shared" si="26"/>
        <v>0</v>
      </c>
      <c r="E86" s="240" t="s">
        <v>805</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894</v>
      </c>
      <c r="C87" s="226" t="s">
        <v>109</v>
      </c>
      <c r="D87" s="227">
        <f t="shared" si="26"/>
        <v>0</v>
      </c>
      <c r="E87" s="227" t="s">
        <v>805</v>
      </c>
      <c r="F87" s="242"/>
      <c r="G87" s="242"/>
      <c r="H87" s="242"/>
      <c r="I87" s="242"/>
      <c r="J87" s="242"/>
      <c r="K87" s="242"/>
      <c r="L87" s="242"/>
      <c r="M87" s="242"/>
      <c r="N87" s="242"/>
      <c r="O87" s="242"/>
      <c r="P87" s="242"/>
      <c r="Q87" s="242"/>
    </row>
    <row r="88" outlineLevel="1" spans="1:17">
      <c r="A88" s="217">
        <v>21</v>
      </c>
      <c r="B88" s="238" t="s">
        <v>894</v>
      </c>
      <c r="C88" s="229" t="s">
        <v>68</v>
      </c>
      <c r="D88" s="230">
        <f t="shared" si="26"/>
        <v>0</v>
      </c>
      <c r="E88" s="230" t="s">
        <v>805</v>
      </c>
      <c r="F88" s="242"/>
      <c r="G88" s="242"/>
      <c r="H88" s="242"/>
      <c r="I88" s="242"/>
      <c r="J88" s="242"/>
      <c r="K88" s="242"/>
      <c r="L88" s="242"/>
      <c r="M88" s="242"/>
      <c r="N88" s="242"/>
      <c r="O88" s="242"/>
      <c r="P88" s="242"/>
      <c r="Q88" s="242"/>
    </row>
    <row r="89" outlineLevel="1" spans="1:17">
      <c r="A89" s="217">
        <v>21</v>
      </c>
      <c r="B89" s="238" t="s">
        <v>894</v>
      </c>
      <c r="C89" s="232" t="s">
        <v>19</v>
      </c>
      <c r="D89" s="233">
        <f t="shared" si="26"/>
        <v>0</v>
      </c>
      <c r="E89" s="233" t="s">
        <v>805</v>
      </c>
      <c r="F89" s="242"/>
      <c r="G89" s="242"/>
      <c r="H89" s="242"/>
      <c r="I89" s="242"/>
      <c r="J89" s="242"/>
      <c r="K89" s="242"/>
      <c r="L89" s="242"/>
      <c r="M89" s="242"/>
      <c r="N89" s="242"/>
      <c r="O89" s="242"/>
      <c r="P89" s="242"/>
      <c r="Q89" s="242"/>
    </row>
    <row r="90" outlineLevel="1" spans="1:17">
      <c r="A90" s="217">
        <v>22</v>
      </c>
      <c r="B90" s="238" t="s">
        <v>897</v>
      </c>
      <c r="C90" s="239" t="s">
        <v>745</v>
      </c>
      <c r="D90" s="240">
        <f t="shared" si="26"/>
        <v>0</v>
      </c>
      <c r="E90" s="240" t="s">
        <v>805</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897</v>
      </c>
      <c r="C91" s="226" t="s">
        <v>109</v>
      </c>
      <c r="D91" s="227">
        <f t="shared" si="26"/>
        <v>0</v>
      </c>
      <c r="E91" s="227" t="s">
        <v>805</v>
      </c>
      <c r="F91" s="242"/>
      <c r="G91" s="242"/>
      <c r="H91" s="242"/>
      <c r="I91" s="242"/>
      <c r="J91" s="242"/>
      <c r="K91" s="242"/>
      <c r="L91" s="242"/>
      <c r="M91" s="242"/>
      <c r="N91" s="242"/>
      <c r="O91" s="242"/>
      <c r="P91" s="242"/>
      <c r="Q91" s="242"/>
    </row>
    <row r="92" outlineLevel="1" spans="1:17">
      <c r="A92" s="217">
        <v>22</v>
      </c>
      <c r="B92" s="238" t="s">
        <v>897</v>
      </c>
      <c r="C92" s="229" t="s">
        <v>68</v>
      </c>
      <c r="D92" s="230">
        <f t="shared" si="26"/>
        <v>0</v>
      </c>
      <c r="E92" s="230" t="s">
        <v>805</v>
      </c>
      <c r="F92" s="242"/>
      <c r="G92" s="242"/>
      <c r="H92" s="242"/>
      <c r="I92" s="242"/>
      <c r="J92" s="242"/>
      <c r="K92" s="242"/>
      <c r="L92" s="242"/>
      <c r="M92" s="242"/>
      <c r="N92" s="242"/>
      <c r="O92" s="242"/>
      <c r="P92" s="242"/>
      <c r="Q92" s="242"/>
    </row>
    <row r="93" outlineLevel="1" spans="1:17">
      <c r="A93" s="217">
        <v>22</v>
      </c>
      <c r="B93" s="238" t="s">
        <v>897</v>
      </c>
      <c r="C93" s="232" t="s">
        <v>19</v>
      </c>
      <c r="D93" s="233">
        <f t="shared" si="26"/>
        <v>0</v>
      </c>
      <c r="E93" s="233" t="s">
        <v>805</v>
      </c>
      <c r="F93" s="242"/>
      <c r="G93" s="242"/>
      <c r="H93" s="242"/>
      <c r="I93" s="242"/>
      <c r="J93" s="242"/>
      <c r="K93" s="242"/>
      <c r="L93" s="242"/>
      <c r="M93" s="242"/>
      <c r="N93" s="242"/>
      <c r="O93" s="242"/>
      <c r="P93" s="242"/>
      <c r="Q93" s="242"/>
    </row>
    <row r="94" outlineLevel="1" spans="1:17">
      <c r="A94" s="217">
        <v>23</v>
      </c>
      <c r="B94" s="238" t="s">
        <v>900</v>
      </c>
      <c r="C94" s="239" t="s">
        <v>745</v>
      </c>
      <c r="D94" s="240">
        <f t="shared" si="26"/>
        <v>0</v>
      </c>
      <c r="E94" s="240" t="s">
        <v>805</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900</v>
      </c>
      <c r="C95" s="226" t="s">
        <v>109</v>
      </c>
      <c r="D95" s="227">
        <f t="shared" si="26"/>
        <v>0</v>
      </c>
      <c r="E95" s="227" t="s">
        <v>805</v>
      </c>
      <c r="F95" s="242"/>
      <c r="G95" s="242"/>
      <c r="H95" s="242"/>
      <c r="I95" s="242"/>
      <c r="J95" s="242"/>
      <c r="K95" s="242"/>
      <c r="L95" s="242"/>
      <c r="M95" s="242"/>
      <c r="N95" s="242"/>
      <c r="O95" s="242"/>
      <c r="P95" s="242"/>
      <c r="Q95" s="242"/>
    </row>
    <row r="96" outlineLevel="1" spans="1:17">
      <c r="A96" s="217">
        <v>23</v>
      </c>
      <c r="B96" s="238" t="s">
        <v>900</v>
      </c>
      <c r="C96" s="229" t="s">
        <v>68</v>
      </c>
      <c r="D96" s="230">
        <f t="shared" si="26"/>
        <v>0</v>
      </c>
      <c r="E96" s="230" t="s">
        <v>805</v>
      </c>
      <c r="F96" s="242"/>
      <c r="G96" s="242"/>
      <c r="H96" s="242"/>
      <c r="I96" s="242"/>
      <c r="J96" s="242"/>
      <c r="K96" s="242"/>
      <c r="L96" s="242"/>
      <c r="M96" s="242"/>
      <c r="N96" s="242"/>
      <c r="O96" s="242"/>
      <c r="P96" s="242"/>
      <c r="Q96" s="242"/>
    </row>
    <row r="97" outlineLevel="1" spans="1:17">
      <c r="A97" s="217">
        <v>23</v>
      </c>
      <c r="B97" s="238" t="s">
        <v>900</v>
      </c>
      <c r="C97" s="232" t="s">
        <v>19</v>
      </c>
      <c r="D97" s="233">
        <f t="shared" si="26"/>
        <v>0</v>
      </c>
      <c r="E97" s="233" t="s">
        <v>805</v>
      </c>
      <c r="F97" s="242"/>
      <c r="G97" s="242"/>
      <c r="H97" s="242"/>
      <c r="I97" s="242"/>
      <c r="J97" s="242"/>
      <c r="K97" s="242"/>
      <c r="L97" s="242"/>
      <c r="M97" s="242"/>
      <c r="N97" s="242"/>
      <c r="O97" s="242"/>
      <c r="P97" s="242"/>
      <c r="Q97" s="242"/>
    </row>
    <row r="98" outlineLevel="1" spans="1:17">
      <c r="A98" s="217">
        <v>24</v>
      </c>
      <c r="B98" s="238" t="s">
        <v>903</v>
      </c>
      <c r="C98" s="239" t="s">
        <v>745</v>
      </c>
      <c r="D98" s="240">
        <f t="shared" si="26"/>
        <v>0</v>
      </c>
      <c r="E98" s="240" t="s">
        <v>805</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903</v>
      </c>
      <c r="C99" s="226" t="s">
        <v>109</v>
      </c>
      <c r="D99" s="227">
        <f t="shared" si="26"/>
        <v>0</v>
      </c>
      <c r="E99" s="227" t="s">
        <v>805</v>
      </c>
      <c r="F99" s="242"/>
      <c r="G99" s="242"/>
      <c r="H99" s="242"/>
      <c r="I99" s="242"/>
      <c r="J99" s="242"/>
      <c r="K99" s="242"/>
      <c r="L99" s="242"/>
      <c r="M99" s="242"/>
      <c r="N99" s="242"/>
      <c r="O99" s="242"/>
      <c r="P99" s="242"/>
      <c r="Q99" s="242"/>
    </row>
    <row r="100" outlineLevel="1" spans="1:17">
      <c r="A100" s="217">
        <v>24</v>
      </c>
      <c r="B100" s="238" t="s">
        <v>903</v>
      </c>
      <c r="C100" s="229" t="s">
        <v>68</v>
      </c>
      <c r="D100" s="230">
        <f t="shared" si="26"/>
        <v>0</v>
      </c>
      <c r="E100" s="230" t="s">
        <v>805</v>
      </c>
      <c r="F100" s="242"/>
      <c r="G100" s="242"/>
      <c r="H100" s="242"/>
      <c r="I100" s="242"/>
      <c r="J100" s="242"/>
      <c r="K100" s="242"/>
      <c r="L100" s="242"/>
      <c r="M100" s="242"/>
      <c r="N100" s="242"/>
      <c r="O100" s="242"/>
      <c r="P100" s="242"/>
      <c r="Q100" s="242"/>
    </row>
    <row r="101" outlineLevel="1" spans="1:17">
      <c r="A101" s="217">
        <v>24</v>
      </c>
      <c r="B101" s="238" t="s">
        <v>903</v>
      </c>
      <c r="C101" s="232" t="s">
        <v>19</v>
      </c>
      <c r="D101" s="233">
        <f t="shared" si="26"/>
        <v>0</v>
      </c>
      <c r="E101" s="233" t="s">
        <v>805</v>
      </c>
      <c r="F101" s="242"/>
      <c r="G101" s="242"/>
      <c r="H101" s="242"/>
      <c r="I101" s="242"/>
      <c r="J101" s="242"/>
      <c r="K101" s="242"/>
      <c r="L101" s="242"/>
      <c r="M101" s="242"/>
      <c r="N101" s="242"/>
      <c r="O101" s="242"/>
      <c r="P101" s="242"/>
      <c r="Q101" s="242"/>
    </row>
    <row r="102" outlineLevel="1" spans="1:17">
      <c r="A102" s="217">
        <v>25</v>
      </c>
      <c r="B102" s="238" t="s">
        <v>906</v>
      </c>
      <c r="C102" s="239" t="s">
        <v>745</v>
      </c>
      <c r="D102" s="240">
        <f t="shared" si="26"/>
        <v>0</v>
      </c>
      <c r="E102" s="240" t="s">
        <v>805</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906</v>
      </c>
      <c r="C103" s="226" t="s">
        <v>109</v>
      </c>
      <c r="D103" s="227">
        <f t="shared" si="26"/>
        <v>0</v>
      </c>
      <c r="E103" s="227" t="s">
        <v>805</v>
      </c>
      <c r="F103" s="242"/>
      <c r="G103" s="242"/>
      <c r="H103" s="242"/>
      <c r="I103" s="242"/>
      <c r="J103" s="242"/>
      <c r="K103" s="242"/>
      <c r="L103" s="242"/>
      <c r="M103" s="242"/>
      <c r="N103" s="242"/>
      <c r="O103" s="242"/>
      <c r="P103" s="242"/>
      <c r="Q103" s="242"/>
    </row>
    <row r="104" outlineLevel="1" spans="1:17">
      <c r="A104" s="217">
        <v>25</v>
      </c>
      <c r="B104" s="238" t="s">
        <v>906</v>
      </c>
      <c r="C104" s="229" t="s">
        <v>68</v>
      </c>
      <c r="D104" s="230">
        <f t="shared" si="26"/>
        <v>0</v>
      </c>
      <c r="E104" s="230" t="s">
        <v>805</v>
      </c>
      <c r="F104" s="242"/>
      <c r="G104" s="242"/>
      <c r="H104" s="242"/>
      <c r="I104" s="242"/>
      <c r="J104" s="242"/>
      <c r="K104" s="242"/>
      <c r="L104" s="242"/>
      <c r="M104" s="242"/>
      <c r="N104" s="242"/>
      <c r="O104" s="242"/>
      <c r="P104" s="242"/>
      <c r="Q104" s="242"/>
    </row>
    <row r="105" outlineLevel="1" spans="1:17">
      <c r="A105" s="217">
        <v>25</v>
      </c>
      <c r="B105" s="238" t="s">
        <v>906</v>
      </c>
      <c r="C105" s="232" t="s">
        <v>19</v>
      </c>
      <c r="D105" s="233">
        <f t="shared" si="26"/>
        <v>0</v>
      </c>
      <c r="E105" s="233" t="s">
        <v>805</v>
      </c>
      <c r="F105" s="242"/>
      <c r="G105" s="242"/>
      <c r="H105" s="242"/>
      <c r="I105" s="242"/>
      <c r="J105" s="242"/>
      <c r="K105" s="242"/>
      <c r="L105" s="242"/>
      <c r="M105" s="242"/>
      <c r="N105" s="242"/>
      <c r="O105" s="242"/>
      <c r="P105" s="242"/>
      <c r="Q105" s="242"/>
    </row>
    <row r="106" outlineLevel="1" spans="1:17">
      <c r="A106" s="217">
        <v>26</v>
      </c>
      <c r="B106" s="238" t="s">
        <v>909</v>
      </c>
      <c r="C106" s="239" t="s">
        <v>745</v>
      </c>
      <c r="D106" s="240">
        <f t="shared" si="26"/>
        <v>0</v>
      </c>
      <c r="E106" s="240" t="s">
        <v>805</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909</v>
      </c>
      <c r="C107" s="226" t="s">
        <v>109</v>
      </c>
      <c r="D107" s="227">
        <f t="shared" si="26"/>
        <v>0</v>
      </c>
      <c r="E107" s="227" t="s">
        <v>805</v>
      </c>
      <c r="F107" s="242"/>
      <c r="G107" s="242"/>
      <c r="H107" s="242"/>
      <c r="I107" s="242"/>
      <c r="J107" s="242"/>
      <c r="K107" s="242"/>
      <c r="L107" s="242"/>
      <c r="M107" s="242"/>
      <c r="N107" s="242"/>
      <c r="O107" s="242"/>
      <c r="P107" s="242"/>
      <c r="Q107" s="242"/>
    </row>
    <row r="108" outlineLevel="1" spans="1:17">
      <c r="A108" s="217">
        <v>26</v>
      </c>
      <c r="B108" s="238" t="s">
        <v>909</v>
      </c>
      <c r="C108" s="229" t="s">
        <v>68</v>
      </c>
      <c r="D108" s="230">
        <f t="shared" si="26"/>
        <v>0</v>
      </c>
      <c r="E108" s="230" t="s">
        <v>805</v>
      </c>
      <c r="F108" s="242"/>
      <c r="G108" s="242"/>
      <c r="H108" s="242"/>
      <c r="I108" s="242"/>
      <c r="J108" s="242"/>
      <c r="K108" s="242"/>
      <c r="L108" s="242"/>
      <c r="M108" s="242"/>
      <c r="N108" s="242"/>
      <c r="O108" s="242"/>
      <c r="P108" s="242"/>
      <c r="Q108" s="242"/>
    </row>
    <row r="109" outlineLevel="1" spans="1:17">
      <c r="A109" s="217">
        <v>26</v>
      </c>
      <c r="B109" s="238" t="s">
        <v>909</v>
      </c>
      <c r="C109" s="232" t="s">
        <v>19</v>
      </c>
      <c r="D109" s="233">
        <f t="shared" si="26"/>
        <v>0</v>
      </c>
      <c r="E109" s="233" t="s">
        <v>805</v>
      </c>
      <c r="F109" s="242"/>
      <c r="G109" s="242"/>
      <c r="H109" s="242"/>
      <c r="I109" s="242"/>
      <c r="J109" s="242"/>
      <c r="K109" s="242"/>
      <c r="L109" s="242"/>
      <c r="M109" s="242"/>
      <c r="N109" s="242"/>
      <c r="O109" s="242"/>
      <c r="P109" s="242"/>
      <c r="Q109" s="242"/>
    </row>
    <row r="110" outlineLevel="1" spans="1:17">
      <c r="A110" s="217">
        <v>27</v>
      </c>
      <c r="B110" s="238" t="s">
        <v>912</v>
      </c>
      <c r="C110" s="239" t="s">
        <v>745</v>
      </c>
      <c r="D110" s="240">
        <f t="shared" si="26"/>
        <v>0</v>
      </c>
      <c r="E110" s="240" t="s">
        <v>805</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912</v>
      </c>
      <c r="C111" s="226" t="s">
        <v>109</v>
      </c>
      <c r="D111" s="227">
        <f t="shared" si="26"/>
        <v>0</v>
      </c>
      <c r="E111" s="227" t="s">
        <v>805</v>
      </c>
      <c r="F111" s="242"/>
      <c r="G111" s="242"/>
      <c r="H111" s="242"/>
      <c r="I111" s="242"/>
      <c r="J111" s="242"/>
      <c r="K111" s="242"/>
      <c r="L111" s="242"/>
      <c r="M111" s="242"/>
      <c r="N111" s="242"/>
      <c r="O111" s="242"/>
      <c r="P111" s="242"/>
      <c r="Q111" s="242"/>
    </row>
    <row r="112" outlineLevel="1" spans="1:17">
      <c r="A112" s="217">
        <v>27</v>
      </c>
      <c r="B112" s="238" t="s">
        <v>912</v>
      </c>
      <c r="C112" s="229" t="s">
        <v>68</v>
      </c>
      <c r="D112" s="230">
        <f t="shared" si="26"/>
        <v>0</v>
      </c>
      <c r="E112" s="230" t="s">
        <v>805</v>
      </c>
      <c r="F112" s="242"/>
      <c r="G112" s="242"/>
      <c r="H112" s="242"/>
      <c r="I112" s="242"/>
      <c r="J112" s="242"/>
      <c r="K112" s="242"/>
      <c r="L112" s="242"/>
      <c r="M112" s="242"/>
      <c r="N112" s="242"/>
      <c r="O112" s="242"/>
      <c r="P112" s="242"/>
      <c r="Q112" s="242"/>
    </row>
    <row r="113" outlineLevel="1" spans="1:17">
      <c r="A113" s="217">
        <v>27</v>
      </c>
      <c r="B113" s="238" t="s">
        <v>912</v>
      </c>
      <c r="C113" s="232" t="s">
        <v>19</v>
      </c>
      <c r="D113" s="233">
        <f t="shared" si="26"/>
        <v>0</v>
      </c>
      <c r="E113" s="233" t="s">
        <v>805</v>
      </c>
      <c r="F113" s="242"/>
      <c r="G113" s="242"/>
      <c r="H113" s="242"/>
      <c r="I113" s="242"/>
      <c r="J113" s="242"/>
      <c r="K113" s="242"/>
      <c r="L113" s="242"/>
      <c r="M113" s="242"/>
      <c r="N113" s="242"/>
      <c r="O113" s="242"/>
      <c r="P113" s="242"/>
      <c r="Q113" s="242"/>
    </row>
    <row r="114" spans="1:17">
      <c r="A114" s="217">
        <v>28</v>
      </c>
      <c r="B114" s="235" t="s">
        <v>195</v>
      </c>
      <c r="C114" s="235" t="s">
        <v>745</v>
      </c>
      <c r="D114" s="236">
        <f t="shared" si="26"/>
        <v>25</v>
      </c>
      <c r="E114" s="236" t="s">
        <v>805</v>
      </c>
      <c r="F114" s="237">
        <f t="shared" ref="F114:Q114" si="42">F115+F116+F117</f>
        <v>25</v>
      </c>
      <c r="G114" s="237">
        <f t="shared" si="42"/>
        <v>25</v>
      </c>
      <c r="H114" s="237">
        <f t="shared" si="42"/>
        <v>25</v>
      </c>
      <c r="I114" s="237">
        <f t="shared" si="42"/>
        <v>25</v>
      </c>
      <c r="J114" s="237">
        <f t="shared" si="42"/>
        <v>25</v>
      </c>
      <c r="K114" s="237">
        <f t="shared" si="42"/>
        <v>25</v>
      </c>
      <c r="L114" s="237">
        <f t="shared" si="42"/>
        <v>25</v>
      </c>
      <c r="M114" s="237">
        <f t="shared" si="42"/>
        <v>25</v>
      </c>
      <c r="N114" s="237">
        <f t="shared" si="42"/>
        <v>25</v>
      </c>
      <c r="O114" s="237">
        <f t="shared" si="42"/>
        <v>25</v>
      </c>
      <c r="P114" s="237">
        <f t="shared" si="42"/>
        <v>25</v>
      </c>
      <c r="Q114" s="237">
        <f t="shared" si="42"/>
        <v>25</v>
      </c>
    </row>
    <row r="115" spans="1:17">
      <c r="A115" s="217">
        <v>28</v>
      </c>
      <c r="B115" s="235" t="s">
        <v>195</v>
      </c>
      <c r="C115" s="226" t="s">
        <v>109</v>
      </c>
      <c r="D115" s="227">
        <f t="shared" si="26"/>
        <v>25</v>
      </c>
      <c r="E115" s="227" t="s">
        <v>805</v>
      </c>
      <c r="F115" s="228">
        <f t="shared" ref="F115:Q115" si="43">F119+F123+F127+F131+F135+F139+F143+F147+F151</f>
        <v>25</v>
      </c>
      <c r="G115" s="228">
        <f t="shared" si="43"/>
        <v>25</v>
      </c>
      <c r="H115" s="228">
        <f t="shared" si="43"/>
        <v>25</v>
      </c>
      <c r="I115" s="228">
        <f t="shared" si="43"/>
        <v>25</v>
      </c>
      <c r="J115" s="228">
        <f t="shared" si="43"/>
        <v>25</v>
      </c>
      <c r="K115" s="228">
        <f t="shared" si="43"/>
        <v>25</v>
      </c>
      <c r="L115" s="228">
        <f t="shared" si="43"/>
        <v>25</v>
      </c>
      <c r="M115" s="228">
        <f t="shared" si="43"/>
        <v>25</v>
      </c>
      <c r="N115" s="228">
        <f t="shared" si="43"/>
        <v>25</v>
      </c>
      <c r="O115" s="228">
        <f t="shared" si="43"/>
        <v>25</v>
      </c>
      <c r="P115" s="228">
        <f t="shared" si="43"/>
        <v>25</v>
      </c>
      <c r="Q115" s="228">
        <f t="shared" si="43"/>
        <v>25</v>
      </c>
    </row>
    <row r="116" spans="1:17">
      <c r="A116" s="217">
        <v>28</v>
      </c>
      <c r="B116" s="235" t="s">
        <v>195</v>
      </c>
      <c r="C116" s="229" t="s">
        <v>68</v>
      </c>
      <c r="D116" s="230">
        <f t="shared" si="26"/>
        <v>0</v>
      </c>
      <c r="E116" s="230" t="s">
        <v>805</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805</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986</v>
      </c>
      <c r="C118" s="239" t="s">
        <v>745</v>
      </c>
      <c r="D118" s="240">
        <f t="shared" si="26"/>
        <v>25</v>
      </c>
      <c r="E118" s="240" t="s">
        <v>805</v>
      </c>
      <c r="F118" s="241">
        <f t="shared" ref="F118:Q118" si="46">F119+F120+F121</f>
        <v>25</v>
      </c>
      <c r="G118" s="241">
        <f t="shared" si="46"/>
        <v>25</v>
      </c>
      <c r="H118" s="241">
        <f t="shared" si="46"/>
        <v>25</v>
      </c>
      <c r="I118" s="241">
        <f t="shared" si="46"/>
        <v>25</v>
      </c>
      <c r="J118" s="241">
        <f t="shared" si="46"/>
        <v>25</v>
      </c>
      <c r="K118" s="241">
        <f t="shared" si="46"/>
        <v>25</v>
      </c>
      <c r="L118" s="241">
        <f t="shared" si="46"/>
        <v>25</v>
      </c>
      <c r="M118" s="241">
        <f t="shared" si="46"/>
        <v>25</v>
      </c>
      <c r="N118" s="241">
        <f t="shared" si="46"/>
        <v>25</v>
      </c>
      <c r="O118" s="241">
        <f t="shared" si="46"/>
        <v>25</v>
      </c>
      <c r="P118" s="241">
        <f t="shared" si="46"/>
        <v>25</v>
      </c>
      <c r="Q118" s="241">
        <f t="shared" si="46"/>
        <v>25</v>
      </c>
    </row>
    <row r="119" outlineLevel="1" spans="1:17">
      <c r="A119" s="217">
        <v>29</v>
      </c>
      <c r="B119" s="238" t="s">
        <v>986</v>
      </c>
      <c r="C119" s="226" t="s">
        <v>109</v>
      </c>
      <c r="D119" s="227">
        <f t="shared" si="26"/>
        <v>25</v>
      </c>
      <c r="E119" s="227" t="s">
        <v>805</v>
      </c>
      <c r="F119" s="242">
        <f>自有人工预算!E10</f>
        <v>25</v>
      </c>
      <c r="G119" s="242">
        <f>自有人工预算!F10</f>
        <v>25</v>
      </c>
      <c r="H119" s="242">
        <f>自有人工预算!G10</f>
        <v>25</v>
      </c>
      <c r="I119" s="242">
        <f>自有人工预算!H10</f>
        <v>25</v>
      </c>
      <c r="J119" s="242">
        <f>自有人工预算!I10</f>
        <v>25</v>
      </c>
      <c r="K119" s="242">
        <f>自有人工预算!J10</f>
        <v>25</v>
      </c>
      <c r="L119" s="242">
        <f>自有人工预算!K10</f>
        <v>25</v>
      </c>
      <c r="M119" s="242">
        <f>自有人工预算!L10</f>
        <v>25</v>
      </c>
      <c r="N119" s="242">
        <f>自有人工预算!M10</f>
        <v>25</v>
      </c>
      <c r="O119" s="242">
        <f>自有人工预算!N10</f>
        <v>25</v>
      </c>
      <c r="P119" s="242">
        <f>自有人工预算!O10</f>
        <v>25</v>
      </c>
      <c r="Q119" s="242">
        <f>自有人工预算!P10</f>
        <v>25</v>
      </c>
    </row>
    <row r="120" outlineLevel="1" spans="1:17">
      <c r="A120" s="217">
        <v>29</v>
      </c>
      <c r="B120" s="238" t="s">
        <v>986</v>
      </c>
      <c r="C120" s="229" t="s">
        <v>68</v>
      </c>
      <c r="D120" s="230">
        <f t="shared" si="26"/>
        <v>0</v>
      </c>
      <c r="E120" s="230" t="s">
        <v>805</v>
      </c>
      <c r="F120" s="242"/>
      <c r="G120" s="242"/>
      <c r="H120" s="242"/>
      <c r="I120" s="242"/>
      <c r="J120" s="242"/>
      <c r="K120" s="242"/>
      <c r="L120" s="242"/>
      <c r="M120" s="242"/>
      <c r="N120" s="242"/>
      <c r="O120" s="242"/>
      <c r="P120" s="242"/>
      <c r="Q120" s="242"/>
    </row>
    <row r="121" outlineLevel="1" spans="1:17">
      <c r="A121" s="217">
        <v>29</v>
      </c>
      <c r="B121" s="238" t="s">
        <v>986</v>
      </c>
      <c r="C121" s="232" t="s">
        <v>19</v>
      </c>
      <c r="D121" s="233">
        <f t="shared" si="26"/>
        <v>0</v>
      </c>
      <c r="E121" s="233" t="s">
        <v>805</v>
      </c>
      <c r="F121" s="242"/>
      <c r="G121" s="242"/>
      <c r="H121" s="242"/>
      <c r="I121" s="242"/>
      <c r="J121" s="242"/>
      <c r="K121" s="242"/>
      <c r="L121" s="242"/>
      <c r="M121" s="242"/>
      <c r="N121" s="242"/>
      <c r="O121" s="242"/>
      <c r="P121" s="242"/>
      <c r="Q121" s="242"/>
    </row>
    <row r="122" outlineLevel="1" spans="1:17">
      <c r="A122" s="217">
        <v>30</v>
      </c>
      <c r="B122" s="238" t="s">
        <v>989</v>
      </c>
      <c r="C122" s="239" t="s">
        <v>745</v>
      </c>
      <c r="D122" s="240">
        <f t="shared" si="26"/>
        <v>0</v>
      </c>
      <c r="E122" s="240" t="s">
        <v>805</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989</v>
      </c>
      <c r="C123" s="226" t="s">
        <v>109</v>
      </c>
      <c r="D123" s="227">
        <f t="shared" si="26"/>
        <v>0</v>
      </c>
      <c r="E123" s="227" t="s">
        <v>805</v>
      </c>
      <c r="F123" s="242"/>
      <c r="G123" s="242"/>
      <c r="H123" s="242"/>
      <c r="I123" s="242"/>
      <c r="J123" s="242"/>
      <c r="K123" s="242"/>
      <c r="L123" s="242"/>
      <c r="M123" s="242"/>
      <c r="N123" s="242"/>
      <c r="O123" s="242"/>
      <c r="P123" s="242"/>
      <c r="Q123" s="242"/>
    </row>
    <row r="124" outlineLevel="1" spans="1:17">
      <c r="A124" s="217">
        <v>30</v>
      </c>
      <c r="B124" s="238" t="s">
        <v>989</v>
      </c>
      <c r="C124" s="229" t="s">
        <v>68</v>
      </c>
      <c r="D124" s="230">
        <f t="shared" si="26"/>
        <v>0</v>
      </c>
      <c r="E124" s="230" t="s">
        <v>805</v>
      </c>
      <c r="F124" s="242"/>
      <c r="G124" s="242"/>
      <c r="H124" s="242"/>
      <c r="I124" s="242"/>
      <c r="J124" s="242"/>
      <c r="K124" s="242"/>
      <c r="L124" s="242"/>
      <c r="M124" s="242"/>
      <c r="N124" s="242"/>
      <c r="O124" s="242"/>
      <c r="P124" s="242"/>
      <c r="Q124" s="242"/>
    </row>
    <row r="125" outlineLevel="1" spans="1:17">
      <c r="A125" s="217">
        <v>30</v>
      </c>
      <c r="B125" s="238" t="s">
        <v>989</v>
      </c>
      <c r="C125" s="232" t="s">
        <v>19</v>
      </c>
      <c r="D125" s="233">
        <f t="shared" si="26"/>
        <v>0</v>
      </c>
      <c r="E125" s="233" t="s">
        <v>805</v>
      </c>
      <c r="F125" s="242"/>
      <c r="G125" s="242"/>
      <c r="H125" s="242"/>
      <c r="I125" s="242"/>
      <c r="J125" s="242"/>
      <c r="K125" s="242"/>
      <c r="L125" s="242"/>
      <c r="M125" s="242"/>
      <c r="N125" s="242"/>
      <c r="O125" s="242"/>
      <c r="P125" s="242"/>
      <c r="Q125" s="242"/>
    </row>
    <row r="126" outlineLevel="1" spans="1:17">
      <c r="A126" s="217">
        <v>31</v>
      </c>
      <c r="B126" s="238" t="s">
        <v>992</v>
      </c>
      <c r="C126" s="239" t="s">
        <v>745</v>
      </c>
      <c r="D126" s="240">
        <f t="shared" si="26"/>
        <v>0</v>
      </c>
      <c r="E126" s="240" t="s">
        <v>805</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992</v>
      </c>
      <c r="C127" s="226" t="s">
        <v>109</v>
      </c>
      <c r="D127" s="227">
        <f t="shared" si="26"/>
        <v>0</v>
      </c>
      <c r="E127" s="227" t="s">
        <v>805</v>
      </c>
      <c r="F127" s="242"/>
      <c r="G127" s="242"/>
      <c r="H127" s="242"/>
      <c r="I127" s="242"/>
      <c r="J127" s="242"/>
      <c r="K127" s="242"/>
      <c r="L127" s="242"/>
      <c r="M127" s="242"/>
      <c r="N127" s="242"/>
      <c r="O127" s="242"/>
      <c r="P127" s="242"/>
      <c r="Q127" s="242"/>
    </row>
    <row r="128" outlineLevel="1" spans="1:17">
      <c r="A128" s="217">
        <v>31</v>
      </c>
      <c r="B128" s="238" t="s">
        <v>992</v>
      </c>
      <c r="C128" s="229" t="s">
        <v>68</v>
      </c>
      <c r="D128" s="230">
        <f t="shared" si="26"/>
        <v>0</v>
      </c>
      <c r="E128" s="230" t="s">
        <v>805</v>
      </c>
      <c r="F128" s="242"/>
      <c r="G128" s="242"/>
      <c r="H128" s="242"/>
      <c r="I128" s="242"/>
      <c r="J128" s="242"/>
      <c r="K128" s="242"/>
      <c r="L128" s="242"/>
      <c r="M128" s="242"/>
      <c r="N128" s="242"/>
      <c r="O128" s="242"/>
      <c r="P128" s="242"/>
      <c r="Q128" s="242"/>
    </row>
    <row r="129" outlineLevel="1" spans="1:17">
      <c r="A129" s="217">
        <v>31</v>
      </c>
      <c r="B129" s="238" t="s">
        <v>992</v>
      </c>
      <c r="C129" s="232" t="s">
        <v>19</v>
      </c>
      <c r="D129" s="233">
        <f t="shared" si="26"/>
        <v>0</v>
      </c>
      <c r="E129" s="233" t="s">
        <v>805</v>
      </c>
      <c r="F129" s="242"/>
      <c r="G129" s="242"/>
      <c r="H129" s="242"/>
      <c r="I129" s="242"/>
      <c r="J129" s="242"/>
      <c r="K129" s="242"/>
      <c r="L129" s="242"/>
      <c r="M129" s="242"/>
      <c r="N129" s="242"/>
      <c r="O129" s="242"/>
      <c r="P129" s="242"/>
      <c r="Q129" s="242"/>
    </row>
    <row r="130" outlineLevel="1" spans="1:17">
      <c r="A130" s="217">
        <v>32</v>
      </c>
      <c r="B130" s="238" t="s">
        <v>995</v>
      </c>
      <c r="C130" s="239" t="s">
        <v>745</v>
      </c>
      <c r="D130" s="240">
        <f t="shared" ref="D130:D193" si="49">IFERROR(SUM(F130:Q130)/COUNTIF(F130:Q130,"&lt;&gt;0"),0)</f>
        <v>0</v>
      </c>
      <c r="E130" s="240" t="s">
        <v>805</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995</v>
      </c>
      <c r="C131" s="226" t="s">
        <v>109</v>
      </c>
      <c r="D131" s="227">
        <f t="shared" si="49"/>
        <v>0</v>
      </c>
      <c r="E131" s="227" t="s">
        <v>805</v>
      </c>
      <c r="F131" s="242"/>
      <c r="G131" s="242"/>
      <c r="H131" s="242"/>
      <c r="I131" s="242"/>
      <c r="J131" s="242"/>
      <c r="K131" s="242"/>
      <c r="L131" s="242"/>
      <c r="M131" s="242"/>
      <c r="N131" s="242"/>
      <c r="O131" s="242"/>
      <c r="P131" s="242"/>
      <c r="Q131" s="242"/>
    </row>
    <row r="132" outlineLevel="1" spans="1:17">
      <c r="A132" s="217">
        <v>32</v>
      </c>
      <c r="B132" s="238" t="s">
        <v>995</v>
      </c>
      <c r="C132" s="229" t="s">
        <v>68</v>
      </c>
      <c r="D132" s="230">
        <f t="shared" si="49"/>
        <v>0</v>
      </c>
      <c r="E132" s="230" t="s">
        <v>805</v>
      </c>
      <c r="F132" s="242"/>
      <c r="G132" s="242"/>
      <c r="H132" s="242"/>
      <c r="I132" s="242"/>
      <c r="J132" s="242"/>
      <c r="K132" s="242"/>
      <c r="L132" s="242"/>
      <c r="M132" s="242"/>
      <c r="N132" s="242"/>
      <c r="O132" s="242"/>
      <c r="P132" s="242"/>
      <c r="Q132" s="242"/>
    </row>
    <row r="133" outlineLevel="1" spans="1:17">
      <c r="A133" s="217">
        <v>32</v>
      </c>
      <c r="B133" s="238" t="s">
        <v>995</v>
      </c>
      <c r="C133" s="232" t="s">
        <v>19</v>
      </c>
      <c r="D133" s="233">
        <f t="shared" si="49"/>
        <v>0</v>
      </c>
      <c r="E133" s="233" t="s">
        <v>805</v>
      </c>
      <c r="F133" s="242"/>
      <c r="G133" s="242"/>
      <c r="H133" s="242"/>
      <c r="I133" s="242"/>
      <c r="J133" s="242"/>
      <c r="K133" s="242"/>
      <c r="L133" s="242"/>
      <c r="M133" s="242"/>
      <c r="N133" s="242"/>
      <c r="O133" s="242"/>
      <c r="P133" s="242"/>
      <c r="Q133" s="242"/>
    </row>
    <row r="134" outlineLevel="1" spans="1:17">
      <c r="A134" s="217">
        <v>33</v>
      </c>
      <c r="B134" s="238" t="s">
        <v>998</v>
      </c>
      <c r="C134" s="239" t="s">
        <v>745</v>
      </c>
      <c r="D134" s="240">
        <f t="shared" si="49"/>
        <v>0</v>
      </c>
      <c r="E134" s="240" t="s">
        <v>805</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998</v>
      </c>
      <c r="C135" s="226" t="s">
        <v>109</v>
      </c>
      <c r="D135" s="227">
        <f t="shared" si="49"/>
        <v>0</v>
      </c>
      <c r="E135" s="227" t="s">
        <v>805</v>
      </c>
      <c r="F135" s="242"/>
      <c r="G135" s="242"/>
      <c r="H135" s="242"/>
      <c r="I135" s="242"/>
      <c r="J135" s="242"/>
      <c r="K135" s="242"/>
      <c r="L135" s="242"/>
      <c r="M135" s="242"/>
      <c r="N135" s="242"/>
      <c r="O135" s="242"/>
      <c r="P135" s="242"/>
      <c r="Q135" s="242"/>
    </row>
    <row r="136" outlineLevel="1" spans="1:17">
      <c r="A136" s="217">
        <v>33</v>
      </c>
      <c r="B136" s="238" t="s">
        <v>998</v>
      </c>
      <c r="C136" s="229" t="s">
        <v>68</v>
      </c>
      <c r="D136" s="230">
        <f t="shared" si="49"/>
        <v>0</v>
      </c>
      <c r="E136" s="230" t="s">
        <v>805</v>
      </c>
      <c r="F136" s="242"/>
      <c r="G136" s="242"/>
      <c r="H136" s="242"/>
      <c r="I136" s="242"/>
      <c r="J136" s="242"/>
      <c r="K136" s="242"/>
      <c r="L136" s="242"/>
      <c r="M136" s="242"/>
      <c r="N136" s="242"/>
      <c r="O136" s="242"/>
      <c r="P136" s="242"/>
      <c r="Q136" s="242"/>
    </row>
    <row r="137" outlineLevel="1" spans="1:17">
      <c r="A137" s="217">
        <v>33</v>
      </c>
      <c r="B137" s="238" t="s">
        <v>998</v>
      </c>
      <c r="C137" s="232" t="s">
        <v>19</v>
      </c>
      <c r="D137" s="233">
        <f t="shared" si="49"/>
        <v>0</v>
      </c>
      <c r="E137" s="233" t="s">
        <v>805</v>
      </c>
      <c r="F137" s="242"/>
      <c r="G137" s="242"/>
      <c r="H137" s="242"/>
      <c r="I137" s="242"/>
      <c r="J137" s="242"/>
      <c r="K137" s="242"/>
      <c r="L137" s="242"/>
      <c r="M137" s="242"/>
      <c r="N137" s="242"/>
      <c r="O137" s="242"/>
      <c r="P137" s="242"/>
      <c r="Q137" s="242"/>
    </row>
    <row r="138" outlineLevel="1" spans="1:17">
      <c r="A138" s="217">
        <v>34</v>
      </c>
      <c r="B138" s="238" t="s">
        <v>1000</v>
      </c>
      <c r="C138" s="239" t="s">
        <v>745</v>
      </c>
      <c r="D138" s="240">
        <f t="shared" si="49"/>
        <v>0</v>
      </c>
      <c r="E138" s="240" t="s">
        <v>805</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1000</v>
      </c>
      <c r="C139" s="226" t="s">
        <v>109</v>
      </c>
      <c r="D139" s="227">
        <f t="shared" si="49"/>
        <v>0</v>
      </c>
      <c r="E139" s="227" t="s">
        <v>805</v>
      </c>
      <c r="F139" s="242"/>
      <c r="G139" s="242"/>
      <c r="H139" s="242"/>
      <c r="I139" s="242"/>
      <c r="J139" s="242"/>
      <c r="K139" s="242"/>
      <c r="L139" s="242"/>
      <c r="M139" s="242"/>
      <c r="N139" s="242"/>
      <c r="O139" s="242"/>
      <c r="P139" s="242"/>
      <c r="Q139" s="242"/>
    </row>
    <row r="140" outlineLevel="1" spans="1:17">
      <c r="A140" s="217">
        <v>34</v>
      </c>
      <c r="B140" s="238" t="s">
        <v>1000</v>
      </c>
      <c r="C140" s="229" t="s">
        <v>68</v>
      </c>
      <c r="D140" s="230">
        <f t="shared" si="49"/>
        <v>0</v>
      </c>
      <c r="E140" s="230" t="s">
        <v>805</v>
      </c>
      <c r="F140" s="242"/>
      <c r="G140" s="242"/>
      <c r="H140" s="242"/>
      <c r="I140" s="242"/>
      <c r="J140" s="242"/>
      <c r="K140" s="242"/>
      <c r="L140" s="242"/>
      <c r="M140" s="242"/>
      <c r="N140" s="242"/>
      <c r="O140" s="242"/>
      <c r="P140" s="242"/>
      <c r="Q140" s="242"/>
    </row>
    <row r="141" outlineLevel="1" spans="1:17">
      <c r="A141" s="217">
        <v>34</v>
      </c>
      <c r="B141" s="238" t="s">
        <v>1000</v>
      </c>
      <c r="C141" s="232" t="s">
        <v>19</v>
      </c>
      <c r="D141" s="233">
        <f t="shared" si="49"/>
        <v>0</v>
      </c>
      <c r="E141" s="233" t="s">
        <v>805</v>
      </c>
      <c r="F141" s="242"/>
      <c r="G141" s="242"/>
      <c r="H141" s="242"/>
      <c r="I141" s="242"/>
      <c r="J141" s="242"/>
      <c r="K141" s="242"/>
      <c r="L141" s="242"/>
      <c r="M141" s="242"/>
      <c r="N141" s="242"/>
      <c r="O141" s="242"/>
      <c r="P141" s="242"/>
      <c r="Q141" s="242"/>
    </row>
    <row r="142" outlineLevel="1" spans="1:17">
      <c r="A142" s="217">
        <v>35</v>
      </c>
      <c r="B142" s="238" t="s">
        <v>1002</v>
      </c>
      <c r="C142" s="239" t="s">
        <v>745</v>
      </c>
      <c r="D142" s="240">
        <f t="shared" si="49"/>
        <v>0</v>
      </c>
      <c r="E142" s="240" t="s">
        <v>805</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1002</v>
      </c>
      <c r="C143" s="226" t="s">
        <v>109</v>
      </c>
      <c r="D143" s="227">
        <f t="shared" si="49"/>
        <v>0</v>
      </c>
      <c r="E143" s="227" t="s">
        <v>805</v>
      </c>
      <c r="F143" s="242"/>
      <c r="G143" s="242"/>
      <c r="H143" s="242"/>
      <c r="I143" s="242"/>
      <c r="J143" s="242"/>
      <c r="K143" s="242"/>
      <c r="L143" s="242"/>
      <c r="M143" s="242"/>
      <c r="N143" s="242"/>
      <c r="O143" s="242"/>
      <c r="P143" s="242"/>
      <c r="Q143" s="242"/>
    </row>
    <row r="144" outlineLevel="1" spans="1:17">
      <c r="A144" s="217">
        <v>35</v>
      </c>
      <c r="B144" s="238" t="s">
        <v>1002</v>
      </c>
      <c r="C144" s="229" t="s">
        <v>68</v>
      </c>
      <c r="D144" s="230">
        <f t="shared" si="49"/>
        <v>0</v>
      </c>
      <c r="E144" s="230" t="s">
        <v>805</v>
      </c>
      <c r="F144" s="242"/>
      <c r="G144" s="242"/>
      <c r="H144" s="242"/>
      <c r="I144" s="242"/>
      <c r="J144" s="242"/>
      <c r="K144" s="242"/>
      <c r="L144" s="242"/>
      <c r="M144" s="242"/>
      <c r="N144" s="242"/>
      <c r="O144" s="242"/>
      <c r="P144" s="242"/>
      <c r="Q144" s="242"/>
    </row>
    <row r="145" outlineLevel="1" spans="1:17">
      <c r="A145" s="217">
        <v>35</v>
      </c>
      <c r="B145" s="238" t="s">
        <v>1002</v>
      </c>
      <c r="C145" s="232" t="s">
        <v>19</v>
      </c>
      <c r="D145" s="233">
        <f t="shared" si="49"/>
        <v>0</v>
      </c>
      <c r="E145" s="233" t="s">
        <v>805</v>
      </c>
      <c r="F145" s="242"/>
      <c r="G145" s="242"/>
      <c r="H145" s="242"/>
      <c r="I145" s="242"/>
      <c r="J145" s="242"/>
      <c r="K145" s="242"/>
      <c r="L145" s="242"/>
      <c r="M145" s="242"/>
      <c r="N145" s="242"/>
      <c r="O145" s="242"/>
      <c r="P145" s="242"/>
      <c r="Q145" s="242"/>
    </row>
    <row r="146" outlineLevel="1" spans="1:17">
      <c r="A146" s="217">
        <v>36</v>
      </c>
      <c r="B146" s="238" t="s">
        <v>1004</v>
      </c>
      <c r="C146" s="239" t="s">
        <v>745</v>
      </c>
      <c r="D146" s="240">
        <f t="shared" si="49"/>
        <v>0</v>
      </c>
      <c r="E146" s="240" t="s">
        <v>805</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1004</v>
      </c>
      <c r="C147" s="226" t="s">
        <v>109</v>
      </c>
      <c r="D147" s="227">
        <f t="shared" si="49"/>
        <v>0</v>
      </c>
      <c r="E147" s="227" t="s">
        <v>805</v>
      </c>
      <c r="F147" s="242"/>
      <c r="G147" s="242"/>
      <c r="H147" s="242"/>
      <c r="I147" s="242"/>
      <c r="J147" s="242"/>
      <c r="K147" s="242"/>
      <c r="L147" s="242"/>
      <c r="M147" s="242"/>
      <c r="N147" s="242"/>
      <c r="O147" s="242"/>
      <c r="P147" s="242"/>
      <c r="Q147" s="242"/>
    </row>
    <row r="148" outlineLevel="1" spans="1:17">
      <c r="A148" s="217">
        <v>36</v>
      </c>
      <c r="B148" s="238" t="s">
        <v>1004</v>
      </c>
      <c r="C148" s="229" t="s">
        <v>68</v>
      </c>
      <c r="D148" s="230">
        <f t="shared" si="49"/>
        <v>0</v>
      </c>
      <c r="E148" s="230" t="s">
        <v>805</v>
      </c>
      <c r="F148" s="242"/>
      <c r="G148" s="242"/>
      <c r="H148" s="242"/>
      <c r="I148" s="242"/>
      <c r="J148" s="242"/>
      <c r="K148" s="242"/>
      <c r="L148" s="242"/>
      <c r="M148" s="242"/>
      <c r="N148" s="242"/>
      <c r="O148" s="242"/>
      <c r="P148" s="242"/>
      <c r="Q148" s="242"/>
    </row>
    <row r="149" outlineLevel="1" spans="1:17">
      <c r="A149" s="217">
        <v>36</v>
      </c>
      <c r="B149" s="238" t="s">
        <v>1004</v>
      </c>
      <c r="C149" s="232" t="s">
        <v>19</v>
      </c>
      <c r="D149" s="233">
        <f t="shared" si="49"/>
        <v>0</v>
      </c>
      <c r="E149" s="233" t="s">
        <v>805</v>
      </c>
      <c r="F149" s="242"/>
      <c r="G149" s="242"/>
      <c r="H149" s="242"/>
      <c r="I149" s="242"/>
      <c r="J149" s="242"/>
      <c r="K149" s="242"/>
      <c r="L149" s="242"/>
      <c r="M149" s="242"/>
      <c r="N149" s="242"/>
      <c r="O149" s="242"/>
      <c r="P149" s="242"/>
      <c r="Q149" s="242"/>
    </row>
    <row r="150" outlineLevel="1" spans="1:17">
      <c r="A150" s="217">
        <v>37</v>
      </c>
      <c r="B150" s="238" t="s">
        <v>1007</v>
      </c>
      <c r="C150" s="239" t="s">
        <v>745</v>
      </c>
      <c r="D150" s="240">
        <f t="shared" si="49"/>
        <v>0</v>
      </c>
      <c r="E150" s="240" t="s">
        <v>805</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1007</v>
      </c>
      <c r="C151" s="226" t="s">
        <v>109</v>
      </c>
      <c r="D151" s="227">
        <f t="shared" si="49"/>
        <v>0</v>
      </c>
      <c r="E151" s="227" t="s">
        <v>805</v>
      </c>
      <c r="F151" s="242"/>
      <c r="G151" s="242"/>
      <c r="H151" s="242"/>
      <c r="I151" s="242"/>
      <c r="J151" s="242"/>
      <c r="K151" s="242"/>
      <c r="L151" s="242"/>
      <c r="M151" s="242"/>
      <c r="N151" s="242"/>
      <c r="O151" s="242"/>
      <c r="P151" s="242"/>
      <c r="Q151" s="242"/>
    </row>
    <row r="152" outlineLevel="1" spans="1:17">
      <c r="A152" s="217">
        <v>37</v>
      </c>
      <c r="B152" s="238" t="s">
        <v>1007</v>
      </c>
      <c r="C152" s="229" t="s">
        <v>68</v>
      </c>
      <c r="D152" s="230">
        <f t="shared" si="49"/>
        <v>0</v>
      </c>
      <c r="E152" s="230" t="s">
        <v>805</v>
      </c>
      <c r="F152" s="242"/>
      <c r="G152" s="242"/>
      <c r="H152" s="242"/>
      <c r="I152" s="242"/>
      <c r="J152" s="242"/>
      <c r="K152" s="242"/>
      <c r="L152" s="242"/>
      <c r="M152" s="242"/>
      <c r="N152" s="242"/>
      <c r="O152" s="242"/>
      <c r="P152" s="242"/>
      <c r="Q152" s="242"/>
    </row>
    <row r="153" outlineLevel="1" spans="1:17">
      <c r="A153" s="217">
        <v>37</v>
      </c>
      <c r="B153" s="238" t="s">
        <v>1007</v>
      </c>
      <c r="C153" s="232" t="s">
        <v>19</v>
      </c>
      <c r="D153" s="233">
        <f t="shared" si="49"/>
        <v>0</v>
      </c>
      <c r="E153" s="233" t="s">
        <v>805</v>
      </c>
      <c r="F153" s="242"/>
      <c r="G153" s="242"/>
      <c r="H153" s="242"/>
      <c r="I153" s="242"/>
      <c r="J153" s="242"/>
      <c r="K153" s="242"/>
      <c r="L153" s="242"/>
      <c r="M153" s="242"/>
      <c r="N153" s="242"/>
      <c r="O153" s="242"/>
      <c r="P153" s="242"/>
      <c r="Q153" s="242"/>
    </row>
    <row r="154" spans="1:17">
      <c r="A154" s="217">
        <v>38</v>
      </c>
      <c r="B154" s="235" t="s">
        <v>199</v>
      </c>
      <c r="C154" s="235" t="s">
        <v>745</v>
      </c>
      <c r="D154" s="236">
        <f t="shared" si="49"/>
        <v>6</v>
      </c>
      <c r="E154" s="236" t="s">
        <v>805</v>
      </c>
      <c r="F154" s="237">
        <f t="shared" ref="F154:Q154" si="56">F155+F156+F157</f>
        <v>6</v>
      </c>
      <c r="G154" s="237">
        <f t="shared" si="56"/>
        <v>6</v>
      </c>
      <c r="H154" s="237">
        <f t="shared" si="56"/>
        <v>6</v>
      </c>
      <c r="I154" s="237">
        <f t="shared" si="56"/>
        <v>6</v>
      </c>
      <c r="J154" s="237">
        <f t="shared" si="56"/>
        <v>6</v>
      </c>
      <c r="K154" s="237">
        <f t="shared" si="56"/>
        <v>6</v>
      </c>
      <c r="L154" s="237">
        <f t="shared" si="56"/>
        <v>6</v>
      </c>
      <c r="M154" s="237">
        <f t="shared" si="56"/>
        <v>6</v>
      </c>
      <c r="N154" s="237">
        <f t="shared" si="56"/>
        <v>6</v>
      </c>
      <c r="O154" s="237">
        <f t="shared" si="56"/>
        <v>6</v>
      </c>
      <c r="P154" s="237">
        <f t="shared" si="56"/>
        <v>6</v>
      </c>
      <c r="Q154" s="237">
        <f t="shared" si="56"/>
        <v>6</v>
      </c>
    </row>
    <row r="155" spans="1:17">
      <c r="A155" s="217">
        <v>38</v>
      </c>
      <c r="B155" s="235" t="s">
        <v>199</v>
      </c>
      <c r="C155" s="226" t="s">
        <v>109</v>
      </c>
      <c r="D155" s="227">
        <f t="shared" si="49"/>
        <v>6</v>
      </c>
      <c r="E155" s="227" t="s">
        <v>805</v>
      </c>
      <c r="F155" s="228">
        <f t="shared" ref="F155:Q155" si="57">F159+F163+F167+F171</f>
        <v>6</v>
      </c>
      <c r="G155" s="228">
        <f t="shared" si="57"/>
        <v>6</v>
      </c>
      <c r="H155" s="228">
        <f t="shared" si="57"/>
        <v>6</v>
      </c>
      <c r="I155" s="228">
        <f t="shared" si="57"/>
        <v>6</v>
      </c>
      <c r="J155" s="228">
        <f t="shared" si="57"/>
        <v>6</v>
      </c>
      <c r="K155" s="228">
        <f t="shared" si="57"/>
        <v>6</v>
      </c>
      <c r="L155" s="228">
        <f t="shared" si="57"/>
        <v>6</v>
      </c>
      <c r="M155" s="228">
        <f t="shared" si="57"/>
        <v>6</v>
      </c>
      <c r="N155" s="228">
        <f t="shared" si="57"/>
        <v>6</v>
      </c>
      <c r="O155" s="228">
        <f t="shared" si="57"/>
        <v>6</v>
      </c>
      <c r="P155" s="228">
        <f t="shared" si="57"/>
        <v>6</v>
      </c>
      <c r="Q155" s="228">
        <f t="shared" si="57"/>
        <v>6</v>
      </c>
    </row>
    <row r="156" spans="1:17">
      <c r="A156" s="217">
        <v>38</v>
      </c>
      <c r="B156" s="235" t="s">
        <v>199</v>
      </c>
      <c r="C156" s="229" t="s">
        <v>68</v>
      </c>
      <c r="D156" s="230">
        <f t="shared" si="49"/>
        <v>0</v>
      </c>
      <c r="E156" s="230" t="s">
        <v>805</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805</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1037</v>
      </c>
      <c r="C158" s="239" t="s">
        <v>745</v>
      </c>
      <c r="D158" s="240">
        <f t="shared" si="49"/>
        <v>6</v>
      </c>
      <c r="E158" s="240" t="s">
        <v>805</v>
      </c>
      <c r="F158" s="241">
        <f t="shared" ref="F158:Q158" si="60">F159+F160+F161</f>
        <v>6</v>
      </c>
      <c r="G158" s="241">
        <f t="shared" si="60"/>
        <v>6</v>
      </c>
      <c r="H158" s="241">
        <f t="shared" si="60"/>
        <v>6</v>
      </c>
      <c r="I158" s="241">
        <f t="shared" si="60"/>
        <v>6</v>
      </c>
      <c r="J158" s="241">
        <f t="shared" si="60"/>
        <v>6</v>
      </c>
      <c r="K158" s="241">
        <f t="shared" si="60"/>
        <v>6</v>
      </c>
      <c r="L158" s="241">
        <f t="shared" si="60"/>
        <v>6</v>
      </c>
      <c r="M158" s="241">
        <f t="shared" si="60"/>
        <v>6</v>
      </c>
      <c r="N158" s="241">
        <f t="shared" si="60"/>
        <v>6</v>
      </c>
      <c r="O158" s="241">
        <f t="shared" si="60"/>
        <v>6</v>
      </c>
      <c r="P158" s="241">
        <f t="shared" si="60"/>
        <v>6</v>
      </c>
      <c r="Q158" s="241">
        <f t="shared" si="60"/>
        <v>6</v>
      </c>
    </row>
    <row r="159" outlineLevel="1" spans="1:17">
      <c r="A159" s="217">
        <v>39</v>
      </c>
      <c r="B159" s="238" t="s">
        <v>1037</v>
      </c>
      <c r="C159" s="226" t="s">
        <v>109</v>
      </c>
      <c r="D159" s="227">
        <f t="shared" si="49"/>
        <v>6</v>
      </c>
      <c r="E159" s="227" t="s">
        <v>805</v>
      </c>
      <c r="F159" s="242">
        <f>自有人工预算!E9</f>
        <v>6</v>
      </c>
      <c r="G159" s="242">
        <f>自有人工预算!F9</f>
        <v>6</v>
      </c>
      <c r="H159" s="242">
        <f>自有人工预算!G9</f>
        <v>6</v>
      </c>
      <c r="I159" s="242">
        <f>自有人工预算!H9</f>
        <v>6</v>
      </c>
      <c r="J159" s="242">
        <f>自有人工预算!I9</f>
        <v>6</v>
      </c>
      <c r="K159" s="242">
        <f>自有人工预算!J9</f>
        <v>6</v>
      </c>
      <c r="L159" s="242">
        <f>自有人工预算!K9</f>
        <v>6</v>
      </c>
      <c r="M159" s="242">
        <f>自有人工预算!L9</f>
        <v>6</v>
      </c>
      <c r="N159" s="242">
        <f>自有人工预算!M9</f>
        <v>6</v>
      </c>
      <c r="O159" s="242">
        <f>自有人工预算!N9</f>
        <v>6</v>
      </c>
      <c r="P159" s="242">
        <f>自有人工预算!O9</f>
        <v>6</v>
      </c>
      <c r="Q159" s="242">
        <f>自有人工预算!P9</f>
        <v>6</v>
      </c>
    </row>
    <row r="160" outlineLevel="1" spans="1:17">
      <c r="A160" s="217">
        <v>39</v>
      </c>
      <c r="B160" s="238" t="s">
        <v>1037</v>
      </c>
      <c r="C160" s="229" t="s">
        <v>68</v>
      </c>
      <c r="D160" s="230">
        <f t="shared" si="49"/>
        <v>0</v>
      </c>
      <c r="E160" s="230" t="s">
        <v>805</v>
      </c>
      <c r="F160" s="242"/>
      <c r="G160" s="242"/>
      <c r="H160" s="242"/>
      <c r="I160" s="242"/>
      <c r="J160" s="242"/>
      <c r="K160" s="242"/>
      <c r="L160" s="242"/>
      <c r="M160" s="242"/>
      <c r="N160" s="242"/>
      <c r="O160" s="242"/>
      <c r="P160" s="242"/>
      <c r="Q160" s="242"/>
    </row>
    <row r="161" outlineLevel="1" spans="1:17">
      <c r="A161" s="217">
        <v>39</v>
      </c>
      <c r="B161" s="238" t="s">
        <v>1037</v>
      </c>
      <c r="C161" s="232" t="s">
        <v>19</v>
      </c>
      <c r="D161" s="233">
        <f t="shared" si="49"/>
        <v>0</v>
      </c>
      <c r="E161" s="233" t="s">
        <v>805</v>
      </c>
      <c r="F161" s="242"/>
      <c r="G161" s="242"/>
      <c r="H161" s="242"/>
      <c r="I161" s="242"/>
      <c r="J161" s="242"/>
      <c r="K161" s="242"/>
      <c r="L161" s="242"/>
      <c r="M161" s="242"/>
      <c r="N161" s="242"/>
      <c r="O161" s="242"/>
      <c r="P161" s="242"/>
      <c r="Q161" s="242"/>
    </row>
    <row r="162" outlineLevel="1" spans="1:17">
      <c r="A162" s="217">
        <v>40</v>
      </c>
      <c r="B162" s="238" t="s">
        <v>1040</v>
      </c>
      <c r="C162" s="239" t="s">
        <v>745</v>
      </c>
      <c r="D162" s="240">
        <f t="shared" si="49"/>
        <v>0</v>
      </c>
      <c r="E162" s="240" t="s">
        <v>805</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1040</v>
      </c>
      <c r="C163" s="226" t="s">
        <v>109</v>
      </c>
      <c r="D163" s="227">
        <f t="shared" si="49"/>
        <v>0</v>
      </c>
      <c r="E163" s="227" t="s">
        <v>805</v>
      </c>
      <c r="F163" s="242"/>
      <c r="G163" s="242"/>
      <c r="H163" s="242"/>
      <c r="I163" s="242"/>
      <c r="J163" s="242"/>
      <c r="K163" s="242"/>
      <c r="L163" s="242"/>
      <c r="M163" s="242"/>
      <c r="N163" s="242"/>
      <c r="O163" s="242"/>
      <c r="P163" s="242"/>
      <c r="Q163" s="242"/>
    </row>
    <row r="164" outlineLevel="1" spans="1:17">
      <c r="A164" s="217">
        <v>40</v>
      </c>
      <c r="B164" s="238" t="s">
        <v>1040</v>
      </c>
      <c r="C164" s="229" t="s">
        <v>68</v>
      </c>
      <c r="D164" s="230">
        <f t="shared" si="49"/>
        <v>0</v>
      </c>
      <c r="E164" s="230" t="s">
        <v>805</v>
      </c>
      <c r="F164" s="242"/>
      <c r="G164" s="242"/>
      <c r="H164" s="242"/>
      <c r="I164" s="242"/>
      <c r="J164" s="242"/>
      <c r="K164" s="242"/>
      <c r="L164" s="242"/>
      <c r="M164" s="242"/>
      <c r="N164" s="242"/>
      <c r="O164" s="242"/>
      <c r="P164" s="242"/>
      <c r="Q164" s="242"/>
    </row>
    <row r="165" outlineLevel="1" spans="1:17">
      <c r="A165" s="217">
        <v>40</v>
      </c>
      <c r="B165" s="238" t="s">
        <v>1040</v>
      </c>
      <c r="C165" s="232" t="s">
        <v>19</v>
      </c>
      <c r="D165" s="233">
        <f t="shared" si="49"/>
        <v>0</v>
      </c>
      <c r="E165" s="233" t="s">
        <v>805</v>
      </c>
      <c r="F165" s="242"/>
      <c r="G165" s="242"/>
      <c r="H165" s="242"/>
      <c r="I165" s="242"/>
      <c r="J165" s="242"/>
      <c r="K165" s="242"/>
      <c r="L165" s="242"/>
      <c r="M165" s="242"/>
      <c r="N165" s="242"/>
      <c r="O165" s="242"/>
      <c r="P165" s="242"/>
      <c r="Q165" s="242"/>
    </row>
    <row r="166" outlineLevel="1" spans="1:17">
      <c r="A166" s="217">
        <v>41</v>
      </c>
      <c r="B166" s="238" t="s">
        <v>1043</v>
      </c>
      <c r="C166" s="239" t="s">
        <v>745</v>
      </c>
      <c r="D166" s="240">
        <f t="shared" si="49"/>
        <v>0</v>
      </c>
      <c r="E166" s="240" t="s">
        <v>805</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1043</v>
      </c>
      <c r="C167" s="226" t="s">
        <v>109</v>
      </c>
      <c r="D167" s="227">
        <f t="shared" si="49"/>
        <v>0</v>
      </c>
      <c r="E167" s="227" t="s">
        <v>805</v>
      </c>
      <c r="F167" s="242"/>
      <c r="G167" s="242"/>
      <c r="H167" s="242"/>
      <c r="I167" s="242"/>
      <c r="J167" s="242"/>
      <c r="K167" s="242"/>
      <c r="L167" s="242"/>
      <c r="M167" s="242"/>
      <c r="N167" s="242"/>
      <c r="O167" s="242"/>
      <c r="P167" s="242"/>
      <c r="Q167" s="242"/>
    </row>
    <row r="168" outlineLevel="1" spans="1:17">
      <c r="A168" s="217">
        <v>41</v>
      </c>
      <c r="B168" s="238" t="s">
        <v>1043</v>
      </c>
      <c r="C168" s="229" t="s">
        <v>68</v>
      </c>
      <c r="D168" s="230">
        <f t="shared" si="49"/>
        <v>0</v>
      </c>
      <c r="E168" s="230" t="s">
        <v>805</v>
      </c>
      <c r="F168" s="242"/>
      <c r="G168" s="242"/>
      <c r="H168" s="242"/>
      <c r="I168" s="242"/>
      <c r="J168" s="242"/>
      <c r="K168" s="242"/>
      <c r="L168" s="242"/>
      <c r="M168" s="242"/>
      <c r="N168" s="242"/>
      <c r="O168" s="242"/>
      <c r="P168" s="242"/>
      <c r="Q168" s="242"/>
    </row>
    <row r="169" outlineLevel="1" spans="1:17">
      <c r="A169" s="217">
        <v>41</v>
      </c>
      <c r="B169" s="238" t="s">
        <v>1043</v>
      </c>
      <c r="C169" s="232" t="s">
        <v>19</v>
      </c>
      <c r="D169" s="233">
        <f t="shared" si="49"/>
        <v>0</v>
      </c>
      <c r="E169" s="233" t="s">
        <v>805</v>
      </c>
      <c r="F169" s="242"/>
      <c r="G169" s="242"/>
      <c r="H169" s="242"/>
      <c r="I169" s="242"/>
      <c r="J169" s="242"/>
      <c r="K169" s="242"/>
      <c r="L169" s="242"/>
      <c r="M169" s="242"/>
      <c r="N169" s="242"/>
      <c r="O169" s="242"/>
      <c r="P169" s="242"/>
      <c r="Q169" s="242"/>
    </row>
    <row r="170" outlineLevel="1" spans="1:17">
      <c r="A170" s="217">
        <v>42</v>
      </c>
      <c r="B170" s="238" t="s">
        <v>1046</v>
      </c>
      <c r="C170" s="239" t="s">
        <v>745</v>
      </c>
      <c r="D170" s="240">
        <f t="shared" si="49"/>
        <v>0</v>
      </c>
      <c r="E170" s="240" t="s">
        <v>805</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1046</v>
      </c>
      <c r="C171" s="226" t="s">
        <v>109</v>
      </c>
      <c r="D171" s="227">
        <f t="shared" si="49"/>
        <v>0</v>
      </c>
      <c r="E171" s="227" t="s">
        <v>805</v>
      </c>
      <c r="F171" s="242"/>
      <c r="G171" s="242"/>
      <c r="H171" s="242"/>
      <c r="I171" s="242"/>
      <c r="J171" s="242"/>
      <c r="K171" s="242"/>
      <c r="L171" s="242"/>
      <c r="M171" s="242"/>
      <c r="N171" s="242"/>
      <c r="O171" s="242"/>
      <c r="P171" s="242"/>
      <c r="Q171" s="242"/>
    </row>
    <row r="172" outlineLevel="1" spans="1:17">
      <c r="A172" s="217">
        <v>42</v>
      </c>
      <c r="B172" s="238" t="s">
        <v>1046</v>
      </c>
      <c r="C172" s="229" t="s">
        <v>68</v>
      </c>
      <c r="D172" s="230">
        <f t="shared" si="49"/>
        <v>0</v>
      </c>
      <c r="E172" s="230" t="s">
        <v>805</v>
      </c>
      <c r="F172" s="242"/>
      <c r="G172" s="242"/>
      <c r="H172" s="242"/>
      <c r="I172" s="242"/>
      <c r="J172" s="242"/>
      <c r="K172" s="242"/>
      <c r="L172" s="242"/>
      <c r="M172" s="242"/>
      <c r="N172" s="242"/>
      <c r="O172" s="242"/>
      <c r="P172" s="242"/>
      <c r="Q172" s="242"/>
    </row>
    <row r="173" outlineLevel="1" spans="1:17">
      <c r="A173" s="217">
        <v>42</v>
      </c>
      <c r="B173" s="238" t="s">
        <v>1046</v>
      </c>
      <c r="C173" s="232" t="s">
        <v>19</v>
      </c>
      <c r="D173" s="233">
        <f t="shared" si="49"/>
        <v>0</v>
      </c>
      <c r="E173" s="233" t="s">
        <v>805</v>
      </c>
      <c r="F173" s="242"/>
      <c r="G173" s="242"/>
      <c r="H173" s="242"/>
      <c r="I173" s="242"/>
      <c r="J173" s="242"/>
      <c r="K173" s="242"/>
      <c r="L173" s="242"/>
      <c r="M173" s="242"/>
      <c r="N173" s="242"/>
      <c r="O173" s="242"/>
      <c r="P173" s="242"/>
      <c r="Q173" s="242"/>
    </row>
    <row r="174" spans="1:17">
      <c r="A174" s="217">
        <v>43</v>
      </c>
      <c r="B174" s="235" t="s">
        <v>2429</v>
      </c>
      <c r="C174" s="235" t="s">
        <v>745</v>
      </c>
      <c r="D174" s="236">
        <f t="shared" si="49"/>
        <v>138</v>
      </c>
      <c r="E174" s="236" t="s">
        <v>805</v>
      </c>
      <c r="F174" s="237">
        <f t="shared" ref="F174:Q174" si="64">F175+F176+F177</f>
        <v>138</v>
      </c>
      <c r="G174" s="237">
        <f t="shared" si="64"/>
        <v>138</v>
      </c>
      <c r="H174" s="237">
        <f t="shared" si="64"/>
        <v>138</v>
      </c>
      <c r="I174" s="237">
        <f t="shared" si="64"/>
        <v>138</v>
      </c>
      <c r="J174" s="237">
        <f t="shared" si="64"/>
        <v>138</v>
      </c>
      <c r="K174" s="237">
        <f t="shared" si="64"/>
        <v>138</v>
      </c>
      <c r="L174" s="237">
        <f t="shared" si="64"/>
        <v>138</v>
      </c>
      <c r="M174" s="237">
        <f t="shared" si="64"/>
        <v>138</v>
      </c>
      <c r="N174" s="237">
        <f t="shared" si="64"/>
        <v>138</v>
      </c>
      <c r="O174" s="237">
        <f t="shared" si="64"/>
        <v>138</v>
      </c>
      <c r="P174" s="237">
        <f t="shared" si="64"/>
        <v>138</v>
      </c>
      <c r="Q174" s="237">
        <f t="shared" si="64"/>
        <v>138</v>
      </c>
    </row>
    <row r="175" spans="1:17">
      <c r="A175" s="217">
        <v>43</v>
      </c>
      <c r="B175" s="235" t="s">
        <v>2429</v>
      </c>
      <c r="C175" s="226" t="s">
        <v>109</v>
      </c>
      <c r="D175" s="227">
        <f t="shared" si="49"/>
        <v>138</v>
      </c>
      <c r="E175" s="227" t="s">
        <v>805</v>
      </c>
      <c r="F175" s="228">
        <f t="shared" ref="F175:Q175" si="65">F179+F183+F187+F191</f>
        <v>138</v>
      </c>
      <c r="G175" s="228">
        <f t="shared" si="65"/>
        <v>138</v>
      </c>
      <c r="H175" s="228">
        <f t="shared" si="65"/>
        <v>138</v>
      </c>
      <c r="I175" s="228">
        <f t="shared" si="65"/>
        <v>138</v>
      </c>
      <c r="J175" s="228">
        <f t="shared" si="65"/>
        <v>138</v>
      </c>
      <c r="K175" s="228">
        <f t="shared" si="65"/>
        <v>138</v>
      </c>
      <c r="L175" s="228">
        <f t="shared" si="65"/>
        <v>138</v>
      </c>
      <c r="M175" s="228">
        <f t="shared" si="65"/>
        <v>138</v>
      </c>
      <c r="N175" s="228">
        <f t="shared" si="65"/>
        <v>138</v>
      </c>
      <c r="O175" s="228">
        <f t="shared" si="65"/>
        <v>138</v>
      </c>
      <c r="P175" s="228">
        <f t="shared" si="65"/>
        <v>138</v>
      </c>
      <c r="Q175" s="228">
        <f t="shared" si="65"/>
        <v>138</v>
      </c>
    </row>
    <row r="176" spans="1:17">
      <c r="A176" s="217">
        <v>43</v>
      </c>
      <c r="B176" s="235" t="s">
        <v>2429</v>
      </c>
      <c r="C176" s="229" t="s">
        <v>68</v>
      </c>
      <c r="D176" s="230">
        <f t="shared" si="49"/>
        <v>0</v>
      </c>
      <c r="E176" s="230" t="s">
        <v>805</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2429</v>
      </c>
      <c r="C177" s="232" t="s">
        <v>19</v>
      </c>
      <c r="D177" s="233">
        <f t="shared" si="49"/>
        <v>0</v>
      </c>
      <c r="E177" s="233" t="s">
        <v>805</v>
      </c>
      <c r="F177" s="234">
        <f t="shared" ref="F177:Q177" si="67">F181+F185+F189+F193</f>
        <v>0</v>
      </c>
      <c r="G177" s="234">
        <f t="shared" si="67"/>
        <v>0</v>
      </c>
      <c r="H177" s="234">
        <f t="shared" si="67"/>
        <v>0</v>
      </c>
      <c r="I177" s="234">
        <f t="shared" si="67"/>
        <v>0</v>
      </c>
      <c r="J177" s="234">
        <f t="shared" si="67"/>
        <v>0</v>
      </c>
      <c r="K177" s="234">
        <f t="shared" si="67"/>
        <v>0</v>
      </c>
      <c r="L177" s="234">
        <f t="shared" si="67"/>
        <v>0</v>
      </c>
      <c r="M177" s="234">
        <f t="shared" si="67"/>
        <v>0</v>
      </c>
      <c r="N177" s="234">
        <f t="shared" si="67"/>
        <v>0</v>
      </c>
      <c r="O177" s="234">
        <f t="shared" si="67"/>
        <v>0</v>
      </c>
      <c r="P177" s="234">
        <f t="shared" si="67"/>
        <v>0</v>
      </c>
      <c r="Q177" s="234">
        <f t="shared" si="67"/>
        <v>0</v>
      </c>
    </row>
    <row r="178" outlineLevel="1" spans="1:17">
      <c r="A178" s="217">
        <v>44</v>
      </c>
      <c r="B178" s="238" t="s">
        <v>1069</v>
      </c>
      <c r="C178" s="239" t="s">
        <v>745</v>
      </c>
      <c r="D178" s="240">
        <f t="shared" si="49"/>
        <v>138</v>
      </c>
      <c r="E178" s="240" t="s">
        <v>805</v>
      </c>
      <c r="F178" s="241">
        <f t="shared" ref="F178:Q178" si="68">F179+F180+F181</f>
        <v>138</v>
      </c>
      <c r="G178" s="241">
        <f t="shared" si="68"/>
        <v>138</v>
      </c>
      <c r="H178" s="241">
        <f t="shared" si="68"/>
        <v>138</v>
      </c>
      <c r="I178" s="241">
        <f t="shared" si="68"/>
        <v>138</v>
      </c>
      <c r="J178" s="241">
        <f t="shared" si="68"/>
        <v>138</v>
      </c>
      <c r="K178" s="241">
        <f t="shared" si="68"/>
        <v>138</v>
      </c>
      <c r="L178" s="241">
        <f t="shared" si="68"/>
        <v>138</v>
      </c>
      <c r="M178" s="241">
        <f t="shared" si="68"/>
        <v>138</v>
      </c>
      <c r="N178" s="241">
        <f t="shared" si="68"/>
        <v>138</v>
      </c>
      <c r="O178" s="241">
        <f t="shared" si="68"/>
        <v>138</v>
      </c>
      <c r="P178" s="241">
        <f t="shared" si="68"/>
        <v>138</v>
      </c>
      <c r="Q178" s="241">
        <f t="shared" si="68"/>
        <v>138</v>
      </c>
    </row>
    <row r="179" outlineLevel="1" spans="1:17">
      <c r="A179" s="217">
        <v>44</v>
      </c>
      <c r="B179" s="238" t="s">
        <v>1069</v>
      </c>
      <c r="C179" s="226" t="s">
        <v>109</v>
      </c>
      <c r="D179" s="227">
        <f t="shared" si="49"/>
        <v>138</v>
      </c>
      <c r="E179" s="227" t="s">
        <v>805</v>
      </c>
      <c r="F179" s="242">
        <f>自有人工预算!E12</f>
        <v>138</v>
      </c>
      <c r="G179" s="242">
        <f>自有人工预算!F12</f>
        <v>138</v>
      </c>
      <c r="H179" s="242">
        <f>自有人工预算!G12</f>
        <v>138</v>
      </c>
      <c r="I179" s="242">
        <f>自有人工预算!H12</f>
        <v>138</v>
      </c>
      <c r="J179" s="242">
        <f>自有人工预算!I12</f>
        <v>138</v>
      </c>
      <c r="K179" s="242">
        <f>自有人工预算!J12</f>
        <v>138</v>
      </c>
      <c r="L179" s="242">
        <f>自有人工预算!K12</f>
        <v>138</v>
      </c>
      <c r="M179" s="242">
        <f>自有人工预算!L12</f>
        <v>138</v>
      </c>
      <c r="N179" s="242">
        <f>自有人工预算!M12</f>
        <v>138</v>
      </c>
      <c r="O179" s="242">
        <f>自有人工预算!N12</f>
        <v>138</v>
      </c>
      <c r="P179" s="242">
        <f>自有人工预算!O12</f>
        <v>138</v>
      </c>
      <c r="Q179" s="242">
        <f>自有人工预算!P12</f>
        <v>138</v>
      </c>
    </row>
    <row r="180" outlineLevel="1" spans="1:17">
      <c r="A180" s="217">
        <v>44</v>
      </c>
      <c r="B180" s="238" t="s">
        <v>1069</v>
      </c>
      <c r="C180" s="229" t="s">
        <v>68</v>
      </c>
      <c r="D180" s="230">
        <f t="shared" si="49"/>
        <v>0</v>
      </c>
      <c r="E180" s="230" t="s">
        <v>805</v>
      </c>
      <c r="F180" s="242"/>
      <c r="G180" s="242"/>
      <c r="H180" s="242"/>
      <c r="I180" s="242"/>
      <c r="J180" s="242"/>
      <c r="K180" s="242"/>
      <c r="L180" s="242"/>
      <c r="M180" s="242"/>
      <c r="N180" s="242"/>
      <c r="O180" s="242"/>
      <c r="P180" s="242"/>
      <c r="Q180" s="242"/>
    </row>
    <row r="181" outlineLevel="1" spans="1:17">
      <c r="A181" s="217">
        <v>44</v>
      </c>
      <c r="B181" s="238" t="s">
        <v>1069</v>
      </c>
      <c r="C181" s="232" t="s">
        <v>19</v>
      </c>
      <c r="D181" s="233">
        <f t="shared" si="49"/>
        <v>0</v>
      </c>
      <c r="E181" s="233" t="s">
        <v>805</v>
      </c>
      <c r="F181" s="242"/>
      <c r="G181" s="242"/>
      <c r="H181" s="242"/>
      <c r="I181" s="242"/>
      <c r="J181" s="242"/>
      <c r="K181" s="242"/>
      <c r="L181" s="242"/>
      <c r="M181" s="242"/>
      <c r="N181" s="242"/>
      <c r="O181" s="242"/>
      <c r="P181" s="242"/>
      <c r="Q181" s="242"/>
    </row>
    <row r="182" outlineLevel="1" spans="1:17">
      <c r="A182" s="217">
        <v>45</v>
      </c>
      <c r="B182" s="238" t="s">
        <v>1072</v>
      </c>
      <c r="C182" s="239" t="s">
        <v>745</v>
      </c>
      <c r="D182" s="240">
        <f t="shared" si="49"/>
        <v>0</v>
      </c>
      <c r="E182" s="240" t="s">
        <v>805</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1072</v>
      </c>
      <c r="C183" s="226" t="s">
        <v>109</v>
      </c>
      <c r="D183" s="227">
        <f t="shared" si="49"/>
        <v>0</v>
      </c>
      <c r="E183" s="227" t="s">
        <v>805</v>
      </c>
      <c r="F183" s="242"/>
      <c r="G183" s="242"/>
      <c r="H183" s="242"/>
      <c r="I183" s="242"/>
      <c r="J183" s="242"/>
      <c r="K183" s="242"/>
      <c r="L183" s="242"/>
      <c r="M183" s="242"/>
      <c r="N183" s="242"/>
      <c r="O183" s="242"/>
      <c r="P183" s="242"/>
      <c r="Q183" s="242"/>
    </row>
    <row r="184" outlineLevel="1" spans="1:17">
      <c r="A184" s="217">
        <v>45</v>
      </c>
      <c r="B184" s="238" t="s">
        <v>1072</v>
      </c>
      <c r="C184" s="229" t="s">
        <v>68</v>
      </c>
      <c r="D184" s="230">
        <f t="shared" si="49"/>
        <v>0</v>
      </c>
      <c r="E184" s="230" t="s">
        <v>805</v>
      </c>
      <c r="F184" s="242"/>
      <c r="G184" s="242"/>
      <c r="H184" s="242"/>
      <c r="I184" s="242"/>
      <c r="J184" s="242"/>
      <c r="K184" s="242"/>
      <c r="L184" s="242"/>
      <c r="M184" s="242"/>
      <c r="N184" s="242"/>
      <c r="O184" s="242"/>
      <c r="P184" s="242"/>
      <c r="Q184" s="242"/>
    </row>
    <row r="185" outlineLevel="1" spans="1:17">
      <c r="A185" s="217">
        <v>45</v>
      </c>
      <c r="B185" s="238" t="s">
        <v>1072</v>
      </c>
      <c r="C185" s="232" t="s">
        <v>19</v>
      </c>
      <c r="D185" s="233">
        <f t="shared" si="49"/>
        <v>0</v>
      </c>
      <c r="E185" s="233" t="s">
        <v>805</v>
      </c>
      <c r="F185" s="242"/>
      <c r="G185" s="242"/>
      <c r="H185" s="242"/>
      <c r="I185" s="242"/>
      <c r="J185" s="242"/>
      <c r="K185" s="242"/>
      <c r="L185" s="242"/>
      <c r="M185" s="242"/>
      <c r="N185" s="242"/>
      <c r="O185" s="242"/>
      <c r="P185" s="242"/>
      <c r="Q185" s="242"/>
    </row>
    <row r="186" outlineLevel="1" spans="1:17">
      <c r="A186" s="217">
        <v>46</v>
      </c>
      <c r="B186" s="238" t="s">
        <v>1075</v>
      </c>
      <c r="C186" s="239" t="s">
        <v>745</v>
      </c>
      <c r="D186" s="240">
        <f t="shared" si="49"/>
        <v>0</v>
      </c>
      <c r="E186" s="240" t="s">
        <v>805</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1075</v>
      </c>
      <c r="C187" s="226" t="s">
        <v>109</v>
      </c>
      <c r="D187" s="227">
        <f t="shared" si="49"/>
        <v>0</v>
      </c>
      <c r="E187" s="227" t="s">
        <v>805</v>
      </c>
      <c r="F187" s="242"/>
      <c r="G187" s="242"/>
      <c r="H187" s="242"/>
      <c r="I187" s="242"/>
      <c r="J187" s="242"/>
      <c r="K187" s="242"/>
      <c r="L187" s="242"/>
      <c r="M187" s="242"/>
      <c r="N187" s="242"/>
      <c r="O187" s="242"/>
      <c r="P187" s="242"/>
      <c r="Q187" s="242"/>
    </row>
    <row r="188" outlineLevel="1" spans="1:17">
      <c r="A188" s="217">
        <v>46</v>
      </c>
      <c r="B188" s="238" t="s">
        <v>1075</v>
      </c>
      <c r="C188" s="229" t="s">
        <v>68</v>
      </c>
      <c r="D188" s="230">
        <f t="shared" si="49"/>
        <v>0</v>
      </c>
      <c r="E188" s="230" t="s">
        <v>805</v>
      </c>
      <c r="F188" s="242"/>
      <c r="G188" s="242"/>
      <c r="H188" s="242"/>
      <c r="I188" s="242"/>
      <c r="J188" s="242"/>
      <c r="K188" s="242"/>
      <c r="L188" s="242"/>
      <c r="M188" s="242"/>
      <c r="N188" s="242"/>
      <c r="O188" s="242"/>
      <c r="P188" s="242"/>
      <c r="Q188" s="242"/>
    </row>
    <row r="189" outlineLevel="1" spans="1:17">
      <c r="A189" s="217">
        <v>46</v>
      </c>
      <c r="B189" s="238" t="s">
        <v>1075</v>
      </c>
      <c r="C189" s="232" t="s">
        <v>19</v>
      </c>
      <c r="D189" s="233">
        <f t="shared" si="49"/>
        <v>0</v>
      </c>
      <c r="E189" s="233" t="s">
        <v>805</v>
      </c>
      <c r="F189" s="242"/>
      <c r="G189" s="242"/>
      <c r="H189" s="242"/>
      <c r="I189" s="242"/>
      <c r="J189" s="242"/>
      <c r="K189" s="242"/>
      <c r="L189" s="242"/>
      <c r="M189" s="242"/>
      <c r="N189" s="242"/>
      <c r="O189" s="242"/>
      <c r="P189" s="242"/>
      <c r="Q189" s="242"/>
    </row>
    <row r="190" outlineLevel="1" spans="1:17">
      <c r="A190" s="217">
        <v>47</v>
      </c>
      <c r="B190" s="238" t="s">
        <v>1078</v>
      </c>
      <c r="C190" s="239" t="s">
        <v>745</v>
      </c>
      <c r="D190" s="240">
        <f t="shared" si="49"/>
        <v>0</v>
      </c>
      <c r="E190" s="240" t="s">
        <v>805</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1078</v>
      </c>
      <c r="C191" s="226" t="s">
        <v>109</v>
      </c>
      <c r="D191" s="227">
        <f t="shared" si="49"/>
        <v>0</v>
      </c>
      <c r="E191" s="227" t="s">
        <v>805</v>
      </c>
      <c r="F191" s="242"/>
      <c r="G191" s="242"/>
      <c r="H191" s="242"/>
      <c r="I191" s="242"/>
      <c r="J191" s="242"/>
      <c r="K191" s="242"/>
      <c r="L191" s="242"/>
      <c r="M191" s="242"/>
      <c r="N191" s="242"/>
      <c r="O191" s="242"/>
      <c r="P191" s="242"/>
      <c r="Q191" s="242"/>
    </row>
    <row r="192" outlineLevel="1" spans="1:17">
      <c r="A192" s="217">
        <v>47</v>
      </c>
      <c r="B192" s="238" t="s">
        <v>1078</v>
      </c>
      <c r="C192" s="229" t="s">
        <v>68</v>
      </c>
      <c r="D192" s="230">
        <f t="shared" si="49"/>
        <v>0</v>
      </c>
      <c r="E192" s="230" t="s">
        <v>805</v>
      </c>
      <c r="F192" s="242"/>
      <c r="G192" s="242"/>
      <c r="H192" s="242"/>
      <c r="I192" s="242"/>
      <c r="J192" s="242"/>
      <c r="K192" s="242"/>
      <c r="L192" s="242"/>
      <c r="M192" s="242"/>
      <c r="N192" s="242"/>
      <c r="O192" s="242"/>
      <c r="P192" s="242"/>
      <c r="Q192" s="242"/>
    </row>
    <row r="193" outlineLevel="1" spans="1:17">
      <c r="A193" s="217">
        <v>47</v>
      </c>
      <c r="B193" s="238" t="s">
        <v>1078</v>
      </c>
      <c r="C193" s="232" t="s">
        <v>19</v>
      </c>
      <c r="D193" s="233">
        <f t="shared" si="49"/>
        <v>0</v>
      </c>
      <c r="E193" s="233" t="s">
        <v>805</v>
      </c>
      <c r="F193" s="242"/>
      <c r="G193" s="242"/>
      <c r="H193" s="242"/>
      <c r="I193" s="242"/>
      <c r="J193" s="242"/>
      <c r="K193" s="242"/>
      <c r="L193" s="242"/>
      <c r="M193" s="242"/>
      <c r="N193" s="242"/>
      <c r="O193" s="242"/>
      <c r="P193" s="242"/>
      <c r="Q193" s="242"/>
    </row>
    <row r="194" spans="1:17">
      <c r="A194" s="217">
        <v>48</v>
      </c>
      <c r="B194" s="235" t="s">
        <v>2430</v>
      </c>
      <c r="C194" s="235" t="s">
        <v>745</v>
      </c>
      <c r="D194" s="236">
        <f t="shared" ref="D194:D233" si="72">IFERROR(SUM(F194:Q194)/COUNTIF(F194:Q194,"&lt;&gt;0"),0)</f>
        <v>0</v>
      </c>
      <c r="E194" s="236" t="s">
        <v>805</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2430</v>
      </c>
      <c r="C195" s="226" t="s">
        <v>109</v>
      </c>
      <c r="D195" s="227">
        <f t="shared" si="72"/>
        <v>0</v>
      </c>
      <c r="E195" s="227" t="s">
        <v>805</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2430</v>
      </c>
      <c r="C196" s="229" t="s">
        <v>68</v>
      </c>
      <c r="D196" s="230">
        <f t="shared" si="72"/>
        <v>0</v>
      </c>
      <c r="E196" s="230" t="s">
        <v>805</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2430</v>
      </c>
      <c r="C197" s="232" t="s">
        <v>19</v>
      </c>
      <c r="D197" s="233">
        <f t="shared" si="72"/>
        <v>0</v>
      </c>
      <c r="E197" s="233" t="s">
        <v>805</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1100</v>
      </c>
      <c r="C198" s="239" t="s">
        <v>745</v>
      </c>
      <c r="D198" s="240">
        <f t="shared" si="72"/>
        <v>0</v>
      </c>
      <c r="E198" s="240" t="s">
        <v>805</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1100</v>
      </c>
      <c r="C199" s="226" t="s">
        <v>109</v>
      </c>
      <c r="D199" s="227">
        <f t="shared" si="72"/>
        <v>0</v>
      </c>
      <c r="E199" s="227" t="s">
        <v>805</v>
      </c>
      <c r="F199" s="242"/>
      <c r="G199" s="242"/>
      <c r="H199" s="242"/>
      <c r="I199" s="242"/>
      <c r="J199" s="242"/>
      <c r="K199" s="242"/>
      <c r="L199" s="242"/>
      <c r="M199" s="242"/>
      <c r="N199" s="242"/>
      <c r="O199" s="242"/>
      <c r="P199" s="242"/>
      <c r="Q199" s="242"/>
    </row>
    <row r="200" outlineLevel="1" spans="1:17">
      <c r="A200" s="217">
        <v>49</v>
      </c>
      <c r="B200" s="238" t="s">
        <v>1100</v>
      </c>
      <c r="C200" s="229" t="s">
        <v>68</v>
      </c>
      <c r="D200" s="230">
        <f t="shared" si="72"/>
        <v>0</v>
      </c>
      <c r="E200" s="230" t="s">
        <v>805</v>
      </c>
      <c r="F200" s="242"/>
      <c r="G200" s="242"/>
      <c r="H200" s="242"/>
      <c r="I200" s="242"/>
      <c r="J200" s="242"/>
      <c r="K200" s="242"/>
      <c r="L200" s="242"/>
      <c r="M200" s="242"/>
      <c r="N200" s="242"/>
      <c r="O200" s="242"/>
      <c r="P200" s="242"/>
      <c r="Q200" s="242"/>
    </row>
    <row r="201" outlineLevel="1" spans="1:17">
      <c r="A201" s="217">
        <v>49</v>
      </c>
      <c r="B201" s="238" t="s">
        <v>1100</v>
      </c>
      <c r="C201" s="232" t="s">
        <v>19</v>
      </c>
      <c r="D201" s="233">
        <f t="shared" si="72"/>
        <v>0</v>
      </c>
      <c r="E201" s="233" t="s">
        <v>805</v>
      </c>
      <c r="F201" s="242"/>
      <c r="G201" s="242"/>
      <c r="H201" s="242"/>
      <c r="I201" s="242"/>
      <c r="J201" s="242"/>
      <c r="K201" s="242"/>
      <c r="L201" s="242"/>
      <c r="M201" s="242"/>
      <c r="N201" s="242"/>
      <c r="O201" s="242"/>
      <c r="P201" s="242"/>
      <c r="Q201" s="242"/>
    </row>
    <row r="202" outlineLevel="1" spans="1:17">
      <c r="A202" s="217">
        <v>50</v>
      </c>
      <c r="B202" s="238" t="s">
        <v>1098</v>
      </c>
      <c r="C202" s="239" t="s">
        <v>745</v>
      </c>
      <c r="D202" s="240">
        <f t="shared" si="72"/>
        <v>0</v>
      </c>
      <c r="E202" s="240" t="s">
        <v>805</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1098</v>
      </c>
      <c r="C203" s="226" t="s">
        <v>109</v>
      </c>
      <c r="D203" s="227">
        <f t="shared" si="72"/>
        <v>0</v>
      </c>
      <c r="E203" s="227" t="s">
        <v>805</v>
      </c>
      <c r="F203" s="242"/>
      <c r="G203" s="242"/>
      <c r="H203" s="242"/>
      <c r="I203" s="242"/>
      <c r="J203" s="242"/>
      <c r="K203" s="242"/>
      <c r="L203" s="242"/>
      <c r="M203" s="242"/>
      <c r="N203" s="242"/>
      <c r="O203" s="242"/>
      <c r="P203" s="242"/>
      <c r="Q203" s="242"/>
    </row>
    <row r="204" outlineLevel="1" spans="1:17">
      <c r="A204" s="217">
        <v>50</v>
      </c>
      <c r="B204" s="238" t="s">
        <v>1098</v>
      </c>
      <c r="C204" s="229" t="s">
        <v>68</v>
      </c>
      <c r="D204" s="230">
        <f t="shared" si="72"/>
        <v>0</v>
      </c>
      <c r="E204" s="230" t="s">
        <v>805</v>
      </c>
      <c r="F204" s="242"/>
      <c r="G204" s="242"/>
      <c r="H204" s="242"/>
      <c r="I204" s="242"/>
      <c r="J204" s="242"/>
      <c r="K204" s="242"/>
      <c r="L204" s="242"/>
      <c r="M204" s="242"/>
      <c r="N204" s="242"/>
      <c r="O204" s="242"/>
      <c r="P204" s="242"/>
      <c r="Q204" s="242"/>
    </row>
    <row r="205" outlineLevel="1" spans="1:17">
      <c r="A205" s="217">
        <v>50</v>
      </c>
      <c r="B205" s="238" t="s">
        <v>1098</v>
      </c>
      <c r="C205" s="232" t="s">
        <v>19</v>
      </c>
      <c r="D205" s="233">
        <f t="shared" si="72"/>
        <v>0</v>
      </c>
      <c r="E205" s="233" t="s">
        <v>805</v>
      </c>
      <c r="F205" s="242"/>
      <c r="G205" s="242"/>
      <c r="H205" s="242"/>
      <c r="I205" s="242"/>
      <c r="J205" s="242"/>
      <c r="K205" s="242"/>
      <c r="L205" s="242"/>
      <c r="M205" s="242"/>
      <c r="N205" s="242"/>
      <c r="O205" s="242"/>
      <c r="P205" s="242"/>
      <c r="Q205" s="242"/>
    </row>
    <row r="206" outlineLevel="1" spans="1:17">
      <c r="A206" s="217">
        <v>51</v>
      </c>
      <c r="B206" s="238" t="s">
        <v>1105</v>
      </c>
      <c r="C206" s="239" t="s">
        <v>745</v>
      </c>
      <c r="D206" s="240">
        <f t="shared" si="72"/>
        <v>0</v>
      </c>
      <c r="E206" s="240" t="s">
        <v>805</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1105</v>
      </c>
      <c r="C207" s="226" t="s">
        <v>109</v>
      </c>
      <c r="D207" s="227">
        <f t="shared" si="72"/>
        <v>0</v>
      </c>
      <c r="E207" s="227" t="s">
        <v>805</v>
      </c>
      <c r="F207" s="242"/>
      <c r="G207" s="242"/>
      <c r="H207" s="242"/>
      <c r="I207" s="242"/>
      <c r="J207" s="242"/>
      <c r="K207" s="242"/>
      <c r="L207" s="242"/>
      <c r="M207" s="242"/>
      <c r="N207" s="242"/>
      <c r="O207" s="242"/>
      <c r="P207" s="242"/>
      <c r="Q207" s="242"/>
    </row>
    <row r="208" outlineLevel="1" spans="1:17">
      <c r="A208" s="217">
        <v>51</v>
      </c>
      <c r="B208" s="238" t="s">
        <v>1105</v>
      </c>
      <c r="C208" s="229" t="s">
        <v>68</v>
      </c>
      <c r="D208" s="230">
        <f t="shared" si="72"/>
        <v>0</v>
      </c>
      <c r="E208" s="230" t="s">
        <v>805</v>
      </c>
      <c r="F208" s="242"/>
      <c r="G208" s="242"/>
      <c r="H208" s="242"/>
      <c r="I208" s="242"/>
      <c r="J208" s="242"/>
      <c r="K208" s="242"/>
      <c r="L208" s="242"/>
      <c r="M208" s="242"/>
      <c r="N208" s="242"/>
      <c r="O208" s="242"/>
      <c r="P208" s="242"/>
      <c r="Q208" s="242"/>
    </row>
    <row r="209" outlineLevel="1" spans="1:17">
      <c r="A209" s="217">
        <v>51</v>
      </c>
      <c r="B209" s="238" t="s">
        <v>1105</v>
      </c>
      <c r="C209" s="232" t="s">
        <v>19</v>
      </c>
      <c r="D209" s="233">
        <f t="shared" si="72"/>
        <v>0</v>
      </c>
      <c r="E209" s="233" t="s">
        <v>805</v>
      </c>
      <c r="F209" s="242"/>
      <c r="G209" s="242"/>
      <c r="H209" s="242"/>
      <c r="I209" s="242"/>
      <c r="J209" s="242"/>
      <c r="K209" s="242"/>
      <c r="L209" s="242"/>
      <c r="M209" s="242"/>
      <c r="N209" s="242"/>
      <c r="O209" s="242"/>
      <c r="P209" s="242"/>
      <c r="Q209" s="242"/>
    </row>
    <row r="210" spans="1:17">
      <c r="A210" s="217">
        <v>52</v>
      </c>
      <c r="B210" s="235" t="s">
        <v>1121</v>
      </c>
      <c r="C210" s="235" t="s">
        <v>745</v>
      </c>
      <c r="D210" s="236">
        <f t="shared" si="72"/>
        <v>233</v>
      </c>
      <c r="E210" s="236" t="s">
        <v>805</v>
      </c>
      <c r="F210" s="237">
        <f t="shared" ref="F210:Q210" si="80">F211+F212+F213</f>
        <v>233</v>
      </c>
      <c r="G210" s="237">
        <f t="shared" si="80"/>
        <v>233</v>
      </c>
      <c r="H210" s="237">
        <f t="shared" si="80"/>
        <v>233</v>
      </c>
      <c r="I210" s="237">
        <f t="shared" si="80"/>
        <v>233</v>
      </c>
      <c r="J210" s="237">
        <f t="shared" si="80"/>
        <v>233</v>
      </c>
      <c r="K210" s="237">
        <f t="shared" si="80"/>
        <v>233</v>
      </c>
      <c r="L210" s="237">
        <f t="shared" si="80"/>
        <v>233</v>
      </c>
      <c r="M210" s="237">
        <f t="shared" si="80"/>
        <v>233</v>
      </c>
      <c r="N210" s="237">
        <f t="shared" si="80"/>
        <v>233</v>
      </c>
      <c r="O210" s="237">
        <f t="shared" si="80"/>
        <v>233</v>
      </c>
      <c r="P210" s="237">
        <f t="shared" si="80"/>
        <v>233</v>
      </c>
      <c r="Q210" s="237">
        <f t="shared" si="80"/>
        <v>233</v>
      </c>
    </row>
    <row r="211" spans="1:17">
      <c r="A211" s="217">
        <v>52</v>
      </c>
      <c r="B211" s="235" t="s">
        <v>1121</v>
      </c>
      <c r="C211" s="226" t="s">
        <v>109</v>
      </c>
      <c r="D211" s="227">
        <f t="shared" si="72"/>
        <v>233</v>
      </c>
      <c r="E211" s="227" t="s">
        <v>805</v>
      </c>
      <c r="F211" s="228">
        <f t="shared" ref="F211:F213" si="81">F215+F219+F223+F227+F231</f>
        <v>233</v>
      </c>
      <c r="G211" s="228">
        <f t="shared" ref="G211:Q211" si="82">G215+G219+G223+G227+G231</f>
        <v>233</v>
      </c>
      <c r="H211" s="228">
        <f t="shared" si="82"/>
        <v>233</v>
      </c>
      <c r="I211" s="228">
        <f t="shared" si="82"/>
        <v>233</v>
      </c>
      <c r="J211" s="228">
        <f t="shared" si="82"/>
        <v>233</v>
      </c>
      <c r="K211" s="228">
        <f t="shared" si="82"/>
        <v>233</v>
      </c>
      <c r="L211" s="228">
        <f t="shared" si="82"/>
        <v>233</v>
      </c>
      <c r="M211" s="228">
        <f t="shared" si="82"/>
        <v>233</v>
      </c>
      <c r="N211" s="228">
        <f t="shared" si="82"/>
        <v>233</v>
      </c>
      <c r="O211" s="228">
        <f t="shared" si="82"/>
        <v>233</v>
      </c>
      <c r="P211" s="228">
        <f t="shared" si="82"/>
        <v>233</v>
      </c>
      <c r="Q211" s="228">
        <f t="shared" si="82"/>
        <v>233</v>
      </c>
    </row>
    <row r="212" spans="1:17">
      <c r="A212" s="217">
        <v>52</v>
      </c>
      <c r="B212" s="235" t="s">
        <v>1121</v>
      </c>
      <c r="C212" s="229" t="s">
        <v>68</v>
      </c>
      <c r="D212" s="230">
        <f t="shared" si="72"/>
        <v>0</v>
      </c>
      <c r="E212" s="230" t="s">
        <v>805</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1121</v>
      </c>
      <c r="C213" s="232" t="s">
        <v>19</v>
      </c>
      <c r="D213" s="233">
        <f t="shared" si="72"/>
        <v>0</v>
      </c>
      <c r="E213" s="233" t="s">
        <v>805</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1123</v>
      </c>
      <c r="C214" s="239" t="s">
        <v>745</v>
      </c>
      <c r="D214" s="240">
        <f t="shared" si="72"/>
        <v>233</v>
      </c>
      <c r="E214" s="239" t="s">
        <v>805</v>
      </c>
      <c r="F214" s="243">
        <f t="shared" ref="F214:Q214" si="85">F215+F216+F217</f>
        <v>233</v>
      </c>
      <c r="G214" s="243">
        <f t="shared" si="85"/>
        <v>233</v>
      </c>
      <c r="H214" s="243">
        <f t="shared" si="85"/>
        <v>233</v>
      </c>
      <c r="I214" s="243">
        <f t="shared" si="85"/>
        <v>233</v>
      </c>
      <c r="J214" s="243">
        <f t="shared" si="85"/>
        <v>233</v>
      </c>
      <c r="K214" s="243">
        <f t="shared" si="85"/>
        <v>233</v>
      </c>
      <c r="L214" s="243">
        <f t="shared" si="85"/>
        <v>233</v>
      </c>
      <c r="M214" s="243">
        <f t="shared" si="85"/>
        <v>233</v>
      </c>
      <c r="N214" s="243">
        <f t="shared" si="85"/>
        <v>233</v>
      </c>
      <c r="O214" s="243">
        <f t="shared" si="85"/>
        <v>233</v>
      </c>
      <c r="P214" s="243">
        <f t="shared" si="85"/>
        <v>233</v>
      </c>
      <c r="Q214" s="243">
        <f t="shared" si="85"/>
        <v>233</v>
      </c>
    </row>
    <row r="215" outlineLevel="1" spans="1:17">
      <c r="A215" s="217">
        <v>53</v>
      </c>
      <c r="B215" s="238" t="s">
        <v>1123</v>
      </c>
      <c r="C215" s="226" t="s">
        <v>109</v>
      </c>
      <c r="D215" s="227">
        <f t="shared" si="72"/>
        <v>233</v>
      </c>
      <c r="E215" s="226" t="s">
        <v>805</v>
      </c>
      <c r="F215" s="244">
        <f>自有人工预算!E14</f>
        <v>233</v>
      </c>
      <c r="G215" s="244">
        <f>自有人工预算!F14</f>
        <v>233</v>
      </c>
      <c r="H215" s="244">
        <f>自有人工预算!G14</f>
        <v>233</v>
      </c>
      <c r="I215" s="244">
        <f>自有人工预算!H14</f>
        <v>233</v>
      </c>
      <c r="J215" s="244">
        <f>自有人工预算!I14</f>
        <v>233</v>
      </c>
      <c r="K215" s="244">
        <f>自有人工预算!J14</f>
        <v>233</v>
      </c>
      <c r="L215" s="244">
        <f>自有人工预算!K14</f>
        <v>233</v>
      </c>
      <c r="M215" s="244">
        <f>自有人工预算!L14</f>
        <v>233</v>
      </c>
      <c r="N215" s="244">
        <f>自有人工预算!M14</f>
        <v>233</v>
      </c>
      <c r="O215" s="244">
        <f>自有人工预算!N14</f>
        <v>233</v>
      </c>
      <c r="P215" s="244">
        <f>自有人工预算!O14</f>
        <v>233</v>
      </c>
      <c r="Q215" s="244">
        <f>自有人工预算!P14</f>
        <v>233</v>
      </c>
    </row>
    <row r="216" outlineLevel="1" spans="1:17">
      <c r="A216" s="217">
        <v>53</v>
      </c>
      <c r="B216" s="238" t="s">
        <v>1123</v>
      </c>
      <c r="C216" s="229" t="s">
        <v>68</v>
      </c>
      <c r="D216" s="230">
        <f t="shared" si="72"/>
        <v>0</v>
      </c>
      <c r="E216" s="229" t="s">
        <v>805</v>
      </c>
      <c r="F216" s="244"/>
      <c r="G216" s="244"/>
      <c r="H216" s="244"/>
      <c r="I216" s="244"/>
      <c r="J216" s="244"/>
      <c r="K216" s="244"/>
      <c r="L216" s="244"/>
      <c r="M216" s="244"/>
      <c r="N216" s="244"/>
      <c r="O216" s="244"/>
      <c r="P216" s="244"/>
      <c r="Q216" s="244"/>
    </row>
    <row r="217" outlineLevel="1" spans="1:17">
      <c r="A217" s="217">
        <v>53</v>
      </c>
      <c r="B217" s="238" t="s">
        <v>1123</v>
      </c>
      <c r="C217" s="232" t="s">
        <v>19</v>
      </c>
      <c r="D217" s="233">
        <f t="shared" si="72"/>
        <v>0</v>
      </c>
      <c r="E217" s="232" t="s">
        <v>805</v>
      </c>
      <c r="F217" s="244"/>
      <c r="G217" s="244"/>
      <c r="H217" s="244"/>
      <c r="I217" s="244"/>
      <c r="J217" s="244"/>
      <c r="K217" s="244"/>
      <c r="L217" s="244"/>
      <c r="M217" s="244"/>
      <c r="N217" s="244"/>
      <c r="O217" s="244"/>
      <c r="P217" s="244"/>
      <c r="Q217" s="244"/>
    </row>
    <row r="218" outlineLevel="1" spans="1:17">
      <c r="A218" s="217">
        <v>54</v>
      </c>
      <c r="B218" s="238" t="s">
        <v>1126</v>
      </c>
      <c r="C218" s="239" t="s">
        <v>745</v>
      </c>
      <c r="D218" s="240">
        <f t="shared" si="72"/>
        <v>0</v>
      </c>
      <c r="E218" s="239" t="s">
        <v>805</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1126</v>
      </c>
      <c r="C219" s="226" t="s">
        <v>109</v>
      </c>
      <c r="D219" s="227">
        <f t="shared" si="72"/>
        <v>0</v>
      </c>
      <c r="E219" s="226" t="s">
        <v>805</v>
      </c>
      <c r="F219" s="244"/>
      <c r="G219" s="244"/>
      <c r="H219" s="244"/>
      <c r="I219" s="244"/>
      <c r="J219" s="244"/>
      <c r="K219" s="244"/>
      <c r="L219" s="244"/>
      <c r="M219" s="244"/>
      <c r="N219" s="244"/>
      <c r="O219" s="244"/>
      <c r="P219" s="244"/>
      <c r="Q219" s="244"/>
    </row>
    <row r="220" outlineLevel="1" spans="1:17">
      <c r="A220" s="217">
        <v>54</v>
      </c>
      <c r="B220" s="238" t="s">
        <v>1126</v>
      </c>
      <c r="C220" s="229" t="s">
        <v>68</v>
      </c>
      <c r="D220" s="230">
        <f t="shared" si="72"/>
        <v>0</v>
      </c>
      <c r="E220" s="229" t="s">
        <v>805</v>
      </c>
      <c r="F220" s="244"/>
      <c r="G220" s="244"/>
      <c r="H220" s="244"/>
      <c r="I220" s="244"/>
      <c r="J220" s="244"/>
      <c r="K220" s="244"/>
      <c r="L220" s="244"/>
      <c r="M220" s="244"/>
      <c r="N220" s="244"/>
      <c r="O220" s="244"/>
      <c r="P220" s="244"/>
      <c r="Q220" s="244"/>
    </row>
    <row r="221" outlineLevel="1" spans="1:17">
      <c r="A221" s="217">
        <v>54</v>
      </c>
      <c r="B221" s="238" t="s">
        <v>1126</v>
      </c>
      <c r="C221" s="232" t="s">
        <v>19</v>
      </c>
      <c r="D221" s="233">
        <f t="shared" si="72"/>
        <v>0</v>
      </c>
      <c r="E221" s="232" t="s">
        <v>805</v>
      </c>
      <c r="F221" s="244"/>
      <c r="G221" s="244"/>
      <c r="H221" s="244"/>
      <c r="I221" s="244"/>
      <c r="J221" s="244"/>
      <c r="K221" s="244"/>
      <c r="L221" s="244"/>
      <c r="M221" s="244"/>
      <c r="N221" s="244"/>
      <c r="O221" s="244"/>
      <c r="P221" s="244"/>
      <c r="Q221" s="244"/>
    </row>
    <row r="222" outlineLevel="1" spans="1:17">
      <c r="A222" s="217">
        <v>55</v>
      </c>
      <c r="B222" s="238" t="s">
        <v>1128</v>
      </c>
      <c r="C222" s="239" t="s">
        <v>745</v>
      </c>
      <c r="D222" s="240">
        <f t="shared" si="72"/>
        <v>0</v>
      </c>
      <c r="E222" s="239" t="s">
        <v>805</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1128</v>
      </c>
      <c r="C223" s="226" t="s">
        <v>109</v>
      </c>
      <c r="D223" s="227">
        <f t="shared" si="72"/>
        <v>0</v>
      </c>
      <c r="E223" s="226" t="s">
        <v>805</v>
      </c>
      <c r="F223" s="244"/>
      <c r="G223" s="244"/>
      <c r="H223" s="244"/>
      <c r="I223" s="244"/>
      <c r="J223" s="244"/>
      <c r="K223" s="244"/>
      <c r="L223" s="244"/>
      <c r="M223" s="244"/>
      <c r="N223" s="244"/>
      <c r="O223" s="244"/>
      <c r="P223" s="244"/>
      <c r="Q223" s="244"/>
    </row>
    <row r="224" outlineLevel="1" spans="1:17">
      <c r="A224" s="217">
        <v>55</v>
      </c>
      <c r="B224" s="238" t="s">
        <v>1128</v>
      </c>
      <c r="C224" s="229" t="s">
        <v>68</v>
      </c>
      <c r="D224" s="230">
        <f t="shared" si="72"/>
        <v>0</v>
      </c>
      <c r="E224" s="229" t="s">
        <v>805</v>
      </c>
      <c r="F224" s="244"/>
      <c r="G224" s="244"/>
      <c r="H224" s="244"/>
      <c r="I224" s="244"/>
      <c r="J224" s="244"/>
      <c r="K224" s="244"/>
      <c r="L224" s="244"/>
      <c r="M224" s="244"/>
      <c r="N224" s="244"/>
      <c r="O224" s="244"/>
      <c r="P224" s="244"/>
      <c r="Q224" s="244"/>
    </row>
    <row r="225" outlineLevel="1" spans="1:17">
      <c r="A225" s="217">
        <v>55</v>
      </c>
      <c r="B225" s="238" t="s">
        <v>1128</v>
      </c>
      <c r="C225" s="232" t="s">
        <v>19</v>
      </c>
      <c r="D225" s="233">
        <f t="shared" si="72"/>
        <v>0</v>
      </c>
      <c r="E225" s="232" t="s">
        <v>805</v>
      </c>
      <c r="F225" s="244"/>
      <c r="G225" s="244"/>
      <c r="H225" s="244"/>
      <c r="I225" s="244"/>
      <c r="J225" s="244"/>
      <c r="K225" s="244"/>
      <c r="L225" s="244"/>
      <c r="M225" s="244"/>
      <c r="N225" s="244"/>
      <c r="O225" s="244"/>
      <c r="P225" s="244"/>
      <c r="Q225" s="244"/>
    </row>
    <row r="226" outlineLevel="1" spans="1:17">
      <c r="A226" s="217">
        <v>56</v>
      </c>
      <c r="B226" s="238" t="s">
        <v>1130</v>
      </c>
      <c r="C226" s="239" t="s">
        <v>745</v>
      </c>
      <c r="D226" s="240">
        <f t="shared" si="72"/>
        <v>0</v>
      </c>
      <c r="E226" s="239" t="s">
        <v>805</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1130</v>
      </c>
      <c r="C227" s="226" t="s">
        <v>109</v>
      </c>
      <c r="D227" s="227">
        <f t="shared" si="72"/>
        <v>0</v>
      </c>
      <c r="E227" s="226" t="s">
        <v>805</v>
      </c>
      <c r="F227" s="244"/>
      <c r="G227" s="244"/>
      <c r="H227" s="244"/>
      <c r="I227" s="244"/>
      <c r="J227" s="244"/>
      <c r="K227" s="244"/>
      <c r="L227" s="244"/>
      <c r="M227" s="244"/>
      <c r="N227" s="244"/>
      <c r="O227" s="244"/>
      <c r="P227" s="244"/>
      <c r="Q227" s="244"/>
    </row>
    <row r="228" outlineLevel="1" spans="1:17">
      <c r="A228" s="217">
        <v>56</v>
      </c>
      <c r="B228" s="238" t="s">
        <v>1130</v>
      </c>
      <c r="C228" s="229" t="s">
        <v>68</v>
      </c>
      <c r="D228" s="230">
        <f t="shared" si="72"/>
        <v>0</v>
      </c>
      <c r="E228" s="229" t="s">
        <v>805</v>
      </c>
      <c r="F228" s="244"/>
      <c r="G228" s="244"/>
      <c r="H228" s="244"/>
      <c r="I228" s="244"/>
      <c r="J228" s="244"/>
      <c r="K228" s="244"/>
      <c r="L228" s="244"/>
      <c r="M228" s="244"/>
      <c r="N228" s="244"/>
      <c r="O228" s="244"/>
      <c r="P228" s="244"/>
      <c r="Q228" s="244"/>
    </row>
    <row r="229" outlineLevel="1" spans="1:17">
      <c r="A229" s="217">
        <v>56</v>
      </c>
      <c r="B229" s="238" t="s">
        <v>1130</v>
      </c>
      <c r="C229" s="232" t="s">
        <v>19</v>
      </c>
      <c r="D229" s="233">
        <f t="shared" si="72"/>
        <v>0</v>
      </c>
      <c r="E229" s="232" t="s">
        <v>805</v>
      </c>
      <c r="F229" s="244"/>
      <c r="G229" s="244"/>
      <c r="H229" s="244"/>
      <c r="I229" s="244"/>
      <c r="J229" s="244"/>
      <c r="K229" s="244"/>
      <c r="L229" s="244"/>
      <c r="M229" s="244"/>
      <c r="N229" s="244"/>
      <c r="O229" s="244"/>
      <c r="P229" s="244"/>
      <c r="Q229" s="244"/>
    </row>
    <row r="230" outlineLevel="1" spans="1:17">
      <c r="A230" s="217">
        <v>57</v>
      </c>
      <c r="B230" s="238" t="s">
        <v>1132</v>
      </c>
      <c r="C230" s="239" t="s">
        <v>745</v>
      </c>
      <c r="D230" s="240">
        <f t="shared" si="72"/>
        <v>0</v>
      </c>
      <c r="E230" s="239" t="s">
        <v>805</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1132</v>
      </c>
      <c r="C231" s="226" t="s">
        <v>109</v>
      </c>
      <c r="D231" s="227">
        <f t="shared" si="72"/>
        <v>0</v>
      </c>
      <c r="E231" s="226" t="s">
        <v>805</v>
      </c>
      <c r="F231" s="244"/>
      <c r="G231" s="244"/>
      <c r="H231" s="244"/>
      <c r="I231" s="244"/>
      <c r="J231" s="244"/>
      <c r="K231" s="244"/>
      <c r="L231" s="244"/>
      <c r="M231" s="244"/>
      <c r="N231" s="244"/>
      <c r="O231" s="244"/>
      <c r="P231" s="244"/>
      <c r="Q231" s="244"/>
    </row>
    <row r="232" outlineLevel="1" spans="1:17">
      <c r="A232" s="217">
        <v>57</v>
      </c>
      <c r="B232" s="238" t="s">
        <v>1132</v>
      </c>
      <c r="C232" s="229" t="s">
        <v>68</v>
      </c>
      <c r="D232" s="230">
        <f t="shared" si="72"/>
        <v>0</v>
      </c>
      <c r="E232" s="229" t="s">
        <v>805</v>
      </c>
      <c r="F232" s="244"/>
      <c r="G232" s="244"/>
      <c r="H232" s="244"/>
      <c r="I232" s="244"/>
      <c r="J232" s="244"/>
      <c r="K232" s="244"/>
      <c r="L232" s="244"/>
      <c r="M232" s="244"/>
      <c r="N232" s="244"/>
      <c r="O232" s="244"/>
      <c r="P232" s="244"/>
      <c r="Q232" s="244"/>
    </row>
    <row r="233" outlineLevel="1" spans="1:17">
      <c r="A233" s="217">
        <v>57</v>
      </c>
      <c r="B233" s="238" t="s">
        <v>1132</v>
      </c>
      <c r="C233" s="232" t="s">
        <v>19</v>
      </c>
      <c r="D233" s="233">
        <f t="shared" si="72"/>
        <v>0</v>
      </c>
      <c r="E233" s="232" t="s">
        <v>805</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5" t="s">
        <v>781</v>
      </c>
      <c r="C3" s="215" t="s">
        <v>2420</v>
      </c>
      <c r="D3" s="215" t="s">
        <v>2422</v>
      </c>
    </row>
    <row r="4" spans="2:4">
      <c r="B4" t="s">
        <v>1851</v>
      </c>
      <c r="C4" t="s">
        <v>2421</v>
      </c>
      <c r="D4" t="s">
        <v>2423</v>
      </c>
    </row>
    <row r="5" spans="2:4">
      <c r="B5" t="s">
        <v>943</v>
      </c>
      <c r="C5" t="s">
        <v>2431</v>
      </c>
      <c r="D5" t="s">
        <v>2432</v>
      </c>
    </row>
    <row r="6" spans="2:4">
      <c r="B6" s="216"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4" t="s">
        <v>1653</v>
      </c>
      <c r="C2" s="174" t="s">
        <v>2439</v>
      </c>
      <c r="D2" s="175">
        <v>150</v>
      </c>
      <c r="E2" s="176"/>
    </row>
    <row r="3" ht="16.5" spans="2:5">
      <c r="B3" s="174" t="s">
        <v>1656</v>
      </c>
      <c r="C3" s="174" t="s">
        <v>2439</v>
      </c>
      <c r="D3" s="175">
        <v>610</v>
      </c>
      <c r="E3" s="176"/>
    </row>
    <row r="4" ht="16.5" spans="2:5">
      <c r="B4" s="174" t="s">
        <v>1659</v>
      </c>
      <c r="C4" s="174" t="s">
        <v>2439</v>
      </c>
      <c r="D4" s="175">
        <v>270</v>
      </c>
      <c r="E4" s="176"/>
    </row>
    <row r="5" ht="16.5" spans="2:5">
      <c r="B5" s="174" t="s">
        <v>1661</v>
      </c>
      <c r="C5" s="174" t="s">
        <v>2439</v>
      </c>
      <c r="D5" s="175">
        <v>600</v>
      </c>
      <c r="E5" s="176"/>
    </row>
    <row r="6" ht="16.5" spans="2:5">
      <c r="B6" s="174" t="s">
        <v>1663</v>
      </c>
      <c r="C6" s="174" t="s">
        <v>2439</v>
      </c>
      <c r="D6" s="175">
        <v>150</v>
      </c>
      <c r="E6" s="176"/>
    </row>
    <row r="7" ht="16.5" spans="2:5">
      <c r="B7" s="174" t="s">
        <v>1665</v>
      </c>
      <c r="C7" s="174" t="s">
        <v>2439</v>
      </c>
      <c r="D7" s="175">
        <v>380</v>
      </c>
      <c r="E7" s="176"/>
    </row>
    <row r="8" ht="16.5" spans="2:5">
      <c r="B8" s="174" t="s">
        <v>1667</v>
      </c>
      <c r="C8" s="174" t="s">
        <v>2439</v>
      </c>
      <c r="D8" s="175">
        <v>150</v>
      </c>
      <c r="E8" s="176"/>
    </row>
    <row r="9" ht="16.5" spans="2:5">
      <c r="B9" s="174" t="s">
        <v>1653</v>
      </c>
      <c r="C9" s="174" t="s">
        <v>2440</v>
      </c>
      <c r="D9" s="175">
        <v>250</v>
      </c>
      <c r="E9" s="176"/>
    </row>
    <row r="10" ht="16.5" spans="2:5">
      <c r="B10" s="174" t="s">
        <v>1656</v>
      </c>
      <c r="C10" s="174" t="s">
        <v>2440</v>
      </c>
      <c r="D10" s="175">
        <v>910</v>
      </c>
      <c r="E10" s="176"/>
    </row>
    <row r="11" ht="16.5" spans="2:5">
      <c r="B11" s="174" t="s">
        <v>1659</v>
      </c>
      <c r="C11" s="174" t="s">
        <v>2440</v>
      </c>
      <c r="D11" s="175">
        <v>260</v>
      </c>
      <c r="E11" s="176"/>
    </row>
    <row r="12" ht="16.5" spans="2:5">
      <c r="B12" s="174" t="s">
        <v>1661</v>
      </c>
      <c r="C12" s="174" t="s">
        <v>2440</v>
      </c>
      <c r="D12" s="175">
        <v>1012</v>
      </c>
      <c r="E12" s="176"/>
    </row>
    <row r="13" ht="16.5" spans="2:5">
      <c r="B13" s="174" t="s">
        <v>1663</v>
      </c>
      <c r="C13" s="174" t="s">
        <v>2440</v>
      </c>
      <c r="D13" s="175">
        <v>150</v>
      </c>
      <c r="E13" s="176"/>
    </row>
    <row r="14" ht="16.5" spans="2:5">
      <c r="B14" s="174" t="s">
        <v>1665</v>
      </c>
      <c r="C14" s="174" t="s">
        <v>2440</v>
      </c>
      <c r="D14" s="175">
        <v>380</v>
      </c>
      <c r="E14" s="176"/>
    </row>
    <row r="15" ht="16.5" spans="2:5">
      <c r="B15" s="174" t="s">
        <v>1667</v>
      </c>
      <c r="C15" s="174" t="s">
        <v>2440</v>
      </c>
      <c r="D15" s="175">
        <v>150</v>
      </c>
      <c r="E15" s="176"/>
    </row>
    <row r="16" ht="16.5" spans="2:5">
      <c r="B16" s="174" t="s">
        <v>1653</v>
      </c>
      <c r="C16" s="174" t="s">
        <v>2441</v>
      </c>
      <c r="D16" s="175">
        <v>250</v>
      </c>
      <c r="E16" s="176"/>
    </row>
    <row r="17" ht="16.5" spans="2:5">
      <c r="B17" s="174" t="s">
        <v>1656</v>
      </c>
      <c r="C17" s="174" t="s">
        <v>2441</v>
      </c>
      <c r="D17" s="175">
        <v>960</v>
      </c>
      <c r="E17" s="176"/>
    </row>
    <row r="18" ht="16.5" spans="2:5">
      <c r="B18" s="174" t="s">
        <v>1659</v>
      </c>
      <c r="C18" s="174" t="s">
        <v>2441</v>
      </c>
      <c r="D18" s="175">
        <v>260</v>
      </c>
      <c r="E18" s="176"/>
    </row>
    <row r="19" ht="16.5" spans="2:5">
      <c r="B19" s="174" t="s">
        <v>1661</v>
      </c>
      <c r="C19" s="174" t="s">
        <v>2441</v>
      </c>
      <c r="D19" s="175">
        <v>1012</v>
      </c>
      <c r="E19" s="176"/>
    </row>
    <row r="20" ht="16.5" spans="2:5">
      <c r="B20" s="174" t="s">
        <v>1663</v>
      </c>
      <c r="C20" s="174" t="s">
        <v>2441</v>
      </c>
      <c r="D20" s="175">
        <v>150</v>
      </c>
      <c r="E20" s="176"/>
    </row>
    <row r="21" ht="16.5" spans="2:5">
      <c r="B21" s="174" t="s">
        <v>1665</v>
      </c>
      <c r="C21" s="174" t="s">
        <v>2441</v>
      </c>
      <c r="D21" s="175">
        <v>380</v>
      </c>
      <c r="E21" s="176"/>
    </row>
    <row r="22" ht="16.5" spans="2:5">
      <c r="B22" s="174" t="s">
        <v>1667</v>
      </c>
      <c r="C22" s="174" t="s">
        <v>2441</v>
      </c>
      <c r="D22" s="175">
        <v>150</v>
      </c>
      <c r="E22" s="176"/>
    </row>
    <row r="26" ht="112.5" spans="2:131">
      <c r="B26" s="177" t="s">
        <v>2442</v>
      </c>
      <c r="C26" s="178" t="s">
        <v>2443</v>
      </c>
      <c r="D26" s="177" t="s">
        <v>2444</v>
      </c>
      <c r="E26" s="177"/>
      <c r="F26" s="179" t="s">
        <v>2421</v>
      </c>
      <c r="G26" s="179" t="s">
        <v>2421</v>
      </c>
      <c r="H26" s="179" t="s">
        <v>2421</v>
      </c>
      <c r="I26" s="179" t="s">
        <v>2421</v>
      </c>
      <c r="J26" s="179" t="s">
        <v>2421</v>
      </c>
      <c r="K26" s="179" t="s">
        <v>2421</v>
      </c>
      <c r="L26" s="179" t="s">
        <v>2421</v>
      </c>
      <c r="M26" s="179" t="s">
        <v>2421</v>
      </c>
      <c r="N26" s="179" t="s">
        <v>2421</v>
      </c>
      <c r="O26" s="179" t="s">
        <v>2421</v>
      </c>
      <c r="P26" s="179" t="s">
        <v>2421</v>
      </c>
      <c r="Q26" s="179" t="s">
        <v>2421</v>
      </c>
      <c r="R26" s="179" t="s">
        <v>2421</v>
      </c>
      <c r="S26" s="179" t="s">
        <v>2421</v>
      </c>
      <c r="T26" s="179" t="s">
        <v>2421</v>
      </c>
      <c r="U26" s="179" t="s">
        <v>2421</v>
      </c>
      <c r="V26" s="179" t="s">
        <v>2421</v>
      </c>
      <c r="W26" s="179" t="s">
        <v>2421</v>
      </c>
      <c r="X26" s="179" t="s">
        <v>2421</v>
      </c>
      <c r="Y26" s="179" t="s">
        <v>2421</v>
      </c>
      <c r="Z26" s="179" t="s">
        <v>2421</v>
      </c>
      <c r="AA26" s="179" t="s">
        <v>2431</v>
      </c>
      <c r="AB26" s="179" t="s">
        <v>2431</v>
      </c>
      <c r="AC26" s="179" t="s">
        <v>2431</v>
      </c>
      <c r="AD26" s="179" t="s">
        <v>2431</v>
      </c>
      <c r="AE26" s="179" t="s">
        <v>2431</v>
      </c>
      <c r="AF26" s="179" t="s">
        <v>2431</v>
      </c>
      <c r="AG26" s="179" t="s">
        <v>2431</v>
      </c>
      <c r="AH26" s="179" t="s">
        <v>2431</v>
      </c>
      <c r="AI26" s="179" t="s">
        <v>2431</v>
      </c>
      <c r="AJ26" s="179" t="s">
        <v>2431</v>
      </c>
      <c r="AK26" s="179" t="s">
        <v>2431</v>
      </c>
      <c r="AL26" s="179" t="s">
        <v>2431</v>
      </c>
      <c r="AM26" s="179" t="s">
        <v>2431</v>
      </c>
      <c r="AN26" s="179" t="s">
        <v>2431</v>
      </c>
      <c r="AO26" s="179" t="s">
        <v>2431</v>
      </c>
      <c r="AP26" s="179" t="s">
        <v>2431</v>
      </c>
      <c r="AQ26" s="179" t="s">
        <v>2431</v>
      </c>
      <c r="AR26" s="179" t="s">
        <v>2431</v>
      </c>
      <c r="AS26" s="179" t="s">
        <v>2431</v>
      </c>
      <c r="AT26" s="179" t="s">
        <v>2431</v>
      </c>
      <c r="AU26" s="179" t="s">
        <v>2431</v>
      </c>
      <c r="AV26" s="179" t="s">
        <v>2433</v>
      </c>
      <c r="AW26" s="179" t="s">
        <v>2433</v>
      </c>
      <c r="AX26" s="179" t="s">
        <v>2433</v>
      </c>
      <c r="AY26" s="179" t="s">
        <v>2433</v>
      </c>
      <c r="AZ26" s="179" t="s">
        <v>2433</v>
      </c>
      <c r="BA26" s="179" t="s">
        <v>2433</v>
      </c>
      <c r="BB26" s="179" t="s">
        <v>2433</v>
      </c>
      <c r="BC26" s="179" t="s">
        <v>2433</v>
      </c>
      <c r="BD26" s="179" t="s">
        <v>2433</v>
      </c>
      <c r="BE26" s="179" t="s">
        <v>2433</v>
      </c>
      <c r="BF26" s="179" t="s">
        <v>2433</v>
      </c>
      <c r="BG26" s="179" t="s">
        <v>2433</v>
      </c>
      <c r="BH26" s="179" t="s">
        <v>2433</v>
      </c>
      <c r="BI26" s="179" t="s">
        <v>2433</v>
      </c>
      <c r="BJ26" s="179" t="s">
        <v>2433</v>
      </c>
      <c r="BK26" s="179" t="s">
        <v>2433</v>
      </c>
      <c r="BL26" s="179" t="s">
        <v>2433</v>
      </c>
      <c r="BM26" s="179" t="s">
        <v>2433</v>
      </c>
      <c r="BN26" s="179" t="s">
        <v>2433</v>
      </c>
      <c r="BO26" s="179" t="s">
        <v>2433</v>
      </c>
      <c r="BP26" s="179" t="s">
        <v>2433</v>
      </c>
      <c r="BQ26" s="179" t="s">
        <v>2421</v>
      </c>
      <c r="BR26" s="179" t="s">
        <v>2421</v>
      </c>
      <c r="BS26" s="179" t="s">
        <v>2421</v>
      </c>
      <c r="BT26" s="179" t="s">
        <v>2421</v>
      </c>
      <c r="BU26" s="179" t="s">
        <v>2421</v>
      </c>
      <c r="BV26" s="179" t="s">
        <v>2421</v>
      </c>
      <c r="BW26" s="179" t="s">
        <v>2421</v>
      </c>
      <c r="BX26" s="179" t="s">
        <v>2421</v>
      </c>
      <c r="BY26" s="179" t="s">
        <v>2421</v>
      </c>
      <c r="BZ26" s="179" t="s">
        <v>2421</v>
      </c>
      <c r="CA26" s="179" t="s">
        <v>2421</v>
      </c>
      <c r="CB26" s="179" t="s">
        <v>2421</v>
      </c>
      <c r="CC26" s="179" t="s">
        <v>2421</v>
      </c>
      <c r="CD26" s="179" t="s">
        <v>2421</v>
      </c>
      <c r="CE26" s="179" t="s">
        <v>2421</v>
      </c>
      <c r="CF26" s="179" t="s">
        <v>2421</v>
      </c>
      <c r="CG26" s="179" t="s">
        <v>2421</v>
      </c>
      <c r="CH26" s="179" t="s">
        <v>2421</v>
      </c>
      <c r="CI26" s="179" t="s">
        <v>2421</v>
      </c>
      <c r="CJ26" s="179" t="s">
        <v>2421</v>
      </c>
      <c r="CK26" s="179" t="s">
        <v>2421</v>
      </c>
      <c r="CL26" s="179" t="s">
        <v>2431</v>
      </c>
      <c r="CM26" s="179" t="s">
        <v>2431</v>
      </c>
      <c r="CN26" s="179" t="s">
        <v>2431</v>
      </c>
      <c r="CO26" s="179" t="s">
        <v>2431</v>
      </c>
      <c r="CP26" s="179" t="s">
        <v>2431</v>
      </c>
      <c r="CQ26" s="179" t="s">
        <v>2431</v>
      </c>
      <c r="CR26" s="179" t="s">
        <v>2431</v>
      </c>
      <c r="CS26" s="179" t="s">
        <v>2431</v>
      </c>
      <c r="CT26" s="179" t="s">
        <v>2431</v>
      </c>
      <c r="CU26" s="179" t="s">
        <v>2431</v>
      </c>
      <c r="CV26" s="179" t="s">
        <v>2431</v>
      </c>
      <c r="CW26" s="179" t="s">
        <v>2431</v>
      </c>
      <c r="CX26" s="179" t="s">
        <v>2431</v>
      </c>
      <c r="CY26" s="179" t="s">
        <v>2431</v>
      </c>
      <c r="CZ26" s="179" t="s">
        <v>2431</v>
      </c>
      <c r="DA26" s="179" t="s">
        <v>2431</v>
      </c>
      <c r="DB26" s="179" t="s">
        <v>2431</v>
      </c>
      <c r="DC26" s="179" t="s">
        <v>2431</v>
      </c>
      <c r="DD26" s="179" t="s">
        <v>2431</v>
      </c>
      <c r="DE26" s="179" t="s">
        <v>2431</v>
      </c>
      <c r="DF26" s="179" t="s">
        <v>2431</v>
      </c>
      <c r="DG26" s="179" t="s">
        <v>2433</v>
      </c>
      <c r="DH26" s="179" t="s">
        <v>2433</v>
      </c>
      <c r="DI26" s="179" t="s">
        <v>2433</v>
      </c>
      <c r="DJ26" s="179" t="s">
        <v>2433</v>
      </c>
      <c r="DK26" s="179" t="s">
        <v>2433</v>
      </c>
      <c r="DL26" s="179" t="s">
        <v>2433</v>
      </c>
      <c r="DM26" s="179" t="s">
        <v>2433</v>
      </c>
      <c r="DN26" s="179" t="s">
        <v>2433</v>
      </c>
      <c r="DO26" s="179" t="s">
        <v>2433</v>
      </c>
      <c r="DP26" s="179" t="s">
        <v>2433</v>
      </c>
      <c r="DQ26" s="179" t="s">
        <v>2433</v>
      </c>
      <c r="DR26" s="179" t="s">
        <v>2433</v>
      </c>
      <c r="DS26" s="179" t="s">
        <v>2433</v>
      </c>
      <c r="DT26" s="179" t="s">
        <v>2433</v>
      </c>
      <c r="DU26" s="179" t="s">
        <v>2433</v>
      </c>
      <c r="DV26" s="179" t="s">
        <v>2433</v>
      </c>
      <c r="DW26" s="179" t="s">
        <v>2433</v>
      </c>
      <c r="DX26" s="179" t="s">
        <v>2433</v>
      </c>
      <c r="DY26" s="179" t="s">
        <v>2433</v>
      </c>
      <c r="DZ26" s="179" t="s">
        <v>2433</v>
      </c>
      <c r="EA26" s="179" t="s">
        <v>2433</v>
      </c>
    </row>
    <row r="27" ht="37.5" spans="2:131">
      <c r="B27" s="177"/>
      <c r="C27" s="180"/>
      <c r="D27" s="177"/>
      <c r="E27" s="177"/>
      <c r="F27" s="179" t="s">
        <v>2445</v>
      </c>
      <c r="G27" s="179" t="s">
        <v>2445</v>
      </c>
      <c r="H27" s="179" t="s">
        <v>2445</v>
      </c>
      <c r="I27" s="179" t="s">
        <v>2445</v>
      </c>
      <c r="J27" s="179" t="s">
        <v>2445</v>
      </c>
      <c r="K27" s="179" t="s">
        <v>2445</v>
      </c>
      <c r="L27" s="179" t="s">
        <v>2445</v>
      </c>
      <c r="M27" s="179" t="s">
        <v>2446</v>
      </c>
      <c r="N27" s="179" t="s">
        <v>2446</v>
      </c>
      <c r="O27" s="179" t="s">
        <v>2446</v>
      </c>
      <c r="P27" s="179" t="s">
        <v>2446</v>
      </c>
      <c r="Q27" s="179" t="s">
        <v>2446</v>
      </c>
      <c r="R27" s="179" t="s">
        <v>2446</v>
      </c>
      <c r="S27" s="179" t="s">
        <v>2446</v>
      </c>
      <c r="T27" s="179" t="s">
        <v>2447</v>
      </c>
      <c r="U27" s="179" t="s">
        <v>2447</v>
      </c>
      <c r="V27" s="179" t="s">
        <v>2447</v>
      </c>
      <c r="W27" s="179" t="s">
        <v>2447</v>
      </c>
      <c r="X27" s="179" t="s">
        <v>2447</v>
      </c>
      <c r="Y27" s="179" t="s">
        <v>2447</v>
      </c>
      <c r="Z27" s="179" t="s">
        <v>2447</v>
      </c>
      <c r="AA27" s="179" t="s">
        <v>2445</v>
      </c>
      <c r="AB27" s="179" t="s">
        <v>2445</v>
      </c>
      <c r="AC27" s="179" t="s">
        <v>2445</v>
      </c>
      <c r="AD27" s="179" t="s">
        <v>2445</v>
      </c>
      <c r="AE27" s="179" t="s">
        <v>2445</v>
      </c>
      <c r="AF27" s="179" t="s">
        <v>2445</v>
      </c>
      <c r="AG27" s="179" t="s">
        <v>2445</v>
      </c>
      <c r="AH27" s="179" t="s">
        <v>2446</v>
      </c>
      <c r="AI27" s="179" t="s">
        <v>2446</v>
      </c>
      <c r="AJ27" s="179" t="s">
        <v>2446</v>
      </c>
      <c r="AK27" s="179" t="s">
        <v>2446</v>
      </c>
      <c r="AL27" s="179" t="s">
        <v>2446</v>
      </c>
      <c r="AM27" s="179" t="s">
        <v>2446</v>
      </c>
      <c r="AN27" s="179" t="s">
        <v>2446</v>
      </c>
      <c r="AO27" s="179" t="s">
        <v>2447</v>
      </c>
      <c r="AP27" s="179" t="s">
        <v>2447</v>
      </c>
      <c r="AQ27" s="179" t="s">
        <v>2447</v>
      </c>
      <c r="AR27" s="179" t="s">
        <v>2447</v>
      </c>
      <c r="AS27" s="179" t="s">
        <v>2447</v>
      </c>
      <c r="AT27" s="179" t="s">
        <v>2447</v>
      </c>
      <c r="AU27" s="179" t="s">
        <v>2447</v>
      </c>
      <c r="AV27" s="179" t="s">
        <v>2445</v>
      </c>
      <c r="AW27" s="179" t="s">
        <v>2445</v>
      </c>
      <c r="AX27" s="179" t="s">
        <v>2445</v>
      </c>
      <c r="AY27" s="179" t="s">
        <v>2445</v>
      </c>
      <c r="AZ27" s="179" t="s">
        <v>2445</v>
      </c>
      <c r="BA27" s="179" t="s">
        <v>2445</v>
      </c>
      <c r="BB27" s="179" t="s">
        <v>2445</v>
      </c>
      <c r="BC27" s="179" t="s">
        <v>2446</v>
      </c>
      <c r="BD27" s="179" t="s">
        <v>2446</v>
      </c>
      <c r="BE27" s="179" t="s">
        <v>2446</v>
      </c>
      <c r="BF27" s="179" t="s">
        <v>2446</v>
      </c>
      <c r="BG27" s="179" t="s">
        <v>2446</v>
      </c>
      <c r="BH27" s="179" t="s">
        <v>2446</v>
      </c>
      <c r="BI27" s="179" t="s">
        <v>2446</v>
      </c>
      <c r="BJ27" s="179" t="s">
        <v>2447</v>
      </c>
      <c r="BK27" s="179" t="s">
        <v>2447</v>
      </c>
      <c r="BL27" s="179" t="s">
        <v>2447</v>
      </c>
      <c r="BM27" s="179" t="s">
        <v>2447</v>
      </c>
      <c r="BN27" s="179" t="s">
        <v>2447</v>
      </c>
      <c r="BO27" s="179" t="s">
        <v>2447</v>
      </c>
      <c r="BP27" s="179" t="s">
        <v>2447</v>
      </c>
      <c r="BQ27" s="179" t="s">
        <v>2445</v>
      </c>
      <c r="BR27" s="179" t="s">
        <v>2445</v>
      </c>
      <c r="BS27" s="179" t="s">
        <v>2445</v>
      </c>
      <c r="BT27" s="179" t="s">
        <v>2445</v>
      </c>
      <c r="BU27" s="179" t="s">
        <v>2445</v>
      </c>
      <c r="BV27" s="179" t="s">
        <v>2445</v>
      </c>
      <c r="BW27" s="179" t="s">
        <v>2445</v>
      </c>
      <c r="BX27" s="179" t="s">
        <v>2446</v>
      </c>
      <c r="BY27" s="179" t="s">
        <v>2446</v>
      </c>
      <c r="BZ27" s="179" t="s">
        <v>2446</v>
      </c>
      <c r="CA27" s="179" t="s">
        <v>2446</v>
      </c>
      <c r="CB27" s="179" t="s">
        <v>2446</v>
      </c>
      <c r="CC27" s="179" t="s">
        <v>2446</v>
      </c>
      <c r="CD27" s="179" t="s">
        <v>2446</v>
      </c>
      <c r="CE27" s="179" t="s">
        <v>2447</v>
      </c>
      <c r="CF27" s="179" t="s">
        <v>2447</v>
      </c>
      <c r="CG27" s="179" t="s">
        <v>2447</v>
      </c>
      <c r="CH27" s="179" t="s">
        <v>2447</v>
      </c>
      <c r="CI27" s="179" t="s">
        <v>2447</v>
      </c>
      <c r="CJ27" s="179" t="s">
        <v>2447</v>
      </c>
      <c r="CK27" s="179" t="s">
        <v>2447</v>
      </c>
      <c r="CL27" s="179" t="s">
        <v>2445</v>
      </c>
      <c r="CM27" s="179" t="s">
        <v>2445</v>
      </c>
      <c r="CN27" s="179" t="s">
        <v>2445</v>
      </c>
      <c r="CO27" s="179" t="s">
        <v>2445</v>
      </c>
      <c r="CP27" s="179" t="s">
        <v>2445</v>
      </c>
      <c r="CQ27" s="179" t="s">
        <v>2445</v>
      </c>
      <c r="CR27" s="179" t="s">
        <v>2445</v>
      </c>
      <c r="CS27" s="179" t="s">
        <v>2446</v>
      </c>
      <c r="CT27" s="179" t="s">
        <v>2446</v>
      </c>
      <c r="CU27" s="179" t="s">
        <v>2446</v>
      </c>
      <c r="CV27" s="179" t="s">
        <v>2446</v>
      </c>
      <c r="CW27" s="179" t="s">
        <v>2446</v>
      </c>
      <c r="CX27" s="179" t="s">
        <v>2446</v>
      </c>
      <c r="CY27" s="179" t="s">
        <v>2446</v>
      </c>
      <c r="CZ27" s="179" t="s">
        <v>2447</v>
      </c>
      <c r="DA27" s="179" t="s">
        <v>2447</v>
      </c>
      <c r="DB27" s="179" t="s">
        <v>2447</v>
      </c>
      <c r="DC27" s="179" t="s">
        <v>2447</v>
      </c>
      <c r="DD27" s="179" t="s">
        <v>2447</v>
      </c>
      <c r="DE27" s="179" t="s">
        <v>2447</v>
      </c>
      <c r="DF27" s="179" t="s">
        <v>2447</v>
      </c>
      <c r="DG27" s="179" t="s">
        <v>2445</v>
      </c>
      <c r="DH27" s="179" t="s">
        <v>2445</v>
      </c>
      <c r="DI27" s="179" t="s">
        <v>2445</v>
      </c>
      <c r="DJ27" s="179" t="s">
        <v>2445</v>
      </c>
      <c r="DK27" s="179" t="s">
        <v>2445</v>
      </c>
      <c r="DL27" s="179" t="s">
        <v>2445</v>
      </c>
      <c r="DM27" s="179" t="s">
        <v>2445</v>
      </c>
      <c r="DN27" s="179" t="s">
        <v>2446</v>
      </c>
      <c r="DO27" s="179" t="s">
        <v>2446</v>
      </c>
      <c r="DP27" s="179" t="s">
        <v>2446</v>
      </c>
      <c r="DQ27" s="179" t="s">
        <v>2446</v>
      </c>
      <c r="DR27" s="179" t="s">
        <v>2446</v>
      </c>
      <c r="DS27" s="179" t="s">
        <v>2446</v>
      </c>
      <c r="DT27" s="179" t="s">
        <v>2446</v>
      </c>
      <c r="DU27" s="179" t="s">
        <v>2447</v>
      </c>
      <c r="DV27" s="179" t="s">
        <v>2447</v>
      </c>
      <c r="DW27" s="179" t="s">
        <v>2447</v>
      </c>
      <c r="DX27" s="179" t="s">
        <v>2447</v>
      </c>
      <c r="DY27" s="179" t="s">
        <v>2447</v>
      </c>
      <c r="DZ27" s="179" t="s">
        <v>2447</v>
      </c>
      <c r="EA27" s="179" t="s">
        <v>2447</v>
      </c>
    </row>
    <row r="28" ht="40.5" spans="2:131">
      <c r="B28" s="177"/>
      <c r="C28" s="181"/>
      <c r="D28" s="177"/>
      <c r="E28" s="177"/>
      <c r="F28" s="179" t="s">
        <v>2423</v>
      </c>
      <c r="G28" s="182" t="s">
        <v>2432</v>
      </c>
      <c r="H28" s="182" t="s">
        <v>2434</v>
      </c>
      <c r="I28" s="182" t="s">
        <v>2435</v>
      </c>
      <c r="J28" s="182" t="s">
        <v>2436</v>
      </c>
      <c r="K28" s="182" t="s">
        <v>2437</v>
      </c>
      <c r="L28" s="203" t="s">
        <v>2438</v>
      </c>
      <c r="M28" s="179" t="s">
        <v>2423</v>
      </c>
      <c r="N28" s="182" t="s">
        <v>2432</v>
      </c>
      <c r="O28" s="182" t="s">
        <v>2434</v>
      </c>
      <c r="P28" s="204" t="s">
        <v>2435</v>
      </c>
      <c r="Q28" s="204" t="s">
        <v>2436</v>
      </c>
      <c r="R28" s="204" t="s">
        <v>2437</v>
      </c>
      <c r="S28" s="203" t="s">
        <v>2438</v>
      </c>
      <c r="T28" s="208" t="s">
        <v>2423</v>
      </c>
      <c r="U28" s="204" t="s">
        <v>2432</v>
      </c>
      <c r="V28" s="204" t="s">
        <v>2434</v>
      </c>
      <c r="W28" s="204" t="s">
        <v>2435</v>
      </c>
      <c r="X28" s="204" t="s">
        <v>2436</v>
      </c>
      <c r="Y28" s="204" t="s">
        <v>2437</v>
      </c>
      <c r="Z28" s="203" t="s">
        <v>2438</v>
      </c>
      <c r="AA28" s="209" t="s">
        <v>2423</v>
      </c>
      <c r="AB28" s="204" t="s">
        <v>2432</v>
      </c>
      <c r="AC28" s="204" t="s">
        <v>2434</v>
      </c>
      <c r="AD28" s="204" t="s">
        <v>2435</v>
      </c>
      <c r="AE28" s="204" t="s">
        <v>2436</v>
      </c>
      <c r="AF28" s="204" t="s">
        <v>2437</v>
      </c>
      <c r="AG28" s="203" t="s">
        <v>2438</v>
      </c>
      <c r="AH28" s="209" t="s">
        <v>2423</v>
      </c>
      <c r="AI28" s="204" t="s">
        <v>2432</v>
      </c>
      <c r="AJ28" s="204" t="s">
        <v>2434</v>
      </c>
      <c r="AK28" s="204" t="s">
        <v>2435</v>
      </c>
      <c r="AL28" s="204" t="s">
        <v>2436</v>
      </c>
      <c r="AM28" s="204" t="s">
        <v>2437</v>
      </c>
      <c r="AN28" s="203" t="s">
        <v>2438</v>
      </c>
      <c r="AO28" s="209" t="s">
        <v>2423</v>
      </c>
      <c r="AP28" s="204" t="s">
        <v>2432</v>
      </c>
      <c r="AQ28" s="204" t="s">
        <v>2434</v>
      </c>
      <c r="AR28" s="204" t="s">
        <v>2435</v>
      </c>
      <c r="AS28" s="204" t="s">
        <v>2436</v>
      </c>
      <c r="AT28" s="204" t="s">
        <v>2437</v>
      </c>
      <c r="AU28" s="203" t="s">
        <v>2438</v>
      </c>
      <c r="AV28" s="208" t="s">
        <v>2423</v>
      </c>
      <c r="AW28" s="203" t="s">
        <v>2432</v>
      </c>
      <c r="AX28" s="203" t="s">
        <v>2434</v>
      </c>
      <c r="AY28" s="203" t="s">
        <v>2435</v>
      </c>
      <c r="AZ28" s="203" t="s">
        <v>2436</v>
      </c>
      <c r="BA28" s="203" t="s">
        <v>2437</v>
      </c>
      <c r="BB28" s="203" t="s">
        <v>2438</v>
      </c>
      <c r="BC28" s="208" t="s">
        <v>2423</v>
      </c>
      <c r="BD28" s="203" t="s">
        <v>2432</v>
      </c>
      <c r="BE28" s="203" t="s">
        <v>2434</v>
      </c>
      <c r="BF28" s="203" t="s">
        <v>2435</v>
      </c>
      <c r="BG28" s="211" t="s">
        <v>2436</v>
      </c>
      <c r="BH28" s="211" t="s">
        <v>2437</v>
      </c>
      <c r="BI28" s="211" t="s">
        <v>2438</v>
      </c>
      <c r="BJ28" s="179" t="s">
        <v>2423</v>
      </c>
      <c r="BK28" s="211" t="s">
        <v>2432</v>
      </c>
      <c r="BL28" s="211" t="s">
        <v>2434</v>
      </c>
      <c r="BM28" s="211" t="s">
        <v>2435</v>
      </c>
      <c r="BN28" s="211" t="s">
        <v>2436</v>
      </c>
      <c r="BO28" s="211" t="s">
        <v>2437</v>
      </c>
      <c r="BP28" s="211" t="s">
        <v>2438</v>
      </c>
      <c r="BQ28" s="179" t="s">
        <v>2423</v>
      </c>
      <c r="BR28" s="182" t="s">
        <v>2432</v>
      </c>
      <c r="BS28" s="182" t="s">
        <v>2434</v>
      </c>
      <c r="BT28" s="182" t="s">
        <v>2435</v>
      </c>
      <c r="BU28" s="182" t="s">
        <v>2436</v>
      </c>
      <c r="BV28" s="182" t="s">
        <v>2437</v>
      </c>
      <c r="BW28" s="203" t="s">
        <v>2438</v>
      </c>
      <c r="BX28" s="179" t="s">
        <v>2423</v>
      </c>
      <c r="BY28" s="182" t="s">
        <v>2432</v>
      </c>
      <c r="BZ28" s="182" t="s">
        <v>2434</v>
      </c>
      <c r="CA28" s="204" t="s">
        <v>2435</v>
      </c>
      <c r="CB28" s="204" t="s">
        <v>2436</v>
      </c>
      <c r="CC28" s="204" t="s">
        <v>2437</v>
      </c>
      <c r="CD28" s="203" t="s">
        <v>2438</v>
      </c>
      <c r="CE28" s="208" t="s">
        <v>2423</v>
      </c>
      <c r="CF28" s="204" t="s">
        <v>2432</v>
      </c>
      <c r="CG28" s="204" t="s">
        <v>2434</v>
      </c>
      <c r="CH28" s="204" t="s">
        <v>2435</v>
      </c>
      <c r="CI28" s="204" t="s">
        <v>2436</v>
      </c>
      <c r="CJ28" s="204" t="s">
        <v>2437</v>
      </c>
      <c r="CK28" s="203" t="s">
        <v>2438</v>
      </c>
      <c r="CL28" s="209" t="s">
        <v>2423</v>
      </c>
      <c r="CM28" s="204" t="s">
        <v>2432</v>
      </c>
      <c r="CN28" s="204" t="s">
        <v>2434</v>
      </c>
      <c r="CO28" s="204" t="s">
        <v>2435</v>
      </c>
      <c r="CP28" s="204" t="s">
        <v>2436</v>
      </c>
      <c r="CQ28" s="204" t="s">
        <v>2437</v>
      </c>
      <c r="CR28" s="203" t="s">
        <v>2438</v>
      </c>
      <c r="CS28" s="209" t="s">
        <v>2423</v>
      </c>
      <c r="CT28" s="204" t="s">
        <v>2432</v>
      </c>
      <c r="CU28" s="204" t="s">
        <v>2434</v>
      </c>
      <c r="CV28" s="204" t="s">
        <v>2435</v>
      </c>
      <c r="CW28" s="204" t="s">
        <v>2436</v>
      </c>
      <c r="CX28" s="204" t="s">
        <v>2437</v>
      </c>
      <c r="CY28" s="203" t="s">
        <v>2438</v>
      </c>
      <c r="CZ28" s="209" t="s">
        <v>2423</v>
      </c>
      <c r="DA28" s="204" t="s">
        <v>2432</v>
      </c>
      <c r="DB28" s="204" t="s">
        <v>2434</v>
      </c>
      <c r="DC28" s="204" t="s">
        <v>2435</v>
      </c>
      <c r="DD28" s="204" t="s">
        <v>2436</v>
      </c>
      <c r="DE28" s="204" t="s">
        <v>2437</v>
      </c>
      <c r="DF28" s="203" t="s">
        <v>2438</v>
      </c>
      <c r="DG28" s="208" t="s">
        <v>2423</v>
      </c>
      <c r="DH28" s="203" t="s">
        <v>2432</v>
      </c>
      <c r="DI28" s="203" t="s">
        <v>2434</v>
      </c>
      <c r="DJ28" s="203" t="s">
        <v>2435</v>
      </c>
      <c r="DK28" s="203" t="s">
        <v>2436</v>
      </c>
      <c r="DL28" s="203" t="s">
        <v>2437</v>
      </c>
      <c r="DM28" s="203" t="s">
        <v>2438</v>
      </c>
      <c r="DN28" s="208" t="s">
        <v>2423</v>
      </c>
      <c r="DO28" s="203" t="s">
        <v>2432</v>
      </c>
      <c r="DP28" s="203" t="s">
        <v>2434</v>
      </c>
      <c r="DQ28" s="203" t="s">
        <v>2435</v>
      </c>
      <c r="DR28" s="211" t="s">
        <v>2436</v>
      </c>
      <c r="DS28" s="211" t="s">
        <v>2437</v>
      </c>
      <c r="DT28" s="211" t="s">
        <v>2438</v>
      </c>
      <c r="DU28" s="179" t="s">
        <v>2423</v>
      </c>
      <c r="DV28" s="211" t="s">
        <v>2432</v>
      </c>
      <c r="DW28" s="211" t="s">
        <v>2434</v>
      </c>
      <c r="DX28" s="211" t="s">
        <v>2435</v>
      </c>
      <c r="DY28" s="211" t="s">
        <v>2436</v>
      </c>
      <c r="DZ28" s="211" t="s">
        <v>2437</v>
      </c>
      <c r="EA28" s="211" t="s">
        <v>2438</v>
      </c>
    </row>
    <row r="29" ht="20.25" spans="2:131">
      <c r="B29" s="178"/>
      <c r="C29" s="180"/>
      <c r="D29" s="177"/>
      <c r="E29" s="177"/>
      <c r="F29" s="179" t="s">
        <v>2448</v>
      </c>
      <c r="G29" s="179" t="s">
        <v>2448</v>
      </c>
      <c r="H29" s="179" t="s">
        <v>2448</v>
      </c>
      <c r="I29" s="179" t="s">
        <v>2448</v>
      </c>
      <c r="J29" s="179" t="s">
        <v>2448</v>
      </c>
      <c r="K29" s="179" t="s">
        <v>2448</v>
      </c>
      <c r="L29" s="179" t="s">
        <v>2448</v>
      </c>
      <c r="M29" s="179" t="s">
        <v>2448</v>
      </c>
      <c r="N29" s="179" t="s">
        <v>2448</v>
      </c>
      <c r="O29" s="179" t="s">
        <v>2448</v>
      </c>
      <c r="P29" s="179" t="s">
        <v>2448</v>
      </c>
      <c r="Q29" s="179" t="s">
        <v>2448</v>
      </c>
      <c r="R29" s="179" t="s">
        <v>2448</v>
      </c>
      <c r="S29" s="179" t="s">
        <v>2448</v>
      </c>
      <c r="T29" s="179" t="s">
        <v>2448</v>
      </c>
      <c r="U29" s="179" t="s">
        <v>2448</v>
      </c>
      <c r="V29" s="179" t="s">
        <v>2448</v>
      </c>
      <c r="W29" s="179" t="s">
        <v>2448</v>
      </c>
      <c r="X29" s="179" t="s">
        <v>2448</v>
      </c>
      <c r="Y29" s="179" t="s">
        <v>2448</v>
      </c>
      <c r="Z29" s="179" t="s">
        <v>2448</v>
      </c>
      <c r="AA29" s="179" t="s">
        <v>2448</v>
      </c>
      <c r="AB29" s="179" t="s">
        <v>2448</v>
      </c>
      <c r="AC29" s="179" t="s">
        <v>2448</v>
      </c>
      <c r="AD29" s="179" t="s">
        <v>2448</v>
      </c>
      <c r="AE29" s="179" t="s">
        <v>2448</v>
      </c>
      <c r="AF29" s="179" t="s">
        <v>2448</v>
      </c>
      <c r="AG29" s="179" t="s">
        <v>2448</v>
      </c>
      <c r="AH29" s="179" t="s">
        <v>2448</v>
      </c>
      <c r="AI29" s="179" t="s">
        <v>2448</v>
      </c>
      <c r="AJ29" s="179" t="s">
        <v>2448</v>
      </c>
      <c r="AK29" s="179" t="s">
        <v>2448</v>
      </c>
      <c r="AL29" s="179" t="s">
        <v>2448</v>
      </c>
      <c r="AM29" s="179" t="s">
        <v>2448</v>
      </c>
      <c r="AN29" s="179" t="s">
        <v>2448</v>
      </c>
      <c r="AO29" s="179" t="s">
        <v>2448</v>
      </c>
      <c r="AP29" s="179" t="s">
        <v>2448</v>
      </c>
      <c r="AQ29" s="179" t="s">
        <v>2448</v>
      </c>
      <c r="AR29" s="179" t="s">
        <v>2448</v>
      </c>
      <c r="AS29" s="179" t="s">
        <v>2448</v>
      </c>
      <c r="AT29" s="179" t="s">
        <v>2448</v>
      </c>
      <c r="AU29" s="179" t="s">
        <v>2448</v>
      </c>
      <c r="AV29" s="179" t="s">
        <v>2448</v>
      </c>
      <c r="AW29" s="179" t="s">
        <v>2448</v>
      </c>
      <c r="AX29" s="179" t="s">
        <v>2448</v>
      </c>
      <c r="AY29" s="179" t="s">
        <v>2448</v>
      </c>
      <c r="AZ29" s="179" t="s">
        <v>2448</v>
      </c>
      <c r="BA29" s="179" t="s">
        <v>2448</v>
      </c>
      <c r="BB29" s="179" t="s">
        <v>2448</v>
      </c>
      <c r="BC29" s="179" t="s">
        <v>2448</v>
      </c>
      <c r="BD29" s="179" t="s">
        <v>2448</v>
      </c>
      <c r="BE29" s="179" t="s">
        <v>2448</v>
      </c>
      <c r="BF29" s="179" t="s">
        <v>2448</v>
      </c>
      <c r="BG29" s="179" t="s">
        <v>2448</v>
      </c>
      <c r="BH29" s="179" t="s">
        <v>2448</v>
      </c>
      <c r="BI29" s="179" t="s">
        <v>2448</v>
      </c>
      <c r="BJ29" s="179" t="s">
        <v>2448</v>
      </c>
      <c r="BK29" s="179" t="s">
        <v>2448</v>
      </c>
      <c r="BL29" s="179" t="s">
        <v>2448</v>
      </c>
      <c r="BM29" s="179" t="s">
        <v>2448</v>
      </c>
      <c r="BN29" s="179" t="s">
        <v>2448</v>
      </c>
      <c r="BO29" s="179" t="s">
        <v>2448</v>
      </c>
      <c r="BP29" s="179" t="s">
        <v>2448</v>
      </c>
      <c r="BQ29" s="179" t="s">
        <v>2407</v>
      </c>
      <c r="BR29" s="179" t="s">
        <v>2407</v>
      </c>
      <c r="BS29" s="179" t="s">
        <v>2407</v>
      </c>
      <c r="BT29" s="179" t="s">
        <v>2407</v>
      </c>
      <c r="BU29" s="179" t="s">
        <v>2407</v>
      </c>
      <c r="BV29" s="179" t="s">
        <v>2407</v>
      </c>
      <c r="BW29" s="179" t="s">
        <v>2407</v>
      </c>
      <c r="BX29" s="179" t="s">
        <v>2407</v>
      </c>
      <c r="BY29" s="179" t="s">
        <v>2407</v>
      </c>
      <c r="BZ29" s="179" t="s">
        <v>2407</v>
      </c>
      <c r="CA29" s="179" t="s">
        <v>2407</v>
      </c>
      <c r="CB29" s="179" t="s">
        <v>2407</v>
      </c>
      <c r="CC29" s="179" t="s">
        <v>2407</v>
      </c>
      <c r="CD29" s="179" t="s">
        <v>2407</v>
      </c>
      <c r="CE29" s="179" t="s">
        <v>2407</v>
      </c>
      <c r="CF29" s="179" t="s">
        <v>2407</v>
      </c>
      <c r="CG29" s="179" t="s">
        <v>2407</v>
      </c>
      <c r="CH29" s="179" t="s">
        <v>2407</v>
      </c>
      <c r="CI29" s="179" t="s">
        <v>2407</v>
      </c>
      <c r="CJ29" s="179" t="s">
        <v>2407</v>
      </c>
      <c r="CK29" s="179" t="s">
        <v>2407</v>
      </c>
      <c r="CL29" s="179" t="s">
        <v>2407</v>
      </c>
      <c r="CM29" s="179" t="s">
        <v>2407</v>
      </c>
      <c r="CN29" s="179" t="s">
        <v>2407</v>
      </c>
      <c r="CO29" s="179" t="s">
        <v>2407</v>
      </c>
      <c r="CP29" s="179" t="s">
        <v>2407</v>
      </c>
      <c r="CQ29" s="179" t="s">
        <v>2407</v>
      </c>
      <c r="CR29" s="179" t="s">
        <v>2407</v>
      </c>
      <c r="CS29" s="179" t="s">
        <v>2407</v>
      </c>
      <c r="CT29" s="179" t="s">
        <v>2407</v>
      </c>
      <c r="CU29" s="179" t="s">
        <v>2407</v>
      </c>
      <c r="CV29" s="179" t="s">
        <v>2407</v>
      </c>
      <c r="CW29" s="179" t="s">
        <v>2407</v>
      </c>
      <c r="CX29" s="179" t="s">
        <v>2407</v>
      </c>
      <c r="CY29" s="179" t="s">
        <v>2407</v>
      </c>
      <c r="CZ29" s="179" t="s">
        <v>2407</v>
      </c>
      <c r="DA29" s="179" t="s">
        <v>2407</v>
      </c>
      <c r="DB29" s="179" t="s">
        <v>2407</v>
      </c>
      <c r="DC29" s="179" t="s">
        <v>2407</v>
      </c>
      <c r="DD29" s="179" t="s">
        <v>2407</v>
      </c>
      <c r="DE29" s="179" t="s">
        <v>2407</v>
      </c>
      <c r="DF29" s="179" t="s">
        <v>2407</v>
      </c>
      <c r="DG29" s="179" t="s">
        <v>2407</v>
      </c>
      <c r="DH29" s="179" t="s">
        <v>2407</v>
      </c>
      <c r="DI29" s="179" t="s">
        <v>2407</v>
      </c>
      <c r="DJ29" s="179" t="s">
        <v>2407</v>
      </c>
      <c r="DK29" s="179" t="s">
        <v>2407</v>
      </c>
      <c r="DL29" s="179" t="s">
        <v>2407</v>
      </c>
      <c r="DM29" s="179" t="s">
        <v>2407</v>
      </c>
      <c r="DN29" s="179" t="s">
        <v>2407</v>
      </c>
      <c r="DO29" s="179" t="s">
        <v>2407</v>
      </c>
      <c r="DP29" s="179" t="s">
        <v>2407</v>
      </c>
      <c r="DQ29" s="179" t="s">
        <v>2407</v>
      </c>
      <c r="DR29" s="179" t="s">
        <v>2407</v>
      </c>
      <c r="DS29" s="179" t="s">
        <v>2407</v>
      </c>
      <c r="DT29" s="179" t="s">
        <v>2407</v>
      </c>
      <c r="DU29" s="179" t="s">
        <v>2407</v>
      </c>
      <c r="DV29" s="179" t="s">
        <v>2407</v>
      </c>
      <c r="DW29" s="179" t="s">
        <v>2407</v>
      </c>
      <c r="DX29" s="179" t="s">
        <v>2407</v>
      </c>
      <c r="DY29" s="179" t="s">
        <v>2407</v>
      </c>
      <c r="DZ29" s="179" t="s">
        <v>2407</v>
      </c>
      <c r="EA29" s="179" t="s">
        <v>2407</v>
      </c>
    </row>
    <row r="30" ht="24" spans="2:131">
      <c r="B30" s="183" t="s">
        <v>2448</v>
      </c>
      <c r="C30" s="184" t="s">
        <v>2449</v>
      </c>
      <c r="D30" s="185" t="s">
        <v>2450</v>
      </c>
      <c r="E30" s="185" t="s">
        <v>1148</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213">
        <v>330</v>
      </c>
      <c r="BR30" s="193">
        <v>340</v>
      </c>
      <c r="BS30" s="193">
        <v>340</v>
      </c>
      <c r="BT30" s="214">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4" spans="2:131">
      <c r="B31" s="183" t="s">
        <v>2448</v>
      </c>
      <c r="C31" s="187" t="s">
        <v>2449</v>
      </c>
      <c r="D31" s="185" t="s">
        <v>2451</v>
      </c>
      <c r="E31" s="185" t="s">
        <v>1153</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4">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4" spans="2:131">
      <c r="B32" s="183" t="s">
        <v>2448</v>
      </c>
      <c r="C32" s="187" t="s">
        <v>2449</v>
      </c>
      <c r="D32" s="185" t="s">
        <v>2452</v>
      </c>
      <c r="E32" s="185" t="s">
        <v>1155</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4">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4" spans="2:131">
      <c r="B33" s="183" t="s">
        <v>2448</v>
      </c>
      <c r="C33" s="187" t="s">
        <v>2449</v>
      </c>
      <c r="D33" s="188" t="s">
        <v>2453</v>
      </c>
      <c r="E33" s="188" t="s">
        <v>1157</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4">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4" spans="2:131">
      <c r="B34" s="183" t="s">
        <v>2448</v>
      </c>
      <c r="C34" s="187" t="s">
        <v>2449</v>
      </c>
      <c r="D34" s="185" t="s">
        <v>2454</v>
      </c>
      <c r="E34" s="185" t="s">
        <v>1159</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4" spans="2:131">
      <c r="B35" s="183" t="s">
        <v>2448</v>
      </c>
      <c r="C35" s="189" t="s">
        <v>2455</v>
      </c>
      <c r="D35" s="185" t="s">
        <v>2456</v>
      </c>
      <c r="E35" s="185" t="s">
        <v>1161</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4" spans="2:131">
      <c r="B36" s="183" t="s">
        <v>2448</v>
      </c>
      <c r="C36" s="189" t="s">
        <v>2455</v>
      </c>
      <c r="D36" s="185" t="s">
        <v>2454</v>
      </c>
      <c r="E36" s="185" t="s">
        <v>1163</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4" spans="2:131">
      <c r="B37" s="183" t="s">
        <v>2448</v>
      </c>
      <c r="C37" s="189" t="s">
        <v>2455</v>
      </c>
      <c r="D37" s="185" t="s">
        <v>2457</v>
      </c>
      <c r="E37" s="185" t="s">
        <v>1165</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4" spans="2:131">
      <c r="B38" s="183" t="s">
        <v>2448</v>
      </c>
      <c r="C38" s="189" t="s">
        <v>2458</v>
      </c>
      <c r="D38" s="185" t="s">
        <v>2456</v>
      </c>
      <c r="E38" s="185" t="s">
        <v>1167</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4" spans="2:131">
      <c r="B39" s="183" t="s">
        <v>2448</v>
      </c>
      <c r="C39" s="189" t="s">
        <v>2458</v>
      </c>
      <c r="D39" s="185" t="s">
        <v>2454</v>
      </c>
      <c r="E39" s="185" t="s">
        <v>1169</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4" spans="2:131">
      <c r="B40" s="183" t="s">
        <v>2448</v>
      </c>
      <c r="C40" s="189" t="s">
        <v>2458</v>
      </c>
      <c r="D40" s="185" t="s">
        <v>2457</v>
      </c>
      <c r="E40" s="185" t="s">
        <v>1171</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6" spans="2:68">
      <c r="B41" s="190" t="s">
        <v>2459</v>
      </c>
      <c r="C41" s="191" t="s">
        <v>2460</v>
      </c>
      <c r="D41" s="192" t="s">
        <v>2460</v>
      </c>
      <c r="E41" s="192" t="s">
        <v>1173</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36" spans="2:68">
      <c r="B42" s="194" t="s">
        <v>2459</v>
      </c>
      <c r="C42" s="195" t="s">
        <v>2461</v>
      </c>
      <c r="D42" s="196" t="s">
        <v>2461</v>
      </c>
      <c r="E42" s="196" t="s">
        <v>1175</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1.75" spans="2:5">
      <c r="B45" s="197" t="s">
        <v>2462</v>
      </c>
      <c r="C45" s="197"/>
      <c r="D45" s="197"/>
      <c r="E45" s="197"/>
    </row>
    <row r="46" ht="17.25" spans="2:3">
      <c r="B46" s="198" t="s">
        <v>2393</v>
      </c>
      <c r="C46" s="198" t="s">
        <v>2463</v>
      </c>
    </row>
    <row r="47" ht="17.25" spans="2:3">
      <c r="B47" s="199" t="s">
        <v>2464</v>
      </c>
      <c r="C47" s="199" t="s">
        <v>2445</v>
      </c>
    </row>
    <row r="48" ht="17.25" spans="2:3">
      <c r="B48" s="199" t="s">
        <v>2465</v>
      </c>
      <c r="C48" s="199" t="s">
        <v>2445</v>
      </c>
    </row>
    <row r="49" ht="17.25" spans="2:3">
      <c r="B49" s="199" t="s">
        <v>2394</v>
      </c>
      <c r="C49" s="199" t="s">
        <v>2445</v>
      </c>
    </row>
    <row r="50" ht="17.25" spans="2:3">
      <c r="B50" s="199" t="s">
        <v>2466</v>
      </c>
      <c r="C50" s="199" t="s">
        <v>2445</v>
      </c>
    </row>
    <row r="51" ht="17.25" spans="2:3">
      <c r="B51" s="200" t="s">
        <v>2467</v>
      </c>
      <c r="C51" s="200" t="s">
        <v>2446</v>
      </c>
    </row>
    <row r="52" ht="17.25" spans="2:3">
      <c r="B52" s="201" t="s">
        <v>2468</v>
      </c>
      <c r="C52" s="200" t="s">
        <v>2446</v>
      </c>
    </row>
    <row r="53" ht="17.25" spans="2:3">
      <c r="B53" s="200" t="s">
        <v>2469</v>
      </c>
      <c r="C53" s="200" t="s">
        <v>2446</v>
      </c>
    </row>
    <row r="54" ht="17.25" spans="2:3">
      <c r="B54" s="200" t="s">
        <v>2470</v>
      </c>
      <c r="C54" s="200" t="s">
        <v>2446</v>
      </c>
    </row>
    <row r="55" ht="17.25" spans="2:3">
      <c r="B55" s="200" t="s">
        <v>2471</v>
      </c>
      <c r="C55" s="200" t="s">
        <v>2446</v>
      </c>
    </row>
    <row r="56" ht="17.25" spans="2:3">
      <c r="B56" s="200" t="s">
        <v>2472</v>
      </c>
      <c r="C56" s="200" t="s">
        <v>2446</v>
      </c>
    </row>
    <row r="57" ht="17.25" spans="2:3">
      <c r="B57" s="201" t="s">
        <v>2473</v>
      </c>
      <c r="C57" s="200" t="s">
        <v>2446</v>
      </c>
    </row>
    <row r="58" ht="17.25" spans="2:3">
      <c r="B58" s="200" t="s">
        <v>2474</v>
      </c>
      <c r="C58" s="200" t="s">
        <v>2446</v>
      </c>
    </row>
    <row r="59" ht="17.25" spans="2:3">
      <c r="B59" s="200" t="s">
        <v>2475</v>
      </c>
      <c r="C59" s="200" t="s">
        <v>2446</v>
      </c>
    </row>
    <row r="60" ht="17.25" spans="2:3">
      <c r="B60" s="200" t="s">
        <v>2476</v>
      </c>
      <c r="C60" s="200" t="s">
        <v>2446</v>
      </c>
    </row>
    <row r="61" ht="17.25" spans="2:3">
      <c r="B61" s="200" t="s">
        <v>2477</v>
      </c>
      <c r="C61" s="200" t="s">
        <v>2446</v>
      </c>
    </row>
    <row r="62" ht="17.25" spans="2:3">
      <c r="B62" s="202" t="s">
        <v>2478</v>
      </c>
      <c r="C62" s="202" t="s">
        <v>2447</v>
      </c>
    </row>
    <row r="63" ht="17.25" spans="2:3">
      <c r="B63" s="200" t="s">
        <v>2479</v>
      </c>
      <c r="C63" s="200" t="s">
        <v>2446</v>
      </c>
    </row>
    <row r="64" ht="17.25" spans="2:3">
      <c r="B64" s="200" t="s">
        <v>2480</v>
      </c>
      <c r="C64" s="200" t="s">
        <v>2446</v>
      </c>
    </row>
    <row r="65" ht="17.25" spans="2:3">
      <c r="B65" s="200" t="s">
        <v>2481</v>
      </c>
      <c r="C65" s="200" t="s">
        <v>2446</v>
      </c>
    </row>
    <row r="66" ht="17.25" spans="2:3">
      <c r="B66" s="201" t="s">
        <v>2482</v>
      </c>
      <c r="C66" s="200" t="s">
        <v>2446</v>
      </c>
    </row>
    <row r="67" ht="17.25" spans="2:3">
      <c r="B67" s="200" t="s">
        <v>2483</v>
      </c>
      <c r="C67" s="200" t="s">
        <v>2446</v>
      </c>
    </row>
    <row r="68" ht="17.25" spans="2:3">
      <c r="B68" s="202" t="s">
        <v>2484</v>
      </c>
      <c r="C68" s="202" t="s">
        <v>2447</v>
      </c>
    </row>
    <row r="69" ht="17.25" spans="2:3">
      <c r="B69" s="200" t="s">
        <v>2485</v>
      </c>
      <c r="C69" s="200" t="s">
        <v>2446</v>
      </c>
    </row>
    <row r="70" ht="17.25" spans="2:3">
      <c r="B70" s="200" t="s">
        <v>2486</v>
      </c>
      <c r="C70" s="200" t="s">
        <v>2446</v>
      </c>
    </row>
    <row r="71" ht="17.25" spans="2:3">
      <c r="B71" s="200" t="s">
        <v>2487</v>
      </c>
      <c r="C71" s="200" t="s">
        <v>2446</v>
      </c>
    </row>
    <row r="72" ht="17.25" spans="2:3">
      <c r="B72" s="202" t="s">
        <v>2488</v>
      </c>
      <c r="C72" s="202" t="s">
        <v>2447</v>
      </c>
    </row>
    <row r="73" ht="17.25" spans="2:3">
      <c r="B73" s="202" t="s">
        <v>2489</v>
      </c>
      <c r="C73" s="202" t="s">
        <v>2447</v>
      </c>
    </row>
    <row r="74" ht="17.25" spans="2:3">
      <c r="B74" s="200" t="s">
        <v>2490</v>
      </c>
      <c r="C74" s="200" t="s">
        <v>2446</v>
      </c>
    </row>
    <row r="75" ht="17.25" spans="2:3">
      <c r="B75" s="200" t="s">
        <v>2491</v>
      </c>
      <c r="C75" s="200" t="s">
        <v>2446</v>
      </c>
    </row>
    <row r="76" ht="17.25" spans="2:3">
      <c r="B76" s="202" t="s">
        <v>2492</v>
      </c>
      <c r="C76" s="202" t="s">
        <v>2447</v>
      </c>
    </row>
    <row r="77" ht="17.25" spans="2:3">
      <c r="B77" s="200" t="s">
        <v>2493</v>
      </c>
      <c r="C77" s="200" t="s">
        <v>2446</v>
      </c>
    </row>
    <row r="78" ht="17.25" spans="2:3">
      <c r="B78" s="200" t="s">
        <v>2494</v>
      </c>
      <c r="C78" s="200" t="s">
        <v>2446</v>
      </c>
    </row>
    <row r="79" ht="17.25" spans="2:3">
      <c r="B79" s="202" t="s">
        <v>2495</v>
      </c>
      <c r="C79" s="202" t="s">
        <v>2447</v>
      </c>
    </row>
    <row r="80" ht="17.25" spans="2:3">
      <c r="B80" s="200" t="s">
        <v>2496</v>
      </c>
      <c r="C80" s="200" t="s">
        <v>2446</v>
      </c>
    </row>
    <row r="81" ht="17.25" spans="2:3">
      <c r="B81" s="200" t="s">
        <v>2497</v>
      </c>
      <c r="C81" s="200" t="s">
        <v>2446</v>
      </c>
    </row>
    <row r="82" ht="17.25" spans="2:3">
      <c r="B82" s="202" t="s">
        <v>2498</v>
      </c>
      <c r="C82" s="202" t="s">
        <v>2447</v>
      </c>
    </row>
    <row r="83" ht="17.25" spans="2:3">
      <c r="B83" s="202" t="s">
        <v>2499</v>
      </c>
      <c r="C83" s="202" t="s">
        <v>2447</v>
      </c>
    </row>
    <row r="84" ht="17.25" spans="2:3">
      <c r="B84" s="200" t="s">
        <v>2500</v>
      </c>
      <c r="C84" s="200" t="s">
        <v>2446</v>
      </c>
    </row>
    <row r="85" ht="17.25" spans="2:3">
      <c r="B85" s="202" t="s">
        <v>2501</v>
      </c>
      <c r="C85" s="202" t="s">
        <v>2447</v>
      </c>
    </row>
    <row r="86" ht="17.25" spans="2:3">
      <c r="B86" s="202" t="s">
        <v>2502</v>
      </c>
      <c r="C86" s="202" t="s">
        <v>2447</v>
      </c>
    </row>
    <row r="87" ht="17.25" spans="2:3">
      <c r="B87" s="200" t="s">
        <v>2503</v>
      </c>
      <c r="C87" s="200" t="s">
        <v>2446</v>
      </c>
    </row>
    <row r="88" ht="17.25" spans="2:3">
      <c r="B88" s="202" t="s">
        <v>2504</v>
      </c>
      <c r="C88" s="202" t="s">
        <v>2447</v>
      </c>
    </row>
    <row r="89" ht="17.25" spans="2:3">
      <c r="B89" s="202" t="s">
        <v>2505</v>
      </c>
      <c r="C89" s="202" t="s">
        <v>2447</v>
      </c>
    </row>
    <row r="90" ht="17.25" spans="2:3">
      <c r="B90" s="202" t="s">
        <v>2506</v>
      </c>
      <c r="C90" s="202" t="s">
        <v>2447</v>
      </c>
    </row>
    <row r="91" ht="17.25" spans="2:3">
      <c r="B91" s="202" t="s">
        <v>2507</v>
      </c>
      <c r="C91" s="202" t="s">
        <v>2447</v>
      </c>
    </row>
    <row r="92" ht="17.25" spans="2:3">
      <c r="B92" s="202" t="s">
        <v>2508</v>
      </c>
      <c r="C92" s="202" t="s">
        <v>2447</v>
      </c>
    </row>
    <row r="93" ht="17.25" spans="2:3">
      <c r="B93" s="200" t="s">
        <v>2509</v>
      </c>
      <c r="C93" s="200" t="s">
        <v>2446</v>
      </c>
    </row>
    <row r="94" ht="17.25" spans="2:3">
      <c r="B94" s="202" t="s">
        <v>2510</v>
      </c>
      <c r="C94" s="202" t="s">
        <v>2447</v>
      </c>
    </row>
    <row r="95" ht="17.25" spans="2:3">
      <c r="B95" s="202" t="s">
        <v>2511</v>
      </c>
      <c r="C95" s="202" t="s">
        <v>2447</v>
      </c>
    </row>
    <row r="96" ht="17.25" spans="2:3">
      <c r="B96" s="202" t="s">
        <v>2512</v>
      </c>
      <c r="C96" s="202" t="s">
        <v>2447</v>
      </c>
    </row>
    <row r="97" ht="17.25" spans="2:3">
      <c r="B97" s="202" t="s">
        <v>2513</v>
      </c>
      <c r="C97" s="202" t="s">
        <v>2447</v>
      </c>
    </row>
    <row r="98" ht="17.25" spans="2:3">
      <c r="B98" s="202" t="s">
        <v>2514</v>
      </c>
      <c r="C98" s="202" t="s">
        <v>2447</v>
      </c>
    </row>
    <row r="99" ht="17.25" spans="2:3">
      <c r="B99" s="200" t="s">
        <v>2515</v>
      </c>
      <c r="C99" s="200" t="s">
        <v>2446</v>
      </c>
    </row>
    <row r="100" ht="17.25" spans="2:3">
      <c r="B100" s="202" t="s">
        <v>2516</v>
      </c>
      <c r="C100" s="202" t="s">
        <v>2447</v>
      </c>
    </row>
    <row r="101" ht="17.25" spans="2:3">
      <c r="B101" s="202" t="s">
        <v>2517</v>
      </c>
      <c r="C101" s="202" t="s">
        <v>2447</v>
      </c>
    </row>
    <row r="102" ht="17.25" spans="2:3">
      <c r="B102" s="202" t="s">
        <v>2518</v>
      </c>
      <c r="C102" s="202" t="s">
        <v>2447</v>
      </c>
    </row>
    <row r="103" ht="17.25" spans="2:3">
      <c r="B103" s="202" t="s">
        <v>2519</v>
      </c>
      <c r="C103" s="202" t="s">
        <v>2447</v>
      </c>
    </row>
    <row r="104" ht="17.25" spans="2:3">
      <c r="B104" s="200" t="s">
        <v>2520</v>
      </c>
      <c r="C104" s="200" t="s">
        <v>2446</v>
      </c>
    </row>
    <row r="105" ht="17.25" spans="2:3">
      <c r="B105" s="202" t="s">
        <v>2521</v>
      </c>
      <c r="C105" s="202" t="s">
        <v>2447</v>
      </c>
    </row>
    <row r="106" ht="17.25" spans="2:3">
      <c r="B106" s="202" t="s">
        <v>2522</v>
      </c>
      <c r="C106" s="202" t="s">
        <v>2447</v>
      </c>
    </row>
    <row r="107" ht="17.25" spans="2:3">
      <c r="B107" s="200" t="s">
        <v>2523</v>
      </c>
      <c r="C107" s="200" t="s">
        <v>2446</v>
      </c>
    </row>
    <row r="108" ht="17.25" spans="2:3">
      <c r="B108" s="202" t="s">
        <v>2524</v>
      </c>
      <c r="C108" s="202" t="s">
        <v>2447</v>
      </c>
    </row>
    <row r="109" ht="17.25" spans="2:3">
      <c r="B109" s="202" t="s">
        <v>2525</v>
      </c>
      <c r="C109" s="202" t="s">
        <v>2447</v>
      </c>
    </row>
    <row r="110" ht="17.25" spans="2:3">
      <c r="B110" s="202" t="s">
        <v>2526</v>
      </c>
      <c r="C110" s="202" t="s">
        <v>2447</v>
      </c>
    </row>
    <row r="111" ht="17.25" spans="2:3">
      <c r="B111" s="202" t="s">
        <v>2527</v>
      </c>
      <c r="C111" s="202" t="s">
        <v>2447</v>
      </c>
    </row>
    <row r="112" ht="17.25" spans="2:3">
      <c r="B112" s="202" t="s">
        <v>2528</v>
      </c>
      <c r="C112" s="202" t="s">
        <v>2447</v>
      </c>
    </row>
    <row r="113" ht="17.25" spans="2:3">
      <c r="B113" s="200" t="s">
        <v>2486</v>
      </c>
      <c r="C113" s="200" t="s">
        <v>2446</v>
      </c>
    </row>
    <row r="114" ht="17.25" spans="2:3">
      <c r="B114" s="202" t="s">
        <v>2529</v>
      </c>
      <c r="C114" s="202" t="s">
        <v>2447</v>
      </c>
    </row>
    <row r="115" ht="17.25" spans="2:3">
      <c r="B115" s="202" t="s">
        <v>2530</v>
      </c>
      <c r="C115" s="202" t="s">
        <v>2447</v>
      </c>
    </row>
    <row r="116" ht="17.25" spans="2:3">
      <c r="B116" s="202" t="s">
        <v>2531</v>
      </c>
      <c r="C116" s="202" t="s">
        <v>2447</v>
      </c>
    </row>
    <row r="117" ht="17.25" spans="2:3">
      <c r="B117" s="202" t="s">
        <v>2532</v>
      </c>
      <c r="C117" s="202" t="s">
        <v>2447</v>
      </c>
    </row>
    <row r="118" ht="17.25" spans="2:3">
      <c r="B118" s="202" t="s">
        <v>2533</v>
      </c>
      <c r="C118" s="202" t="s">
        <v>2447</v>
      </c>
    </row>
    <row r="119" ht="17.25" spans="2:3">
      <c r="B119" s="202" t="s">
        <v>2534</v>
      </c>
      <c r="C119" s="202" t="s">
        <v>2447</v>
      </c>
    </row>
    <row r="120" ht="17.25" spans="2:3">
      <c r="B120" s="202" t="s">
        <v>2535</v>
      </c>
      <c r="C120" s="202" t="s">
        <v>2447</v>
      </c>
    </row>
    <row r="121" ht="17.25" spans="2:3">
      <c r="B121" s="202" t="s">
        <v>2536</v>
      </c>
      <c r="C121" s="202" t="s">
        <v>2447</v>
      </c>
    </row>
    <row r="122" ht="17.25" spans="2:3">
      <c r="B122" s="202" t="s">
        <v>2537</v>
      </c>
      <c r="C122" s="202" t="s">
        <v>2447</v>
      </c>
    </row>
    <row r="123" ht="17.25" spans="2:3">
      <c r="B123" s="202" t="s">
        <v>2538</v>
      </c>
      <c r="C123" s="202" t="s">
        <v>2447</v>
      </c>
    </row>
    <row r="124" ht="17.25" spans="2:3">
      <c r="B124" s="202" t="s">
        <v>2539</v>
      </c>
      <c r="C124" s="202" t="s">
        <v>2447</v>
      </c>
    </row>
    <row r="125" ht="17.25" spans="2:3">
      <c r="B125" s="202" t="s">
        <v>2540</v>
      </c>
      <c r="C125" s="202" t="s">
        <v>2447</v>
      </c>
    </row>
    <row r="126" ht="17.25" spans="2:3">
      <c r="B126" s="202" t="s">
        <v>2541</v>
      </c>
      <c r="C126" s="202" t="s">
        <v>2447</v>
      </c>
    </row>
    <row r="127" ht="17.25" spans="2:3">
      <c r="B127" s="202" t="s">
        <v>2542</v>
      </c>
      <c r="C127" s="202" t="s">
        <v>2447</v>
      </c>
    </row>
    <row r="128" ht="17.25" spans="2:3">
      <c r="B128" s="202" t="s">
        <v>2543</v>
      </c>
      <c r="C128" s="202" t="s">
        <v>2447</v>
      </c>
    </row>
    <row r="129" ht="17.25" spans="2:3">
      <c r="B129" s="202" t="s">
        <v>2544</v>
      </c>
      <c r="C129" s="202" t="s">
        <v>2447</v>
      </c>
    </row>
    <row r="130" ht="17.25" spans="2:3">
      <c r="B130" s="202" t="s">
        <v>2545</v>
      </c>
      <c r="C130" s="202" t="s">
        <v>2447</v>
      </c>
    </row>
    <row r="131" ht="17.25" spans="2:3">
      <c r="B131" s="202" t="s">
        <v>2546</v>
      </c>
      <c r="C131" s="202" t="s">
        <v>2447</v>
      </c>
    </row>
    <row r="132" ht="17.25" spans="2:3">
      <c r="B132" s="202" t="s">
        <v>2547</v>
      </c>
      <c r="C132" s="202" t="s">
        <v>2447</v>
      </c>
    </row>
    <row r="133" ht="17.25" spans="2:3">
      <c r="B133" s="202" t="s">
        <v>2548</v>
      </c>
      <c r="C133" s="202" t="s">
        <v>2447</v>
      </c>
    </row>
    <row r="134" ht="17.25" spans="2:3">
      <c r="B134" s="202" t="s">
        <v>2549</v>
      </c>
      <c r="C134" s="202" t="s">
        <v>2447</v>
      </c>
    </row>
    <row r="135" ht="17.25" spans="2:3">
      <c r="B135" s="202" t="s">
        <v>2550</v>
      </c>
      <c r="C135" s="202" t="s">
        <v>2447</v>
      </c>
    </row>
    <row r="136" ht="17.25" spans="2:3">
      <c r="B136" s="202" t="s">
        <v>2551</v>
      </c>
      <c r="C136" s="202" t="s">
        <v>2447</v>
      </c>
    </row>
    <row r="137" ht="17.25" spans="2:3">
      <c r="B137" s="202" t="s">
        <v>2552</v>
      </c>
      <c r="C137" s="202" t="s">
        <v>2447</v>
      </c>
    </row>
    <row r="138" ht="17.25" spans="2:3">
      <c r="B138" s="202" t="s">
        <v>2553</v>
      </c>
      <c r="C138" s="202" t="s">
        <v>2447</v>
      </c>
    </row>
    <row r="139" ht="17.25" spans="2:3">
      <c r="B139" s="202" t="s">
        <v>2554</v>
      </c>
      <c r="C139" s="202" t="s">
        <v>2447</v>
      </c>
    </row>
    <row r="140" ht="17.25" spans="2:3">
      <c r="B140" s="202" t="s">
        <v>2555</v>
      </c>
      <c r="C140" s="202" t="s">
        <v>2447</v>
      </c>
    </row>
    <row r="141" ht="17.25" spans="2:3">
      <c r="B141" s="202" t="s">
        <v>2556</v>
      </c>
      <c r="C141" s="202" t="s">
        <v>2447</v>
      </c>
    </row>
    <row r="142" ht="17.25" spans="2:3">
      <c r="B142" s="202" t="s">
        <v>2557</v>
      </c>
      <c r="C142" s="202" t="s">
        <v>2447</v>
      </c>
    </row>
    <row r="143" ht="17.25" spans="2:3">
      <c r="B143" s="202" t="s">
        <v>2558</v>
      </c>
      <c r="C143" s="202" t="s">
        <v>2447</v>
      </c>
    </row>
    <row r="144" ht="17.25" spans="2:3">
      <c r="B144" s="202" t="s">
        <v>2559</v>
      </c>
      <c r="C144" s="202" t="s">
        <v>2447</v>
      </c>
    </row>
    <row r="145" ht="17.25" spans="2:3">
      <c r="B145" s="202" t="s">
        <v>2560</v>
      </c>
      <c r="C145" s="202" t="s">
        <v>2447</v>
      </c>
    </row>
    <row r="146" ht="17.25" spans="2:3">
      <c r="B146" s="202" t="s">
        <v>2561</v>
      </c>
      <c r="C146" s="202" t="s">
        <v>2447</v>
      </c>
    </row>
    <row r="147" ht="17.25" spans="2:3">
      <c r="B147" s="202" t="s">
        <v>2562</v>
      </c>
      <c r="C147" s="202" t="s">
        <v>2447</v>
      </c>
    </row>
    <row r="148" ht="17.25" spans="2:3">
      <c r="B148" s="202" t="s">
        <v>2563</v>
      </c>
      <c r="C148" s="202" t="s">
        <v>2447</v>
      </c>
    </row>
    <row r="149" ht="17.25" spans="2:3">
      <c r="B149" s="202" t="s">
        <v>2564</v>
      </c>
      <c r="C149" s="202" t="s">
        <v>2447</v>
      </c>
    </row>
    <row r="150" ht="17.25" spans="2:3">
      <c r="B150" s="202" t="s">
        <v>2565</v>
      </c>
      <c r="C150" s="202" t="s">
        <v>2447</v>
      </c>
    </row>
    <row r="151" ht="17.25" spans="2:3">
      <c r="B151" s="202" t="s">
        <v>2566</v>
      </c>
      <c r="C151" s="202" t="s">
        <v>2447</v>
      </c>
    </row>
    <row r="152" ht="17.25" spans="2:3">
      <c r="B152" s="202" t="s">
        <v>2567</v>
      </c>
      <c r="C152" s="202" t="s">
        <v>2447</v>
      </c>
    </row>
    <row r="153" ht="17.25" spans="2:3">
      <c r="B153" s="202" t="s">
        <v>2568</v>
      </c>
      <c r="C153" s="202" t="s">
        <v>2447</v>
      </c>
    </row>
    <row r="154" ht="17.25" spans="2:3">
      <c r="B154" s="202" t="s">
        <v>2569</v>
      </c>
      <c r="C154" s="202" t="s">
        <v>2447</v>
      </c>
    </row>
    <row r="155" ht="17.25" spans="2:3">
      <c r="B155" s="202" t="s">
        <v>2570</v>
      </c>
      <c r="C155" s="202" t="s">
        <v>2447</v>
      </c>
    </row>
    <row r="156" ht="17.25" spans="2:3">
      <c r="B156" s="202" t="s">
        <v>2571</v>
      </c>
      <c r="C156" s="202" t="s">
        <v>2447</v>
      </c>
    </row>
    <row r="157" ht="17.25" spans="2:3">
      <c r="B157" s="202" t="s">
        <v>2572</v>
      </c>
      <c r="C157" s="202" t="s">
        <v>2447</v>
      </c>
    </row>
    <row r="158" ht="17.25" spans="2:3">
      <c r="B158" s="202" t="s">
        <v>2573</v>
      </c>
      <c r="C158" s="202" t="s">
        <v>2447</v>
      </c>
    </row>
    <row r="159" ht="17.25" spans="2:3">
      <c r="B159" s="202" t="s">
        <v>2574</v>
      </c>
      <c r="C159" s="202" t="s">
        <v>2447</v>
      </c>
    </row>
    <row r="160" ht="17.25" spans="2:3">
      <c r="B160" s="202" t="s">
        <v>2575</v>
      </c>
      <c r="C160" s="202" t="s">
        <v>2447</v>
      </c>
    </row>
    <row r="161" ht="17.25" spans="2:3">
      <c r="B161" s="202" t="s">
        <v>2576</v>
      </c>
      <c r="C161" s="202" t="s">
        <v>2447</v>
      </c>
    </row>
    <row r="162" ht="17.25" spans="2:3">
      <c r="B162" s="202" t="s">
        <v>2577</v>
      </c>
      <c r="C162" s="202" t="s">
        <v>2447</v>
      </c>
    </row>
    <row r="163" ht="17.25" spans="2:3">
      <c r="B163" s="202" t="s">
        <v>2578</v>
      </c>
      <c r="C163" s="202" t="s">
        <v>2447</v>
      </c>
    </row>
    <row r="164" ht="17.25" spans="2:3">
      <c r="B164" s="202" t="s">
        <v>2579</v>
      </c>
      <c r="C164" s="202" t="s">
        <v>2447</v>
      </c>
    </row>
    <row r="165" ht="17.25" spans="2:3">
      <c r="B165" s="202" t="s">
        <v>2580</v>
      </c>
      <c r="C165" s="202" t="s">
        <v>2447</v>
      </c>
    </row>
    <row r="166" ht="17.25" spans="2:3">
      <c r="B166" s="202" t="s">
        <v>2581</v>
      </c>
      <c r="C166" s="202" t="s">
        <v>2447</v>
      </c>
    </row>
    <row r="167" ht="17.25" spans="2:3">
      <c r="B167" s="202" t="s">
        <v>2582</v>
      </c>
      <c r="C167" s="202" t="s">
        <v>2447</v>
      </c>
    </row>
    <row r="168" ht="17.25" spans="2:3">
      <c r="B168" s="202" t="s">
        <v>2583</v>
      </c>
      <c r="C168" s="202" t="s">
        <v>2447</v>
      </c>
    </row>
    <row r="169" ht="17.25" spans="2:3">
      <c r="B169" s="202" t="s">
        <v>2584</v>
      </c>
      <c r="C169" s="202" t="s">
        <v>2447</v>
      </c>
    </row>
    <row r="170" ht="17.25" spans="2:3">
      <c r="B170" s="202" t="s">
        <v>2585</v>
      </c>
      <c r="C170" s="202" t="s">
        <v>2447</v>
      </c>
    </row>
    <row r="171" ht="17.25" spans="2:3">
      <c r="B171" s="202" t="s">
        <v>2586</v>
      </c>
      <c r="C171" s="202" t="s">
        <v>2447</v>
      </c>
    </row>
    <row r="172" ht="17.25" spans="2:3">
      <c r="B172" s="202" t="s">
        <v>2587</v>
      </c>
      <c r="C172" s="202" t="s">
        <v>2447</v>
      </c>
    </row>
    <row r="173" ht="17.25" spans="2:3">
      <c r="B173" s="202" t="s">
        <v>2588</v>
      </c>
      <c r="C173" s="202" t="s">
        <v>2447</v>
      </c>
    </row>
    <row r="174" ht="17.25" spans="2:3">
      <c r="B174" s="202" t="s">
        <v>2589</v>
      </c>
      <c r="C174" s="202" t="s">
        <v>2447</v>
      </c>
    </row>
    <row r="175" ht="17.25" spans="2:3">
      <c r="B175" s="202" t="s">
        <v>2590</v>
      </c>
      <c r="C175" s="202" t="s">
        <v>2447</v>
      </c>
    </row>
    <row r="176" ht="17.25" spans="2:3">
      <c r="B176" s="202" t="s">
        <v>2591</v>
      </c>
      <c r="C176" s="202" t="s">
        <v>2447</v>
      </c>
    </row>
    <row r="177" ht="17.25" spans="2:3">
      <c r="B177" s="200" t="s">
        <v>2592</v>
      </c>
      <c r="C177" s="200" t="s">
        <v>2446</v>
      </c>
    </row>
    <row r="178" ht="17.25" spans="2:3">
      <c r="B178" s="202" t="s">
        <v>2593</v>
      </c>
      <c r="C178" s="202" t="s">
        <v>2447</v>
      </c>
    </row>
    <row r="179" ht="17.25" spans="2:3">
      <c r="B179" s="202" t="s">
        <v>2594</v>
      </c>
      <c r="C179" s="202" t="s">
        <v>2447</v>
      </c>
    </row>
    <row r="180" ht="17.25" spans="2:3">
      <c r="B180" s="202" t="s">
        <v>2595</v>
      </c>
      <c r="C180" s="202" t="s">
        <v>2447</v>
      </c>
    </row>
    <row r="181" ht="17.25" spans="2:3">
      <c r="B181" s="202" t="s">
        <v>2596</v>
      </c>
      <c r="C181" s="202" t="s">
        <v>2447</v>
      </c>
    </row>
    <row r="182" ht="17.25" spans="2:3">
      <c r="B182" s="200" t="s">
        <v>2597</v>
      </c>
      <c r="C182" s="200" t="s">
        <v>2446</v>
      </c>
    </row>
    <row r="183" ht="17.25" spans="2:3">
      <c r="B183" s="202" t="s">
        <v>2598</v>
      </c>
      <c r="C183" s="202" t="s">
        <v>2447</v>
      </c>
    </row>
    <row r="184" ht="17.25" spans="2:3">
      <c r="B184" s="202" t="s">
        <v>2599</v>
      </c>
      <c r="C184" s="202" t="s">
        <v>2447</v>
      </c>
    </row>
    <row r="185" ht="17.25" spans="2:3">
      <c r="B185" s="202" t="s">
        <v>2600</v>
      </c>
      <c r="C185" s="202" t="s">
        <v>2447</v>
      </c>
    </row>
    <row r="186" ht="17.25" spans="2:3">
      <c r="B186" s="202" t="s">
        <v>2601</v>
      </c>
      <c r="C186" s="202" t="s">
        <v>2447</v>
      </c>
    </row>
    <row r="187" ht="17.25" spans="2:3">
      <c r="B187" s="202" t="s">
        <v>2602</v>
      </c>
      <c r="C187" s="202" t="s">
        <v>2447</v>
      </c>
    </row>
    <row r="188" ht="17.25" spans="2:3">
      <c r="B188" s="202" t="s">
        <v>2603</v>
      </c>
      <c r="C188" s="202" t="s">
        <v>2447</v>
      </c>
    </row>
    <row r="189" ht="17.25" spans="2:3">
      <c r="B189" s="202" t="s">
        <v>2604</v>
      </c>
      <c r="C189" s="202" t="s">
        <v>2447</v>
      </c>
    </row>
    <row r="190" ht="17.25" spans="2:3">
      <c r="B190" s="202" t="s">
        <v>2605</v>
      </c>
      <c r="C190" s="202" t="s">
        <v>2447</v>
      </c>
    </row>
    <row r="191" ht="17.25" spans="2:3">
      <c r="B191" s="202" t="s">
        <v>2606</v>
      </c>
      <c r="C191" s="202" t="s">
        <v>2447</v>
      </c>
    </row>
    <row r="192" ht="17.25" spans="2:3">
      <c r="B192" s="202" t="s">
        <v>2607</v>
      </c>
      <c r="C192" s="202" t="s">
        <v>2447</v>
      </c>
    </row>
    <row r="193" ht="17.25" spans="2:3">
      <c r="B193" s="202" t="s">
        <v>2608</v>
      </c>
      <c r="C193" s="202" t="s">
        <v>2447</v>
      </c>
    </row>
    <row r="194" ht="17.25" spans="2:3">
      <c r="B194" s="202" t="s">
        <v>2609</v>
      </c>
      <c r="C194" s="202" t="s">
        <v>2447</v>
      </c>
    </row>
    <row r="195" ht="17.25" spans="2:3">
      <c r="B195" s="202" t="s">
        <v>2610</v>
      </c>
      <c r="C195" s="202" t="s">
        <v>2447</v>
      </c>
    </row>
    <row r="196" ht="17.25" spans="2:3">
      <c r="B196" s="202" t="s">
        <v>2611</v>
      </c>
      <c r="C196" s="202" t="s">
        <v>2447</v>
      </c>
    </row>
    <row r="197" ht="17.25" spans="2:3">
      <c r="B197" s="202" t="s">
        <v>2612</v>
      </c>
      <c r="C197" s="202" t="s">
        <v>2447</v>
      </c>
    </row>
    <row r="198" ht="17.25" spans="2:3">
      <c r="B198" s="202" t="s">
        <v>2613</v>
      </c>
      <c r="C198" s="202" t="s">
        <v>2447</v>
      </c>
    </row>
    <row r="199" ht="17.25" spans="2:3">
      <c r="B199" s="202" t="s">
        <v>2614</v>
      </c>
      <c r="C199" s="202" t="s">
        <v>2447</v>
      </c>
    </row>
    <row r="200" ht="17.25" spans="2:3">
      <c r="B200" s="202" t="s">
        <v>2615</v>
      </c>
      <c r="C200" s="202" t="s">
        <v>2447</v>
      </c>
    </row>
    <row r="201" ht="17.25" spans="2:3">
      <c r="B201" s="202" t="s">
        <v>2616</v>
      </c>
      <c r="C201" s="202" t="s">
        <v>2447</v>
      </c>
    </row>
    <row r="202" ht="17.25" spans="2:3">
      <c r="B202" s="202" t="s">
        <v>2617</v>
      </c>
      <c r="C202" s="202" t="s">
        <v>2447</v>
      </c>
    </row>
    <row r="203" ht="17.25" spans="2:3">
      <c r="B203" s="202" t="s">
        <v>2618</v>
      </c>
      <c r="C203" s="202" t="s">
        <v>2447</v>
      </c>
    </row>
    <row r="204" ht="17.25" spans="2:3">
      <c r="B204" s="202" t="s">
        <v>2619</v>
      </c>
      <c r="C204" s="202" t="s">
        <v>2447</v>
      </c>
    </row>
    <row r="205" ht="17.25" spans="2:3">
      <c r="B205" s="202" t="s">
        <v>2620</v>
      </c>
      <c r="C205" s="202" t="s">
        <v>2447</v>
      </c>
    </row>
    <row r="206" ht="17.25" spans="2:3">
      <c r="B206" s="202" t="s">
        <v>2621</v>
      </c>
      <c r="C206" s="202" t="s">
        <v>2447</v>
      </c>
    </row>
    <row r="207" ht="17.25" spans="2:3">
      <c r="B207" s="202" t="s">
        <v>2622</v>
      </c>
      <c r="C207" s="202" t="s">
        <v>2447</v>
      </c>
    </row>
    <row r="208" ht="17.25" spans="2:3">
      <c r="B208" s="202" t="s">
        <v>2623</v>
      </c>
      <c r="C208" s="202" t="s">
        <v>2447</v>
      </c>
    </row>
    <row r="209" ht="17.25" spans="2:3">
      <c r="B209" s="202" t="s">
        <v>2624</v>
      </c>
      <c r="C209" s="202" t="s">
        <v>2447</v>
      </c>
    </row>
    <row r="210" ht="17.25" spans="2:3">
      <c r="B210" s="202" t="s">
        <v>2625</v>
      </c>
      <c r="C210" s="202" t="s">
        <v>2447</v>
      </c>
    </row>
    <row r="211" ht="17.25" spans="2:3">
      <c r="B211" s="202" t="s">
        <v>2626</v>
      </c>
      <c r="C211" s="202" t="s">
        <v>2447</v>
      </c>
    </row>
    <row r="212" ht="17.25" spans="2:3">
      <c r="B212" s="202" t="s">
        <v>2627</v>
      </c>
      <c r="C212" s="202" t="s">
        <v>2447</v>
      </c>
    </row>
    <row r="213" ht="17.25" spans="2:3">
      <c r="B213" s="202" t="s">
        <v>2628</v>
      </c>
      <c r="C213" s="202" t="s">
        <v>2447</v>
      </c>
    </row>
    <row r="214" ht="17.25" spans="2:3">
      <c r="B214" s="202" t="s">
        <v>2629</v>
      </c>
      <c r="C214" s="202" t="s">
        <v>2447</v>
      </c>
    </row>
    <row r="215" ht="17.25" spans="2:3">
      <c r="B215" s="202" t="s">
        <v>2630</v>
      </c>
      <c r="C215" s="202" t="s">
        <v>2447</v>
      </c>
    </row>
    <row r="216" ht="17.25" spans="2:3">
      <c r="B216" s="202" t="s">
        <v>2631</v>
      </c>
      <c r="C216" s="202" t="s">
        <v>2447</v>
      </c>
    </row>
    <row r="217" ht="17.25" spans="2:3">
      <c r="B217" s="202" t="s">
        <v>2632</v>
      </c>
      <c r="C217" s="202" t="s">
        <v>2447</v>
      </c>
    </row>
    <row r="218" ht="17.25" spans="2:3">
      <c r="B218" s="202" t="s">
        <v>2633</v>
      </c>
      <c r="C218" s="202" t="s">
        <v>2447</v>
      </c>
    </row>
    <row r="219" ht="17.25" spans="2:3">
      <c r="B219" s="202" t="s">
        <v>2634</v>
      </c>
      <c r="C219" s="202" t="s">
        <v>2447</v>
      </c>
    </row>
    <row r="220" ht="17.25" spans="2:3">
      <c r="B220" s="202" t="s">
        <v>2635</v>
      </c>
      <c r="C220" s="202" t="s">
        <v>2447</v>
      </c>
    </row>
    <row r="221" ht="17.25" spans="2:3">
      <c r="B221" s="202" t="s">
        <v>2636</v>
      </c>
      <c r="C221" s="202" t="s">
        <v>2447</v>
      </c>
    </row>
    <row r="222" ht="17.25" spans="2:3">
      <c r="B222" s="202" t="s">
        <v>2637</v>
      </c>
      <c r="C222" s="202" t="s">
        <v>2447</v>
      </c>
    </row>
    <row r="223" ht="17.25" spans="2:3">
      <c r="B223" s="202" t="s">
        <v>2638</v>
      </c>
      <c r="C223" s="202" t="s">
        <v>2447</v>
      </c>
    </row>
    <row r="224" ht="17.25" spans="2:3">
      <c r="B224" s="202" t="s">
        <v>2639</v>
      </c>
      <c r="C224" s="202" t="s">
        <v>2447</v>
      </c>
    </row>
    <row r="225" ht="17.25" spans="2:3">
      <c r="B225" s="202" t="s">
        <v>2640</v>
      </c>
      <c r="C225" s="202" t="s">
        <v>2447</v>
      </c>
    </row>
    <row r="226" ht="17.25" spans="2:3">
      <c r="B226" s="202" t="s">
        <v>2641</v>
      </c>
      <c r="C226" s="202" t="s">
        <v>2447</v>
      </c>
    </row>
    <row r="227" ht="17.25" spans="2:3">
      <c r="B227" s="202" t="s">
        <v>2642</v>
      </c>
      <c r="C227" s="202" t="s">
        <v>2447</v>
      </c>
    </row>
    <row r="228" ht="17.25" spans="2:3">
      <c r="B228" s="202" t="s">
        <v>2643</v>
      </c>
      <c r="C228" s="202" t="s">
        <v>2447</v>
      </c>
    </row>
    <row r="229" ht="17.25" spans="2:3">
      <c r="B229" s="202" t="s">
        <v>2644</v>
      </c>
      <c r="C229" s="202" t="s">
        <v>2447</v>
      </c>
    </row>
    <row r="230" ht="17.25" spans="2:3">
      <c r="B230" s="202" t="s">
        <v>2645</v>
      </c>
      <c r="C230" s="202" t="s">
        <v>2447</v>
      </c>
    </row>
    <row r="231" ht="17.25" spans="2:3">
      <c r="B231" s="202" t="s">
        <v>2646</v>
      </c>
      <c r="C231" s="202" t="s">
        <v>2447</v>
      </c>
    </row>
    <row r="232" ht="17.25" spans="2:3">
      <c r="B232" s="202" t="s">
        <v>2647</v>
      </c>
      <c r="C232" s="202" t="s">
        <v>2447</v>
      </c>
    </row>
    <row r="233" ht="17.25" spans="2:3">
      <c r="B233" s="202" t="s">
        <v>2648</v>
      </c>
      <c r="C233" s="202" t="s">
        <v>2447</v>
      </c>
    </row>
    <row r="234" ht="17.25" spans="2:3">
      <c r="B234" s="202" t="s">
        <v>2649</v>
      </c>
      <c r="C234" s="202" t="s">
        <v>2447</v>
      </c>
    </row>
    <row r="235" ht="17.25" spans="2:3">
      <c r="B235" s="202" t="s">
        <v>2650</v>
      </c>
      <c r="C235" s="202" t="s">
        <v>2447</v>
      </c>
    </row>
    <row r="236" ht="17.25" spans="2:3">
      <c r="B236" s="202" t="s">
        <v>2651</v>
      </c>
      <c r="C236" s="202" t="s">
        <v>2447</v>
      </c>
    </row>
    <row r="237" ht="17.25" spans="2:3">
      <c r="B237" s="202" t="s">
        <v>2652</v>
      </c>
      <c r="C237" s="202" t="s">
        <v>2447</v>
      </c>
    </row>
    <row r="238" ht="17.25" spans="2:3">
      <c r="B238" s="202" t="s">
        <v>2653</v>
      </c>
      <c r="C238" s="202" t="s">
        <v>2447</v>
      </c>
    </row>
    <row r="239" ht="17.25" spans="2:3">
      <c r="B239" s="202" t="s">
        <v>2654</v>
      </c>
      <c r="C239" s="202" t="s">
        <v>2447</v>
      </c>
    </row>
    <row r="240" ht="17.25" spans="2:3">
      <c r="B240" s="202" t="s">
        <v>2655</v>
      </c>
      <c r="C240" s="202" t="s">
        <v>2447</v>
      </c>
    </row>
    <row r="241" ht="17.25" spans="2:3">
      <c r="B241" s="202" t="s">
        <v>2656</v>
      </c>
      <c r="C241" s="202" t="s">
        <v>2447</v>
      </c>
    </row>
    <row r="242" ht="17.25" spans="2:3">
      <c r="B242" s="202" t="s">
        <v>2657</v>
      </c>
      <c r="C242" s="202" t="s">
        <v>2447</v>
      </c>
    </row>
    <row r="243" ht="17.25" spans="2:3">
      <c r="B243" s="202" t="s">
        <v>2658</v>
      </c>
      <c r="C243" s="202" t="s">
        <v>2447</v>
      </c>
    </row>
    <row r="244" ht="17.25" spans="2:3">
      <c r="B244" s="202" t="s">
        <v>2659</v>
      </c>
      <c r="C244" s="202" t="s">
        <v>2447</v>
      </c>
    </row>
    <row r="245" ht="17.25" spans="2:3">
      <c r="B245" s="202" t="s">
        <v>2660</v>
      </c>
      <c r="C245" s="202" t="s">
        <v>2447</v>
      </c>
    </row>
    <row r="246" ht="17.25" spans="2:3">
      <c r="B246" s="202" t="s">
        <v>2661</v>
      </c>
      <c r="C246" s="202" t="s">
        <v>2447</v>
      </c>
    </row>
    <row r="247" ht="17.25" spans="2:3">
      <c r="B247" s="202" t="s">
        <v>2662</v>
      </c>
      <c r="C247" s="202" t="s">
        <v>2447</v>
      </c>
    </row>
    <row r="248" ht="17.25" spans="2:3">
      <c r="B248" s="202" t="s">
        <v>2663</v>
      </c>
      <c r="C248" s="202" t="s">
        <v>2447</v>
      </c>
    </row>
    <row r="249" ht="17.25" spans="2:3">
      <c r="B249" s="202" t="s">
        <v>2664</v>
      </c>
      <c r="C249" s="202" t="s">
        <v>2447</v>
      </c>
    </row>
    <row r="250" ht="17.25" spans="2:3">
      <c r="B250" s="202" t="s">
        <v>2665</v>
      </c>
      <c r="C250" s="202" t="s">
        <v>2447</v>
      </c>
    </row>
    <row r="251" ht="17.25" spans="2:3">
      <c r="B251" s="202" t="s">
        <v>2666</v>
      </c>
      <c r="C251" s="202" t="s">
        <v>2447</v>
      </c>
    </row>
    <row r="252" ht="17.25" spans="2:3">
      <c r="B252" s="202" t="s">
        <v>2667</v>
      </c>
      <c r="C252" s="202" t="s">
        <v>2447</v>
      </c>
    </row>
    <row r="253" ht="17.25" spans="2:3">
      <c r="B253" s="202" t="s">
        <v>2668</v>
      </c>
      <c r="C253" s="202" t="s">
        <v>2447</v>
      </c>
    </row>
    <row r="254" ht="17.25" spans="2:3">
      <c r="B254" s="202" t="s">
        <v>2669</v>
      </c>
      <c r="C254" s="202" t="s">
        <v>2447</v>
      </c>
    </row>
    <row r="255" ht="17.25" spans="2:3">
      <c r="B255" s="202" t="s">
        <v>2670</v>
      </c>
      <c r="C255" s="202" t="s">
        <v>2447</v>
      </c>
    </row>
    <row r="256" ht="17.25" spans="2:3">
      <c r="B256" s="202" t="s">
        <v>2671</v>
      </c>
      <c r="C256" s="202" t="s">
        <v>2447</v>
      </c>
    </row>
    <row r="257" ht="17.25" spans="2:3">
      <c r="B257" s="202" t="s">
        <v>2672</v>
      </c>
      <c r="C257" s="202" t="s">
        <v>2447</v>
      </c>
    </row>
    <row r="258" ht="17.25" spans="2:3">
      <c r="B258" s="202" t="s">
        <v>2673</v>
      </c>
      <c r="C258" s="202" t="s">
        <v>2447</v>
      </c>
    </row>
    <row r="259" ht="17.25" spans="2:3">
      <c r="B259" s="202" t="s">
        <v>2674</v>
      </c>
      <c r="C259" s="202" t="s">
        <v>2447</v>
      </c>
    </row>
    <row r="260" ht="17.25" spans="2:3">
      <c r="B260" s="202" t="s">
        <v>2675</v>
      </c>
      <c r="C260" s="202" t="s">
        <v>2447</v>
      </c>
    </row>
    <row r="261" ht="17.25" spans="2:3">
      <c r="B261" s="202" t="s">
        <v>2676</v>
      </c>
      <c r="C261" s="202" t="s">
        <v>2447</v>
      </c>
    </row>
    <row r="262" ht="17.25" spans="2:3">
      <c r="B262" s="202" t="s">
        <v>2677</v>
      </c>
      <c r="C262" s="202" t="s">
        <v>2447</v>
      </c>
    </row>
    <row r="263" ht="17.25" spans="2:3">
      <c r="B263" s="202" t="s">
        <v>2678</v>
      </c>
      <c r="C263" s="202" t="s">
        <v>2447</v>
      </c>
    </row>
    <row r="264" ht="17.25" spans="2:3">
      <c r="B264" s="202" t="s">
        <v>2679</v>
      </c>
      <c r="C264" s="202" t="s">
        <v>2447</v>
      </c>
    </row>
    <row r="265" ht="17.25" spans="2:3">
      <c r="B265" s="202" t="s">
        <v>2680</v>
      </c>
      <c r="C265" s="202" t="s">
        <v>2447</v>
      </c>
    </row>
    <row r="266" ht="17.25" spans="2:3">
      <c r="B266" s="202" t="s">
        <v>2681</v>
      </c>
      <c r="C266" s="202" t="s">
        <v>2447</v>
      </c>
    </row>
    <row r="267" ht="17.25" spans="2:3">
      <c r="B267" s="202" t="s">
        <v>2682</v>
      </c>
      <c r="C267" s="202" t="s">
        <v>2447</v>
      </c>
    </row>
    <row r="268" ht="17.25" spans="2:3">
      <c r="B268" s="202" t="s">
        <v>2683</v>
      </c>
      <c r="C268" s="202" t="s">
        <v>2447</v>
      </c>
    </row>
    <row r="269" ht="17.25" spans="2:3">
      <c r="B269" s="202" t="s">
        <v>2684</v>
      </c>
      <c r="C269" s="202" t="s">
        <v>2447</v>
      </c>
    </row>
    <row r="270" ht="17.25" spans="2:3">
      <c r="B270" s="202" t="s">
        <v>2685</v>
      </c>
      <c r="C270" s="202" t="s">
        <v>2447</v>
      </c>
    </row>
    <row r="271" ht="17.25" spans="2:3">
      <c r="B271" s="202" t="s">
        <v>2686</v>
      </c>
      <c r="C271" s="202" t="s">
        <v>2447</v>
      </c>
    </row>
    <row r="272" ht="17.25" spans="2:3">
      <c r="B272" s="202" t="s">
        <v>2687</v>
      </c>
      <c r="C272" s="202" t="s">
        <v>2447</v>
      </c>
    </row>
    <row r="273" ht="17.25" spans="2:3">
      <c r="B273" s="202" t="s">
        <v>2688</v>
      </c>
      <c r="C273" s="202" t="s">
        <v>2447</v>
      </c>
    </row>
    <row r="274" ht="17.25" spans="2:3">
      <c r="B274" s="202" t="s">
        <v>2689</v>
      </c>
      <c r="C274" s="202" t="s">
        <v>2447</v>
      </c>
    </row>
    <row r="275" ht="17.25" spans="2:3">
      <c r="B275" s="202" t="s">
        <v>2690</v>
      </c>
      <c r="C275" s="202" t="s">
        <v>2447</v>
      </c>
    </row>
    <row r="276" ht="17.25" spans="2:3">
      <c r="B276" s="202" t="s">
        <v>2691</v>
      </c>
      <c r="C276" s="202" t="s">
        <v>2447</v>
      </c>
    </row>
    <row r="277" ht="17.25" spans="2:3">
      <c r="B277" s="202" t="s">
        <v>2692</v>
      </c>
      <c r="C277" s="202" t="s">
        <v>2447</v>
      </c>
    </row>
    <row r="278" ht="17.25" spans="2:3">
      <c r="B278" s="202" t="s">
        <v>2693</v>
      </c>
      <c r="C278" s="202" t="s">
        <v>2447</v>
      </c>
    </row>
    <row r="279" ht="17.25" spans="2:3">
      <c r="B279" s="202" t="s">
        <v>2694</v>
      </c>
      <c r="C279" s="202" t="s">
        <v>2447</v>
      </c>
    </row>
    <row r="280" ht="17.25" spans="2:3">
      <c r="B280" s="202" t="s">
        <v>2695</v>
      </c>
      <c r="C280" s="202" t="s">
        <v>2447</v>
      </c>
    </row>
    <row r="281" ht="17.25" spans="2:3">
      <c r="B281" s="202" t="s">
        <v>2696</v>
      </c>
      <c r="C281" s="202" t="s">
        <v>2447</v>
      </c>
    </row>
    <row r="282" ht="17.25" spans="2:3">
      <c r="B282" s="202" t="s">
        <v>2697</v>
      </c>
      <c r="C282" s="202" t="s">
        <v>2447</v>
      </c>
    </row>
    <row r="283" ht="17.25" spans="2:3">
      <c r="B283" s="202" t="s">
        <v>2698</v>
      </c>
      <c r="C283" s="202" t="s">
        <v>2447</v>
      </c>
    </row>
    <row r="284" ht="17.25" spans="2:3">
      <c r="B284" s="202" t="s">
        <v>2699</v>
      </c>
      <c r="C284" s="202" t="s">
        <v>2447</v>
      </c>
    </row>
    <row r="285" ht="17.25" spans="2:3">
      <c r="B285" s="202" t="s">
        <v>2700</v>
      </c>
      <c r="C285" s="202" t="s">
        <v>2447</v>
      </c>
    </row>
    <row r="286" ht="17.25" spans="2:3">
      <c r="B286" s="202" t="s">
        <v>2701</v>
      </c>
      <c r="C286" s="202" t="s">
        <v>2447</v>
      </c>
    </row>
    <row r="287" ht="17.25" spans="2:3">
      <c r="B287" s="202" t="s">
        <v>2702</v>
      </c>
      <c r="C287" s="202" t="s">
        <v>2447</v>
      </c>
    </row>
    <row r="288" ht="17.25" spans="2:3">
      <c r="B288" s="202" t="s">
        <v>2703</v>
      </c>
      <c r="C288" s="202" t="s">
        <v>2447</v>
      </c>
    </row>
    <row r="289" ht="17.25" spans="2:3">
      <c r="B289" s="202" t="s">
        <v>2704</v>
      </c>
      <c r="C289" s="202" t="s">
        <v>2447</v>
      </c>
    </row>
    <row r="290" ht="17.25" spans="2:3">
      <c r="B290" s="202" t="s">
        <v>2705</v>
      </c>
      <c r="C290" s="202" t="s">
        <v>2447</v>
      </c>
    </row>
    <row r="291" ht="17.25" spans="2:3">
      <c r="B291" s="202" t="s">
        <v>2706</v>
      </c>
      <c r="C291" s="202" t="s">
        <v>2447</v>
      </c>
    </row>
    <row r="292" ht="17.25" spans="2:3">
      <c r="B292" s="202" t="s">
        <v>2707</v>
      </c>
      <c r="C292" s="202" t="s">
        <v>2447</v>
      </c>
    </row>
    <row r="293" ht="17.25" spans="2:3">
      <c r="B293" s="202" t="s">
        <v>2708</v>
      </c>
      <c r="C293" s="202" t="s">
        <v>2447</v>
      </c>
    </row>
    <row r="294" ht="17.25" spans="2:3">
      <c r="B294" s="202" t="s">
        <v>2709</v>
      </c>
      <c r="C294" s="202" t="s">
        <v>2447</v>
      </c>
    </row>
    <row r="295" ht="17.25" spans="2:3">
      <c r="B295" s="202" t="s">
        <v>2710</v>
      </c>
      <c r="C295" s="202" t="s">
        <v>2447</v>
      </c>
    </row>
    <row r="296" ht="17.25" spans="2:3">
      <c r="B296" s="202" t="s">
        <v>2711</v>
      </c>
      <c r="C296" s="202" t="s">
        <v>2447</v>
      </c>
    </row>
    <row r="297" ht="17.25" spans="2:3">
      <c r="B297" s="202" t="s">
        <v>2712</v>
      </c>
      <c r="C297" s="202" t="s">
        <v>2447</v>
      </c>
    </row>
    <row r="298" ht="17.25" spans="2:3">
      <c r="B298" s="202" t="s">
        <v>2713</v>
      </c>
      <c r="C298" s="202" t="s">
        <v>2447</v>
      </c>
    </row>
    <row r="299" ht="17.25" spans="2:3">
      <c r="B299" s="202" t="s">
        <v>2714</v>
      </c>
      <c r="C299" s="202" t="s">
        <v>2447</v>
      </c>
    </row>
    <row r="300" ht="17.25" spans="2:3">
      <c r="B300" s="202" t="s">
        <v>2715</v>
      </c>
      <c r="C300" s="202" t="s">
        <v>2447</v>
      </c>
    </row>
    <row r="301" ht="17.25" spans="2:3">
      <c r="B301" s="202" t="s">
        <v>2716</v>
      </c>
      <c r="C301" s="202" t="s">
        <v>2447</v>
      </c>
    </row>
    <row r="302" ht="17.25" spans="2:3">
      <c r="B302" s="202" t="s">
        <v>2717</v>
      </c>
      <c r="C302" s="202" t="s">
        <v>2447</v>
      </c>
    </row>
    <row r="303" ht="17.25" spans="2:3">
      <c r="B303" s="202" t="s">
        <v>2718</v>
      </c>
      <c r="C303" s="202" t="s">
        <v>2447</v>
      </c>
    </row>
    <row r="304" ht="17.25" spans="2:3">
      <c r="B304" s="202" t="s">
        <v>2719</v>
      </c>
      <c r="C304" s="202" t="s">
        <v>2447</v>
      </c>
    </row>
    <row r="305" ht="17.25" spans="2:3">
      <c r="B305" s="202" t="s">
        <v>2720</v>
      </c>
      <c r="C305" s="202" t="s">
        <v>2447</v>
      </c>
    </row>
    <row r="306" ht="17.25" spans="2:3">
      <c r="B306" s="202" t="s">
        <v>2721</v>
      </c>
      <c r="C306" s="202" t="s">
        <v>2447</v>
      </c>
    </row>
    <row r="307" ht="17.25" spans="2:3">
      <c r="B307" s="202" t="s">
        <v>2722</v>
      </c>
      <c r="C307" s="202" t="s">
        <v>2447</v>
      </c>
    </row>
    <row r="308" ht="17.25" spans="2:3">
      <c r="B308" s="202" t="s">
        <v>2723</v>
      </c>
      <c r="C308" s="202" t="s">
        <v>2447</v>
      </c>
    </row>
    <row r="309" ht="17.25" spans="2:3">
      <c r="B309" s="202" t="s">
        <v>2724</v>
      </c>
      <c r="C309" s="202" t="s">
        <v>2447</v>
      </c>
    </row>
    <row r="310" ht="17.25" spans="2:3">
      <c r="B310" s="202" t="s">
        <v>2725</v>
      </c>
      <c r="C310" s="202" t="s">
        <v>2447</v>
      </c>
    </row>
    <row r="311" ht="17.25" spans="2:3">
      <c r="B311" s="202" t="s">
        <v>2726</v>
      </c>
      <c r="C311" s="202" t="s">
        <v>2447</v>
      </c>
    </row>
    <row r="312" ht="17.25" spans="2:3">
      <c r="B312" s="202" t="s">
        <v>2727</v>
      </c>
      <c r="C312" s="202" t="s">
        <v>2447</v>
      </c>
    </row>
    <row r="313" ht="17.25" spans="2:3">
      <c r="B313" s="202" t="s">
        <v>2728</v>
      </c>
      <c r="C313" s="202" t="s">
        <v>2447</v>
      </c>
    </row>
    <row r="314" ht="17.25" spans="2:3">
      <c r="B314" s="202" t="s">
        <v>2729</v>
      </c>
      <c r="C314" s="202" t="s">
        <v>2447</v>
      </c>
    </row>
    <row r="315" ht="17.25" spans="2:3">
      <c r="B315" s="202" t="s">
        <v>2730</v>
      </c>
      <c r="C315" s="202" t="s">
        <v>2447</v>
      </c>
    </row>
    <row r="316" ht="17.25" spans="2:3">
      <c r="B316" s="202" t="s">
        <v>2731</v>
      </c>
      <c r="C316" s="202" t="s">
        <v>2447</v>
      </c>
    </row>
    <row r="317" ht="17.25" spans="2:3">
      <c r="B317" s="202" t="s">
        <v>2732</v>
      </c>
      <c r="C317" s="202" t="s">
        <v>2447</v>
      </c>
    </row>
    <row r="318" ht="17.25" spans="2:3">
      <c r="B318" s="202" t="s">
        <v>2733</v>
      </c>
      <c r="C318" s="202" t="s">
        <v>2447</v>
      </c>
    </row>
    <row r="319" ht="17.25" spans="2:3">
      <c r="B319" s="202" t="s">
        <v>2734</v>
      </c>
      <c r="C319" s="202" t="s">
        <v>2447</v>
      </c>
    </row>
    <row r="320" ht="17.25" spans="2:3">
      <c r="B320" s="202" t="s">
        <v>2735</v>
      </c>
      <c r="C320" s="202" t="s">
        <v>2447</v>
      </c>
    </row>
    <row r="321" ht="17.25" spans="2:3">
      <c r="B321" s="202" t="s">
        <v>2736</v>
      </c>
      <c r="C321" s="202" t="s">
        <v>2447</v>
      </c>
    </row>
    <row r="322" ht="17.25" spans="2:3">
      <c r="B322" s="202" t="s">
        <v>2737</v>
      </c>
      <c r="C322" s="202" t="s">
        <v>2447</v>
      </c>
    </row>
    <row r="323" ht="17.25" spans="2:3">
      <c r="B323" s="202" t="s">
        <v>2738</v>
      </c>
      <c r="C323" s="202" t="s">
        <v>2447</v>
      </c>
    </row>
    <row r="324" ht="17.25" spans="2:3">
      <c r="B324" s="202" t="s">
        <v>2739</v>
      </c>
      <c r="C324" s="202" t="s">
        <v>2447</v>
      </c>
    </row>
    <row r="325" ht="17.25" spans="2:3">
      <c r="B325" s="202" t="s">
        <v>2740</v>
      </c>
      <c r="C325" s="202" t="s">
        <v>2447</v>
      </c>
    </row>
    <row r="326" ht="17.25" spans="2:3">
      <c r="B326" s="202" t="s">
        <v>2741</v>
      </c>
      <c r="C326" s="202" t="s">
        <v>2447</v>
      </c>
    </row>
    <row r="327" ht="17.25" spans="2:3">
      <c r="B327" s="202" t="s">
        <v>2742</v>
      </c>
      <c r="C327" s="202" t="s">
        <v>2447</v>
      </c>
    </row>
    <row r="328" ht="17.25" spans="2:3">
      <c r="B328" s="202" t="s">
        <v>2743</v>
      </c>
      <c r="C328" s="202" t="s">
        <v>2447</v>
      </c>
    </row>
    <row r="329" ht="17.25" spans="2:3">
      <c r="B329" s="202" t="s">
        <v>2744</v>
      </c>
      <c r="C329" s="202" t="s">
        <v>2447</v>
      </c>
    </row>
    <row r="330" ht="17.25" spans="2:3">
      <c r="B330" s="202" t="s">
        <v>2745</v>
      </c>
      <c r="C330" s="202" t="s">
        <v>2447</v>
      </c>
    </row>
    <row r="331" ht="17.25" spans="2:3">
      <c r="B331" s="202" t="s">
        <v>2746</v>
      </c>
      <c r="C331" s="202" t="s">
        <v>2447</v>
      </c>
    </row>
    <row r="332" ht="17.25" spans="2:3">
      <c r="B332" s="202" t="s">
        <v>2747</v>
      </c>
      <c r="C332" s="202" t="s">
        <v>2447</v>
      </c>
    </row>
    <row r="333" ht="17.25" spans="2:3">
      <c r="B333" s="202" t="s">
        <v>2748</v>
      </c>
      <c r="C333" s="202" t="s">
        <v>2447</v>
      </c>
    </row>
    <row r="334" ht="17.25" spans="2:3">
      <c r="B334" s="202" t="s">
        <v>2749</v>
      </c>
      <c r="C334" s="202" t="s">
        <v>2447</v>
      </c>
    </row>
    <row r="335" ht="17.25" spans="2:3">
      <c r="B335" s="202" t="s">
        <v>2750</v>
      </c>
      <c r="C335" s="202" t="s">
        <v>2447</v>
      </c>
    </row>
    <row r="336" ht="17.25" spans="2:3">
      <c r="B336" s="202" t="s">
        <v>2751</v>
      </c>
      <c r="C336" s="202" t="s">
        <v>2447</v>
      </c>
    </row>
    <row r="337" ht="17.25" spans="2:3">
      <c r="B337" s="202" t="s">
        <v>2752</v>
      </c>
      <c r="C337" s="202" t="s">
        <v>2447</v>
      </c>
    </row>
    <row r="338" ht="17.25" spans="2:3">
      <c r="B338" s="202" t="s">
        <v>2753</v>
      </c>
      <c r="C338" s="202" t="s">
        <v>2447</v>
      </c>
    </row>
    <row r="339" ht="17.25" spans="2:3">
      <c r="B339" s="202" t="s">
        <v>2754</v>
      </c>
      <c r="C339" s="202" t="s">
        <v>2447</v>
      </c>
    </row>
    <row r="340" ht="17.25" spans="2:3">
      <c r="B340" s="202" t="s">
        <v>2755</v>
      </c>
      <c r="C340" s="202" t="s">
        <v>2447</v>
      </c>
    </row>
    <row r="341" ht="17.25" spans="2:3">
      <c r="B341" s="202" t="s">
        <v>2756</v>
      </c>
      <c r="C341" s="202" t="s">
        <v>2447</v>
      </c>
    </row>
    <row r="342" ht="17.25" spans="2:3">
      <c r="B342" s="202" t="s">
        <v>2757</v>
      </c>
      <c r="C342" s="202" t="s">
        <v>2447</v>
      </c>
    </row>
    <row r="343" ht="17.25" spans="2:3">
      <c r="B343" s="202" t="s">
        <v>2758</v>
      </c>
      <c r="C343" s="202" t="s">
        <v>2447</v>
      </c>
    </row>
    <row r="344" ht="17.25" spans="2:3">
      <c r="B344" s="202" t="s">
        <v>2759</v>
      </c>
      <c r="C344" s="202" t="s">
        <v>2447</v>
      </c>
    </row>
    <row r="345" ht="17.25" spans="2:3">
      <c r="B345" s="202" t="s">
        <v>2760</v>
      </c>
      <c r="C345" s="202" t="s">
        <v>2447</v>
      </c>
    </row>
    <row r="346" ht="17.25" spans="2:3">
      <c r="B346" s="202" t="s">
        <v>2761</v>
      </c>
      <c r="C346" s="202" t="s">
        <v>2447</v>
      </c>
    </row>
    <row r="347" ht="17.25" spans="2:3">
      <c r="B347" s="202" t="s">
        <v>2762</v>
      </c>
      <c r="C347" s="202" t="s">
        <v>2447</v>
      </c>
    </row>
    <row r="348" ht="17.25" spans="2:3">
      <c r="B348" s="202" t="s">
        <v>2763</v>
      </c>
      <c r="C348" s="202" t="s">
        <v>2447</v>
      </c>
    </row>
    <row r="349" ht="17.25" spans="2:3">
      <c r="B349" s="202" t="s">
        <v>2764</v>
      </c>
      <c r="C349" s="202" t="s">
        <v>2447</v>
      </c>
    </row>
    <row r="350" ht="17.25" spans="2:3">
      <c r="B350" s="202" t="s">
        <v>2765</v>
      </c>
      <c r="C350" s="202" t="s">
        <v>2447</v>
      </c>
    </row>
    <row r="351" ht="17.25" spans="2:3">
      <c r="B351" s="202" t="s">
        <v>2766</v>
      </c>
      <c r="C351" s="202" t="s">
        <v>2447</v>
      </c>
    </row>
    <row r="352" ht="17.25" spans="2:3">
      <c r="B352" s="202" t="s">
        <v>2767</v>
      </c>
      <c r="C352" s="202" t="s">
        <v>2447</v>
      </c>
    </row>
    <row r="353" ht="17.25" spans="2:3">
      <c r="B353" s="202" t="s">
        <v>2768</v>
      </c>
      <c r="C353" s="202" t="s">
        <v>2447</v>
      </c>
    </row>
    <row r="354" ht="17.25" spans="2:3">
      <c r="B354" s="202" t="s">
        <v>2769</v>
      </c>
      <c r="C354" s="202" t="s">
        <v>2447</v>
      </c>
    </row>
    <row r="355" ht="17.25" spans="2:3">
      <c r="B355" s="202" t="s">
        <v>2770</v>
      </c>
      <c r="C355" s="202" t="s">
        <v>2447</v>
      </c>
    </row>
    <row r="356" ht="17.25" spans="2:3">
      <c r="B356" s="202" t="s">
        <v>2771</v>
      </c>
      <c r="C356" s="202" t="s">
        <v>2447</v>
      </c>
    </row>
    <row r="357" ht="17.25" spans="2:3">
      <c r="B357" s="202" t="s">
        <v>2772</v>
      </c>
      <c r="C357" s="202" t="s">
        <v>2447</v>
      </c>
    </row>
    <row r="358" ht="17.25" spans="2:3">
      <c r="B358" s="202" t="s">
        <v>2773</v>
      </c>
      <c r="C358" s="202" t="s">
        <v>2447</v>
      </c>
    </row>
    <row r="359" ht="17.25" spans="2:3">
      <c r="B359" s="202" t="s">
        <v>2774</v>
      </c>
      <c r="C359" s="202" t="s">
        <v>2447</v>
      </c>
    </row>
    <row r="360" ht="17.25" spans="2:3">
      <c r="B360" s="202" t="s">
        <v>2775</v>
      </c>
      <c r="C360" s="202" t="s">
        <v>2447</v>
      </c>
    </row>
    <row r="361" ht="17.25" spans="2:3">
      <c r="B361" s="202" t="s">
        <v>2776</v>
      </c>
      <c r="C361" s="202" t="s">
        <v>2447</v>
      </c>
    </row>
    <row r="362" ht="17.25" spans="2:3">
      <c r="B362" s="202" t="s">
        <v>2777</v>
      </c>
      <c r="C362" s="202" t="s">
        <v>2447</v>
      </c>
    </row>
    <row r="363" ht="17.25" spans="2:3">
      <c r="B363" s="202" t="s">
        <v>2778</v>
      </c>
      <c r="C363" s="202" t="s">
        <v>2447</v>
      </c>
    </row>
    <row r="364" ht="17.25" spans="2:3">
      <c r="B364" s="202" t="s">
        <v>2779</v>
      </c>
      <c r="C364" s="202" t="s">
        <v>2447</v>
      </c>
    </row>
    <row r="365" ht="17.25" spans="2:3">
      <c r="B365" s="202" t="s">
        <v>2780</v>
      </c>
      <c r="C365" s="202" t="s">
        <v>2447</v>
      </c>
    </row>
    <row r="366" ht="17.25" spans="2:3">
      <c r="B366" s="202" t="s">
        <v>2781</v>
      </c>
      <c r="C366" s="202" t="s">
        <v>2447</v>
      </c>
    </row>
    <row r="367" ht="17.25" spans="2:3">
      <c r="B367" s="202" t="s">
        <v>2782</v>
      </c>
      <c r="C367" s="202" t="s">
        <v>2447</v>
      </c>
    </row>
    <row r="368" ht="17.25" spans="2:3">
      <c r="B368" s="202" t="s">
        <v>2783</v>
      </c>
      <c r="C368" s="202" t="s">
        <v>2447</v>
      </c>
    </row>
    <row r="369" ht="17.25" spans="2:3">
      <c r="B369" s="202" t="s">
        <v>2784</v>
      </c>
      <c r="C369" s="202" t="s">
        <v>2447</v>
      </c>
    </row>
    <row r="370" ht="17.25" spans="2:3">
      <c r="B370" s="202" t="s">
        <v>2785</v>
      </c>
      <c r="C370" s="202" t="s">
        <v>2447</v>
      </c>
    </row>
    <row r="371" ht="17.25" spans="2:3">
      <c r="B371" s="202" t="s">
        <v>2786</v>
      </c>
      <c r="C371" s="202" t="s">
        <v>2447</v>
      </c>
    </row>
    <row r="372" ht="17.25" spans="2:3">
      <c r="B372" s="202" t="s">
        <v>2787</v>
      </c>
      <c r="C372" s="202" t="s">
        <v>2447</v>
      </c>
    </row>
    <row r="373" ht="17.25" spans="2:3">
      <c r="B373" s="202" t="s">
        <v>2788</v>
      </c>
      <c r="C373" s="202" t="s">
        <v>2447</v>
      </c>
    </row>
    <row r="374" ht="17.25" spans="2:3">
      <c r="B374" s="202" t="s">
        <v>2789</v>
      </c>
      <c r="C374" s="202" t="s">
        <v>2447</v>
      </c>
    </row>
    <row r="375" ht="17.25" spans="2:3">
      <c r="B375" s="202" t="s">
        <v>2790</v>
      </c>
      <c r="C375" s="202" t="s">
        <v>2447</v>
      </c>
    </row>
    <row r="376" ht="17.25" spans="2:3">
      <c r="B376" s="202" t="s">
        <v>2791</v>
      </c>
      <c r="C376" s="202" t="s">
        <v>2447</v>
      </c>
    </row>
    <row r="377" ht="17.25" spans="2:3">
      <c r="B377" s="202" t="s">
        <v>2792</v>
      </c>
      <c r="C377" s="202" t="s">
        <v>2447</v>
      </c>
    </row>
    <row r="378" ht="17.25" spans="2:3">
      <c r="B378" s="202" t="s">
        <v>2793</v>
      </c>
      <c r="C378" s="202" t="s">
        <v>2447</v>
      </c>
    </row>
    <row r="379" ht="17.25" spans="2:3">
      <c r="B379" s="202" t="s">
        <v>2794</v>
      </c>
      <c r="C379" s="202" t="s">
        <v>2447</v>
      </c>
    </row>
    <row r="380" ht="17.25" spans="2:3">
      <c r="B380" s="202" t="s">
        <v>2795</v>
      </c>
      <c r="C380" s="202" t="s">
        <v>2447</v>
      </c>
    </row>
    <row r="381" ht="17.25" spans="2:3">
      <c r="B381" s="202" t="s">
        <v>2796</v>
      </c>
      <c r="C381" s="202" t="s">
        <v>2447</v>
      </c>
    </row>
    <row r="382" ht="17.25" spans="2:3">
      <c r="B382" s="202" t="s">
        <v>2797</v>
      </c>
      <c r="C382" s="202" t="s">
        <v>2447</v>
      </c>
    </row>
    <row r="383" ht="17.25" spans="2:3">
      <c r="B383" s="202" t="s">
        <v>2798</v>
      </c>
      <c r="C383" s="202"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I236" sqref="I236"/>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89"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2" t="s">
        <v>762</v>
      </c>
      <c r="B1" s="93" t="s">
        <v>2799</v>
      </c>
      <c r="C1" s="94" t="s">
        <v>764</v>
      </c>
      <c r="D1" s="94"/>
      <c r="E1" s="94"/>
      <c r="F1" s="94"/>
      <c r="G1" s="95"/>
      <c r="H1" s="96" t="s">
        <v>2800</v>
      </c>
      <c r="I1" s="135" t="s">
        <v>2801</v>
      </c>
      <c r="J1" s="136" t="s">
        <v>2802</v>
      </c>
      <c r="K1" s="137" t="s">
        <v>2803</v>
      </c>
      <c r="L1" s="138"/>
      <c r="M1" s="138"/>
      <c r="N1" s="137"/>
      <c r="O1" s="138"/>
      <c r="P1" s="137"/>
      <c r="Q1" s="137"/>
      <c r="R1" s="137"/>
      <c r="S1" s="137"/>
      <c r="T1" s="137"/>
      <c r="U1" s="137"/>
      <c r="V1" s="137"/>
      <c r="W1" s="137"/>
      <c r="X1" s="156" t="s">
        <v>719</v>
      </c>
      <c r="Y1" s="159"/>
      <c r="Z1" s="160"/>
      <c r="AA1" s="156" t="s">
        <v>719</v>
      </c>
      <c r="AB1" s="159"/>
      <c r="AC1" s="160"/>
      <c r="AD1" s="156" t="s">
        <v>719</v>
      </c>
      <c r="AE1" s="159"/>
      <c r="AF1" s="160"/>
      <c r="AG1" s="156" t="s">
        <v>719</v>
      </c>
      <c r="AH1" s="159"/>
      <c r="AI1" s="160"/>
      <c r="AJ1" s="156" t="s">
        <v>719</v>
      </c>
      <c r="AK1" s="159"/>
      <c r="AL1" s="160"/>
      <c r="AM1" s="156" t="s">
        <v>719</v>
      </c>
      <c r="AN1" s="159"/>
      <c r="AO1" s="160"/>
      <c r="AP1" s="156" t="s">
        <v>719</v>
      </c>
      <c r="AQ1" s="159"/>
      <c r="AR1" s="160"/>
      <c r="AS1" s="156" t="s">
        <v>719</v>
      </c>
      <c r="AT1" s="159"/>
      <c r="AU1" s="160"/>
      <c r="AV1" s="156" t="s">
        <v>719</v>
      </c>
      <c r="AW1" s="159"/>
      <c r="AX1" s="160"/>
      <c r="AY1" s="156" t="s">
        <v>719</v>
      </c>
      <c r="AZ1" s="159"/>
      <c r="BA1" s="160"/>
      <c r="BB1" s="156" t="s">
        <v>719</v>
      </c>
      <c r="BC1" s="159"/>
      <c r="BD1" s="160"/>
      <c r="BE1" s="156" t="s">
        <v>719</v>
      </c>
      <c r="BF1" s="159"/>
      <c r="BG1" s="160"/>
      <c r="BH1" s="163" t="s">
        <v>2804</v>
      </c>
      <c r="BI1" s="164"/>
      <c r="BJ1" s="165"/>
      <c r="BK1" s="163" t="s">
        <v>2804</v>
      </c>
      <c r="BL1" s="164"/>
      <c r="BM1" s="165"/>
      <c r="BN1" s="163" t="s">
        <v>2804</v>
      </c>
      <c r="BO1" s="164"/>
      <c r="BP1" s="165"/>
      <c r="BQ1" s="163" t="s">
        <v>2804</v>
      </c>
      <c r="BR1" s="164"/>
      <c r="BS1" s="165"/>
      <c r="BT1" s="163" t="s">
        <v>2804</v>
      </c>
      <c r="BU1" s="164"/>
      <c r="BV1" s="165"/>
      <c r="BW1" s="163" t="s">
        <v>2804</v>
      </c>
      <c r="BX1" s="164"/>
      <c r="BY1" s="165"/>
      <c r="BZ1" s="163" t="s">
        <v>2804</v>
      </c>
      <c r="CA1" s="164"/>
      <c r="CB1" s="165"/>
      <c r="CC1" s="163" t="s">
        <v>2804</v>
      </c>
      <c r="CD1" s="164"/>
      <c r="CE1" s="165"/>
      <c r="CF1" s="163" t="s">
        <v>2804</v>
      </c>
      <c r="CG1" s="164"/>
      <c r="CH1" s="165"/>
      <c r="CI1" s="163" t="s">
        <v>2804</v>
      </c>
      <c r="CJ1" s="164"/>
      <c r="CK1" s="165"/>
      <c r="CL1" s="163" t="s">
        <v>2804</v>
      </c>
      <c r="CM1" s="164"/>
      <c r="CN1" s="165"/>
      <c r="CO1" s="163" t="s">
        <v>2804</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766</v>
      </c>
      <c r="Y2" s="159"/>
      <c r="Z2" s="160"/>
      <c r="AA2" s="156" t="s">
        <v>767</v>
      </c>
      <c r="AB2" s="159"/>
      <c r="AC2" s="160"/>
      <c r="AD2" s="156" t="s">
        <v>768</v>
      </c>
      <c r="AE2" s="159"/>
      <c r="AF2" s="160"/>
      <c r="AG2" s="156" t="s">
        <v>769</v>
      </c>
      <c r="AH2" s="159"/>
      <c r="AI2" s="160"/>
      <c r="AJ2" s="156" t="s">
        <v>770</v>
      </c>
      <c r="AK2" s="159"/>
      <c r="AL2" s="160"/>
      <c r="AM2" s="156" t="s">
        <v>771</v>
      </c>
      <c r="AN2" s="159"/>
      <c r="AO2" s="160"/>
      <c r="AP2" s="156" t="s">
        <v>772</v>
      </c>
      <c r="AQ2" s="159"/>
      <c r="AR2" s="160"/>
      <c r="AS2" s="156" t="s">
        <v>773</v>
      </c>
      <c r="AT2" s="159"/>
      <c r="AU2" s="160"/>
      <c r="AV2" s="156" t="s">
        <v>774</v>
      </c>
      <c r="AW2" s="159"/>
      <c r="AX2" s="160"/>
      <c r="AY2" s="156" t="s">
        <v>775</v>
      </c>
      <c r="AZ2" s="159"/>
      <c r="BA2" s="160"/>
      <c r="BB2" s="156" t="s">
        <v>776</v>
      </c>
      <c r="BC2" s="159"/>
      <c r="BD2" s="160"/>
      <c r="BE2" s="156" t="s">
        <v>777</v>
      </c>
      <c r="BF2" s="159"/>
      <c r="BG2" s="160"/>
      <c r="BH2" s="163" t="s">
        <v>766</v>
      </c>
      <c r="BI2" s="164"/>
      <c r="BJ2" s="165"/>
      <c r="BK2" s="163" t="s">
        <v>767</v>
      </c>
      <c r="BL2" s="164"/>
      <c r="BM2" s="165"/>
      <c r="BN2" s="163" t="s">
        <v>768</v>
      </c>
      <c r="BO2" s="164"/>
      <c r="BP2" s="165"/>
      <c r="BQ2" s="163" t="s">
        <v>769</v>
      </c>
      <c r="BR2" s="164"/>
      <c r="BS2" s="165"/>
      <c r="BT2" s="163" t="s">
        <v>770</v>
      </c>
      <c r="BU2" s="164"/>
      <c r="BV2" s="165"/>
      <c r="BW2" s="163" t="s">
        <v>771</v>
      </c>
      <c r="BX2" s="164"/>
      <c r="BY2" s="165"/>
      <c r="BZ2" s="163" t="s">
        <v>772</v>
      </c>
      <c r="CA2" s="164"/>
      <c r="CB2" s="165"/>
      <c r="CC2" s="163" t="s">
        <v>773</v>
      </c>
      <c r="CD2" s="164"/>
      <c r="CE2" s="165"/>
      <c r="CF2" s="163" t="s">
        <v>774</v>
      </c>
      <c r="CG2" s="164"/>
      <c r="CH2" s="165"/>
      <c r="CI2" s="163" t="s">
        <v>775</v>
      </c>
      <c r="CJ2" s="164"/>
      <c r="CK2" s="165"/>
      <c r="CL2" s="163" t="s">
        <v>776</v>
      </c>
      <c r="CM2" s="164"/>
      <c r="CN2" s="165"/>
      <c r="CO2" s="163" t="s">
        <v>777</v>
      </c>
      <c r="CP2" s="164"/>
      <c r="CQ2" s="165"/>
    </row>
    <row r="3" s="81" customFormat="1" ht="42.95" customHeight="1" spans="1:95">
      <c r="A3" s="100"/>
      <c r="B3" s="101"/>
      <c r="C3" s="102" t="s">
        <v>778</v>
      </c>
      <c r="D3" s="94" t="s">
        <v>3</v>
      </c>
      <c r="E3" s="94" t="s">
        <v>779</v>
      </c>
      <c r="F3" s="94" t="s">
        <v>780</v>
      </c>
      <c r="G3" s="94" t="s">
        <v>781</v>
      </c>
      <c r="I3" s="135"/>
      <c r="J3" s="142"/>
      <c r="K3" s="143" t="s">
        <v>2805</v>
      </c>
      <c r="L3" s="143" t="s">
        <v>2806</v>
      </c>
      <c r="M3" s="143" t="s">
        <v>2807</v>
      </c>
      <c r="N3" s="144" t="s">
        <v>2808</v>
      </c>
      <c r="O3" s="143" t="s">
        <v>2809</v>
      </c>
      <c r="P3" s="144" t="s">
        <v>2810</v>
      </c>
      <c r="Q3" s="143" t="s">
        <v>2811</v>
      </c>
      <c r="R3" s="143" t="s">
        <v>2812</v>
      </c>
      <c r="S3" s="143" t="s">
        <v>2813</v>
      </c>
      <c r="T3" s="144" t="s">
        <v>2814</v>
      </c>
      <c r="U3" s="143" t="s">
        <v>2815</v>
      </c>
      <c r="V3" s="143" t="s">
        <v>2816</v>
      </c>
      <c r="W3" s="144" t="s">
        <v>2817</v>
      </c>
      <c r="X3" s="81" t="s">
        <v>2818</v>
      </c>
      <c r="Y3" s="135" t="s">
        <v>2819</v>
      </c>
      <c r="Z3" s="142" t="s">
        <v>2820</v>
      </c>
      <c r="AA3" s="81" t="s">
        <v>2818</v>
      </c>
      <c r="AB3" s="135" t="s">
        <v>2819</v>
      </c>
      <c r="AC3" s="142" t="s">
        <v>2820</v>
      </c>
      <c r="AD3" s="81" t="s">
        <v>2818</v>
      </c>
      <c r="AE3" s="135" t="s">
        <v>2819</v>
      </c>
      <c r="AF3" s="142" t="s">
        <v>2820</v>
      </c>
      <c r="AG3" s="81" t="s">
        <v>2818</v>
      </c>
      <c r="AH3" s="135" t="s">
        <v>2819</v>
      </c>
      <c r="AI3" s="142" t="s">
        <v>2820</v>
      </c>
      <c r="AJ3" s="81" t="s">
        <v>2818</v>
      </c>
      <c r="AK3" s="135" t="s">
        <v>2819</v>
      </c>
      <c r="AL3" s="142" t="s">
        <v>2820</v>
      </c>
      <c r="AM3" s="81" t="s">
        <v>2818</v>
      </c>
      <c r="AN3" s="135" t="s">
        <v>2819</v>
      </c>
      <c r="AO3" s="142" t="s">
        <v>2820</v>
      </c>
      <c r="AP3" s="81" t="s">
        <v>2818</v>
      </c>
      <c r="AQ3" s="135" t="s">
        <v>2819</v>
      </c>
      <c r="AR3" s="142" t="s">
        <v>2820</v>
      </c>
      <c r="AS3" s="81" t="s">
        <v>2818</v>
      </c>
      <c r="AT3" s="135" t="s">
        <v>2819</v>
      </c>
      <c r="AU3" s="142" t="s">
        <v>2820</v>
      </c>
      <c r="AV3" s="81" t="s">
        <v>2818</v>
      </c>
      <c r="AW3" s="135" t="s">
        <v>2819</v>
      </c>
      <c r="AX3" s="142" t="s">
        <v>2820</v>
      </c>
      <c r="AY3" s="81" t="s">
        <v>2818</v>
      </c>
      <c r="AZ3" s="135" t="s">
        <v>2819</v>
      </c>
      <c r="BA3" s="142" t="s">
        <v>2820</v>
      </c>
      <c r="BB3" s="81" t="s">
        <v>2818</v>
      </c>
      <c r="BC3" s="135" t="s">
        <v>2819</v>
      </c>
      <c r="BD3" s="142" t="s">
        <v>2820</v>
      </c>
      <c r="BE3" s="81" t="s">
        <v>2818</v>
      </c>
      <c r="BF3" s="135" t="s">
        <v>2819</v>
      </c>
      <c r="BG3" s="142" t="s">
        <v>2820</v>
      </c>
      <c r="BH3" s="81" t="s">
        <v>2818</v>
      </c>
      <c r="BI3" s="135" t="s">
        <v>2819</v>
      </c>
      <c r="BJ3" s="142" t="s">
        <v>2820</v>
      </c>
      <c r="BK3" s="81" t="s">
        <v>2818</v>
      </c>
      <c r="BL3" s="135" t="s">
        <v>2819</v>
      </c>
      <c r="BM3" s="142" t="s">
        <v>2820</v>
      </c>
      <c r="BN3" s="81" t="s">
        <v>2818</v>
      </c>
      <c r="BO3" s="135" t="s">
        <v>2819</v>
      </c>
      <c r="BP3" s="142" t="s">
        <v>2820</v>
      </c>
      <c r="BQ3" s="81" t="s">
        <v>2818</v>
      </c>
      <c r="BR3" s="135" t="s">
        <v>2819</v>
      </c>
      <c r="BS3" s="142" t="s">
        <v>2820</v>
      </c>
      <c r="BT3" s="81" t="s">
        <v>2818</v>
      </c>
      <c r="BU3" s="135" t="s">
        <v>2819</v>
      </c>
      <c r="BV3" s="142" t="s">
        <v>2820</v>
      </c>
      <c r="BW3" s="81" t="s">
        <v>2818</v>
      </c>
      <c r="BX3" s="135" t="s">
        <v>2819</v>
      </c>
      <c r="BY3" s="142" t="s">
        <v>2820</v>
      </c>
      <c r="BZ3" s="81" t="s">
        <v>2818</v>
      </c>
      <c r="CA3" s="135" t="s">
        <v>2819</v>
      </c>
      <c r="CB3" s="142" t="s">
        <v>2820</v>
      </c>
      <c r="CC3" s="81" t="s">
        <v>2818</v>
      </c>
      <c r="CD3" s="135" t="s">
        <v>2819</v>
      </c>
      <c r="CE3" s="142" t="s">
        <v>2820</v>
      </c>
      <c r="CF3" s="81" t="s">
        <v>2818</v>
      </c>
      <c r="CG3" s="135" t="s">
        <v>2819</v>
      </c>
      <c r="CH3" s="142" t="s">
        <v>2820</v>
      </c>
      <c r="CI3" s="81" t="s">
        <v>2818</v>
      </c>
      <c r="CJ3" s="135" t="s">
        <v>2819</v>
      </c>
      <c r="CK3" s="142" t="s">
        <v>2820</v>
      </c>
      <c r="CL3" s="81" t="s">
        <v>2818</v>
      </c>
      <c r="CM3" s="135" t="s">
        <v>2819</v>
      </c>
      <c r="CN3" s="142" t="s">
        <v>2820</v>
      </c>
      <c r="CO3" s="81" t="s">
        <v>2818</v>
      </c>
      <c r="CP3" s="135" t="s">
        <v>2819</v>
      </c>
      <c r="CQ3" s="142" t="s">
        <v>2820</v>
      </c>
    </row>
    <row r="4" s="82" customFormat="1" ht="33.95" customHeight="1" spans="2:95">
      <c r="B4" s="103" t="s">
        <v>794</v>
      </c>
      <c r="C4" s="104">
        <v>1</v>
      </c>
      <c r="D4" s="82" t="s">
        <v>795</v>
      </c>
      <c r="E4" s="82" t="s">
        <v>796</v>
      </c>
      <c r="F4" s="105"/>
      <c r="G4" s="106"/>
      <c r="H4" s="107">
        <f>X4+AA4+AD4+AG4+AJ4+AM4+AP4+AS4+AV4+AY4+BB4+BE4</f>
        <v>45018508.4782193</v>
      </c>
      <c r="I4" s="107">
        <f t="shared" ref="I4:J4" si="0">Y4+AB4+AE4+AH4+AK4+AN4+AQ4+AT4+AW4+AZ4+BC4+BF4</f>
        <v>44200373.441507</v>
      </c>
      <c r="J4" s="107">
        <f t="shared" si="0"/>
        <v>818135.036712329</v>
      </c>
      <c r="K4" s="107"/>
      <c r="L4" s="145"/>
      <c r="M4" s="145"/>
      <c r="N4" s="107"/>
      <c r="O4" s="145"/>
      <c r="P4" s="107"/>
      <c r="Q4" s="107"/>
      <c r="R4" s="107"/>
      <c r="S4" s="107"/>
      <c r="T4" s="107"/>
      <c r="U4" s="107"/>
      <c r="V4" s="107"/>
      <c r="W4" s="107"/>
      <c r="X4" s="107">
        <f t="shared" ref="X4:BC4" si="1">X5+X508+X536+X597+X603+X616</f>
        <v>5228436.69035764</v>
      </c>
      <c r="Y4" s="107">
        <f t="shared" si="1"/>
        <v>5150699.27638504</v>
      </c>
      <c r="Z4" s="107">
        <f t="shared" si="1"/>
        <v>77737.4139726028</v>
      </c>
      <c r="AA4" s="107">
        <f t="shared" si="1"/>
        <v>3546788.16798743</v>
      </c>
      <c r="AB4" s="107">
        <f t="shared" si="1"/>
        <v>3455869.89730249</v>
      </c>
      <c r="AC4" s="107">
        <f t="shared" si="1"/>
        <v>90918.2706849314</v>
      </c>
      <c r="AD4" s="107">
        <f t="shared" si="1"/>
        <v>3546788.16798743</v>
      </c>
      <c r="AE4" s="107">
        <f t="shared" si="1"/>
        <v>3471447.29401482</v>
      </c>
      <c r="AF4" s="107">
        <f t="shared" si="1"/>
        <v>75340.8739726028</v>
      </c>
      <c r="AG4" s="107">
        <f t="shared" si="1"/>
        <v>3546788.16798743</v>
      </c>
      <c r="AH4" s="107">
        <f t="shared" si="1"/>
        <v>3367186.75511071</v>
      </c>
      <c r="AI4" s="107">
        <f t="shared" si="1"/>
        <v>179601.412876712</v>
      </c>
      <c r="AJ4" s="107">
        <f t="shared" si="1"/>
        <v>3546788.16798743</v>
      </c>
      <c r="AK4" s="107">
        <f t="shared" si="1"/>
        <v>3390019.57401482</v>
      </c>
      <c r="AL4" s="107">
        <f t="shared" si="1"/>
        <v>156768.593972603</v>
      </c>
      <c r="AM4" s="107">
        <f t="shared" si="1"/>
        <v>3546788.16798743</v>
      </c>
      <c r="AN4" s="107">
        <f t="shared" si="1"/>
        <v>3486912.93511071</v>
      </c>
      <c r="AO4" s="107">
        <f t="shared" si="1"/>
        <v>59875.2328767124</v>
      </c>
      <c r="AP4" s="107">
        <f t="shared" si="1"/>
        <v>3546788.16798743</v>
      </c>
      <c r="AQ4" s="107">
        <f t="shared" si="1"/>
        <v>3484917.09401482</v>
      </c>
      <c r="AR4" s="107">
        <f t="shared" si="1"/>
        <v>61871.0739726028</v>
      </c>
      <c r="AS4" s="107">
        <f t="shared" si="1"/>
        <v>3546788.16798743</v>
      </c>
      <c r="AT4" s="107">
        <f t="shared" si="1"/>
        <v>3484917.09401482</v>
      </c>
      <c r="AU4" s="107">
        <f t="shared" si="1"/>
        <v>61871.0739726028</v>
      </c>
      <c r="AV4" s="107">
        <f t="shared" si="1"/>
        <v>3546788.16798743</v>
      </c>
      <c r="AW4" s="107">
        <f t="shared" si="1"/>
        <v>3502928.80360386</v>
      </c>
      <c r="AX4" s="107">
        <f t="shared" si="1"/>
        <v>43859.3643835617</v>
      </c>
      <c r="AY4" s="107">
        <f t="shared" si="1"/>
        <v>3546788.16798743</v>
      </c>
      <c r="AZ4" s="107">
        <f t="shared" si="1"/>
        <v>3536496.44196002</v>
      </c>
      <c r="BA4" s="107">
        <f t="shared" si="1"/>
        <v>10291.7260273973</v>
      </c>
      <c r="BB4" s="107">
        <f t="shared" si="1"/>
        <v>3546788.16798743</v>
      </c>
      <c r="BC4" s="107">
        <f t="shared" si="1"/>
        <v>3546788.16798742</v>
      </c>
      <c r="BD4" s="107">
        <f t="shared" ref="BD4:CI4" si="2">BD5+BD508+BD536+BD597+BD603+BD616</f>
        <v>0</v>
      </c>
      <c r="BE4" s="107">
        <f t="shared" si="2"/>
        <v>4322190.10798742</v>
      </c>
      <c r="BF4" s="107">
        <f t="shared" si="2"/>
        <v>4322190.10798742</v>
      </c>
      <c r="BG4" s="107">
        <f t="shared" si="2"/>
        <v>0</v>
      </c>
      <c r="BH4" s="107">
        <f t="shared" si="2"/>
        <v>5228436.69035764</v>
      </c>
      <c r="BI4" s="107">
        <f t="shared" si="2"/>
        <v>5228436.69035764</v>
      </c>
      <c r="BJ4" s="107">
        <f t="shared" si="2"/>
        <v>0</v>
      </c>
      <c r="BK4" s="107">
        <f t="shared" si="2"/>
        <v>3546788.16798743</v>
      </c>
      <c r="BL4" s="107">
        <f t="shared" si="2"/>
        <v>3546788.16798742</v>
      </c>
      <c r="BM4" s="107">
        <f t="shared" si="2"/>
        <v>0</v>
      </c>
      <c r="BN4" s="107">
        <f t="shared" si="2"/>
        <v>3546788.16798743</v>
      </c>
      <c r="BO4" s="107">
        <f t="shared" si="2"/>
        <v>3546788.16798742</v>
      </c>
      <c r="BP4" s="107">
        <f t="shared" si="2"/>
        <v>0</v>
      </c>
      <c r="BQ4" s="107">
        <f t="shared" si="2"/>
        <v>3546788.16798743</v>
      </c>
      <c r="BR4" s="107">
        <f t="shared" si="2"/>
        <v>3546788.16798742</v>
      </c>
      <c r="BS4" s="107">
        <f t="shared" si="2"/>
        <v>0</v>
      </c>
      <c r="BT4" s="107">
        <f t="shared" si="2"/>
        <v>3546788.16798743</v>
      </c>
      <c r="BU4" s="107">
        <f t="shared" si="2"/>
        <v>3546788.16798742</v>
      </c>
      <c r="BV4" s="107">
        <f t="shared" si="2"/>
        <v>0</v>
      </c>
      <c r="BW4" s="107">
        <f t="shared" si="2"/>
        <v>3546788.16798743</v>
      </c>
      <c r="BX4" s="107">
        <f t="shared" si="2"/>
        <v>3546788.16798742</v>
      </c>
      <c r="BY4" s="107">
        <f t="shared" si="2"/>
        <v>0</v>
      </c>
      <c r="BZ4" s="107">
        <f t="shared" si="2"/>
        <v>3546788.16798743</v>
      </c>
      <c r="CA4" s="107">
        <f t="shared" si="2"/>
        <v>3546788.16798742</v>
      </c>
      <c r="CB4" s="107">
        <f t="shared" si="2"/>
        <v>0</v>
      </c>
      <c r="CC4" s="107">
        <f t="shared" si="2"/>
        <v>3546788.16798743</v>
      </c>
      <c r="CD4" s="107">
        <f t="shared" si="2"/>
        <v>3546788.16798742</v>
      </c>
      <c r="CE4" s="107">
        <f t="shared" si="2"/>
        <v>0</v>
      </c>
      <c r="CF4" s="107">
        <f t="shared" si="2"/>
        <v>3546788.16798743</v>
      </c>
      <c r="CG4" s="107">
        <f t="shared" si="2"/>
        <v>3546788.16798742</v>
      </c>
      <c r="CH4" s="107">
        <f t="shared" si="2"/>
        <v>0</v>
      </c>
      <c r="CI4" s="107">
        <f t="shared" si="2"/>
        <v>3546788.16798743</v>
      </c>
      <c r="CJ4" s="107">
        <f t="shared" ref="CJ4:CQ4" si="3">CJ5+CJ508+CJ536+CJ597+CJ603+CJ616</f>
        <v>3546788.16798742</v>
      </c>
      <c r="CK4" s="107">
        <f t="shared" si="3"/>
        <v>0</v>
      </c>
      <c r="CL4" s="107">
        <f t="shared" si="3"/>
        <v>3546788.16798743</v>
      </c>
      <c r="CM4" s="107">
        <f t="shared" si="3"/>
        <v>3546788.16798742</v>
      </c>
      <c r="CN4" s="107">
        <f t="shared" si="3"/>
        <v>0</v>
      </c>
      <c r="CO4" s="107">
        <f t="shared" si="3"/>
        <v>4322190.10798742</v>
      </c>
      <c r="CP4" s="107">
        <f t="shared" si="3"/>
        <v>4322190.10798742</v>
      </c>
      <c r="CQ4" s="107">
        <f t="shared" si="3"/>
        <v>0</v>
      </c>
    </row>
    <row r="5" s="83" customFormat="1" ht="24" customHeight="1" spans="1:95">
      <c r="A5" s="108"/>
      <c r="B5" s="109" t="s">
        <v>794</v>
      </c>
      <c r="C5" s="110">
        <v>1.1</v>
      </c>
      <c r="D5" s="108" t="s">
        <v>214</v>
      </c>
      <c r="E5" s="109"/>
      <c r="F5" s="109"/>
      <c r="G5" s="108"/>
      <c r="H5" s="111">
        <f t="shared" ref="H5:I8" si="4">X5+AA5+AD5+AG5+AJ5+AM5+AP5+AS5+AV5+AY5+BB5+BE5</f>
        <v>43339265.510865</v>
      </c>
      <c r="I5" s="111">
        <f t="shared" si="4"/>
        <v>42770575.8341526</v>
      </c>
      <c r="J5" s="111">
        <f t="shared" ref="J5:J68" si="5">Z5+AC5+AF5+AI5+AL5+AO5+AR5+AU5+AX5+BA5+BD5+BG5</f>
        <v>568689.676712329</v>
      </c>
      <c r="K5" s="111"/>
      <c r="L5" s="146"/>
      <c r="M5" s="146"/>
      <c r="N5" s="111"/>
      <c r="O5" s="146"/>
      <c r="P5" s="111"/>
      <c r="Q5" s="111"/>
      <c r="R5" s="111"/>
      <c r="S5" s="111"/>
      <c r="T5" s="111"/>
      <c r="U5" s="111"/>
      <c r="V5" s="111"/>
      <c r="W5" s="111"/>
      <c r="X5" s="111">
        <f>VLOOKUP($C5,'1 预算编制表单'!$C:$BJ,27,FALSE)</f>
        <v>3808839.38338066</v>
      </c>
      <c r="Y5" s="111">
        <f t="shared" ref="Y5:BG5" si="6">Y6+Y177+Y428</f>
        <v>3740273.10940806</v>
      </c>
      <c r="Z5" s="111">
        <f t="shared" si="6"/>
        <v>68566.2739726028</v>
      </c>
      <c r="AA5" s="111">
        <f>VLOOKUP($C5,'1 预算编制表单'!$C:$BJ,30,FALSE)</f>
        <v>3523184.01704403</v>
      </c>
      <c r="AB5" s="111">
        <f t="shared" si="6"/>
        <v>3455562.86635909</v>
      </c>
      <c r="AC5" s="111">
        <f t="shared" si="6"/>
        <v>67621.1506849314</v>
      </c>
      <c r="AD5" s="111">
        <f>VLOOKUP($C5,'1 预算编制表单'!$C:$BJ,33,FALSE)</f>
        <v>3523184.01704403</v>
      </c>
      <c r="AE5" s="111">
        <f t="shared" si="6"/>
        <v>3448317.74307142</v>
      </c>
      <c r="AF5" s="111">
        <f t="shared" si="6"/>
        <v>74866.2739726028</v>
      </c>
      <c r="AG5" s="111">
        <f>VLOOKUP($C5,'1 预算编制表单'!$C:$BJ,36,FALSE)</f>
        <v>3523184.01704403</v>
      </c>
      <c r="AH5" s="111">
        <f t="shared" si="6"/>
        <v>3464232.78416731</v>
      </c>
      <c r="AI5" s="111">
        <f t="shared" si="6"/>
        <v>58951.2328767124</v>
      </c>
      <c r="AJ5" s="111">
        <f>VLOOKUP($C5,'1 预算编制表单'!$C:$BJ,39,FALSE)</f>
        <v>3523184.01704403</v>
      </c>
      <c r="AK5" s="111">
        <f t="shared" si="6"/>
        <v>3462267.74307142</v>
      </c>
      <c r="AL5" s="111">
        <f t="shared" si="6"/>
        <v>60916.2739726028</v>
      </c>
      <c r="AM5" s="111">
        <f>VLOOKUP($C5,'1 预算编制表单'!$C:$BJ,42,FALSE)</f>
        <v>3523184.01704403</v>
      </c>
      <c r="AN5" s="111">
        <f t="shared" si="6"/>
        <v>3463308.78416731</v>
      </c>
      <c r="AO5" s="111">
        <f t="shared" si="6"/>
        <v>59875.2328767124</v>
      </c>
      <c r="AP5" s="111">
        <f>VLOOKUP($C5,'1 预算编制表单'!$C:$BJ,45,FALSE)</f>
        <v>3523184.01704403</v>
      </c>
      <c r="AQ5" s="111">
        <f t="shared" si="6"/>
        <v>3461312.94307142</v>
      </c>
      <c r="AR5" s="111">
        <f t="shared" si="6"/>
        <v>61871.0739726028</v>
      </c>
      <c r="AS5" s="111">
        <f>VLOOKUP($C5,'1 预算编制表单'!$C:$BJ,48,FALSE)</f>
        <v>3523184.01704403</v>
      </c>
      <c r="AT5" s="111">
        <f t="shared" si="6"/>
        <v>3461312.94307142</v>
      </c>
      <c r="AU5" s="111">
        <f t="shared" si="6"/>
        <v>61871.0739726028</v>
      </c>
      <c r="AV5" s="111">
        <f>VLOOKUP($C5,'1 预算编制表单'!$C:$BJ,51,FALSE)</f>
        <v>3523184.01704403</v>
      </c>
      <c r="AW5" s="111">
        <f t="shared" si="6"/>
        <v>3479324.65266046</v>
      </c>
      <c r="AX5" s="111">
        <f t="shared" si="6"/>
        <v>43859.3643835617</v>
      </c>
      <c r="AY5" s="111">
        <f>VLOOKUP($C5,'1 预算编制表单'!$C:$BJ,54,FALSE)</f>
        <v>3523184.01704403</v>
      </c>
      <c r="AZ5" s="111">
        <f t="shared" si="6"/>
        <v>3512892.29101663</v>
      </c>
      <c r="BA5" s="111">
        <f t="shared" si="6"/>
        <v>10291.7260273973</v>
      </c>
      <c r="BB5" s="111">
        <f>VLOOKUP($C5,'1 预算编制表单'!$C:$BJ,57,FALSE)</f>
        <v>3523184.01704403</v>
      </c>
      <c r="BC5" s="111">
        <f t="shared" si="6"/>
        <v>3523184.01704403</v>
      </c>
      <c r="BD5" s="111">
        <f t="shared" si="6"/>
        <v>0</v>
      </c>
      <c r="BE5" s="111">
        <f>VLOOKUP($C5,'1 预算编制表单'!$C:$BJ,60,FALSE)</f>
        <v>4298585.95704402</v>
      </c>
      <c r="BF5" s="111">
        <f t="shared" si="6"/>
        <v>4298585.95704403</v>
      </c>
      <c r="BG5" s="111">
        <f t="shared" si="6"/>
        <v>0</v>
      </c>
      <c r="BH5" s="111">
        <f>VLOOKUP($C5,'1 预算编制表单'!$C:$BJ,27,FALSE)</f>
        <v>3808839.38338066</v>
      </c>
      <c r="BI5" s="111">
        <f t="shared" ref="BI5:BM5" si="7">BI6+BI177+BI428</f>
        <v>3808839.38338066</v>
      </c>
      <c r="BJ5" s="111">
        <f t="shared" si="7"/>
        <v>0</v>
      </c>
      <c r="BK5" s="111">
        <f>VLOOKUP($C5,'1 预算编制表单'!$C:$BJ,30,FALSE)</f>
        <v>3523184.01704403</v>
      </c>
      <c r="BL5" s="111">
        <f t="shared" si="7"/>
        <v>3523184.01704403</v>
      </c>
      <c r="BM5" s="111">
        <f t="shared" si="7"/>
        <v>0</v>
      </c>
      <c r="BN5" s="111">
        <f>VLOOKUP($C5,'1 预算编制表单'!$C:$BJ,33,FALSE)</f>
        <v>3523184.01704403</v>
      </c>
      <c r="BO5" s="111">
        <f t="shared" ref="BO5:BS5" si="8">BO6+BO177+BO428</f>
        <v>3523184.01704403</v>
      </c>
      <c r="BP5" s="111">
        <f t="shared" si="8"/>
        <v>0</v>
      </c>
      <c r="BQ5" s="111">
        <f>VLOOKUP($C5,'1 预算编制表单'!$C:$BJ,36,FALSE)</f>
        <v>3523184.01704403</v>
      </c>
      <c r="BR5" s="111">
        <f t="shared" si="8"/>
        <v>3523184.01704403</v>
      </c>
      <c r="BS5" s="111">
        <f t="shared" si="8"/>
        <v>0</v>
      </c>
      <c r="BT5" s="111">
        <f>VLOOKUP($C5,'1 预算编制表单'!$C:$BJ,39,FALSE)</f>
        <v>3523184.01704403</v>
      </c>
      <c r="BU5" s="111">
        <f t="shared" ref="BU5:BY5" si="9">BU6+BU177+BU428</f>
        <v>3523184.01704403</v>
      </c>
      <c r="BV5" s="111">
        <f t="shared" si="9"/>
        <v>0</v>
      </c>
      <c r="BW5" s="111">
        <f>VLOOKUP($C5,'1 预算编制表单'!$C:$BJ,42,FALSE)</f>
        <v>3523184.01704403</v>
      </c>
      <c r="BX5" s="111">
        <f t="shared" si="9"/>
        <v>3523184.01704403</v>
      </c>
      <c r="BY5" s="111">
        <f t="shared" si="9"/>
        <v>0</v>
      </c>
      <c r="BZ5" s="111">
        <f>VLOOKUP($C5,'1 预算编制表单'!$C:$BJ,45,FALSE)</f>
        <v>3523184.01704403</v>
      </c>
      <c r="CA5" s="111">
        <f t="shared" ref="CA5:CE5" si="10">CA6+CA177+CA428</f>
        <v>3523184.01704403</v>
      </c>
      <c r="CB5" s="111">
        <f t="shared" si="10"/>
        <v>0</v>
      </c>
      <c r="CC5" s="111">
        <f>VLOOKUP($C5,'1 预算编制表单'!$C:$BJ,48,FALSE)</f>
        <v>3523184.01704403</v>
      </c>
      <c r="CD5" s="111">
        <f t="shared" si="10"/>
        <v>3523184.01704403</v>
      </c>
      <c r="CE5" s="111">
        <f t="shared" si="10"/>
        <v>0</v>
      </c>
      <c r="CF5" s="111">
        <f>VLOOKUP($C5,'1 预算编制表单'!$C:$BJ,51,FALSE)</f>
        <v>3523184.01704403</v>
      </c>
      <c r="CG5" s="111">
        <f t="shared" ref="CG5:CK5" si="11">CG6+CG177+CG428</f>
        <v>3523184.01704403</v>
      </c>
      <c r="CH5" s="111">
        <f t="shared" si="11"/>
        <v>0</v>
      </c>
      <c r="CI5" s="111">
        <f>VLOOKUP($C5,'1 预算编制表单'!$C:$BJ,54,FALSE)</f>
        <v>3523184.01704403</v>
      </c>
      <c r="CJ5" s="111">
        <f t="shared" si="11"/>
        <v>3523184.01704403</v>
      </c>
      <c r="CK5" s="111">
        <f t="shared" si="11"/>
        <v>0</v>
      </c>
      <c r="CL5" s="111">
        <f>VLOOKUP($C5,'1 预算编制表单'!$C:$BJ,57,FALSE)</f>
        <v>3523184.01704403</v>
      </c>
      <c r="CM5" s="111">
        <f t="shared" ref="CM5:CQ5" si="12">CM6+CM177+CM428</f>
        <v>3523184.01704403</v>
      </c>
      <c r="CN5" s="111">
        <f t="shared" si="12"/>
        <v>0</v>
      </c>
      <c r="CO5" s="111">
        <f>VLOOKUP($C5,'1 预算编制表单'!$C:$BJ,60,FALSE)</f>
        <v>4298585.95704402</v>
      </c>
      <c r="CP5" s="111">
        <f t="shared" si="12"/>
        <v>4298585.95704403</v>
      </c>
      <c r="CQ5" s="111">
        <f t="shared" si="12"/>
        <v>0</v>
      </c>
    </row>
    <row r="6" s="83" customFormat="1" ht="24" customHeight="1" outlineLevel="1" spans="1:95">
      <c r="A6" s="22">
        <f>IF(C6&lt;&gt;"",ROW(),"")</f>
        <v>6</v>
      </c>
      <c r="B6" s="112" t="s">
        <v>794</v>
      </c>
      <c r="C6" s="113" t="s">
        <v>218</v>
      </c>
      <c r="D6" s="22" t="s">
        <v>219</v>
      </c>
      <c r="E6" s="112"/>
      <c r="F6" s="112"/>
      <c r="G6" s="112"/>
      <c r="H6" s="114">
        <f t="shared" si="4"/>
        <v>42692176.1822642</v>
      </c>
      <c r="I6" s="114">
        <f t="shared" si="4"/>
        <v>42692176.1822642</v>
      </c>
      <c r="J6" s="114">
        <f t="shared" si="5"/>
        <v>0</v>
      </c>
      <c r="K6" s="114"/>
      <c r="L6" s="147"/>
      <c r="M6" s="147"/>
      <c r="N6" s="114"/>
      <c r="O6" s="147"/>
      <c r="P6" s="114"/>
      <c r="Q6" s="114"/>
      <c r="R6" s="114"/>
      <c r="S6" s="114"/>
      <c r="T6" s="114"/>
      <c r="U6" s="114"/>
      <c r="V6" s="114"/>
      <c r="W6" s="114"/>
      <c r="X6" s="114">
        <f>VLOOKUP($C6,'1 预算编制表单'!$C:$BJ,27,FALSE)</f>
        <v>3493064.52018868</v>
      </c>
      <c r="Y6" s="114">
        <f>X6-Z6</f>
        <v>3493064.52018868</v>
      </c>
      <c r="Z6" s="114">
        <f>Z7+Z26+Z45+Z70+Z95+Z114+Z139+Z158</f>
        <v>0</v>
      </c>
      <c r="AA6" s="114">
        <f>VLOOKUP($C6,'1 预算编制表单'!$C:$BJ,30,FALSE)</f>
        <v>3493064.52018868</v>
      </c>
      <c r="AB6" s="114">
        <f>AA6-AC6</f>
        <v>3493064.52018868</v>
      </c>
      <c r="AC6" s="114">
        <f>AC7+AC26+AC45+AC70+AC95+AC114+AC139+AC158</f>
        <v>0</v>
      </c>
      <c r="AD6" s="114">
        <f>VLOOKUP($C6,'1 预算编制表单'!$C:$BJ,33,FALSE)</f>
        <v>3493064.52018868</v>
      </c>
      <c r="AE6" s="114">
        <f>AD6-AF6</f>
        <v>3493064.52018868</v>
      </c>
      <c r="AF6" s="114">
        <f>AF7+AF26+AF45+AF70+AF95+AF114+AF139+AF158</f>
        <v>0</v>
      </c>
      <c r="AG6" s="114">
        <f>VLOOKUP($C6,'1 预算编制表单'!$C:$BJ,36,FALSE)</f>
        <v>3493064.52018868</v>
      </c>
      <c r="AH6" s="114">
        <f>AG6-AI6</f>
        <v>3493064.52018868</v>
      </c>
      <c r="AI6" s="114">
        <f>AI7+AI26+AI45+AI70+AI95+AI114+AI139+AI158</f>
        <v>0</v>
      </c>
      <c r="AJ6" s="114">
        <f>VLOOKUP($C6,'1 预算编制表单'!$C:$BJ,39,FALSE)</f>
        <v>3493064.52018868</v>
      </c>
      <c r="AK6" s="114">
        <f>AJ6-AL6</f>
        <v>3493064.52018868</v>
      </c>
      <c r="AL6" s="114">
        <f>AL7+AL26+AL45+AL70+AL95+AL114+AL139+AL158</f>
        <v>0</v>
      </c>
      <c r="AM6" s="114">
        <f>VLOOKUP($C6,'1 预算编制表单'!$C:$BJ,42,FALSE)</f>
        <v>3493064.52018868</v>
      </c>
      <c r="AN6" s="114">
        <f>AM6-AO6</f>
        <v>3493064.52018868</v>
      </c>
      <c r="AO6" s="114">
        <f>AO7+AO26+AO45+AO70+AO95+AO114+AO139+AO158</f>
        <v>0</v>
      </c>
      <c r="AP6" s="114">
        <f>VLOOKUP($C6,'1 预算编制表单'!$C:$BJ,45,FALSE)</f>
        <v>3493064.52018868</v>
      </c>
      <c r="AQ6" s="114">
        <f>AP6-AR6</f>
        <v>3493064.52018868</v>
      </c>
      <c r="AR6" s="114">
        <f>AR7+AR26+AR45+AR70+AR95+AR114+AR139+AR158</f>
        <v>0</v>
      </c>
      <c r="AS6" s="114">
        <f>VLOOKUP($C6,'1 预算编制表单'!$C:$BJ,48,FALSE)</f>
        <v>3493064.52018868</v>
      </c>
      <c r="AT6" s="114">
        <f>AS6-AU6</f>
        <v>3493064.52018868</v>
      </c>
      <c r="AU6" s="114">
        <f>AU7+AU26+AU45+AU70+AU95+AU114+AU139+AU158</f>
        <v>0</v>
      </c>
      <c r="AV6" s="114">
        <f>VLOOKUP($C6,'1 预算编制表单'!$C:$BJ,51,FALSE)</f>
        <v>3493064.52018868</v>
      </c>
      <c r="AW6" s="114">
        <f>AV6-AX6</f>
        <v>3493064.52018868</v>
      </c>
      <c r="AX6" s="114">
        <f>AX7+AX26+AX45+AX70+AX95+AX114+AX139+AX158</f>
        <v>0</v>
      </c>
      <c r="AY6" s="114">
        <f>VLOOKUP($C6,'1 预算编制表单'!$C:$BJ,54,FALSE)</f>
        <v>3493064.52018868</v>
      </c>
      <c r="AZ6" s="114">
        <f>AY6-BA6</f>
        <v>3493064.52018868</v>
      </c>
      <c r="BA6" s="114">
        <f>BA7+BA26+BA45+BA70+BA95+BA114+BA139+BA158</f>
        <v>0</v>
      </c>
      <c r="BB6" s="114">
        <f>VLOOKUP($C6,'1 预算编制表单'!$C:$BJ,57,FALSE)</f>
        <v>3493064.52018868</v>
      </c>
      <c r="BC6" s="114">
        <f>BB6-BD6</f>
        <v>3493064.52018868</v>
      </c>
      <c r="BD6" s="114">
        <f>BD7+BD26+BD45+BD70+BD95+BD114+BD139+BD158</f>
        <v>0</v>
      </c>
      <c r="BE6" s="114">
        <f>VLOOKUP($C6,'1 预算编制表单'!$C:$BJ,60,FALSE)</f>
        <v>4268466.46018868</v>
      </c>
      <c r="BF6" s="114">
        <f>BE6-BG6</f>
        <v>4268466.46018868</v>
      </c>
      <c r="BG6" s="114">
        <f>BG7+BG26+BG45+BG70+BG95+BG114+BG139+BG158</f>
        <v>0</v>
      </c>
      <c r="BH6" s="114">
        <f>VLOOKUP($C6,'1 预算编制表单'!$C:$BJ,27,FALSE)</f>
        <v>3493064.52018868</v>
      </c>
      <c r="BI6" s="114">
        <f t="shared" ref="BI6:BI8" si="13">BH6-BJ6</f>
        <v>3493064.52018868</v>
      </c>
      <c r="BJ6" s="114">
        <f>BJ7+BJ26+BJ45+BJ70+BJ95+BJ114+BJ139+BJ158</f>
        <v>0</v>
      </c>
      <c r="BK6" s="114">
        <f>VLOOKUP($C6,'1 预算编制表单'!$C:$BJ,30,FALSE)</f>
        <v>3493064.52018868</v>
      </c>
      <c r="BL6" s="114">
        <f t="shared" ref="BL6:BL8" si="14">BK6-BM6</f>
        <v>3493064.52018868</v>
      </c>
      <c r="BM6" s="114">
        <f>BM7+BM26+BM45+BM70+BM95+BM114+BM139+BM158</f>
        <v>0</v>
      </c>
      <c r="BN6" s="114">
        <f>VLOOKUP($C6,'1 预算编制表单'!$C:$BJ,33,FALSE)</f>
        <v>3493064.52018868</v>
      </c>
      <c r="BO6" s="114">
        <f t="shared" ref="BO6:BO8" si="15">BN6-BP6</f>
        <v>3493064.52018868</v>
      </c>
      <c r="BP6" s="114">
        <f>BP7+BP26+BP45+BP70+BP95+BP114+BP139+BP158</f>
        <v>0</v>
      </c>
      <c r="BQ6" s="114">
        <f>VLOOKUP($C6,'1 预算编制表单'!$C:$BJ,36,FALSE)</f>
        <v>3493064.52018868</v>
      </c>
      <c r="BR6" s="114">
        <f t="shared" ref="BR6:BR8" si="16">BQ6-BS6</f>
        <v>3493064.52018868</v>
      </c>
      <c r="BS6" s="114">
        <f>BS7+BS26+BS45+BS70+BS95+BS114+BS139+BS158</f>
        <v>0</v>
      </c>
      <c r="BT6" s="114">
        <f>VLOOKUP($C6,'1 预算编制表单'!$C:$BJ,39,FALSE)</f>
        <v>3493064.52018868</v>
      </c>
      <c r="BU6" s="114">
        <f t="shared" ref="BU6:BU8" si="17">BT6-BV6</f>
        <v>3493064.52018868</v>
      </c>
      <c r="BV6" s="114">
        <f>BV7+BV26+BV45+BV70+BV95+BV114+BV139+BV158</f>
        <v>0</v>
      </c>
      <c r="BW6" s="114">
        <f>VLOOKUP($C6,'1 预算编制表单'!$C:$BJ,42,FALSE)</f>
        <v>3493064.52018868</v>
      </c>
      <c r="BX6" s="114">
        <f t="shared" ref="BX6:BX8" si="18">BW6-BY6</f>
        <v>3493064.52018868</v>
      </c>
      <c r="BY6" s="114">
        <f>BY7+BY26+BY45+BY70+BY95+BY114+BY139+BY158</f>
        <v>0</v>
      </c>
      <c r="BZ6" s="114">
        <f>VLOOKUP($C6,'1 预算编制表单'!$C:$BJ,45,FALSE)</f>
        <v>3493064.52018868</v>
      </c>
      <c r="CA6" s="114">
        <f t="shared" ref="CA6:CA8" si="19">BZ6-CB6</f>
        <v>3493064.52018868</v>
      </c>
      <c r="CB6" s="114">
        <f>CB7+CB26+CB45+CB70+CB95+CB114+CB139+CB158</f>
        <v>0</v>
      </c>
      <c r="CC6" s="114">
        <f>VLOOKUP($C6,'1 预算编制表单'!$C:$BJ,48,FALSE)</f>
        <v>3493064.52018868</v>
      </c>
      <c r="CD6" s="114">
        <f t="shared" ref="CD6:CD8" si="20">CC6-CE6</f>
        <v>3493064.52018868</v>
      </c>
      <c r="CE6" s="114">
        <f>CE7+CE26+CE45+CE70+CE95+CE114+CE139+CE158</f>
        <v>0</v>
      </c>
      <c r="CF6" s="114">
        <f>VLOOKUP($C6,'1 预算编制表单'!$C:$BJ,51,FALSE)</f>
        <v>3493064.52018868</v>
      </c>
      <c r="CG6" s="114">
        <f t="shared" ref="CG6:CG8" si="21">CF6-CH6</f>
        <v>3493064.52018868</v>
      </c>
      <c r="CH6" s="114">
        <f>CH7+CH26+CH45+CH70+CH95+CH114+CH139+CH158</f>
        <v>0</v>
      </c>
      <c r="CI6" s="114">
        <f>VLOOKUP($C6,'1 预算编制表单'!$C:$BJ,54,FALSE)</f>
        <v>3493064.52018868</v>
      </c>
      <c r="CJ6" s="114">
        <f t="shared" ref="CJ6:CJ8" si="22">CI6-CK6</f>
        <v>3493064.52018868</v>
      </c>
      <c r="CK6" s="114">
        <f>CK7+CK26+CK45+CK70+CK95+CK114+CK139+CK158</f>
        <v>0</v>
      </c>
      <c r="CL6" s="114">
        <f>VLOOKUP($C6,'1 预算编制表单'!$C:$BJ,57,FALSE)</f>
        <v>3493064.52018868</v>
      </c>
      <c r="CM6" s="114">
        <f t="shared" ref="CM6:CM8" si="23">CL6-CN6</f>
        <v>3493064.52018868</v>
      </c>
      <c r="CN6" s="114">
        <f>CN7+CN26+CN45+CN70+CN95+CN114+CN139+CN158</f>
        <v>0</v>
      </c>
      <c r="CO6" s="114">
        <f>VLOOKUP($C6,'1 预算编制表单'!$C:$BJ,60,FALSE)</f>
        <v>4268466.46018868</v>
      </c>
      <c r="CP6" s="114">
        <f t="shared" ref="CP6:CP8" si="24">CO6-CQ6</f>
        <v>4268466.46018868</v>
      </c>
      <c r="CQ6" s="114">
        <f>CQ7+CQ26+CQ45+CQ70+CQ95+CQ114+CQ139+CQ158</f>
        <v>0</v>
      </c>
    </row>
    <row r="7" s="83" customFormat="1" ht="24" customHeight="1" outlineLevel="2" spans="1:95">
      <c r="A7" s="47"/>
      <c r="B7" s="115" t="s">
        <v>794</v>
      </c>
      <c r="C7" s="116" t="s">
        <v>797</v>
      </c>
      <c r="D7" s="47" t="s">
        <v>798</v>
      </c>
      <c r="E7" s="115"/>
      <c r="F7" s="115"/>
      <c r="G7" s="115"/>
      <c r="H7" s="117">
        <f t="shared" si="4"/>
        <v>11925468.8</v>
      </c>
      <c r="I7" s="117">
        <f t="shared" si="4"/>
        <v>11925468.8</v>
      </c>
      <c r="J7" s="117">
        <f t="shared" si="5"/>
        <v>0</v>
      </c>
      <c r="K7" s="117"/>
      <c r="L7" s="148"/>
      <c r="M7" s="148"/>
      <c r="N7" s="117"/>
      <c r="O7" s="148"/>
      <c r="P7" s="117"/>
      <c r="Q7" s="117"/>
      <c r="R7" s="117"/>
      <c r="S7" s="117"/>
      <c r="T7" s="117"/>
      <c r="U7" s="117"/>
      <c r="V7" s="117"/>
      <c r="W7" s="117"/>
      <c r="X7" s="117">
        <f>VLOOKUP($C7,'1 预算编制表单'!$C:$BJ,27,FALSE)</f>
        <v>980174.4</v>
      </c>
      <c r="Y7" s="117">
        <f>X7-Z7</f>
        <v>980174.4</v>
      </c>
      <c r="Z7" s="117">
        <f>Z8+Z14+Z20</f>
        <v>0</v>
      </c>
      <c r="AA7" s="117">
        <f>VLOOKUP($C7,'1 预算编制表单'!$C:$BJ,30,FALSE)</f>
        <v>980174.4</v>
      </c>
      <c r="AB7" s="117">
        <f>AA7-AC7</f>
        <v>980174.4</v>
      </c>
      <c r="AC7" s="117">
        <f>AC8+AC14+AC20</f>
        <v>0</v>
      </c>
      <c r="AD7" s="117">
        <f>VLOOKUP($C7,'1 预算编制表单'!$C:$BJ,33,FALSE)</f>
        <v>980174.4</v>
      </c>
      <c r="AE7" s="117">
        <f>AD7-AF7</f>
        <v>980174.4</v>
      </c>
      <c r="AF7" s="117">
        <f>AF8+AF14+AF20</f>
        <v>0</v>
      </c>
      <c r="AG7" s="117">
        <f>VLOOKUP($C7,'1 预算编制表单'!$C:$BJ,36,FALSE)</f>
        <v>980174.4</v>
      </c>
      <c r="AH7" s="117">
        <f>AG7-AI7</f>
        <v>980174.4</v>
      </c>
      <c r="AI7" s="117">
        <f>AI8+AI14+AI20</f>
        <v>0</v>
      </c>
      <c r="AJ7" s="117">
        <f>VLOOKUP($C7,'1 预算编制表单'!$C:$BJ,39,FALSE)</f>
        <v>980174.4</v>
      </c>
      <c r="AK7" s="117">
        <f>AJ7-AL7</f>
        <v>980174.4</v>
      </c>
      <c r="AL7" s="117">
        <f>AL8+AL14+AL20</f>
        <v>0</v>
      </c>
      <c r="AM7" s="117">
        <f>VLOOKUP($C7,'1 预算编制表单'!$C:$BJ,42,FALSE)</f>
        <v>980174.4</v>
      </c>
      <c r="AN7" s="117">
        <f>AM7-AO7</f>
        <v>980174.4</v>
      </c>
      <c r="AO7" s="117">
        <f>AO8+AO14+AO20</f>
        <v>0</v>
      </c>
      <c r="AP7" s="117">
        <f>VLOOKUP($C7,'1 预算编制表单'!$C:$BJ,45,FALSE)</f>
        <v>980174.4</v>
      </c>
      <c r="AQ7" s="117">
        <f>AP7-AR7</f>
        <v>980174.4</v>
      </c>
      <c r="AR7" s="117">
        <f>AR8+AR14+AR20</f>
        <v>0</v>
      </c>
      <c r="AS7" s="117">
        <f>VLOOKUP($C7,'1 预算编制表单'!$C:$BJ,48,FALSE)</f>
        <v>980174.4</v>
      </c>
      <c r="AT7" s="117">
        <f>AS7-AU7</f>
        <v>980174.4</v>
      </c>
      <c r="AU7" s="117">
        <f>AU8+AU14+AU20</f>
        <v>0</v>
      </c>
      <c r="AV7" s="117">
        <f>VLOOKUP($C7,'1 预算编制表单'!$C:$BJ,51,FALSE)</f>
        <v>980174.4</v>
      </c>
      <c r="AW7" s="117">
        <f>AV7-AX7</f>
        <v>980174.4</v>
      </c>
      <c r="AX7" s="117">
        <f>AX8+AX14+AX20</f>
        <v>0</v>
      </c>
      <c r="AY7" s="117">
        <f>VLOOKUP($C7,'1 预算编制表单'!$C:$BJ,54,FALSE)</f>
        <v>980174.4</v>
      </c>
      <c r="AZ7" s="117">
        <f>AY7-BA7</f>
        <v>980174.4</v>
      </c>
      <c r="BA7" s="117">
        <f>BA8+BA14+BA20</f>
        <v>0</v>
      </c>
      <c r="BB7" s="117">
        <f>VLOOKUP($C7,'1 预算编制表单'!$C:$BJ,57,FALSE)</f>
        <v>980174.4</v>
      </c>
      <c r="BC7" s="117">
        <f>BB7-BD7</f>
        <v>980174.4</v>
      </c>
      <c r="BD7" s="117">
        <f>BD8+BD14+BD20</f>
        <v>0</v>
      </c>
      <c r="BE7" s="117">
        <f>VLOOKUP($C7,'1 预算编制表单'!$C:$BJ,60,FALSE)</f>
        <v>1143550.4</v>
      </c>
      <c r="BF7" s="117">
        <f>BE7-BG7</f>
        <v>1143550.4</v>
      </c>
      <c r="BG7" s="117">
        <f>BG8+BG14+BG20</f>
        <v>0</v>
      </c>
      <c r="BH7" s="117">
        <f>VLOOKUP($C7,'1 预算编制表单'!$C:$BJ,27,FALSE)</f>
        <v>980174.4</v>
      </c>
      <c r="BI7" s="117">
        <f t="shared" si="13"/>
        <v>980174.4</v>
      </c>
      <c r="BJ7" s="117">
        <f>BJ8+BJ14+BJ20</f>
        <v>0</v>
      </c>
      <c r="BK7" s="117">
        <f>VLOOKUP($C7,'1 预算编制表单'!$C:$BJ,30,FALSE)</f>
        <v>980174.4</v>
      </c>
      <c r="BL7" s="117">
        <f t="shared" si="14"/>
        <v>980174.4</v>
      </c>
      <c r="BM7" s="117">
        <f>BM8+BM14+BM20</f>
        <v>0</v>
      </c>
      <c r="BN7" s="117">
        <f>VLOOKUP($C7,'1 预算编制表单'!$C:$BJ,33,FALSE)</f>
        <v>980174.4</v>
      </c>
      <c r="BO7" s="117">
        <f t="shared" si="15"/>
        <v>980174.4</v>
      </c>
      <c r="BP7" s="117">
        <f>BP8+BP14+BP20</f>
        <v>0</v>
      </c>
      <c r="BQ7" s="117">
        <f>VLOOKUP($C7,'1 预算编制表单'!$C:$BJ,36,FALSE)</f>
        <v>980174.4</v>
      </c>
      <c r="BR7" s="117">
        <f t="shared" si="16"/>
        <v>980174.4</v>
      </c>
      <c r="BS7" s="117">
        <f>BS8+BS14+BS20</f>
        <v>0</v>
      </c>
      <c r="BT7" s="117">
        <f>VLOOKUP($C7,'1 预算编制表单'!$C:$BJ,39,FALSE)</f>
        <v>980174.4</v>
      </c>
      <c r="BU7" s="117">
        <f t="shared" si="17"/>
        <v>980174.4</v>
      </c>
      <c r="BV7" s="117">
        <f>BV8+BV14+BV20</f>
        <v>0</v>
      </c>
      <c r="BW7" s="117">
        <f>VLOOKUP($C7,'1 预算编制表单'!$C:$BJ,42,FALSE)</f>
        <v>980174.4</v>
      </c>
      <c r="BX7" s="117">
        <f t="shared" si="18"/>
        <v>980174.4</v>
      </c>
      <c r="BY7" s="117">
        <f>BY8+BY14+BY20</f>
        <v>0</v>
      </c>
      <c r="BZ7" s="117">
        <f>VLOOKUP($C7,'1 预算编制表单'!$C:$BJ,45,FALSE)</f>
        <v>980174.4</v>
      </c>
      <c r="CA7" s="117">
        <f t="shared" si="19"/>
        <v>980174.4</v>
      </c>
      <c r="CB7" s="117">
        <f>CB8+CB14+CB20</f>
        <v>0</v>
      </c>
      <c r="CC7" s="117">
        <f>VLOOKUP($C7,'1 预算编制表单'!$C:$BJ,48,FALSE)</f>
        <v>980174.4</v>
      </c>
      <c r="CD7" s="117">
        <f t="shared" si="20"/>
        <v>980174.4</v>
      </c>
      <c r="CE7" s="117">
        <f>CE8+CE14+CE20</f>
        <v>0</v>
      </c>
      <c r="CF7" s="117">
        <f>VLOOKUP($C7,'1 预算编制表单'!$C:$BJ,51,FALSE)</f>
        <v>980174.4</v>
      </c>
      <c r="CG7" s="117">
        <f t="shared" si="21"/>
        <v>980174.4</v>
      </c>
      <c r="CH7" s="117">
        <f>CH8+CH14+CH20</f>
        <v>0</v>
      </c>
      <c r="CI7" s="117">
        <f>VLOOKUP($C7,'1 预算编制表单'!$C:$BJ,54,FALSE)</f>
        <v>980174.4</v>
      </c>
      <c r="CJ7" s="117">
        <f t="shared" si="22"/>
        <v>980174.4</v>
      </c>
      <c r="CK7" s="117">
        <f>CK8+CK14+CK20</f>
        <v>0</v>
      </c>
      <c r="CL7" s="117">
        <f>VLOOKUP($C7,'1 预算编制表单'!$C:$BJ,57,FALSE)</f>
        <v>980174.4</v>
      </c>
      <c r="CM7" s="117">
        <f t="shared" si="23"/>
        <v>980174.4</v>
      </c>
      <c r="CN7" s="117">
        <f>CN8+CN14+CN20</f>
        <v>0</v>
      </c>
      <c r="CO7" s="117">
        <f>VLOOKUP($C7,'1 预算编制表单'!$C:$BJ,60,FALSE)</f>
        <v>1143550.4</v>
      </c>
      <c r="CP7" s="117">
        <f t="shared" si="24"/>
        <v>1143550.4</v>
      </c>
      <c r="CQ7" s="117">
        <f>CQ8+CQ14+CQ20</f>
        <v>0</v>
      </c>
    </row>
    <row r="8" s="83" customFormat="1" ht="24" customHeight="1" outlineLevel="3" spans="1:95">
      <c r="A8" s="118"/>
      <c r="B8" s="119" t="s">
        <v>799</v>
      </c>
      <c r="C8" s="120" t="s">
        <v>108</v>
      </c>
      <c r="D8" s="118" t="s">
        <v>109</v>
      </c>
      <c r="E8" s="119"/>
      <c r="F8" s="119"/>
      <c r="G8" s="119"/>
      <c r="H8" s="121">
        <f t="shared" si="4"/>
        <v>11925468.8</v>
      </c>
      <c r="I8" s="121">
        <f t="shared" si="4"/>
        <v>11925468.8</v>
      </c>
      <c r="J8" s="121">
        <f t="shared" si="5"/>
        <v>0</v>
      </c>
      <c r="K8" s="121"/>
      <c r="L8" s="149"/>
      <c r="M8" s="149"/>
      <c r="N8" s="121"/>
      <c r="O8" s="149"/>
      <c r="P8" s="121"/>
      <c r="Q8" s="121"/>
      <c r="R8" s="121"/>
      <c r="S8" s="121"/>
      <c r="T8" s="121"/>
      <c r="U8" s="121"/>
      <c r="V8" s="121"/>
      <c r="W8" s="121"/>
      <c r="X8" s="121">
        <f>VLOOKUP($C8,'1 预算编制表单'!$C:$BJ,27,FALSE)</f>
        <v>980174.4</v>
      </c>
      <c r="Y8" s="121">
        <f>X8-Z8</f>
        <v>980174.4</v>
      </c>
      <c r="Z8" s="121">
        <f>SUM(Z9:Z13)</f>
        <v>0</v>
      </c>
      <c r="AA8" s="121">
        <f>VLOOKUP($C8,'1 预算编制表单'!$C:$BJ,30,FALSE)</f>
        <v>980174.4</v>
      </c>
      <c r="AB8" s="121">
        <f>AA8-AC8</f>
        <v>980174.4</v>
      </c>
      <c r="AC8" s="121">
        <f>SUM(AC9:AC13)</f>
        <v>0</v>
      </c>
      <c r="AD8" s="121">
        <f>VLOOKUP($C8,'1 预算编制表单'!$C:$BJ,33,FALSE)</f>
        <v>980174.4</v>
      </c>
      <c r="AE8" s="121">
        <f>AD8-AF8</f>
        <v>980174.4</v>
      </c>
      <c r="AF8" s="121">
        <f>SUM(AF9:AF13)</f>
        <v>0</v>
      </c>
      <c r="AG8" s="121">
        <f>VLOOKUP($C8,'1 预算编制表单'!$C:$BJ,36,FALSE)</f>
        <v>980174.4</v>
      </c>
      <c r="AH8" s="121">
        <f>AG8-AI8</f>
        <v>980174.4</v>
      </c>
      <c r="AI8" s="121">
        <f>SUM(AI9:AI13)</f>
        <v>0</v>
      </c>
      <c r="AJ8" s="121">
        <f>VLOOKUP($C8,'1 预算编制表单'!$C:$BJ,39,FALSE)</f>
        <v>980174.4</v>
      </c>
      <c r="AK8" s="121">
        <f>AJ8-AL8</f>
        <v>980174.4</v>
      </c>
      <c r="AL8" s="121">
        <f>SUM(AL9:AL13)</f>
        <v>0</v>
      </c>
      <c r="AM8" s="121">
        <f>VLOOKUP($C8,'1 预算编制表单'!$C:$BJ,42,FALSE)</f>
        <v>980174.4</v>
      </c>
      <c r="AN8" s="121">
        <f>AM8-AO8</f>
        <v>980174.4</v>
      </c>
      <c r="AO8" s="121">
        <f>SUM(AO9:AO13)</f>
        <v>0</v>
      </c>
      <c r="AP8" s="121">
        <f>VLOOKUP($C8,'1 预算编制表单'!$C:$BJ,45,FALSE)</f>
        <v>980174.4</v>
      </c>
      <c r="AQ8" s="121">
        <f>AP8-AR8</f>
        <v>980174.4</v>
      </c>
      <c r="AR8" s="121">
        <f>SUM(AR9:AR13)</f>
        <v>0</v>
      </c>
      <c r="AS8" s="121">
        <f>VLOOKUP($C8,'1 预算编制表单'!$C:$BJ,48,FALSE)</f>
        <v>980174.4</v>
      </c>
      <c r="AT8" s="121">
        <f>AS8-AU8</f>
        <v>980174.4</v>
      </c>
      <c r="AU8" s="121">
        <f>SUM(AU9:AU13)</f>
        <v>0</v>
      </c>
      <c r="AV8" s="121">
        <f>VLOOKUP($C8,'1 预算编制表单'!$C:$BJ,51,FALSE)</f>
        <v>980174.4</v>
      </c>
      <c r="AW8" s="121">
        <f>AV8-AX8</f>
        <v>980174.4</v>
      </c>
      <c r="AX8" s="121">
        <f>SUM(AX9:AX13)</f>
        <v>0</v>
      </c>
      <c r="AY8" s="121">
        <f>VLOOKUP($C8,'1 预算编制表单'!$C:$BJ,54,FALSE)</f>
        <v>980174.4</v>
      </c>
      <c r="AZ8" s="121">
        <f>AY8-BA8</f>
        <v>980174.4</v>
      </c>
      <c r="BA8" s="121">
        <f>SUM(BA9:BA13)</f>
        <v>0</v>
      </c>
      <c r="BB8" s="121">
        <f>VLOOKUP($C8,'1 预算编制表单'!$C:$BJ,57,FALSE)</f>
        <v>980174.4</v>
      </c>
      <c r="BC8" s="121">
        <f>BB8-BD8</f>
        <v>980174.4</v>
      </c>
      <c r="BD8" s="121">
        <f>SUM(BD9:BD13)</f>
        <v>0</v>
      </c>
      <c r="BE8" s="121">
        <f>VLOOKUP($C8,'1 预算编制表单'!$C:$BJ,60,FALSE)</f>
        <v>1143550.4</v>
      </c>
      <c r="BF8" s="121">
        <f>BE8-BG8</f>
        <v>1143550.4</v>
      </c>
      <c r="BG8" s="121">
        <f>SUM(BG9:BG13)</f>
        <v>0</v>
      </c>
      <c r="BH8" s="121">
        <f>VLOOKUP($C8,'1 预算编制表单'!$C:$BJ,27,FALSE)</f>
        <v>980174.4</v>
      </c>
      <c r="BI8" s="121">
        <f t="shared" si="13"/>
        <v>980174.4</v>
      </c>
      <c r="BJ8" s="121">
        <f>SUM(BJ9:BJ13)</f>
        <v>0</v>
      </c>
      <c r="BK8" s="121">
        <f>VLOOKUP($C8,'1 预算编制表单'!$C:$BJ,30,FALSE)</f>
        <v>980174.4</v>
      </c>
      <c r="BL8" s="121">
        <f t="shared" si="14"/>
        <v>980174.4</v>
      </c>
      <c r="BM8" s="121">
        <f>SUM(BM9:BM13)</f>
        <v>0</v>
      </c>
      <c r="BN8" s="121">
        <f>VLOOKUP($C8,'1 预算编制表单'!$C:$BJ,33,FALSE)</f>
        <v>980174.4</v>
      </c>
      <c r="BO8" s="121">
        <f t="shared" si="15"/>
        <v>980174.4</v>
      </c>
      <c r="BP8" s="121">
        <f>SUM(BP9:BP13)</f>
        <v>0</v>
      </c>
      <c r="BQ8" s="121">
        <f>VLOOKUP($C8,'1 预算编制表单'!$C:$BJ,36,FALSE)</f>
        <v>980174.4</v>
      </c>
      <c r="BR8" s="121">
        <f t="shared" si="16"/>
        <v>980174.4</v>
      </c>
      <c r="BS8" s="121">
        <f>SUM(BS9:BS13)</f>
        <v>0</v>
      </c>
      <c r="BT8" s="121">
        <f>VLOOKUP($C8,'1 预算编制表单'!$C:$BJ,39,FALSE)</f>
        <v>980174.4</v>
      </c>
      <c r="BU8" s="121">
        <f t="shared" si="17"/>
        <v>980174.4</v>
      </c>
      <c r="BV8" s="121">
        <f>SUM(BV9:BV13)</f>
        <v>0</v>
      </c>
      <c r="BW8" s="121">
        <f>VLOOKUP($C8,'1 预算编制表单'!$C:$BJ,42,FALSE)</f>
        <v>980174.4</v>
      </c>
      <c r="BX8" s="121">
        <f t="shared" si="18"/>
        <v>980174.4</v>
      </c>
      <c r="BY8" s="121">
        <f>SUM(BY9:BY13)</f>
        <v>0</v>
      </c>
      <c r="BZ8" s="121">
        <f>VLOOKUP($C8,'1 预算编制表单'!$C:$BJ,45,FALSE)</f>
        <v>980174.4</v>
      </c>
      <c r="CA8" s="121">
        <f t="shared" si="19"/>
        <v>980174.4</v>
      </c>
      <c r="CB8" s="121">
        <f>SUM(CB9:CB13)</f>
        <v>0</v>
      </c>
      <c r="CC8" s="121">
        <f>VLOOKUP($C8,'1 预算编制表单'!$C:$BJ,48,FALSE)</f>
        <v>980174.4</v>
      </c>
      <c r="CD8" s="121">
        <f t="shared" si="20"/>
        <v>980174.4</v>
      </c>
      <c r="CE8" s="121">
        <f>SUM(CE9:CE13)</f>
        <v>0</v>
      </c>
      <c r="CF8" s="121">
        <f>VLOOKUP($C8,'1 预算编制表单'!$C:$BJ,51,FALSE)</f>
        <v>980174.4</v>
      </c>
      <c r="CG8" s="121">
        <f t="shared" si="21"/>
        <v>980174.4</v>
      </c>
      <c r="CH8" s="121">
        <f>SUM(CH9:CH13)</f>
        <v>0</v>
      </c>
      <c r="CI8" s="121">
        <f>VLOOKUP($C8,'1 预算编制表单'!$C:$BJ,54,FALSE)</f>
        <v>980174.4</v>
      </c>
      <c r="CJ8" s="121">
        <f t="shared" si="22"/>
        <v>980174.4</v>
      </c>
      <c r="CK8" s="121">
        <f>SUM(CK9:CK13)</f>
        <v>0</v>
      </c>
      <c r="CL8" s="121">
        <f>VLOOKUP($C8,'1 预算编制表单'!$C:$BJ,57,FALSE)</f>
        <v>980174.4</v>
      </c>
      <c r="CM8" s="121">
        <f t="shared" si="23"/>
        <v>980174.4</v>
      </c>
      <c r="CN8" s="121">
        <f>SUM(CN9:CN13)</f>
        <v>0</v>
      </c>
      <c r="CO8" s="121">
        <f>VLOOKUP($C8,'1 预算编制表单'!$C:$BJ,60,FALSE)</f>
        <v>1143550.4</v>
      </c>
      <c r="CP8" s="121">
        <f t="shared" si="24"/>
        <v>1143550.4</v>
      </c>
      <c r="CQ8" s="121">
        <f>SUM(CQ9:CQ13)</f>
        <v>0</v>
      </c>
    </row>
    <row r="9" s="83" customFormat="1" ht="24" customHeight="1" outlineLevel="4" spans="1:95">
      <c r="A9" s="122"/>
      <c r="B9" s="123"/>
      <c r="C9" s="124"/>
      <c r="D9" s="122"/>
      <c r="E9" s="123"/>
      <c r="F9" s="123"/>
      <c r="G9" s="123"/>
      <c r="H9" s="125"/>
      <c r="I9" s="125"/>
      <c r="J9" s="125">
        <f t="shared" si="5"/>
        <v>0</v>
      </c>
      <c r="K9" s="125">
        <v>1</v>
      </c>
      <c r="L9" s="150"/>
      <c r="M9" s="151">
        <f>IFERROR(VLOOKUP($L9,'2-2 引出数据_合同数据仓库'!$B$2:$BP$1000,3,FALSE),0)</f>
        <v>0</v>
      </c>
      <c r="N9" s="125"/>
      <c r="O9" s="151">
        <f>IFERROR(VLOOKUP((LEFT(VLOOKUP($L9,'2-2 引出数据_合同数据仓库'!$B$2:$BP$1000,64,FALSE),15)&amp;(RIGHT(VLOOKUP($L9,'2-2 引出数据_合同数据仓库'!$B$2:$BP$1000,64,FALSE),4)+1)),'2-2 引出数据_合同数据仓库'!$B$2:$BP$1000,3,FALSE),0)</f>
        <v>0</v>
      </c>
      <c r="P9" s="125"/>
      <c r="Q9" s="125">
        <f>IFERROR(VLOOKUP($L9,'2-2 引出数据_合同数据仓库'!$B$2:$BP$1000,28,FALSE),0)</f>
        <v>0</v>
      </c>
      <c r="R9" s="125">
        <f>IFERROR(VLOOKUP($L9,'2-2 引出数据_合同数据仓库'!$B$2:$BP$1000,29,FALSE),0)</f>
        <v>0</v>
      </c>
      <c r="S9" s="125">
        <f>IFERROR(VLOOKUP($L9,'2-2 引出数据_合同数据仓库'!$B$2:$BP$1000,4,FALSE),0)</f>
        <v>0</v>
      </c>
      <c r="T9" s="125"/>
      <c r="U9" s="125">
        <f>IFERROR(VLOOKUP($L9,'2-2 引出数据_合同数据仓库'!$B$2:$BP$1000,15,FALSE),0)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customHeight="1" outlineLevel="4" spans="1:95">
      <c r="A10" s="122"/>
      <c r="B10" s="123"/>
      <c r="C10" s="124"/>
      <c r="D10" s="122"/>
      <c r="E10" s="123"/>
      <c r="F10" s="123"/>
      <c r="G10" s="123"/>
      <c r="H10" s="125"/>
      <c r="I10" s="125"/>
      <c r="J10" s="125">
        <f t="shared" si="5"/>
        <v>0</v>
      </c>
      <c r="K10" s="125">
        <f>K9+1</f>
        <v>2</v>
      </c>
      <c r="L10" s="150"/>
      <c r="M10" s="151">
        <f>IFERROR(VLOOKUP($L10,'2-2 引出数据_合同数据仓库'!$B$2:$BP$1000,3,FALSE),0)</f>
        <v>0</v>
      </c>
      <c r="N10" s="125"/>
      <c r="O10" s="151">
        <f>IFERROR(VLOOKUP((LEFT(VLOOKUP($L10,'2-2 引出数据_合同数据仓库'!$B$2:$BP$1000,64,FALSE),15)&amp;(RIGHT(VLOOKUP($L10,'2-2 引出数据_合同数据仓库'!$B$2:$BP$1000,64,FALSE),4)+1)),'2-2 引出数据_合同数据仓库'!$B$2:$BP$1000,3,FALSE),0)</f>
        <v>0</v>
      </c>
      <c r="P10" s="125"/>
      <c r="Q10" s="125">
        <f>IFERROR(VLOOKUP($L10,'2-2 引出数据_合同数据仓库'!$B$2:$BP$1000,28,FALSE),0)</f>
        <v>0</v>
      </c>
      <c r="R10" s="125">
        <f>IFERROR(VLOOKUP($L10,'2-2 引出数据_合同数据仓库'!$B$2:$BP$1000,29,FALSE),0)</f>
        <v>0</v>
      </c>
      <c r="S10" s="125">
        <f>IFERROR(VLOOKUP($L10,'2-2 引出数据_合同数据仓库'!$B$2:$BP$1000,4,FALSE),0)</f>
        <v>0</v>
      </c>
      <c r="T10" s="125"/>
      <c r="U10" s="125">
        <f>IFERROR(VLOOKUP($L10,'2-2 引出数据_合同数据仓库'!$B$2:$BP$1000,15,FALSE),0)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引出数据_合同数据仓库'!$B$2:$BP$1000,3,FALSE),0)</f>
        <v>0</v>
      </c>
      <c r="N11" s="125"/>
      <c r="O11" s="151">
        <f>IFERROR(VLOOKUP((LEFT(VLOOKUP($L11,'2-2 引出数据_合同数据仓库'!$B$2:$BP$1000,64,FALSE),15)&amp;(RIGHT(VLOOKUP($L11,'2-2 引出数据_合同数据仓库'!$B$2:$BP$1000,64,FALSE),4)+1)),'2-2 引出数据_合同数据仓库'!$B$2:$BP$1000,3,FALSE),0)</f>
        <v>0</v>
      </c>
      <c r="P11" s="125"/>
      <c r="Q11" s="125">
        <f>IFERROR(VLOOKUP($L11,'2-2 引出数据_合同数据仓库'!$B$2:$BP$1000,28,FALSE),0)</f>
        <v>0</v>
      </c>
      <c r="R11" s="125">
        <f>IFERROR(VLOOKUP($L11,'2-2 引出数据_合同数据仓库'!$B$2:$BP$1000,29,FALSE),0)</f>
        <v>0</v>
      </c>
      <c r="S11" s="125">
        <f>IFERROR(VLOOKUP($L11,'2-2 引出数据_合同数据仓库'!$B$2:$BP$1000,4,FALSE),0)</f>
        <v>0</v>
      </c>
      <c r="T11" s="125"/>
      <c r="U11" s="125">
        <f>IFERROR(VLOOKUP($L11,'2-2 引出数据_合同数据仓库'!$B$2:$BP$1000,15,FALSE),0)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引出数据_合同数据仓库'!$B$2:$BP$1000,3,FALSE),0)</f>
        <v>0</v>
      </c>
      <c r="N12" s="125"/>
      <c r="O12" s="151">
        <f>IFERROR(VLOOKUP((LEFT(VLOOKUP($L12,'2-2 引出数据_合同数据仓库'!$B$2:$BP$1000,64,FALSE),15)&amp;(RIGHT(VLOOKUP($L12,'2-2 引出数据_合同数据仓库'!$B$2:$BP$1000,64,FALSE),4)+1)),'2-2 引出数据_合同数据仓库'!$B$2:$BP$1000,3,FALSE),0)</f>
        <v>0</v>
      </c>
      <c r="P12" s="125"/>
      <c r="Q12" s="125">
        <f>IFERROR(VLOOKUP($L12,'2-2 引出数据_合同数据仓库'!$B$2:$BP$1000,28,FALSE),0)</f>
        <v>0</v>
      </c>
      <c r="R12" s="125">
        <f>IFERROR(VLOOKUP($L12,'2-2 引出数据_合同数据仓库'!$B$2:$BP$1000,29,FALSE),0)</f>
        <v>0</v>
      </c>
      <c r="S12" s="125">
        <f>IFERROR(VLOOKUP($L12,'2-2 引出数据_合同数据仓库'!$B$2:$BP$1000,4,FALSE),0)</f>
        <v>0</v>
      </c>
      <c r="T12" s="125"/>
      <c r="U12" s="125">
        <f>IFERROR(VLOOKUP($L12,'2-2 引出数据_合同数据仓库'!$B$2:$BP$1000,15,FALSE),0)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customHeight="1" outlineLevel="4" spans="1:95">
      <c r="A13" s="126" t="s">
        <v>2821</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customHeight="1" outlineLevel="3" spans="1:95">
      <c r="A14" s="118"/>
      <c r="B14" s="119" t="s">
        <v>799</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customHeight="1" outlineLevel="4" spans="1:95">
      <c r="A15" s="122"/>
      <c r="B15" s="123"/>
      <c r="C15" s="124" t="s">
        <v>112</v>
      </c>
      <c r="D15" s="130" t="s">
        <v>2822</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引出数据_合同数据仓库'!$B$2:$BP$1000,3,FALSE),0)</f>
        <v>0</v>
      </c>
      <c r="N16" s="125"/>
      <c r="O16" s="151">
        <f>IFERROR(VLOOKUP((LEFT(VLOOKUP($L16,'2-2 引出数据_合同数据仓库'!$B$2:$BP$1000,64,FALSE),15)&amp;(RIGHT(VLOOKUP($L16,'2-2 引出数据_合同数据仓库'!$B$2:$BP$1000,64,FALSE),4)+1)),'2-2 引出数据_合同数据仓库'!$B$2:$BP$1000,3,FALSE),0)</f>
        <v>0</v>
      </c>
      <c r="P16" s="125"/>
      <c r="Q16" s="125">
        <f>IFERROR(VLOOKUP($L16,'2-2 引出数据_合同数据仓库'!$B$2:$BP$1000,28,FALSE),0)</f>
        <v>0</v>
      </c>
      <c r="R16" s="125">
        <f>IFERROR(VLOOKUP($L16,'2-2 引出数据_合同数据仓库'!$B$2:$BP$1000,29,FALSE),0)</f>
        <v>0</v>
      </c>
      <c r="S16" s="125">
        <f>IFERROR(VLOOKUP($L16,'2-2 引出数据_合同数据仓库'!$B$2:$BP$1000,4,FALSE),0)</f>
        <v>0</v>
      </c>
      <c r="T16" s="125"/>
      <c r="U16" s="125">
        <f>IFERROR(VLOOKUP($L16,'2-2 引出数据_合同数据仓库'!$B$2:$BP$1000,15,FALSE),0)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引出数据_合同数据仓库'!$B$2:$BP$1000,3,FALSE),0)</f>
        <v>0</v>
      </c>
      <c r="N17" s="125"/>
      <c r="O17" s="151">
        <f>IFERROR(VLOOKUP((LEFT(VLOOKUP($L17,'2-2 引出数据_合同数据仓库'!$B$2:$BP$1000,64,FALSE),15)&amp;(RIGHT(VLOOKUP($L17,'2-2 引出数据_合同数据仓库'!$B$2:$BP$1000,64,FALSE),4)+1)),'2-2 引出数据_合同数据仓库'!$B$2:$BP$1000,3,FALSE),0)</f>
        <v>0</v>
      </c>
      <c r="P17" s="125"/>
      <c r="Q17" s="125">
        <f>IFERROR(VLOOKUP($L17,'2-2 引出数据_合同数据仓库'!$B$2:$BP$1000,28,FALSE),0)</f>
        <v>0</v>
      </c>
      <c r="R17" s="125">
        <f>IFERROR(VLOOKUP($L17,'2-2 引出数据_合同数据仓库'!$B$2:$BP$1000,29,FALSE),0)</f>
        <v>0</v>
      </c>
      <c r="S17" s="125">
        <f>IFERROR(VLOOKUP($L17,'2-2 引出数据_合同数据仓库'!$B$2:$BP$1000,4,FALSE),0)</f>
        <v>0</v>
      </c>
      <c r="T17" s="125"/>
      <c r="U17" s="125">
        <f>IFERROR(VLOOKUP($L17,'2-2 引出数据_合同数据仓库'!$B$2:$BP$1000,15,FALSE),0)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引出数据_合同数据仓库'!$B$2:$BP$1000,3,FALSE),0)</f>
        <v>0</v>
      </c>
      <c r="N18" s="125"/>
      <c r="O18" s="151">
        <f>IFERROR(VLOOKUP((LEFT(VLOOKUP($L18,'2-2 引出数据_合同数据仓库'!$B$2:$BP$1000,64,FALSE),15)&amp;(RIGHT(VLOOKUP($L18,'2-2 引出数据_合同数据仓库'!$B$2:$BP$1000,64,FALSE),4)+1)),'2-2 引出数据_合同数据仓库'!$B$2:$BP$1000,3,FALSE),0)</f>
        <v>0</v>
      </c>
      <c r="P18" s="125"/>
      <c r="Q18" s="125">
        <f>IFERROR(VLOOKUP($L18,'2-2 引出数据_合同数据仓库'!$B$2:$BP$1000,28,FALSE),0)</f>
        <v>0</v>
      </c>
      <c r="R18" s="125">
        <f>IFERROR(VLOOKUP($L18,'2-2 引出数据_合同数据仓库'!$B$2:$BP$1000,29,FALSE),0)</f>
        <v>0</v>
      </c>
      <c r="S18" s="125">
        <f>IFERROR(VLOOKUP($L18,'2-2 引出数据_合同数据仓库'!$B$2:$BP$1000,4,FALSE),0)</f>
        <v>0</v>
      </c>
      <c r="T18" s="125"/>
      <c r="U18" s="125">
        <f>IFERROR(VLOOKUP($L18,'2-2 引出数据_合同数据仓库'!$B$2:$BP$1000,15,FALSE),0)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customHeight="1" outlineLevel="4" spans="1:95">
      <c r="A19" s="126" t="s">
        <v>2821</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customHeight="1" outlineLevel="3" spans="1:95">
      <c r="A20" s="118"/>
      <c r="B20" s="119" t="s">
        <v>799</v>
      </c>
      <c r="C20" s="120" t="s">
        <v>18</v>
      </c>
      <c r="D20" s="118" t="s">
        <v>19</v>
      </c>
      <c r="E20" s="119"/>
      <c r="F20" s="119"/>
      <c r="G20" s="119"/>
      <c r="H20" s="121">
        <f>X20+AA20+AD20+AG20+AJ20+AM20+AP20+AS20+AV20+AY20+BB20+BE20</f>
        <v>0</v>
      </c>
      <c r="I20" s="121">
        <f>Y20+AB20+AE20+AH20+AK20+AN20+AQ20+AT20+AW20+AZ20+BC20+BF20</f>
        <v>0</v>
      </c>
      <c r="J20" s="121">
        <f t="shared" si="5"/>
        <v>0</v>
      </c>
      <c r="K20" s="121"/>
      <c r="L20" s="149"/>
      <c r="M20" s="149"/>
      <c r="N20" s="121"/>
      <c r="O20" s="149"/>
      <c r="P20" s="121"/>
      <c r="Q20" s="121"/>
      <c r="R20" s="121"/>
      <c r="S20" s="121"/>
      <c r="T20" s="121"/>
      <c r="U20" s="121"/>
      <c r="V20" s="121"/>
      <c r="W20" s="121"/>
      <c r="X20" s="121">
        <f>VLOOKUP($C20,'1 预算编制表单'!$C:$BJ,27,FALSE)</f>
        <v>0</v>
      </c>
      <c r="Y20" s="121">
        <f>X20-Z20</f>
        <v>0</v>
      </c>
      <c r="Z20" s="121">
        <f>SUM(Z21:Z25)</f>
        <v>0</v>
      </c>
      <c r="AA20" s="121">
        <f>VLOOKUP($C20,'1 预算编制表单'!$C:$BJ,30,FALSE)</f>
        <v>0</v>
      </c>
      <c r="AB20" s="121">
        <f>AA20-AC20</f>
        <v>0</v>
      </c>
      <c r="AC20" s="121">
        <f>SUM(AC21:AC25)</f>
        <v>0</v>
      </c>
      <c r="AD20" s="121">
        <f>VLOOKUP($C20,'1 预算编制表单'!$C:$BJ,33,FALSE)</f>
        <v>0</v>
      </c>
      <c r="AE20" s="121">
        <f>AD20-AF20</f>
        <v>0</v>
      </c>
      <c r="AF20" s="121">
        <f>SUM(AF21:AF25)</f>
        <v>0</v>
      </c>
      <c r="AG20" s="121">
        <f>VLOOKUP($C20,'1 预算编制表单'!$C:$BJ,36,FALSE)</f>
        <v>0</v>
      </c>
      <c r="AH20" s="121">
        <f>AG20-AI20</f>
        <v>0</v>
      </c>
      <c r="AI20" s="121">
        <f>SUM(AI21:AI25)</f>
        <v>0</v>
      </c>
      <c r="AJ20" s="121">
        <f>VLOOKUP($C20,'1 预算编制表单'!$C:$BJ,39,FALSE)</f>
        <v>0</v>
      </c>
      <c r="AK20" s="121">
        <f>AJ20-AL20</f>
        <v>0</v>
      </c>
      <c r="AL20" s="121">
        <f>SUM(AL21:AL25)</f>
        <v>0</v>
      </c>
      <c r="AM20" s="121">
        <f>VLOOKUP($C20,'1 预算编制表单'!$C:$BJ,42,FALSE)</f>
        <v>0</v>
      </c>
      <c r="AN20" s="121">
        <f>AM20-AO20</f>
        <v>0</v>
      </c>
      <c r="AO20" s="121">
        <f>SUM(AO21:AO25)</f>
        <v>0</v>
      </c>
      <c r="AP20" s="121">
        <f>VLOOKUP($C20,'1 预算编制表单'!$C:$BJ,45,FALSE)</f>
        <v>0</v>
      </c>
      <c r="AQ20" s="121">
        <f>AP20-AR20</f>
        <v>0</v>
      </c>
      <c r="AR20" s="121">
        <f>SUM(AR21:AR25)</f>
        <v>0</v>
      </c>
      <c r="AS20" s="121">
        <f>VLOOKUP($C20,'1 预算编制表单'!$C:$BJ,48,FALSE)</f>
        <v>0</v>
      </c>
      <c r="AT20" s="121">
        <f>AS20-AU20</f>
        <v>0</v>
      </c>
      <c r="AU20" s="121">
        <f>SUM(AU21:AU25)</f>
        <v>0</v>
      </c>
      <c r="AV20" s="121">
        <f>VLOOKUP($C20,'1 预算编制表单'!$C:$BJ,51,FALSE)</f>
        <v>0</v>
      </c>
      <c r="AW20" s="121">
        <f>AV20-AX20</f>
        <v>0</v>
      </c>
      <c r="AX20" s="121">
        <f>SUM(AX21:AX25)</f>
        <v>0</v>
      </c>
      <c r="AY20" s="121">
        <f>VLOOKUP($C20,'1 预算编制表单'!$C:$BJ,54,FALSE)</f>
        <v>0</v>
      </c>
      <c r="AZ20" s="121">
        <f>AY20-BA20</f>
        <v>0</v>
      </c>
      <c r="BA20" s="121">
        <f>SUM(BA21:BA25)</f>
        <v>0</v>
      </c>
      <c r="BB20" s="121">
        <f>VLOOKUP($C20,'1 预算编制表单'!$C:$BJ,57,FALSE)</f>
        <v>0</v>
      </c>
      <c r="BC20" s="121">
        <f>BB20-BD20</f>
        <v>0</v>
      </c>
      <c r="BD20" s="121">
        <f>SUM(BD21:BD25)</f>
        <v>0</v>
      </c>
      <c r="BE20" s="121">
        <f>VLOOKUP($C20,'1 预算编制表单'!$C:$BJ,60,FALSE)</f>
        <v>0</v>
      </c>
      <c r="BF20" s="121">
        <f>BE20-BG20</f>
        <v>0</v>
      </c>
      <c r="BG20" s="121">
        <f>SUM(BG21:BG25)</f>
        <v>0</v>
      </c>
      <c r="BH20" s="121">
        <f>VLOOKUP($C20,'1 预算编制表单'!$C:$BJ,27,FALSE)</f>
        <v>0</v>
      </c>
      <c r="BI20" s="121">
        <f>BH20-BJ20</f>
        <v>0</v>
      </c>
      <c r="BJ20" s="121">
        <f>SUM(BJ21:BJ25)</f>
        <v>0</v>
      </c>
      <c r="BK20" s="121">
        <f>VLOOKUP($C20,'1 预算编制表单'!$C:$BJ,30,FALSE)</f>
        <v>0</v>
      </c>
      <c r="BL20" s="121">
        <f>BK20-BM20</f>
        <v>0</v>
      </c>
      <c r="BM20" s="121">
        <f>SUM(BM21:BM25)</f>
        <v>0</v>
      </c>
      <c r="BN20" s="121">
        <f>VLOOKUP($C20,'1 预算编制表单'!$C:$BJ,33,FALSE)</f>
        <v>0</v>
      </c>
      <c r="BO20" s="121">
        <f>BN20-BP20</f>
        <v>0</v>
      </c>
      <c r="BP20" s="121">
        <f>SUM(BP21:BP25)</f>
        <v>0</v>
      </c>
      <c r="BQ20" s="121">
        <f>VLOOKUP($C20,'1 预算编制表单'!$C:$BJ,36,FALSE)</f>
        <v>0</v>
      </c>
      <c r="BR20" s="121">
        <f>BQ20-BS20</f>
        <v>0</v>
      </c>
      <c r="BS20" s="121">
        <f>SUM(BS21:BS25)</f>
        <v>0</v>
      </c>
      <c r="BT20" s="121">
        <f>VLOOKUP($C20,'1 预算编制表单'!$C:$BJ,39,FALSE)</f>
        <v>0</v>
      </c>
      <c r="BU20" s="121">
        <f>BT20-BV20</f>
        <v>0</v>
      </c>
      <c r="BV20" s="121">
        <f>SUM(BV21:BV25)</f>
        <v>0</v>
      </c>
      <c r="BW20" s="121">
        <f>VLOOKUP($C20,'1 预算编制表单'!$C:$BJ,42,FALSE)</f>
        <v>0</v>
      </c>
      <c r="BX20" s="121">
        <f>BW20-BY20</f>
        <v>0</v>
      </c>
      <c r="BY20" s="121">
        <f>SUM(BY21:BY25)</f>
        <v>0</v>
      </c>
      <c r="BZ20" s="121">
        <f>VLOOKUP($C20,'1 预算编制表单'!$C:$BJ,45,FALSE)</f>
        <v>0</v>
      </c>
      <c r="CA20" s="121">
        <f>BZ20-CB20</f>
        <v>0</v>
      </c>
      <c r="CB20" s="121">
        <f>SUM(CB21:CB25)</f>
        <v>0</v>
      </c>
      <c r="CC20" s="121">
        <f>VLOOKUP($C20,'1 预算编制表单'!$C:$BJ,48,FALSE)</f>
        <v>0</v>
      </c>
      <c r="CD20" s="121">
        <f>CC20-CE20</f>
        <v>0</v>
      </c>
      <c r="CE20" s="121">
        <f>SUM(CE21:CE25)</f>
        <v>0</v>
      </c>
      <c r="CF20" s="121">
        <f>VLOOKUP($C20,'1 预算编制表单'!$C:$BJ,51,FALSE)</f>
        <v>0</v>
      </c>
      <c r="CG20" s="121">
        <f>CF20-CH20</f>
        <v>0</v>
      </c>
      <c r="CH20" s="121">
        <f>SUM(CH21:CH25)</f>
        <v>0</v>
      </c>
      <c r="CI20" s="121">
        <f>VLOOKUP($C20,'1 预算编制表单'!$C:$BJ,54,FALSE)</f>
        <v>0</v>
      </c>
      <c r="CJ20" s="121">
        <f>CI20-CK20</f>
        <v>0</v>
      </c>
      <c r="CK20" s="121">
        <f>SUM(CK21:CK25)</f>
        <v>0</v>
      </c>
      <c r="CL20" s="121">
        <f>VLOOKUP($C20,'1 预算编制表单'!$C:$BJ,57,FALSE)</f>
        <v>0</v>
      </c>
      <c r="CM20" s="121">
        <f>CL20-CN20</f>
        <v>0</v>
      </c>
      <c r="CN20" s="121">
        <f>SUM(CN21:CN25)</f>
        <v>0</v>
      </c>
      <c r="CO20" s="121">
        <f>VLOOKUP($C20,'1 预算编制表单'!$C:$BJ,60,FALSE)</f>
        <v>0</v>
      </c>
      <c r="CP20" s="121">
        <f>CO20-CQ20</f>
        <v>0</v>
      </c>
      <c r="CQ20" s="121">
        <f>SUM(CQ21:CQ25)</f>
        <v>0</v>
      </c>
    </row>
    <row r="21" s="83" customFormat="1" ht="24" customHeight="1" outlineLevel="4" spans="1:95">
      <c r="A21" s="122"/>
      <c r="B21" s="123"/>
      <c r="C21" s="124"/>
      <c r="D21" s="122"/>
      <c r="E21" s="123"/>
      <c r="F21" s="123"/>
      <c r="G21" s="123"/>
      <c r="H21" s="125"/>
      <c r="I21" s="125"/>
      <c r="J21" s="125">
        <f t="shared" si="5"/>
        <v>0</v>
      </c>
      <c r="K21" s="125">
        <v>1</v>
      </c>
      <c r="L21" s="150"/>
      <c r="M21" s="151">
        <f>IFERROR(VLOOKUP($L21,'2-2 引出数据_合同数据仓库'!$B$2:$BP$1000,3,FALSE),0)</f>
        <v>0</v>
      </c>
      <c r="N21" s="125"/>
      <c r="O21" s="151">
        <f>IFERROR(VLOOKUP((LEFT(VLOOKUP($L21,'2-2 引出数据_合同数据仓库'!$B$2:$BP$1000,64,FALSE),15)&amp;(RIGHT(VLOOKUP($L21,'2-2 引出数据_合同数据仓库'!$B$2:$BP$1000,64,FALSE),4)+1)),'2-2 引出数据_合同数据仓库'!$B$2:$BP$1000,3,FALSE),0)</f>
        <v>0</v>
      </c>
      <c r="P21" s="125"/>
      <c r="Q21" s="125">
        <f>IFERROR(VLOOKUP($L21,'2-2 引出数据_合同数据仓库'!$B$2:$BP$1000,28,FALSE),0)</f>
        <v>0</v>
      </c>
      <c r="R21" s="125">
        <f>IFERROR(VLOOKUP($L21,'2-2 引出数据_合同数据仓库'!$B$2:$BP$1000,29,FALSE),0)</f>
        <v>0</v>
      </c>
      <c r="S21" s="125">
        <f>IFERROR(VLOOKUP($L21,'2-2 引出数据_合同数据仓库'!$B$2:$BP$1000,4,FALSE),0)</f>
        <v>0</v>
      </c>
      <c r="T21" s="125"/>
      <c r="U21" s="125">
        <f>IFERROR(VLOOKUP($L21,'2-2 引出数据_合同数据仓库'!$B$2:$BP$1000,15,FALSE),0)</f>
        <v>0</v>
      </c>
      <c r="V21" s="125">
        <f t="shared" ref="V21:V24" si="168">U21/(S21-R21+1)*365</f>
        <v>0</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0</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0</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0</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0</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引出数据_合同数据仓库'!$B$2:$BP$1000,3,FALSE),0)</f>
        <v>0</v>
      </c>
      <c r="N22" s="125"/>
      <c r="O22" s="151">
        <f>IFERROR(VLOOKUP((LEFT(VLOOKUP($L22,'2-2 引出数据_合同数据仓库'!$B$2:$BP$1000,64,FALSE),15)&amp;(RIGHT(VLOOKUP($L22,'2-2 引出数据_合同数据仓库'!$B$2:$BP$1000,64,FALSE),4)+1)),'2-2 引出数据_合同数据仓库'!$B$2:$BP$1000,3,FALSE),0)</f>
        <v>0</v>
      </c>
      <c r="P22" s="125"/>
      <c r="Q22" s="125">
        <f>IFERROR(VLOOKUP($L22,'2-2 引出数据_合同数据仓库'!$B$2:$BP$1000,28,FALSE),0)</f>
        <v>0</v>
      </c>
      <c r="R22" s="125">
        <f>IFERROR(VLOOKUP($L22,'2-2 引出数据_合同数据仓库'!$B$2:$BP$1000,29,FALSE),0)</f>
        <v>0</v>
      </c>
      <c r="S22" s="125">
        <f>IFERROR(VLOOKUP($L22,'2-2 引出数据_合同数据仓库'!$B$2:$BP$1000,4,FALSE),0)</f>
        <v>0</v>
      </c>
      <c r="T22" s="125"/>
      <c r="U22" s="125">
        <f>IFERROR(VLOOKUP($L22,'2-2 引出数据_合同数据仓库'!$B$2:$BP$1000,15,FALSE),0)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引出数据_合同数据仓库'!$B$2:$BP$1000,3,FALSE),0)</f>
        <v>0</v>
      </c>
      <c r="N23" s="125"/>
      <c r="O23" s="151">
        <f>IFERROR(VLOOKUP((LEFT(VLOOKUP($L23,'2-2 引出数据_合同数据仓库'!$B$2:$BP$1000,64,FALSE),15)&amp;(RIGHT(VLOOKUP($L23,'2-2 引出数据_合同数据仓库'!$B$2:$BP$1000,64,FALSE),4)+1)),'2-2 引出数据_合同数据仓库'!$B$2:$BP$1000,3,FALSE),0)</f>
        <v>0</v>
      </c>
      <c r="P23" s="125"/>
      <c r="Q23" s="125">
        <f>IFERROR(VLOOKUP($L23,'2-2 引出数据_合同数据仓库'!$B$2:$BP$1000,28,FALSE),0)</f>
        <v>0</v>
      </c>
      <c r="R23" s="125">
        <f>IFERROR(VLOOKUP($L23,'2-2 引出数据_合同数据仓库'!$B$2:$BP$1000,29,FALSE),0)</f>
        <v>0</v>
      </c>
      <c r="S23" s="125">
        <f>IFERROR(VLOOKUP($L23,'2-2 引出数据_合同数据仓库'!$B$2:$BP$1000,4,FALSE),0)</f>
        <v>0</v>
      </c>
      <c r="T23" s="125"/>
      <c r="U23" s="125">
        <f>IFERROR(VLOOKUP($L23,'2-2 引出数据_合同数据仓库'!$B$2:$BP$1000,15,FALSE),0)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引出数据_合同数据仓库'!$B$2:$BP$1000,3,FALSE),0)</f>
        <v>0</v>
      </c>
      <c r="N24" s="125"/>
      <c r="O24" s="151">
        <f>IFERROR(VLOOKUP((LEFT(VLOOKUP($L24,'2-2 引出数据_合同数据仓库'!$B$2:$BP$1000,64,FALSE),15)&amp;(RIGHT(VLOOKUP($L24,'2-2 引出数据_合同数据仓库'!$B$2:$BP$1000,64,FALSE),4)+1)),'2-2 引出数据_合同数据仓库'!$B$2:$BP$1000,3,FALSE),0)</f>
        <v>0</v>
      </c>
      <c r="P24" s="125"/>
      <c r="Q24" s="125">
        <f>IFERROR(VLOOKUP($L24,'2-2 引出数据_合同数据仓库'!$B$2:$BP$1000,28,FALSE),0)</f>
        <v>0</v>
      </c>
      <c r="R24" s="125">
        <f>IFERROR(VLOOKUP($L24,'2-2 引出数据_合同数据仓库'!$B$2:$BP$1000,29,FALSE),0)</f>
        <v>0</v>
      </c>
      <c r="S24" s="125">
        <f>IFERROR(VLOOKUP($L24,'2-2 引出数据_合同数据仓库'!$B$2:$BP$1000,4,FALSE),0)</f>
        <v>0</v>
      </c>
      <c r="T24" s="125"/>
      <c r="U24" s="125">
        <f>IFERROR(VLOOKUP($L24,'2-2 引出数据_合同数据仓库'!$B$2:$BP$1000,15,FALSE),0)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customHeight="1" outlineLevel="4" spans="1:95">
      <c r="A25" s="126" t="s">
        <v>2821</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customHeight="1" outlineLevel="2" spans="1:95">
      <c r="A26" s="47"/>
      <c r="B26" s="115" t="s">
        <v>794</v>
      </c>
      <c r="C26" s="116" t="s">
        <v>838</v>
      </c>
      <c r="D26" s="47" t="s">
        <v>839</v>
      </c>
      <c r="E26" s="115"/>
      <c r="F26" s="115"/>
      <c r="G26" s="115"/>
      <c r="H26" s="117">
        <f>X26+AA26+AD26+AG26+AJ26+AM26+AP26+AS26+AV26+AY26+BB26+BE26</f>
        <v>1882068.96</v>
      </c>
      <c r="I26" s="117">
        <f>Y26+AB26+AE26+AH26+AK26+AN26+AQ26+AT26+AW26+AZ26+BC26+BF26</f>
        <v>1882068.96</v>
      </c>
      <c r="J26" s="117">
        <f t="shared" si="5"/>
        <v>0</v>
      </c>
      <c r="K26" s="117"/>
      <c r="L26" s="148"/>
      <c r="M26" s="148"/>
      <c r="N26" s="117"/>
      <c r="O26" s="148"/>
      <c r="P26" s="117"/>
      <c r="Q26" s="117"/>
      <c r="R26" s="117"/>
      <c r="S26" s="117"/>
      <c r="T26" s="117"/>
      <c r="U26" s="117"/>
      <c r="V26" s="117"/>
      <c r="W26" s="117"/>
      <c r="X26" s="117">
        <f>VLOOKUP($C26,'1 预算编制表单'!$C:$BJ,27,FALSE)</f>
        <v>154796.88</v>
      </c>
      <c r="Y26" s="117">
        <f>X26-Z26</f>
        <v>154796.88</v>
      </c>
      <c r="Z26" s="117">
        <f>Z27+Z33+Z39</f>
        <v>0</v>
      </c>
      <c r="AA26" s="117">
        <f>VLOOKUP($C26,'1 预算编制表单'!$C:$BJ,30,FALSE)</f>
        <v>154796.88</v>
      </c>
      <c r="AB26" s="117">
        <f>AA26-AC26</f>
        <v>154796.88</v>
      </c>
      <c r="AC26" s="117">
        <f>AC27+AC33+AC39</f>
        <v>0</v>
      </c>
      <c r="AD26" s="117">
        <f>VLOOKUP($C26,'1 预算编制表单'!$C:$BJ,33,FALSE)</f>
        <v>154796.88</v>
      </c>
      <c r="AE26" s="117">
        <f>AD26-AF26</f>
        <v>154796.88</v>
      </c>
      <c r="AF26" s="117">
        <f>AF27+AF33+AF39</f>
        <v>0</v>
      </c>
      <c r="AG26" s="117">
        <f>VLOOKUP($C26,'1 预算编制表单'!$C:$BJ,36,FALSE)</f>
        <v>154796.88</v>
      </c>
      <c r="AH26" s="117">
        <f>AG26-AI26</f>
        <v>154796.88</v>
      </c>
      <c r="AI26" s="117">
        <f>AI27+AI33+AI39</f>
        <v>0</v>
      </c>
      <c r="AJ26" s="117">
        <f>VLOOKUP($C26,'1 预算编制表单'!$C:$BJ,39,FALSE)</f>
        <v>154796.88</v>
      </c>
      <c r="AK26" s="117">
        <f>AJ26-AL26</f>
        <v>154796.88</v>
      </c>
      <c r="AL26" s="117">
        <f>AL27+AL33+AL39</f>
        <v>0</v>
      </c>
      <c r="AM26" s="117">
        <f>VLOOKUP($C26,'1 预算编制表单'!$C:$BJ,42,FALSE)</f>
        <v>154796.88</v>
      </c>
      <c r="AN26" s="117">
        <f>AM26-AO26</f>
        <v>154796.88</v>
      </c>
      <c r="AO26" s="117">
        <f>AO27+AO33+AO39</f>
        <v>0</v>
      </c>
      <c r="AP26" s="117">
        <f>VLOOKUP($C26,'1 预算编制表单'!$C:$BJ,45,FALSE)</f>
        <v>154796.88</v>
      </c>
      <c r="AQ26" s="117">
        <f>AP26-AR26</f>
        <v>154796.88</v>
      </c>
      <c r="AR26" s="117">
        <f>AR27+AR33+AR39</f>
        <v>0</v>
      </c>
      <c r="AS26" s="117">
        <f>VLOOKUP($C26,'1 预算编制表单'!$C:$BJ,48,FALSE)</f>
        <v>154796.88</v>
      </c>
      <c r="AT26" s="117">
        <f>AS26-AU26</f>
        <v>154796.88</v>
      </c>
      <c r="AU26" s="117">
        <f>AU27+AU33+AU39</f>
        <v>0</v>
      </c>
      <c r="AV26" s="117">
        <f>VLOOKUP($C26,'1 预算编制表单'!$C:$BJ,51,FALSE)</f>
        <v>154796.88</v>
      </c>
      <c r="AW26" s="117">
        <f>AV26-AX26</f>
        <v>154796.88</v>
      </c>
      <c r="AX26" s="117">
        <f>AX27+AX33+AX39</f>
        <v>0</v>
      </c>
      <c r="AY26" s="117">
        <f>VLOOKUP($C26,'1 预算编制表单'!$C:$BJ,54,FALSE)</f>
        <v>154796.88</v>
      </c>
      <c r="AZ26" s="117">
        <f>AY26-BA26</f>
        <v>154796.88</v>
      </c>
      <c r="BA26" s="117">
        <f>BA27+BA33+BA39</f>
        <v>0</v>
      </c>
      <c r="BB26" s="117">
        <f>VLOOKUP($C26,'1 预算编制表单'!$C:$BJ,57,FALSE)</f>
        <v>154796.88</v>
      </c>
      <c r="BC26" s="117">
        <f>BB26-BD26</f>
        <v>154796.88</v>
      </c>
      <c r="BD26" s="117">
        <f>BD27+BD33+BD39</f>
        <v>0</v>
      </c>
      <c r="BE26" s="117">
        <f>VLOOKUP($C26,'1 预算编制表单'!$C:$BJ,60,FALSE)</f>
        <v>179303.28</v>
      </c>
      <c r="BF26" s="117">
        <f>BE26-BG26</f>
        <v>179303.28</v>
      </c>
      <c r="BG26" s="117">
        <f>BG27+BG33+BG39</f>
        <v>0</v>
      </c>
      <c r="BH26" s="117">
        <f>VLOOKUP($C26,'1 预算编制表单'!$C:$BJ,27,FALSE)</f>
        <v>154796.88</v>
      </c>
      <c r="BI26" s="117">
        <f>BH26-BJ26</f>
        <v>154796.88</v>
      </c>
      <c r="BJ26" s="117">
        <f>BJ27+BJ33+BJ39</f>
        <v>0</v>
      </c>
      <c r="BK26" s="117">
        <f>VLOOKUP($C26,'1 预算编制表单'!$C:$BJ,30,FALSE)</f>
        <v>154796.88</v>
      </c>
      <c r="BL26" s="117">
        <f>BK26-BM26</f>
        <v>154796.88</v>
      </c>
      <c r="BM26" s="117">
        <f>BM27+BM33+BM39</f>
        <v>0</v>
      </c>
      <c r="BN26" s="117">
        <f>VLOOKUP($C26,'1 预算编制表单'!$C:$BJ,33,FALSE)</f>
        <v>154796.88</v>
      </c>
      <c r="BO26" s="117">
        <f>BN26-BP26</f>
        <v>154796.88</v>
      </c>
      <c r="BP26" s="117">
        <f>BP27+BP33+BP39</f>
        <v>0</v>
      </c>
      <c r="BQ26" s="117">
        <f>VLOOKUP($C26,'1 预算编制表单'!$C:$BJ,36,FALSE)</f>
        <v>154796.88</v>
      </c>
      <c r="BR26" s="117">
        <f>BQ26-BS26</f>
        <v>154796.88</v>
      </c>
      <c r="BS26" s="117">
        <f>BS27+BS33+BS39</f>
        <v>0</v>
      </c>
      <c r="BT26" s="117">
        <f>VLOOKUP($C26,'1 预算编制表单'!$C:$BJ,39,FALSE)</f>
        <v>154796.88</v>
      </c>
      <c r="BU26" s="117">
        <f>BT26-BV26</f>
        <v>154796.88</v>
      </c>
      <c r="BV26" s="117">
        <f>BV27+BV33+BV39</f>
        <v>0</v>
      </c>
      <c r="BW26" s="117">
        <f>VLOOKUP($C26,'1 预算编制表单'!$C:$BJ,42,FALSE)</f>
        <v>154796.88</v>
      </c>
      <c r="BX26" s="117">
        <f>BW26-BY26</f>
        <v>154796.88</v>
      </c>
      <c r="BY26" s="117">
        <f>BY27+BY33+BY39</f>
        <v>0</v>
      </c>
      <c r="BZ26" s="117">
        <f>VLOOKUP($C26,'1 预算编制表单'!$C:$BJ,45,FALSE)</f>
        <v>154796.88</v>
      </c>
      <c r="CA26" s="117">
        <f>BZ26-CB26</f>
        <v>154796.88</v>
      </c>
      <c r="CB26" s="117">
        <f>CB27+CB33+CB39</f>
        <v>0</v>
      </c>
      <c r="CC26" s="117">
        <f>VLOOKUP($C26,'1 预算编制表单'!$C:$BJ,48,FALSE)</f>
        <v>154796.88</v>
      </c>
      <c r="CD26" s="117">
        <f>CC26-CE26</f>
        <v>154796.88</v>
      </c>
      <c r="CE26" s="117">
        <f>CE27+CE33+CE39</f>
        <v>0</v>
      </c>
      <c r="CF26" s="117">
        <f>VLOOKUP($C26,'1 预算编制表单'!$C:$BJ,51,FALSE)</f>
        <v>154796.88</v>
      </c>
      <c r="CG26" s="117">
        <f>CF26-CH26</f>
        <v>154796.88</v>
      </c>
      <c r="CH26" s="117">
        <f>CH27+CH33+CH39</f>
        <v>0</v>
      </c>
      <c r="CI26" s="117">
        <f>VLOOKUP($C26,'1 预算编制表单'!$C:$BJ,54,FALSE)</f>
        <v>154796.88</v>
      </c>
      <c r="CJ26" s="117">
        <f>CI26-CK26</f>
        <v>154796.88</v>
      </c>
      <c r="CK26" s="117">
        <f>CK27+CK33+CK39</f>
        <v>0</v>
      </c>
      <c r="CL26" s="117">
        <f>VLOOKUP($C26,'1 预算编制表单'!$C:$BJ,57,FALSE)</f>
        <v>154796.88</v>
      </c>
      <c r="CM26" s="117">
        <f>CL26-CN26</f>
        <v>154796.88</v>
      </c>
      <c r="CN26" s="117">
        <f>CN27+CN33+CN39</f>
        <v>0</v>
      </c>
      <c r="CO26" s="117">
        <f>VLOOKUP($C26,'1 预算编制表单'!$C:$BJ,60,FALSE)</f>
        <v>179303.28</v>
      </c>
      <c r="CP26" s="117">
        <f>CO26-CQ26</f>
        <v>179303.28</v>
      </c>
      <c r="CQ26" s="117">
        <f>CQ27+CQ33+CQ39</f>
        <v>0</v>
      </c>
    </row>
    <row r="27" s="83" customFormat="1" ht="24" customHeight="1" outlineLevel="3" spans="1:95">
      <c r="A27" s="118"/>
      <c r="B27" s="119" t="s">
        <v>799</v>
      </c>
      <c r="C27" s="120" t="s">
        <v>112</v>
      </c>
      <c r="D27" s="118" t="s">
        <v>109</v>
      </c>
      <c r="E27" s="119"/>
      <c r="F27" s="119"/>
      <c r="G27" s="119"/>
      <c r="H27" s="121">
        <f>X27+AA27+AD27+AG27+AJ27+AM27+AP27+AS27+AV27+AY27+BB27+BE27</f>
        <v>1882068.96</v>
      </c>
      <c r="I27" s="121">
        <f>Y27+AB27+AE27+AH27+AK27+AN27+AQ27+AT27+AW27+AZ27+BC27+BF27</f>
        <v>1882068.96</v>
      </c>
      <c r="J27" s="121">
        <f t="shared" si="5"/>
        <v>0</v>
      </c>
      <c r="K27" s="121"/>
      <c r="L27" s="149"/>
      <c r="M27" s="149"/>
      <c r="N27" s="121"/>
      <c r="O27" s="149"/>
      <c r="P27" s="121"/>
      <c r="Q27" s="121"/>
      <c r="R27" s="121"/>
      <c r="S27" s="121"/>
      <c r="T27" s="121"/>
      <c r="U27" s="121"/>
      <c r="V27" s="121"/>
      <c r="W27" s="121"/>
      <c r="X27" s="121">
        <f>VLOOKUP($C27,'1 预算编制表单'!$C:$BJ,27,FALSE)</f>
        <v>154796.88</v>
      </c>
      <c r="Y27" s="121">
        <f>X27-Z27</f>
        <v>154796.88</v>
      </c>
      <c r="Z27" s="121">
        <f>SUM(Z28:Z32)</f>
        <v>0</v>
      </c>
      <c r="AA27" s="121">
        <f>VLOOKUP($C27,'1 预算编制表单'!$C:$BJ,30,FALSE)</f>
        <v>154796.88</v>
      </c>
      <c r="AB27" s="121">
        <f>AA27-AC27</f>
        <v>154796.88</v>
      </c>
      <c r="AC27" s="121">
        <f>SUM(AC28:AC32)</f>
        <v>0</v>
      </c>
      <c r="AD27" s="121">
        <f>VLOOKUP($C27,'1 预算编制表单'!$C:$BJ,33,FALSE)</f>
        <v>154796.88</v>
      </c>
      <c r="AE27" s="121">
        <f>AD27-AF27</f>
        <v>154796.88</v>
      </c>
      <c r="AF27" s="121">
        <f>SUM(AF28:AF32)</f>
        <v>0</v>
      </c>
      <c r="AG27" s="121">
        <f>VLOOKUP($C27,'1 预算编制表单'!$C:$BJ,36,FALSE)</f>
        <v>154796.88</v>
      </c>
      <c r="AH27" s="121">
        <f>AG27-AI27</f>
        <v>154796.88</v>
      </c>
      <c r="AI27" s="121">
        <f>SUM(AI28:AI32)</f>
        <v>0</v>
      </c>
      <c r="AJ27" s="121">
        <f>VLOOKUP($C27,'1 预算编制表单'!$C:$BJ,39,FALSE)</f>
        <v>154796.88</v>
      </c>
      <c r="AK27" s="121">
        <f>AJ27-AL27</f>
        <v>154796.88</v>
      </c>
      <c r="AL27" s="121">
        <f>SUM(AL28:AL32)</f>
        <v>0</v>
      </c>
      <c r="AM27" s="121">
        <f>VLOOKUP($C27,'1 预算编制表单'!$C:$BJ,42,FALSE)</f>
        <v>154796.88</v>
      </c>
      <c r="AN27" s="121">
        <f>AM27-AO27</f>
        <v>154796.88</v>
      </c>
      <c r="AO27" s="121">
        <f>SUM(AO28:AO32)</f>
        <v>0</v>
      </c>
      <c r="AP27" s="121">
        <f>VLOOKUP($C27,'1 预算编制表单'!$C:$BJ,45,FALSE)</f>
        <v>154796.88</v>
      </c>
      <c r="AQ27" s="121">
        <f>AP27-AR27</f>
        <v>154796.88</v>
      </c>
      <c r="AR27" s="121">
        <f>SUM(AR28:AR32)</f>
        <v>0</v>
      </c>
      <c r="AS27" s="121">
        <f>VLOOKUP($C27,'1 预算编制表单'!$C:$BJ,48,FALSE)</f>
        <v>154796.88</v>
      </c>
      <c r="AT27" s="121">
        <f>AS27-AU27</f>
        <v>154796.88</v>
      </c>
      <c r="AU27" s="121">
        <f>SUM(AU28:AU32)</f>
        <v>0</v>
      </c>
      <c r="AV27" s="121">
        <f>VLOOKUP($C27,'1 预算编制表单'!$C:$BJ,51,FALSE)</f>
        <v>154796.88</v>
      </c>
      <c r="AW27" s="121">
        <f>AV27-AX27</f>
        <v>154796.88</v>
      </c>
      <c r="AX27" s="121">
        <f>SUM(AX28:AX32)</f>
        <v>0</v>
      </c>
      <c r="AY27" s="121">
        <f>VLOOKUP($C27,'1 预算编制表单'!$C:$BJ,54,FALSE)</f>
        <v>154796.88</v>
      </c>
      <c r="AZ27" s="121">
        <f>AY27-BA27</f>
        <v>154796.88</v>
      </c>
      <c r="BA27" s="121">
        <f>SUM(BA28:BA32)</f>
        <v>0</v>
      </c>
      <c r="BB27" s="121">
        <f>VLOOKUP($C27,'1 预算编制表单'!$C:$BJ,57,FALSE)</f>
        <v>154796.88</v>
      </c>
      <c r="BC27" s="121">
        <f>BB27-BD27</f>
        <v>154796.88</v>
      </c>
      <c r="BD27" s="121">
        <f>SUM(BD28:BD32)</f>
        <v>0</v>
      </c>
      <c r="BE27" s="121">
        <f>VLOOKUP($C27,'1 预算编制表单'!$C:$BJ,60,FALSE)</f>
        <v>179303.28</v>
      </c>
      <c r="BF27" s="121">
        <f>BE27-BG27</f>
        <v>179303.28</v>
      </c>
      <c r="BG27" s="121">
        <f>SUM(BG28:BG32)</f>
        <v>0</v>
      </c>
      <c r="BH27" s="121">
        <f>VLOOKUP($C27,'1 预算编制表单'!$C:$BJ,27,FALSE)</f>
        <v>154796.88</v>
      </c>
      <c r="BI27" s="121">
        <f>BH27-BJ27</f>
        <v>154796.88</v>
      </c>
      <c r="BJ27" s="121">
        <f>SUM(BJ28:BJ32)</f>
        <v>0</v>
      </c>
      <c r="BK27" s="121">
        <f>VLOOKUP($C27,'1 预算编制表单'!$C:$BJ,30,FALSE)</f>
        <v>154796.88</v>
      </c>
      <c r="BL27" s="121">
        <f>BK27-BM27</f>
        <v>154796.88</v>
      </c>
      <c r="BM27" s="121">
        <f>SUM(BM28:BM32)</f>
        <v>0</v>
      </c>
      <c r="BN27" s="121">
        <f>VLOOKUP($C27,'1 预算编制表单'!$C:$BJ,33,FALSE)</f>
        <v>154796.88</v>
      </c>
      <c r="BO27" s="121">
        <f>BN27-BP27</f>
        <v>154796.88</v>
      </c>
      <c r="BP27" s="121">
        <f>SUM(BP28:BP32)</f>
        <v>0</v>
      </c>
      <c r="BQ27" s="121">
        <f>VLOOKUP($C27,'1 预算编制表单'!$C:$BJ,36,FALSE)</f>
        <v>154796.88</v>
      </c>
      <c r="BR27" s="121">
        <f>BQ27-BS27</f>
        <v>154796.88</v>
      </c>
      <c r="BS27" s="121">
        <f>SUM(BS28:BS32)</f>
        <v>0</v>
      </c>
      <c r="BT27" s="121">
        <f>VLOOKUP($C27,'1 预算编制表单'!$C:$BJ,39,FALSE)</f>
        <v>154796.88</v>
      </c>
      <c r="BU27" s="121">
        <f>BT27-BV27</f>
        <v>154796.88</v>
      </c>
      <c r="BV27" s="121">
        <f>SUM(BV28:BV32)</f>
        <v>0</v>
      </c>
      <c r="BW27" s="121">
        <f>VLOOKUP($C27,'1 预算编制表单'!$C:$BJ,42,FALSE)</f>
        <v>154796.88</v>
      </c>
      <c r="BX27" s="121">
        <f>BW27-BY27</f>
        <v>154796.88</v>
      </c>
      <c r="BY27" s="121">
        <f>SUM(BY28:BY32)</f>
        <v>0</v>
      </c>
      <c r="BZ27" s="121">
        <f>VLOOKUP($C27,'1 预算编制表单'!$C:$BJ,45,FALSE)</f>
        <v>154796.88</v>
      </c>
      <c r="CA27" s="121">
        <f>BZ27-CB27</f>
        <v>154796.88</v>
      </c>
      <c r="CB27" s="121">
        <f>SUM(CB28:CB32)</f>
        <v>0</v>
      </c>
      <c r="CC27" s="121">
        <f>VLOOKUP($C27,'1 预算编制表单'!$C:$BJ,48,FALSE)</f>
        <v>154796.88</v>
      </c>
      <c r="CD27" s="121">
        <f>CC27-CE27</f>
        <v>154796.88</v>
      </c>
      <c r="CE27" s="121">
        <f>SUM(CE28:CE32)</f>
        <v>0</v>
      </c>
      <c r="CF27" s="121">
        <f>VLOOKUP($C27,'1 预算编制表单'!$C:$BJ,51,FALSE)</f>
        <v>154796.88</v>
      </c>
      <c r="CG27" s="121">
        <f>CF27-CH27</f>
        <v>154796.88</v>
      </c>
      <c r="CH27" s="121">
        <f>SUM(CH28:CH32)</f>
        <v>0</v>
      </c>
      <c r="CI27" s="121">
        <f>VLOOKUP($C27,'1 预算编制表单'!$C:$BJ,54,FALSE)</f>
        <v>154796.88</v>
      </c>
      <c r="CJ27" s="121">
        <f>CI27-CK27</f>
        <v>154796.88</v>
      </c>
      <c r="CK27" s="121">
        <f>SUM(CK28:CK32)</f>
        <v>0</v>
      </c>
      <c r="CL27" s="121">
        <f>VLOOKUP($C27,'1 预算编制表单'!$C:$BJ,57,FALSE)</f>
        <v>154796.88</v>
      </c>
      <c r="CM27" s="121">
        <f>CL27-CN27</f>
        <v>154796.88</v>
      </c>
      <c r="CN27" s="121">
        <f>SUM(CN28:CN32)</f>
        <v>0</v>
      </c>
      <c r="CO27" s="121">
        <f>VLOOKUP($C27,'1 预算编制表单'!$C:$BJ,60,FALSE)</f>
        <v>179303.28</v>
      </c>
      <c r="CP27" s="121">
        <f>CO27-CQ27</f>
        <v>179303.28</v>
      </c>
      <c r="CQ27" s="121">
        <f>SUM(CQ28:CQ32)</f>
        <v>0</v>
      </c>
    </row>
    <row r="28" s="83" customFormat="1" ht="24" customHeight="1" outlineLevel="4" spans="1:95">
      <c r="A28" s="122"/>
      <c r="B28" s="123"/>
      <c r="C28" s="124"/>
      <c r="D28" s="122"/>
      <c r="E28" s="123"/>
      <c r="F28" s="123"/>
      <c r="G28" s="123"/>
      <c r="H28" s="125"/>
      <c r="I28" s="125"/>
      <c r="J28" s="125">
        <f t="shared" si="5"/>
        <v>0</v>
      </c>
      <c r="K28" s="125">
        <v>1</v>
      </c>
      <c r="L28" s="150"/>
      <c r="M28" s="151">
        <f>IFERROR(VLOOKUP($L28,'2-2 引出数据_合同数据仓库'!$B$2:$BP$1000,3,FALSE),0)</f>
        <v>0</v>
      </c>
      <c r="N28" s="125"/>
      <c r="O28" s="151">
        <f>IFERROR(VLOOKUP((LEFT(VLOOKUP($L28,'2-2 引出数据_合同数据仓库'!$B$2:$BP$1000,64,FALSE),15)&amp;(RIGHT(VLOOKUP($L28,'2-2 引出数据_合同数据仓库'!$B$2:$BP$1000,64,FALSE),4)+1)),'2-2 引出数据_合同数据仓库'!$B$2:$BP$1000,3,FALSE),0)</f>
        <v>0</v>
      </c>
      <c r="P28" s="125"/>
      <c r="Q28" s="125">
        <f>IFERROR(VLOOKUP($L28,'2-2 引出数据_合同数据仓库'!$B$2:$BP$1000,28,FALSE),0)</f>
        <v>0</v>
      </c>
      <c r="R28" s="125">
        <f>IFERROR(VLOOKUP($L28,'2-2 引出数据_合同数据仓库'!$B$2:$BP$1000,29,FALSE),0)</f>
        <v>0</v>
      </c>
      <c r="S28" s="125">
        <f>IFERROR(VLOOKUP($L28,'2-2 引出数据_合同数据仓库'!$B$2:$BP$1000,4,FALSE),0)</f>
        <v>0</v>
      </c>
      <c r="T28" s="125"/>
      <c r="U28" s="125">
        <f>IFERROR(VLOOKUP($L28,'2-2 引出数据_合同数据仓库'!$B$2:$BP$1000,15,FALSE),0)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引出数据_合同数据仓库'!$B$2:$BP$1000,3,FALSE),0)</f>
        <v>0</v>
      </c>
      <c r="N29" s="125"/>
      <c r="O29" s="151">
        <f>IFERROR(VLOOKUP((LEFT(VLOOKUP($L29,'2-2 引出数据_合同数据仓库'!$B$2:$BP$1000,64,FALSE),15)&amp;(RIGHT(VLOOKUP($L29,'2-2 引出数据_合同数据仓库'!$B$2:$BP$1000,64,FALSE),4)+1)),'2-2 引出数据_合同数据仓库'!$B$2:$BP$1000,3,FALSE),0)</f>
        <v>0</v>
      </c>
      <c r="P29" s="125"/>
      <c r="Q29" s="125">
        <f>IFERROR(VLOOKUP($L29,'2-2 引出数据_合同数据仓库'!$B$2:$BP$1000,28,FALSE),0)</f>
        <v>0</v>
      </c>
      <c r="R29" s="125">
        <f>IFERROR(VLOOKUP($L29,'2-2 引出数据_合同数据仓库'!$B$2:$BP$1000,29,FALSE),0)</f>
        <v>0</v>
      </c>
      <c r="S29" s="125">
        <f>IFERROR(VLOOKUP($L29,'2-2 引出数据_合同数据仓库'!$B$2:$BP$1000,4,FALSE),0)</f>
        <v>0</v>
      </c>
      <c r="T29" s="125"/>
      <c r="U29" s="125">
        <f>IFERROR(VLOOKUP($L29,'2-2 引出数据_合同数据仓库'!$B$2:$BP$1000,15,FALSE),0)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引出数据_合同数据仓库'!$B$2:$BP$1000,3,FALSE),0)</f>
        <v>0</v>
      </c>
      <c r="N30" s="125"/>
      <c r="O30" s="151">
        <f>IFERROR(VLOOKUP((LEFT(VLOOKUP($L30,'2-2 引出数据_合同数据仓库'!$B$2:$BP$1000,64,FALSE),15)&amp;(RIGHT(VLOOKUP($L30,'2-2 引出数据_合同数据仓库'!$B$2:$BP$1000,64,FALSE),4)+1)),'2-2 引出数据_合同数据仓库'!$B$2:$BP$1000,3,FALSE),0)</f>
        <v>0</v>
      </c>
      <c r="P30" s="125"/>
      <c r="Q30" s="125">
        <f>IFERROR(VLOOKUP($L30,'2-2 引出数据_合同数据仓库'!$B$2:$BP$1000,28,FALSE),0)</f>
        <v>0</v>
      </c>
      <c r="R30" s="125">
        <f>IFERROR(VLOOKUP($L30,'2-2 引出数据_合同数据仓库'!$B$2:$BP$1000,29,FALSE),0)</f>
        <v>0</v>
      </c>
      <c r="S30" s="125">
        <f>IFERROR(VLOOKUP($L30,'2-2 引出数据_合同数据仓库'!$B$2:$BP$1000,4,FALSE),0)</f>
        <v>0</v>
      </c>
      <c r="T30" s="125"/>
      <c r="U30" s="125">
        <f>IFERROR(VLOOKUP($L30,'2-2 引出数据_合同数据仓库'!$B$2:$BP$1000,15,FALSE),0)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引出数据_合同数据仓库'!$B$2:$BP$1000,3,FALSE),0)</f>
        <v>0</v>
      </c>
      <c r="N31" s="125"/>
      <c r="O31" s="151">
        <f>IFERROR(VLOOKUP((LEFT(VLOOKUP($L31,'2-2 引出数据_合同数据仓库'!$B$2:$BP$1000,64,FALSE),15)&amp;(RIGHT(VLOOKUP($L31,'2-2 引出数据_合同数据仓库'!$B$2:$BP$1000,64,FALSE),4)+1)),'2-2 引出数据_合同数据仓库'!$B$2:$BP$1000,3,FALSE),0)</f>
        <v>0</v>
      </c>
      <c r="P31" s="125"/>
      <c r="Q31" s="125">
        <f>IFERROR(VLOOKUP($L31,'2-2 引出数据_合同数据仓库'!$B$2:$BP$1000,28,FALSE),0)</f>
        <v>0</v>
      </c>
      <c r="R31" s="125">
        <f>IFERROR(VLOOKUP($L31,'2-2 引出数据_合同数据仓库'!$B$2:$BP$1000,29,FALSE),0)</f>
        <v>0</v>
      </c>
      <c r="S31" s="125">
        <f>IFERROR(VLOOKUP($L31,'2-2 引出数据_合同数据仓库'!$B$2:$BP$1000,4,FALSE),0)</f>
        <v>0</v>
      </c>
      <c r="T31" s="125"/>
      <c r="U31" s="125">
        <f>IFERROR(VLOOKUP($L31,'2-2 引出数据_合同数据仓库'!$B$2:$BP$1000,15,FALSE),0)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customHeight="1" outlineLevel="4" spans="1:95">
      <c r="A32" s="126" t="s">
        <v>2821</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customHeight="1" outlineLevel="3" spans="1:95">
      <c r="A33" s="118"/>
      <c r="B33" s="119" t="s">
        <v>799</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customHeight="1" outlineLevel="4" spans="1:95">
      <c r="A34" s="122"/>
      <c r="B34" s="123"/>
      <c r="C34" s="124" t="s">
        <v>862</v>
      </c>
      <c r="D34" s="131" t="s">
        <v>2822</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引出数据_合同数据仓库'!$B$2:$BP$1000,3,FALSE),0)</f>
        <v>0</v>
      </c>
      <c r="N35" s="125"/>
      <c r="O35" s="151">
        <f>IFERROR(VLOOKUP((LEFT(VLOOKUP($L35,'2-2 引出数据_合同数据仓库'!$B$2:$BP$1000,64,FALSE),15)&amp;(RIGHT(VLOOKUP($L35,'2-2 引出数据_合同数据仓库'!$B$2:$BP$1000,64,FALSE),4)+1)),'2-2 引出数据_合同数据仓库'!$B$2:$BP$1000,3,FALSE),0)</f>
        <v>0</v>
      </c>
      <c r="P35" s="125"/>
      <c r="Q35" s="125">
        <f>IFERROR(VLOOKUP($L35,'2-2 引出数据_合同数据仓库'!$B$2:$BP$1000,28,FALSE),0)</f>
        <v>0</v>
      </c>
      <c r="R35" s="125">
        <f>IFERROR(VLOOKUP($L35,'2-2 引出数据_合同数据仓库'!$B$2:$BP$1000,29,FALSE),0)</f>
        <v>0</v>
      </c>
      <c r="S35" s="125">
        <f>IFERROR(VLOOKUP($L35,'2-2 引出数据_合同数据仓库'!$B$2:$BP$1000,4,FALSE),0)</f>
        <v>0</v>
      </c>
      <c r="T35" s="125"/>
      <c r="U35" s="125">
        <f>IFERROR(VLOOKUP($L35,'2-2 引出数据_合同数据仓库'!$B$2:$BP$1000,15,FALSE),0)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引出数据_合同数据仓库'!$B$2:$BP$1000,3,FALSE),0)</f>
        <v>0</v>
      </c>
      <c r="N36" s="125"/>
      <c r="O36" s="151">
        <f>IFERROR(VLOOKUP((LEFT(VLOOKUP($L36,'2-2 引出数据_合同数据仓库'!$B$2:$BP$1000,64,FALSE),15)&amp;(RIGHT(VLOOKUP($L36,'2-2 引出数据_合同数据仓库'!$B$2:$BP$1000,64,FALSE),4)+1)),'2-2 引出数据_合同数据仓库'!$B$2:$BP$1000,3,FALSE),0)</f>
        <v>0</v>
      </c>
      <c r="P36" s="125"/>
      <c r="Q36" s="125">
        <f>IFERROR(VLOOKUP($L36,'2-2 引出数据_合同数据仓库'!$B$2:$BP$1000,28,FALSE),0)</f>
        <v>0</v>
      </c>
      <c r="R36" s="125">
        <f>IFERROR(VLOOKUP($L36,'2-2 引出数据_合同数据仓库'!$B$2:$BP$1000,29,FALSE),0)</f>
        <v>0</v>
      </c>
      <c r="S36" s="125">
        <f>IFERROR(VLOOKUP($L36,'2-2 引出数据_合同数据仓库'!$B$2:$BP$1000,4,FALSE),0)</f>
        <v>0</v>
      </c>
      <c r="T36" s="125"/>
      <c r="U36" s="125">
        <f>IFERROR(VLOOKUP($L36,'2-2 引出数据_合同数据仓库'!$B$2:$BP$1000,15,FALSE),0)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引出数据_合同数据仓库'!$B$2:$BP$1000,3,FALSE),0)</f>
        <v>0</v>
      </c>
      <c r="N37" s="125"/>
      <c r="O37" s="151">
        <f>IFERROR(VLOOKUP((LEFT(VLOOKUP($L37,'2-2 引出数据_合同数据仓库'!$B$2:$BP$1000,64,FALSE),15)&amp;(RIGHT(VLOOKUP($L37,'2-2 引出数据_合同数据仓库'!$B$2:$BP$1000,64,FALSE),4)+1)),'2-2 引出数据_合同数据仓库'!$B$2:$BP$1000,3,FALSE),0)</f>
        <v>0</v>
      </c>
      <c r="P37" s="125"/>
      <c r="Q37" s="125">
        <f>IFERROR(VLOOKUP($L37,'2-2 引出数据_合同数据仓库'!$B$2:$BP$1000,28,FALSE),0)</f>
        <v>0</v>
      </c>
      <c r="R37" s="125">
        <f>IFERROR(VLOOKUP($L37,'2-2 引出数据_合同数据仓库'!$B$2:$BP$1000,29,FALSE),0)</f>
        <v>0</v>
      </c>
      <c r="S37" s="125">
        <f>IFERROR(VLOOKUP($L37,'2-2 引出数据_合同数据仓库'!$B$2:$BP$1000,4,FALSE),0)</f>
        <v>0</v>
      </c>
      <c r="T37" s="125"/>
      <c r="U37" s="125">
        <f>IFERROR(VLOOKUP($L37,'2-2 引出数据_合同数据仓库'!$B$2:$BP$1000,15,FALSE),0)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customHeight="1" outlineLevel="4" spans="1:95">
      <c r="A38" s="126" t="s">
        <v>2821</v>
      </c>
      <c r="B38" s="127"/>
      <c r="C38" s="127"/>
      <c r="D38" s="127"/>
      <c r="E38" s="127"/>
      <c r="F38" s="127"/>
      <c r="G38" s="128"/>
      <c r="H38" s="129"/>
      <c r="I38" s="129"/>
      <c r="J38" s="129"/>
      <c r="K38" s="129"/>
      <c r="L38" s="152"/>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customHeight="1" outlineLevel="3" spans="1:95">
      <c r="A39" s="118"/>
      <c r="B39" s="119" t="s">
        <v>799</v>
      </c>
      <c r="C39" s="120" t="s">
        <v>871</v>
      </c>
      <c r="D39" s="118" t="s">
        <v>19</v>
      </c>
      <c r="E39" s="119"/>
      <c r="F39" s="119"/>
      <c r="G39" s="119"/>
      <c r="H39" s="121">
        <f>X39+AA39+AD39+AG39+AJ39+AM39+AP39+AS39+AV39+AY39+BB39+BE39</f>
        <v>0</v>
      </c>
      <c r="I39" s="121">
        <f>Y39+AB39+AE39+AH39+AK39+AN39+AQ39+AT39+AW39+AZ39+BC39+BF39</f>
        <v>0</v>
      </c>
      <c r="J39" s="121">
        <f t="shared" si="5"/>
        <v>0</v>
      </c>
      <c r="K39" s="121"/>
      <c r="L39" s="149"/>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customHeight="1" outlineLevel="4" spans="1:95">
      <c r="A40" s="122"/>
      <c r="B40" s="123"/>
      <c r="C40" s="124"/>
      <c r="D40" s="122"/>
      <c r="E40" s="123"/>
      <c r="F40" s="123"/>
      <c r="G40" s="123"/>
      <c r="H40" s="125"/>
      <c r="I40" s="125"/>
      <c r="J40" s="125">
        <f t="shared" si="5"/>
        <v>0</v>
      </c>
      <c r="K40" s="125">
        <v>1</v>
      </c>
      <c r="L40" s="150"/>
      <c r="M40" s="151">
        <f>IFERROR(VLOOKUP($L40,'2-2 引出数据_合同数据仓库'!$B$2:$BP$1000,3,FALSE),0)</f>
        <v>0</v>
      </c>
      <c r="N40" s="125"/>
      <c r="O40" s="151">
        <f>IFERROR(VLOOKUP((LEFT(VLOOKUP($L40,'2-2 引出数据_合同数据仓库'!$B$2:$BP$1000,64,FALSE),15)&amp;(RIGHT(VLOOKUP($L40,'2-2 引出数据_合同数据仓库'!$B$2:$BP$1000,64,FALSE),4)+1)),'2-2 引出数据_合同数据仓库'!$B$2:$BP$1000,3,FALSE),0)</f>
        <v>0</v>
      </c>
      <c r="P40" s="125"/>
      <c r="Q40" s="125">
        <f>IFERROR(VLOOKUP($L40,'2-2 引出数据_合同数据仓库'!$B$2:$BP$1000,28,FALSE),0)</f>
        <v>0</v>
      </c>
      <c r="R40" s="125">
        <f>IFERROR(VLOOKUP($L40,'2-2 引出数据_合同数据仓库'!$B$2:$BP$1000,29,FALSE),0)</f>
        <v>0</v>
      </c>
      <c r="S40" s="125">
        <f>IFERROR(VLOOKUP($L40,'2-2 引出数据_合同数据仓库'!$B$2:$BP$1000,4,FALSE),0)</f>
        <v>0</v>
      </c>
      <c r="T40" s="125"/>
      <c r="U40" s="125">
        <f>IFERROR(VLOOKUP($L40,'2-2 引出数据_合同数据仓库'!$B$2:$BP$1000,15,FALSE),0)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引出数据_合同数据仓库'!$B$2:$BP$1000,3,FALSE),0)</f>
        <v>0</v>
      </c>
      <c r="N41" s="125"/>
      <c r="O41" s="151">
        <f>IFERROR(VLOOKUP((LEFT(VLOOKUP($L41,'2-2 引出数据_合同数据仓库'!$B$2:$BP$1000,64,FALSE),15)&amp;(RIGHT(VLOOKUP($L41,'2-2 引出数据_合同数据仓库'!$B$2:$BP$1000,64,FALSE),4)+1)),'2-2 引出数据_合同数据仓库'!$B$2:$BP$1000,3,FALSE),0)</f>
        <v>0</v>
      </c>
      <c r="P41" s="125"/>
      <c r="Q41" s="125">
        <f>IFERROR(VLOOKUP($L41,'2-2 引出数据_合同数据仓库'!$B$2:$BP$1000,28,FALSE),0)</f>
        <v>0</v>
      </c>
      <c r="R41" s="125">
        <f>IFERROR(VLOOKUP($L41,'2-2 引出数据_合同数据仓库'!$B$2:$BP$1000,29,FALSE),0)</f>
        <v>0</v>
      </c>
      <c r="S41" s="125">
        <f>IFERROR(VLOOKUP($L41,'2-2 引出数据_合同数据仓库'!$B$2:$BP$1000,4,FALSE),0)</f>
        <v>0</v>
      </c>
      <c r="T41" s="125"/>
      <c r="U41" s="125">
        <f>IFERROR(VLOOKUP($L41,'2-2 引出数据_合同数据仓库'!$B$2:$BP$1000,15,FALSE),0)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引出数据_合同数据仓库'!$B$2:$BP$1000,3,FALSE),0)</f>
        <v>0</v>
      </c>
      <c r="N42" s="125"/>
      <c r="O42" s="151">
        <f>IFERROR(VLOOKUP((LEFT(VLOOKUP($L42,'2-2 引出数据_合同数据仓库'!$B$2:$BP$1000,64,FALSE),15)&amp;(RIGHT(VLOOKUP($L42,'2-2 引出数据_合同数据仓库'!$B$2:$BP$1000,64,FALSE),4)+1)),'2-2 引出数据_合同数据仓库'!$B$2:$BP$1000,3,FALSE),0)</f>
        <v>0</v>
      </c>
      <c r="P42" s="125"/>
      <c r="Q42" s="125">
        <f>IFERROR(VLOOKUP($L42,'2-2 引出数据_合同数据仓库'!$B$2:$BP$1000,28,FALSE),0)</f>
        <v>0</v>
      </c>
      <c r="R42" s="125">
        <f>IFERROR(VLOOKUP($L42,'2-2 引出数据_合同数据仓库'!$B$2:$BP$1000,29,FALSE),0)</f>
        <v>0</v>
      </c>
      <c r="S42" s="125">
        <f>IFERROR(VLOOKUP($L42,'2-2 引出数据_合同数据仓库'!$B$2:$BP$1000,4,FALSE),0)</f>
        <v>0</v>
      </c>
      <c r="T42" s="125"/>
      <c r="U42" s="125">
        <f>IFERROR(VLOOKUP($L42,'2-2 引出数据_合同数据仓库'!$B$2:$BP$1000,15,FALSE),0)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引出数据_合同数据仓库'!$B$2:$BP$1000,3,FALSE),0)</f>
        <v>0</v>
      </c>
      <c r="N43" s="125"/>
      <c r="O43" s="151">
        <f>IFERROR(VLOOKUP((LEFT(VLOOKUP($L43,'2-2 引出数据_合同数据仓库'!$B$2:$BP$1000,64,FALSE),15)&amp;(RIGHT(VLOOKUP($L43,'2-2 引出数据_合同数据仓库'!$B$2:$BP$1000,64,FALSE),4)+1)),'2-2 引出数据_合同数据仓库'!$B$2:$BP$1000,3,FALSE),0)</f>
        <v>0</v>
      </c>
      <c r="P43" s="125"/>
      <c r="Q43" s="125">
        <f>IFERROR(VLOOKUP($L43,'2-2 引出数据_合同数据仓库'!$B$2:$BP$1000,28,FALSE),0)</f>
        <v>0</v>
      </c>
      <c r="R43" s="125">
        <f>IFERROR(VLOOKUP($L43,'2-2 引出数据_合同数据仓库'!$B$2:$BP$1000,29,FALSE),0)</f>
        <v>0</v>
      </c>
      <c r="S43" s="125">
        <f>IFERROR(VLOOKUP($L43,'2-2 引出数据_合同数据仓库'!$B$2:$BP$1000,4,FALSE),0)</f>
        <v>0</v>
      </c>
      <c r="T43" s="125"/>
      <c r="U43" s="125">
        <f>IFERROR(VLOOKUP($L43,'2-2 引出数据_合同数据仓库'!$B$2:$BP$1000,15,FALSE),0)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customHeight="1" outlineLevel="4" spans="1:95">
      <c r="A44" s="126" t="s">
        <v>2821</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24" customHeight="1" outlineLevel="2" spans="1:95">
      <c r="A45" s="47"/>
      <c r="B45" s="115" t="s">
        <v>794</v>
      </c>
      <c r="C45" s="116" t="s">
        <v>882</v>
      </c>
      <c r="D45" s="47" t="s">
        <v>883</v>
      </c>
      <c r="E45" s="115"/>
      <c r="F45" s="115"/>
      <c r="G45" s="115"/>
      <c r="H45" s="117">
        <f>X45+AA45+AD45+AG45+AJ45+AM45+AP45+AS45+AV45+AY45+BB45+BE45</f>
        <v>89433.9622641509</v>
      </c>
      <c r="I45" s="117">
        <f>Y45+AB45+AE45+AH45+AK45+AN45+AQ45+AT45+AW45+AZ45+BC45+BF45</f>
        <v>89433.9622641509</v>
      </c>
      <c r="J45" s="117">
        <f t="shared" si="5"/>
        <v>0</v>
      </c>
      <c r="K45" s="117"/>
      <c r="L45" s="148"/>
      <c r="M45" s="148"/>
      <c r="N45" s="117"/>
      <c r="O45" s="117"/>
      <c r="P45" s="117"/>
      <c r="Q45" s="117"/>
      <c r="R45" s="117"/>
      <c r="S45" s="117"/>
      <c r="T45" s="117"/>
      <c r="U45" s="117"/>
      <c r="V45" s="117"/>
      <c r="W45" s="117"/>
      <c r="X45" s="117">
        <f>VLOOKUP($C45,'1 预算编制表单'!$C:$BJ,27,FALSE)</f>
        <v>7452.83018867924</v>
      </c>
      <c r="Y45" s="117">
        <f>X45-Z45</f>
        <v>7452.83018867924</v>
      </c>
      <c r="Z45" s="117">
        <f>Z46+Z52+Z58+Z64</f>
        <v>0</v>
      </c>
      <c r="AA45" s="117">
        <f>VLOOKUP($C45,'1 预算编制表单'!$C:$BJ,30,FALSE)</f>
        <v>7452.83018867924</v>
      </c>
      <c r="AB45" s="117">
        <f>AA45-AC45</f>
        <v>7452.83018867924</v>
      </c>
      <c r="AC45" s="117">
        <f>AC46+AC52+AC58+AC64</f>
        <v>0</v>
      </c>
      <c r="AD45" s="117">
        <f>VLOOKUP($C45,'1 预算编制表单'!$C:$BJ,33,FALSE)</f>
        <v>7452.83018867924</v>
      </c>
      <c r="AE45" s="117">
        <f>AD45-AF45</f>
        <v>7452.83018867924</v>
      </c>
      <c r="AF45" s="117">
        <f>AF46+AF52+AF58+AF64</f>
        <v>0</v>
      </c>
      <c r="AG45" s="117">
        <f>VLOOKUP($C45,'1 预算编制表单'!$C:$BJ,36,FALSE)</f>
        <v>7452.83018867924</v>
      </c>
      <c r="AH45" s="117">
        <f>AG45-AI45</f>
        <v>7452.83018867924</v>
      </c>
      <c r="AI45" s="117">
        <f>AI46+AI52+AI58+AI64</f>
        <v>0</v>
      </c>
      <c r="AJ45" s="117">
        <f>VLOOKUP($C45,'1 预算编制表单'!$C:$BJ,39,FALSE)</f>
        <v>7452.83018867924</v>
      </c>
      <c r="AK45" s="117">
        <f>AJ45-AL45</f>
        <v>7452.83018867924</v>
      </c>
      <c r="AL45" s="117">
        <f>AL46+AL52+AL58+AL64</f>
        <v>0</v>
      </c>
      <c r="AM45" s="117">
        <f>VLOOKUP($C45,'1 预算编制表单'!$C:$BJ,42,FALSE)</f>
        <v>7452.83018867924</v>
      </c>
      <c r="AN45" s="117">
        <f>AM45-AO45</f>
        <v>7452.83018867924</v>
      </c>
      <c r="AO45" s="117">
        <f>AO46+AO52+AO58+AO64</f>
        <v>0</v>
      </c>
      <c r="AP45" s="117">
        <f>VLOOKUP($C45,'1 预算编制表单'!$C:$BJ,45,FALSE)</f>
        <v>7452.83018867924</v>
      </c>
      <c r="AQ45" s="117">
        <f>AP45-AR45</f>
        <v>7452.83018867924</v>
      </c>
      <c r="AR45" s="117">
        <f>AR46+AR52+AR58+AR64</f>
        <v>0</v>
      </c>
      <c r="AS45" s="117">
        <f>VLOOKUP($C45,'1 预算编制表单'!$C:$BJ,48,FALSE)</f>
        <v>7452.83018867924</v>
      </c>
      <c r="AT45" s="117">
        <f>AS45-AU45</f>
        <v>7452.83018867924</v>
      </c>
      <c r="AU45" s="117">
        <f>AU46+AU52+AU58+AU64</f>
        <v>0</v>
      </c>
      <c r="AV45" s="117">
        <f>VLOOKUP($C45,'1 预算编制表单'!$C:$BJ,51,FALSE)</f>
        <v>7452.83018867924</v>
      </c>
      <c r="AW45" s="117">
        <f>AV45-AX45</f>
        <v>7452.83018867924</v>
      </c>
      <c r="AX45" s="117">
        <f>AX46+AX52+AX58+AX64</f>
        <v>0</v>
      </c>
      <c r="AY45" s="117">
        <f>VLOOKUP($C45,'1 预算编制表单'!$C:$BJ,54,FALSE)</f>
        <v>7452.83018867924</v>
      </c>
      <c r="AZ45" s="117">
        <f>AY45-BA45</f>
        <v>7452.83018867924</v>
      </c>
      <c r="BA45" s="117">
        <f>BA46+BA52+BA58+BA64</f>
        <v>0</v>
      </c>
      <c r="BB45" s="117">
        <f>VLOOKUP($C45,'1 预算编制表单'!$C:$BJ,57,FALSE)</f>
        <v>7452.83018867924</v>
      </c>
      <c r="BC45" s="117">
        <f>BB45-BD45</f>
        <v>7452.83018867924</v>
      </c>
      <c r="BD45" s="117">
        <f>BD46+BD52+BD58+BD64</f>
        <v>0</v>
      </c>
      <c r="BE45" s="117">
        <f>VLOOKUP($C45,'1 预算编制表单'!$C:$BJ,60,FALSE)</f>
        <v>7452.83018867924</v>
      </c>
      <c r="BF45" s="117">
        <f>BE45-BG45</f>
        <v>7452.83018867924</v>
      </c>
      <c r="BG45" s="117">
        <f>BG46+BG52+BG58+BG64</f>
        <v>0</v>
      </c>
      <c r="BH45" s="117">
        <f>VLOOKUP($C45,'1 预算编制表单'!$C:$BJ,27,FALSE)</f>
        <v>7452.83018867924</v>
      </c>
      <c r="BI45" s="117">
        <f>BH45-BJ45</f>
        <v>7452.83018867924</v>
      </c>
      <c r="BJ45" s="117">
        <f>BJ46+BJ52+BJ58+BJ64</f>
        <v>0</v>
      </c>
      <c r="BK45" s="117">
        <f>VLOOKUP($C45,'1 预算编制表单'!$C:$BJ,30,FALSE)</f>
        <v>7452.83018867924</v>
      </c>
      <c r="BL45" s="117">
        <f>BK45-BM45</f>
        <v>7452.83018867924</v>
      </c>
      <c r="BM45" s="117">
        <f>BM46+BM52+BM58+BM64</f>
        <v>0</v>
      </c>
      <c r="BN45" s="117">
        <f>VLOOKUP($C45,'1 预算编制表单'!$C:$BJ,33,FALSE)</f>
        <v>7452.83018867924</v>
      </c>
      <c r="BO45" s="117">
        <f>BN45-BP45</f>
        <v>7452.83018867924</v>
      </c>
      <c r="BP45" s="117">
        <f>BP46+BP52+BP58+BP64</f>
        <v>0</v>
      </c>
      <c r="BQ45" s="117">
        <f>VLOOKUP($C45,'1 预算编制表单'!$C:$BJ,36,FALSE)</f>
        <v>7452.83018867924</v>
      </c>
      <c r="BR45" s="117">
        <f>BQ45-BS45</f>
        <v>7452.83018867924</v>
      </c>
      <c r="BS45" s="117">
        <f>BS46+BS52+BS58+BS64</f>
        <v>0</v>
      </c>
      <c r="BT45" s="117">
        <f>VLOOKUP($C45,'1 预算编制表单'!$C:$BJ,39,FALSE)</f>
        <v>7452.83018867924</v>
      </c>
      <c r="BU45" s="117">
        <f>BT45-BV45</f>
        <v>7452.83018867924</v>
      </c>
      <c r="BV45" s="117">
        <f>BV46+BV52+BV58+BV64</f>
        <v>0</v>
      </c>
      <c r="BW45" s="117">
        <f>VLOOKUP($C45,'1 预算编制表单'!$C:$BJ,42,FALSE)</f>
        <v>7452.83018867924</v>
      </c>
      <c r="BX45" s="117">
        <f>BW45-BY45</f>
        <v>7452.83018867924</v>
      </c>
      <c r="BY45" s="117">
        <f>BY46+BY52+BY58+BY64</f>
        <v>0</v>
      </c>
      <c r="BZ45" s="117">
        <f>VLOOKUP($C45,'1 预算编制表单'!$C:$BJ,45,FALSE)</f>
        <v>7452.83018867924</v>
      </c>
      <c r="CA45" s="117">
        <f>BZ45-CB45</f>
        <v>7452.83018867924</v>
      </c>
      <c r="CB45" s="117">
        <f>CB46+CB52+CB58+CB64</f>
        <v>0</v>
      </c>
      <c r="CC45" s="117">
        <f>VLOOKUP($C45,'1 预算编制表单'!$C:$BJ,48,FALSE)</f>
        <v>7452.83018867924</v>
      </c>
      <c r="CD45" s="117">
        <f>CC45-CE45</f>
        <v>7452.83018867924</v>
      </c>
      <c r="CE45" s="117">
        <f>CE46+CE52+CE58+CE64</f>
        <v>0</v>
      </c>
      <c r="CF45" s="117">
        <f>VLOOKUP($C45,'1 预算编制表单'!$C:$BJ,51,FALSE)</f>
        <v>7452.83018867924</v>
      </c>
      <c r="CG45" s="117">
        <f>CF45-CH45</f>
        <v>7452.83018867924</v>
      </c>
      <c r="CH45" s="117">
        <f>CH46+CH52+CH58+CH64</f>
        <v>0</v>
      </c>
      <c r="CI45" s="117">
        <f>VLOOKUP($C45,'1 预算编制表单'!$C:$BJ,54,FALSE)</f>
        <v>7452.83018867924</v>
      </c>
      <c r="CJ45" s="117">
        <f>CI45-CK45</f>
        <v>7452.83018867924</v>
      </c>
      <c r="CK45" s="117">
        <f>CK46+CK52+CK58+CK64</f>
        <v>0</v>
      </c>
      <c r="CL45" s="117">
        <f>VLOOKUP($C45,'1 预算编制表单'!$C:$BJ,57,FALSE)</f>
        <v>7452.83018867924</v>
      </c>
      <c r="CM45" s="117">
        <f>CL45-CN45</f>
        <v>7452.83018867924</v>
      </c>
      <c r="CN45" s="117">
        <f>CN46+CN52+CN58+CN64</f>
        <v>0</v>
      </c>
      <c r="CO45" s="117">
        <f>VLOOKUP($C45,'1 预算编制表单'!$C:$BJ,60,FALSE)</f>
        <v>7452.83018867924</v>
      </c>
      <c r="CP45" s="117">
        <f>CO45-CQ45</f>
        <v>7452.83018867924</v>
      </c>
      <c r="CQ45" s="117">
        <f>CQ46+CQ52+CQ58+CQ64</f>
        <v>0</v>
      </c>
    </row>
    <row r="46" s="83" customFormat="1" ht="24" customHeight="1" outlineLevel="3" spans="1:95">
      <c r="A46" s="118"/>
      <c r="B46" s="119" t="s">
        <v>799</v>
      </c>
      <c r="C46" s="120" t="s">
        <v>115</v>
      </c>
      <c r="D46" s="118" t="s">
        <v>109</v>
      </c>
      <c r="E46" s="119"/>
      <c r="F46" s="119"/>
      <c r="G46" s="119"/>
      <c r="H46" s="121">
        <f>X46+AA46+AD46+AG46+AJ46+AM46+AP46+AS46+AV46+AY46+BB46+BE46</f>
        <v>0</v>
      </c>
      <c r="I46" s="121">
        <f>Y46+AB46+AE46+AH46+AK46+AN46+AQ46+AT46+AW46+AZ46+BC46+BF46</f>
        <v>0</v>
      </c>
      <c r="J46" s="121">
        <f t="shared" si="5"/>
        <v>0</v>
      </c>
      <c r="K46" s="121"/>
      <c r="L46" s="149"/>
      <c r="M46" s="149"/>
      <c r="N46" s="121"/>
      <c r="O46" s="121"/>
      <c r="P46" s="121"/>
      <c r="Q46" s="121"/>
      <c r="R46" s="121"/>
      <c r="S46" s="121"/>
      <c r="T46" s="121"/>
      <c r="U46" s="121"/>
      <c r="V46" s="121"/>
      <c r="W46" s="121"/>
      <c r="X46" s="121">
        <f>VLOOKUP($C46,'1 预算编制表单'!$C:$BJ,27,FALSE)</f>
        <v>0</v>
      </c>
      <c r="Y46" s="121">
        <f>X46-Z46</f>
        <v>0</v>
      </c>
      <c r="Z46" s="121">
        <f>SUM(Z47:Z51)</f>
        <v>0</v>
      </c>
      <c r="AA46" s="121">
        <f>VLOOKUP($C46,'1 预算编制表单'!$C:$BJ,30,FALSE)</f>
        <v>0</v>
      </c>
      <c r="AB46" s="121">
        <f>AA46-AC46</f>
        <v>0</v>
      </c>
      <c r="AC46" s="121">
        <f>SUM(AC47:AC51)</f>
        <v>0</v>
      </c>
      <c r="AD46" s="121">
        <f>VLOOKUP($C46,'1 预算编制表单'!$C:$BJ,33,FALSE)</f>
        <v>0</v>
      </c>
      <c r="AE46" s="121">
        <f>AD46-AF46</f>
        <v>0</v>
      </c>
      <c r="AF46" s="121">
        <f>SUM(AF47:AF51)</f>
        <v>0</v>
      </c>
      <c r="AG46" s="121">
        <f>VLOOKUP($C46,'1 预算编制表单'!$C:$BJ,36,FALSE)</f>
        <v>0</v>
      </c>
      <c r="AH46" s="121">
        <f>AG46-AI46</f>
        <v>0</v>
      </c>
      <c r="AI46" s="121">
        <f>SUM(AI47:AI51)</f>
        <v>0</v>
      </c>
      <c r="AJ46" s="121">
        <f>VLOOKUP($C46,'1 预算编制表单'!$C:$BJ,39,FALSE)</f>
        <v>0</v>
      </c>
      <c r="AK46" s="121">
        <f>AJ46-AL46</f>
        <v>0</v>
      </c>
      <c r="AL46" s="121">
        <f>SUM(AL47:AL51)</f>
        <v>0</v>
      </c>
      <c r="AM46" s="121">
        <f>VLOOKUP($C46,'1 预算编制表单'!$C:$BJ,42,FALSE)</f>
        <v>0</v>
      </c>
      <c r="AN46" s="121">
        <f>AM46-AO46</f>
        <v>0</v>
      </c>
      <c r="AO46" s="121">
        <f>SUM(AO47:AO51)</f>
        <v>0</v>
      </c>
      <c r="AP46" s="121">
        <f>VLOOKUP($C46,'1 预算编制表单'!$C:$BJ,45,FALSE)</f>
        <v>0</v>
      </c>
      <c r="AQ46" s="121">
        <f>AP46-AR46</f>
        <v>0</v>
      </c>
      <c r="AR46" s="121">
        <f>SUM(AR47:AR51)</f>
        <v>0</v>
      </c>
      <c r="AS46" s="121">
        <f>VLOOKUP($C46,'1 预算编制表单'!$C:$BJ,48,FALSE)</f>
        <v>0</v>
      </c>
      <c r="AT46" s="121">
        <f>AS46-AU46</f>
        <v>0</v>
      </c>
      <c r="AU46" s="121">
        <f>SUM(AU47:AU51)</f>
        <v>0</v>
      </c>
      <c r="AV46" s="121">
        <f>VLOOKUP($C46,'1 预算编制表单'!$C:$BJ,51,FALSE)</f>
        <v>0</v>
      </c>
      <c r="AW46" s="121">
        <f>AV46-AX46</f>
        <v>0</v>
      </c>
      <c r="AX46" s="121">
        <f>SUM(AX47:AX51)</f>
        <v>0</v>
      </c>
      <c r="AY46" s="121">
        <f>VLOOKUP($C46,'1 预算编制表单'!$C:$BJ,54,FALSE)</f>
        <v>0</v>
      </c>
      <c r="AZ46" s="121">
        <f>AY46-BA46</f>
        <v>0</v>
      </c>
      <c r="BA46" s="121">
        <f>SUM(BA47:BA51)</f>
        <v>0</v>
      </c>
      <c r="BB46" s="121">
        <f>VLOOKUP($C46,'1 预算编制表单'!$C:$BJ,57,FALSE)</f>
        <v>0</v>
      </c>
      <c r="BC46" s="121">
        <f>BB46-BD46</f>
        <v>0</v>
      </c>
      <c r="BD46" s="121">
        <f>SUM(BD47:BD51)</f>
        <v>0</v>
      </c>
      <c r="BE46" s="121">
        <f>VLOOKUP($C46,'1 预算编制表单'!$C:$BJ,60,FALSE)</f>
        <v>0</v>
      </c>
      <c r="BF46" s="121">
        <f>BE46-BG46</f>
        <v>0</v>
      </c>
      <c r="BG46" s="121">
        <f>SUM(BG47:BG51)</f>
        <v>0</v>
      </c>
      <c r="BH46" s="121">
        <f>VLOOKUP($C46,'1 预算编制表单'!$C:$BJ,27,FALSE)</f>
        <v>0</v>
      </c>
      <c r="BI46" s="121">
        <f>BH46-BJ46</f>
        <v>0</v>
      </c>
      <c r="BJ46" s="121">
        <f>SUM(BJ47:BJ51)</f>
        <v>0</v>
      </c>
      <c r="BK46" s="121">
        <f>VLOOKUP($C46,'1 预算编制表单'!$C:$BJ,30,FALSE)</f>
        <v>0</v>
      </c>
      <c r="BL46" s="121">
        <f>BK46-BM46</f>
        <v>0</v>
      </c>
      <c r="BM46" s="121">
        <f>SUM(BM47:BM51)</f>
        <v>0</v>
      </c>
      <c r="BN46" s="121">
        <f>VLOOKUP($C46,'1 预算编制表单'!$C:$BJ,33,FALSE)</f>
        <v>0</v>
      </c>
      <c r="BO46" s="121">
        <f>BN46-BP46</f>
        <v>0</v>
      </c>
      <c r="BP46" s="121">
        <f>SUM(BP47:BP51)</f>
        <v>0</v>
      </c>
      <c r="BQ46" s="121">
        <f>VLOOKUP($C46,'1 预算编制表单'!$C:$BJ,36,FALSE)</f>
        <v>0</v>
      </c>
      <c r="BR46" s="121">
        <f>BQ46-BS46</f>
        <v>0</v>
      </c>
      <c r="BS46" s="121">
        <f>SUM(BS47:BS51)</f>
        <v>0</v>
      </c>
      <c r="BT46" s="121">
        <f>VLOOKUP($C46,'1 预算编制表单'!$C:$BJ,39,FALSE)</f>
        <v>0</v>
      </c>
      <c r="BU46" s="121">
        <f>BT46-BV46</f>
        <v>0</v>
      </c>
      <c r="BV46" s="121">
        <f>SUM(BV47:BV51)</f>
        <v>0</v>
      </c>
      <c r="BW46" s="121">
        <f>VLOOKUP($C46,'1 预算编制表单'!$C:$BJ,42,FALSE)</f>
        <v>0</v>
      </c>
      <c r="BX46" s="121">
        <f>BW46-BY46</f>
        <v>0</v>
      </c>
      <c r="BY46" s="121">
        <f>SUM(BY47:BY51)</f>
        <v>0</v>
      </c>
      <c r="BZ46" s="121">
        <f>VLOOKUP($C46,'1 预算编制表单'!$C:$BJ,45,FALSE)</f>
        <v>0</v>
      </c>
      <c r="CA46" s="121">
        <f>BZ46-CB46</f>
        <v>0</v>
      </c>
      <c r="CB46" s="121">
        <f>SUM(CB47:CB51)</f>
        <v>0</v>
      </c>
      <c r="CC46" s="121">
        <f>VLOOKUP($C46,'1 预算编制表单'!$C:$BJ,48,FALSE)</f>
        <v>0</v>
      </c>
      <c r="CD46" s="121">
        <f>CC46-CE46</f>
        <v>0</v>
      </c>
      <c r="CE46" s="121">
        <f>SUM(CE47:CE51)</f>
        <v>0</v>
      </c>
      <c r="CF46" s="121">
        <f>VLOOKUP($C46,'1 预算编制表单'!$C:$BJ,51,FALSE)</f>
        <v>0</v>
      </c>
      <c r="CG46" s="121">
        <f>CF46-CH46</f>
        <v>0</v>
      </c>
      <c r="CH46" s="121">
        <f>SUM(CH47:CH51)</f>
        <v>0</v>
      </c>
      <c r="CI46" s="121">
        <f>VLOOKUP($C46,'1 预算编制表单'!$C:$BJ,54,FALSE)</f>
        <v>0</v>
      </c>
      <c r="CJ46" s="121">
        <f>CI46-CK46</f>
        <v>0</v>
      </c>
      <c r="CK46" s="121">
        <f>SUM(CK47:CK51)</f>
        <v>0</v>
      </c>
      <c r="CL46" s="121">
        <f>VLOOKUP($C46,'1 预算编制表单'!$C:$BJ,57,FALSE)</f>
        <v>0</v>
      </c>
      <c r="CM46" s="121">
        <f>CL46-CN46</f>
        <v>0</v>
      </c>
      <c r="CN46" s="121">
        <f>SUM(CN47:CN51)</f>
        <v>0</v>
      </c>
      <c r="CO46" s="121">
        <f>VLOOKUP($C46,'1 预算编制表单'!$C:$BJ,60,FALSE)</f>
        <v>0</v>
      </c>
      <c r="CP46" s="121">
        <f>CO46-CQ46</f>
        <v>0</v>
      </c>
      <c r="CQ46" s="121">
        <f>SUM(CQ47:CQ51)</f>
        <v>0</v>
      </c>
    </row>
    <row r="47" s="83" customFormat="1" ht="24" customHeight="1" outlineLevel="4" spans="1:95">
      <c r="A47" s="122"/>
      <c r="B47" s="123"/>
      <c r="C47" s="124"/>
      <c r="D47" s="122"/>
      <c r="E47" s="123"/>
      <c r="F47" s="123"/>
      <c r="G47" s="123"/>
      <c r="H47" s="125"/>
      <c r="I47" s="125"/>
      <c r="J47" s="125">
        <f t="shared" si="5"/>
        <v>0</v>
      </c>
      <c r="K47" s="125">
        <v>1</v>
      </c>
      <c r="L47" s="150"/>
      <c r="M47" s="151">
        <f>IFERROR(VLOOKUP($L47,'2-2 引出数据_合同数据仓库'!$B$2:$BP$1000,3,FALSE),0)</f>
        <v>0</v>
      </c>
      <c r="N47" s="125"/>
      <c r="O47" s="151">
        <f>IFERROR(VLOOKUP((LEFT(VLOOKUP($L47,'2-2 引出数据_合同数据仓库'!$B$2:$BP$1000,64,FALSE),15)&amp;(RIGHT(VLOOKUP($L47,'2-2 引出数据_合同数据仓库'!$B$2:$BP$1000,64,FALSE),4)+1)),'2-2 引出数据_合同数据仓库'!$B$2:$BP$1000,3,FALSE),0)</f>
        <v>0</v>
      </c>
      <c r="P47" s="125"/>
      <c r="Q47" s="125">
        <f>IFERROR(VLOOKUP($L47,'2-2 引出数据_合同数据仓库'!$B$2:$BP$1000,28,FALSE),0)</f>
        <v>0</v>
      </c>
      <c r="R47" s="125">
        <f>IFERROR(VLOOKUP($L47,'2-2 引出数据_合同数据仓库'!$B$2:$BP$1000,29,FALSE),0)</f>
        <v>0</v>
      </c>
      <c r="S47" s="125">
        <f>IFERROR(VLOOKUP($L47,'2-2 引出数据_合同数据仓库'!$B$2:$BP$1000,4,FALSE),0)</f>
        <v>0</v>
      </c>
      <c r="T47" s="125"/>
      <c r="U47" s="125">
        <f>IFERROR(VLOOKUP($L47,'2-2 引出数据_合同数据仓库'!$B$2:$BP$1000,15,FALSE),0)</f>
        <v>0</v>
      </c>
      <c r="V47" s="125">
        <f t="shared" ref="V47:V50" si="491">U47/(S47-R47+1)*365</f>
        <v>0</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0</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0</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0</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0</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0</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0</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0</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0</v>
      </c>
      <c r="BH47" s="157">
        <v>46023</v>
      </c>
      <c r="BI47" s="157">
        <f t="shared" ref="BI47:BI50" si="527">BH47+30</f>
        <v>46053</v>
      </c>
      <c r="BJ47" s="161">
        <f t="shared" ref="BJ47:BJ50" si="528">IFERROR(IF(($R47-BI47)&gt;=0,0,IF(($S47-BH47)&lt;0,0,IF(AND(($S47-BI47)&gt;0,(BH47-$R47)&gt;0),$V47/365*(BI47-BH47+1),IF(AND(($S47-BI47)&lt;=0,(BH47-$R47)&gt;0),$V47/365*($S47-BH47+1),$V47/365*(BI47-$R47+1))))),0)</f>
        <v>0</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0</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0</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0</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customHeight="1" outlineLevel="4" spans="1:95">
      <c r="A48" s="122"/>
      <c r="B48" s="123"/>
      <c r="C48" s="124"/>
      <c r="D48" s="122"/>
      <c r="E48" s="123"/>
      <c r="F48" s="123"/>
      <c r="G48" s="123"/>
      <c r="H48" s="125"/>
      <c r="I48" s="125"/>
      <c r="J48" s="125">
        <f t="shared" si="5"/>
        <v>0</v>
      </c>
      <c r="K48" s="125">
        <f t="shared" ref="K48:K50" si="562">K47+1</f>
        <v>2</v>
      </c>
      <c r="L48" s="150"/>
      <c r="M48" s="151">
        <f>IFERROR(VLOOKUP($L48,'2-2 引出数据_合同数据仓库'!$B$2:$BP$1000,3,FALSE),0)</f>
        <v>0</v>
      </c>
      <c r="N48" s="125"/>
      <c r="O48" s="151">
        <f>IFERROR(VLOOKUP((LEFT(VLOOKUP($L48,'2-2 引出数据_合同数据仓库'!$B$2:$BP$1000,64,FALSE),15)&amp;(RIGHT(VLOOKUP($L48,'2-2 引出数据_合同数据仓库'!$B$2:$BP$1000,64,FALSE),4)+1)),'2-2 引出数据_合同数据仓库'!$B$2:$BP$1000,3,FALSE),0)</f>
        <v>0</v>
      </c>
      <c r="P48" s="125"/>
      <c r="Q48" s="125">
        <f>IFERROR(VLOOKUP($L48,'2-2 引出数据_合同数据仓库'!$B$2:$BP$1000,28,FALSE),0)</f>
        <v>0</v>
      </c>
      <c r="R48" s="125">
        <f>IFERROR(VLOOKUP($L48,'2-2 引出数据_合同数据仓库'!$B$2:$BP$1000,29,FALSE),0)</f>
        <v>0</v>
      </c>
      <c r="S48" s="125">
        <f>IFERROR(VLOOKUP($L48,'2-2 引出数据_合同数据仓库'!$B$2:$BP$1000,4,FALSE),0)</f>
        <v>0</v>
      </c>
      <c r="T48" s="125"/>
      <c r="U48" s="125">
        <f>IFERROR(VLOOKUP($L48,'2-2 引出数据_合同数据仓库'!$B$2:$BP$1000,15,FALSE),0)</f>
        <v>0</v>
      </c>
      <c r="V48" s="125">
        <f t="shared" si="491"/>
        <v>0</v>
      </c>
      <c r="W48" s="125"/>
      <c r="X48" s="157">
        <v>45658</v>
      </c>
      <c r="Y48" s="157">
        <f t="shared" si="492"/>
        <v>45688</v>
      </c>
      <c r="Z48" s="161">
        <f t="shared" si="493"/>
        <v>0</v>
      </c>
      <c r="AA48" s="157">
        <f t="shared" si="494"/>
        <v>45689</v>
      </c>
      <c r="AB48" s="157">
        <f t="shared" si="495"/>
        <v>45716</v>
      </c>
      <c r="AC48" s="161">
        <f t="shared" si="496"/>
        <v>0</v>
      </c>
      <c r="AD48" s="157">
        <f t="shared" si="497"/>
        <v>45717</v>
      </c>
      <c r="AE48" s="157">
        <f t="shared" si="498"/>
        <v>45747</v>
      </c>
      <c r="AF48" s="161">
        <f t="shared" si="499"/>
        <v>0</v>
      </c>
      <c r="AG48" s="157">
        <f t="shared" si="500"/>
        <v>45748</v>
      </c>
      <c r="AH48" s="157">
        <f t="shared" si="501"/>
        <v>45777</v>
      </c>
      <c r="AI48" s="161">
        <f t="shared" si="502"/>
        <v>0</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customHeight="1" outlineLevel="4" spans="1:95">
      <c r="A49" s="122"/>
      <c r="B49" s="123"/>
      <c r="C49" s="124"/>
      <c r="D49" s="122"/>
      <c r="E49" s="123"/>
      <c r="F49" s="123"/>
      <c r="G49" s="123"/>
      <c r="H49" s="125"/>
      <c r="I49" s="125"/>
      <c r="J49" s="125">
        <f t="shared" si="5"/>
        <v>0</v>
      </c>
      <c r="K49" s="125">
        <f t="shared" si="562"/>
        <v>3</v>
      </c>
      <c r="L49" s="150"/>
      <c r="M49" s="151">
        <f>IFERROR(VLOOKUP($L49,'2-2 引出数据_合同数据仓库'!$B$2:$BP$1000,3,FALSE),0)</f>
        <v>0</v>
      </c>
      <c r="N49" s="125"/>
      <c r="O49" s="151">
        <f>IFERROR(VLOOKUP((LEFT(VLOOKUP($L49,'2-2 引出数据_合同数据仓库'!$B$2:$BP$1000,64,FALSE),15)&amp;(RIGHT(VLOOKUP($L49,'2-2 引出数据_合同数据仓库'!$B$2:$BP$1000,64,FALSE),4)+1)),'2-2 引出数据_合同数据仓库'!$B$2:$BP$1000,3,FALSE),0)</f>
        <v>0</v>
      </c>
      <c r="P49" s="125"/>
      <c r="Q49" s="125">
        <f>IFERROR(VLOOKUP($L49,'2-2 引出数据_合同数据仓库'!$B$2:$BP$1000,28,FALSE),0)</f>
        <v>0</v>
      </c>
      <c r="R49" s="125">
        <f>IFERROR(VLOOKUP($L49,'2-2 引出数据_合同数据仓库'!$B$2:$BP$1000,29,FALSE),0)</f>
        <v>0</v>
      </c>
      <c r="S49" s="125">
        <f>IFERROR(VLOOKUP($L49,'2-2 引出数据_合同数据仓库'!$B$2:$BP$1000,4,FALSE),0)</f>
        <v>0</v>
      </c>
      <c r="T49" s="125"/>
      <c r="U49" s="125">
        <f>IFERROR(VLOOKUP($L49,'2-2 引出数据_合同数据仓库'!$B$2:$BP$1000,15,FALSE),0)</f>
        <v>0</v>
      </c>
      <c r="V49" s="125">
        <f t="shared" si="491"/>
        <v>0</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引出数据_合同数据仓库'!$B$2:$BP$1000,3,FALSE),0)</f>
        <v>0</v>
      </c>
      <c r="N50" s="125"/>
      <c r="O50" s="151">
        <f>IFERROR(VLOOKUP((LEFT(VLOOKUP($L50,'2-2 引出数据_合同数据仓库'!$B$2:$BP$1000,64,FALSE),15)&amp;(RIGHT(VLOOKUP($L50,'2-2 引出数据_合同数据仓库'!$B$2:$BP$1000,64,FALSE),4)+1)),'2-2 引出数据_合同数据仓库'!$B$2:$BP$1000,3,FALSE),0)</f>
        <v>0</v>
      </c>
      <c r="P50" s="125"/>
      <c r="Q50" s="125">
        <f>IFERROR(VLOOKUP($L50,'2-2 引出数据_合同数据仓库'!$B$2:$BP$1000,28,FALSE),0)</f>
        <v>0</v>
      </c>
      <c r="R50" s="125">
        <f>IFERROR(VLOOKUP($L50,'2-2 引出数据_合同数据仓库'!$B$2:$BP$1000,29,FALSE),0)</f>
        <v>0</v>
      </c>
      <c r="S50" s="125">
        <f>IFERROR(VLOOKUP($L50,'2-2 引出数据_合同数据仓库'!$B$2:$BP$1000,4,FALSE),0)</f>
        <v>0</v>
      </c>
      <c r="T50" s="125"/>
      <c r="U50" s="125">
        <f>IFERROR(VLOOKUP($L50,'2-2 引出数据_合同数据仓库'!$B$2:$BP$1000,15,FALSE),0)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customHeight="1" outlineLevel="4" spans="1:95">
      <c r="A51" s="126" t="s">
        <v>2821</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customHeight="1" outlineLevel="3" spans="1:95">
      <c r="A52" s="118"/>
      <c r="B52" s="119" t="s">
        <v>799</v>
      </c>
      <c r="C52" s="120" t="s">
        <v>70</v>
      </c>
      <c r="D52" s="118" t="s">
        <v>68</v>
      </c>
      <c r="E52" s="119"/>
      <c r="F52" s="119"/>
      <c r="G52" s="119"/>
      <c r="H52" s="121">
        <f>X52+AA52+AD52+AG52+AJ52+AM52+AP52+AS52+AV52+AY52+BB52+BE52</f>
        <v>0</v>
      </c>
      <c r="I52" s="121">
        <f>Y52+AB52+AE52+AH52+AK52+AN52+AQ52+AT52+AW52+AZ52+BC52+BF52</f>
        <v>0</v>
      </c>
      <c r="J52" s="121">
        <f t="shared" si="5"/>
        <v>0</v>
      </c>
      <c r="K52" s="121"/>
      <c r="L52" s="149"/>
      <c r="M52" s="149"/>
      <c r="N52" s="121"/>
      <c r="O52" s="121"/>
      <c r="P52" s="121"/>
      <c r="Q52" s="121"/>
      <c r="R52" s="121"/>
      <c r="S52" s="121"/>
      <c r="T52" s="121"/>
      <c r="U52" s="121"/>
      <c r="V52" s="121"/>
      <c r="W52" s="121"/>
      <c r="X52" s="121">
        <f>VLOOKUP($C52,'1 预算编制表单'!$C:$BJ,27,FALSE)</f>
        <v>0</v>
      </c>
      <c r="Y52" s="121">
        <f>X52-Z52</f>
        <v>0</v>
      </c>
      <c r="Z52" s="121">
        <f>SUM(Z53:Z57)</f>
        <v>0</v>
      </c>
      <c r="AA52" s="121">
        <f>VLOOKUP($C52,'1 预算编制表单'!$C:$BJ,30,FALSE)</f>
        <v>0</v>
      </c>
      <c r="AB52" s="121">
        <f>AA52-AC52</f>
        <v>0</v>
      </c>
      <c r="AC52" s="121">
        <f>SUM(AC53:AC57)</f>
        <v>0</v>
      </c>
      <c r="AD52" s="121">
        <f>VLOOKUP($C52,'1 预算编制表单'!$C:$BJ,33,FALSE)</f>
        <v>0</v>
      </c>
      <c r="AE52" s="121">
        <f>AD52-AF52</f>
        <v>0</v>
      </c>
      <c r="AF52" s="121">
        <f>SUM(AF53:AF57)</f>
        <v>0</v>
      </c>
      <c r="AG52" s="121">
        <f>VLOOKUP($C52,'1 预算编制表单'!$C:$BJ,36,FALSE)</f>
        <v>0</v>
      </c>
      <c r="AH52" s="121">
        <f>AG52-AI52</f>
        <v>0</v>
      </c>
      <c r="AI52" s="121">
        <f>SUM(AI53:AI57)</f>
        <v>0</v>
      </c>
      <c r="AJ52" s="121">
        <f>VLOOKUP($C52,'1 预算编制表单'!$C:$BJ,39,FALSE)</f>
        <v>0</v>
      </c>
      <c r="AK52" s="121">
        <f>AJ52-AL52</f>
        <v>0</v>
      </c>
      <c r="AL52" s="121">
        <f>SUM(AL53:AL57)</f>
        <v>0</v>
      </c>
      <c r="AM52" s="121">
        <f>VLOOKUP($C52,'1 预算编制表单'!$C:$BJ,42,FALSE)</f>
        <v>0</v>
      </c>
      <c r="AN52" s="121">
        <f>AM52-AO52</f>
        <v>0</v>
      </c>
      <c r="AO52" s="121">
        <f>SUM(AO53:AO57)</f>
        <v>0</v>
      </c>
      <c r="AP52" s="121">
        <f>VLOOKUP($C52,'1 预算编制表单'!$C:$BJ,45,FALSE)</f>
        <v>0</v>
      </c>
      <c r="AQ52" s="121">
        <f>AP52-AR52</f>
        <v>0</v>
      </c>
      <c r="AR52" s="121">
        <f>SUM(AR53:AR57)</f>
        <v>0</v>
      </c>
      <c r="AS52" s="121">
        <f>VLOOKUP($C52,'1 预算编制表单'!$C:$BJ,48,FALSE)</f>
        <v>0</v>
      </c>
      <c r="AT52" s="121">
        <f>AS52-AU52</f>
        <v>0</v>
      </c>
      <c r="AU52" s="121">
        <f>SUM(AU53:AU57)</f>
        <v>0</v>
      </c>
      <c r="AV52" s="121">
        <f>VLOOKUP($C52,'1 预算编制表单'!$C:$BJ,51,FALSE)</f>
        <v>0</v>
      </c>
      <c r="AW52" s="121">
        <f>AV52-AX52</f>
        <v>0</v>
      </c>
      <c r="AX52" s="121">
        <f>SUM(AX53:AX57)</f>
        <v>0</v>
      </c>
      <c r="AY52" s="121">
        <f>VLOOKUP($C52,'1 预算编制表单'!$C:$BJ,54,FALSE)</f>
        <v>0</v>
      </c>
      <c r="AZ52" s="121">
        <f>AY52-BA52</f>
        <v>0</v>
      </c>
      <c r="BA52" s="121">
        <f>SUM(BA53:BA57)</f>
        <v>0</v>
      </c>
      <c r="BB52" s="121">
        <f>VLOOKUP($C52,'1 预算编制表单'!$C:$BJ,57,FALSE)</f>
        <v>0</v>
      </c>
      <c r="BC52" s="121">
        <f>BB52-BD52</f>
        <v>0</v>
      </c>
      <c r="BD52" s="121">
        <f>SUM(BD53:BD57)</f>
        <v>0</v>
      </c>
      <c r="BE52" s="121">
        <f>VLOOKUP($C52,'1 预算编制表单'!$C:$BJ,60,FALSE)</f>
        <v>0</v>
      </c>
      <c r="BF52" s="121">
        <f>BE52-BG52</f>
        <v>0</v>
      </c>
      <c r="BG52" s="121">
        <f>SUM(BG53:BG57)</f>
        <v>0</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customHeight="1" outlineLevel="4" spans="1:95">
      <c r="A53" s="131"/>
      <c r="B53" s="132"/>
      <c r="C53" s="133" t="s">
        <v>913</v>
      </c>
      <c r="D53" s="131" t="s">
        <v>2822</v>
      </c>
      <c r="E53" s="132"/>
      <c r="F53" s="132"/>
      <c r="G53" s="132"/>
      <c r="H53" s="134"/>
      <c r="I53" s="134"/>
      <c r="J53" s="134">
        <f t="shared" si="5"/>
        <v>0</v>
      </c>
      <c r="K53" s="134"/>
      <c r="L53" s="155"/>
      <c r="M53" s="155"/>
      <c r="N53" s="134"/>
      <c r="O53" s="155"/>
      <c r="P53" s="134"/>
      <c r="Q53" s="134"/>
      <c r="R53" s="134"/>
      <c r="S53" s="134"/>
      <c r="T53" s="134"/>
      <c r="U53" s="134"/>
      <c r="V53" s="134"/>
      <c r="W53" s="134"/>
      <c r="X53" s="158"/>
      <c r="Y53" s="158"/>
      <c r="Z53" s="134">
        <f>报销单计算表!B25</f>
        <v>0</v>
      </c>
      <c r="AA53" s="158"/>
      <c r="AB53" s="158"/>
      <c r="AC53" s="134">
        <f>报销单计算表!C25</f>
        <v>0</v>
      </c>
      <c r="AD53" s="158"/>
      <c r="AE53" s="158"/>
      <c r="AF53" s="134">
        <f>报销单计算表!D25</f>
        <v>0</v>
      </c>
      <c r="AG53" s="158"/>
      <c r="AH53" s="158"/>
      <c r="AI53" s="134">
        <f>报销单计算表!E25</f>
        <v>0</v>
      </c>
      <c r="AJ53" s="158"/>
      <c r="AK53" s="158"/>
      <c r="AL53" s="134">
        <f>报销单计算表!F25</f>
        <v>0</v>
      </c>
      <c r="AM53" s="158"/>
      <c r="AN53" s="158"/>
      <c r="AO53" s="134">
        <f>报销单计算表!G25</f>
        <v>0</v>
      </c>
      <c r="AP53" s="158"/>
      <c r="AQ53" s="158"/>
      <c r="AR53" s="134">
        <f>报销单计算表!H25</f>
        <v>0</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customHeight="1" outlineLevel="4" spans="1:95">
      <c r="A54" s="122"/>
      <c r="B54" s="123"/>
      <c r="C54" s="124"/>
      <c r="D54" s="122"/>
      <c r="E54" s="123"/>
      <c r="F54" s="123"/>
      <c r="G54" s="123"/>
      <c r="H54" s="125"/>
      <c r="I54" s="125"/>
      <c r="J54" s="125">
        <f t="shared" si="5"/>
        <v>0</v>
      </c>
      <c r="K54" s="125">
        <f t="shared" ref="K54:K56" si="598">K53+1</f>
        <v>1</v>
      </c>
      <c r="L54" s="150"/>
      <c r="M54" s="151">
        <f>IFERROR(VLOOKUP($L54,'2-2 引出数据_合同数据仓库'!$B$2:$BP$1000,3,FALSE),0)</f>
        <v>0</v>
      </c>
      <c r="N54" s="125"/>
      <c r="O54" s="151">
        <f>IFERROR(VLOOKUP((LEFT(VLOOKUP($L54,'2-2 引出数据_合同数据仓库'!$B$2:$BP$1000,64,FALSE),15)&amp;(RIGHT(VLOOKUP($L54,'2-2 引出数据_合同数据仓库'!$B$2:$BP$1000,64,FALSE),4)+1)),'2-2 引出数据_合同数据仓库'!$B$2:$BP$1000,3,FALSE),0)</f>
        <v>0</v>
      </c>
      <c r="P54" s="125"/>
      <c r="Q54" s="125">
        <f>IFERROR(VLOOKUP($L54,'2-2 引出数据_合同数据仓库'!$B$2:$BP$1000,28,FALSE),0)</f>
        <v>0</v>
      </c>
      <c r="R54" s="125">
        <f>IFERROR(VLOOKUP($L54,'2-2 引出数据_合同数据仓库'!$B$2:$BP$1000,29,FALSE),0)</f>
        <v>0</v>
      </c>
      <c r="S54" s="125">
        <f>IFERROR(VLOOKUP($L54,'2-2 引出数据_合同数据仓库'!$B$2:$BP$1000,4,FALSE),0)</f>
        <v>0</v>
      </c>
      <c r="T54" s="125"/>
      <c r="U54" s="125">
        <f>IFERROR(VLOOKUP($L54,'2-2 引出数据_合同数据仓库'!$B$2:$BP$1000,15,FALSE),0)</f>
        <v>0</v>
      </c>
      <c r="V54" s="125">
        <f t="shared" ref="V54:V56" si="599">U54/(S54-R54+1)*365</f>
        <v>0</v>
      </c>
      <c r="W54" s="125"/>
      <c r="X54" s="157">
        <v>45658</v>
      </c>
      <c r="Y54" s="157">
        <f t="shared" ref="Y54:Y56" si="600">X54+30</f>
        <v>45688</v>
      </c>
      <c r="Z54" s="161">
        <f t="shared" ref="Z54:Z56" si="601">IFERROR(IF(($R54-Y54)&gt;=0,0,IF(($S54-X54)&lt;0,0,IF(AND(($S54-Y54)&gt;0,(X54-$R54)&gt;0),$V54/365*(Y54-X54+1),IF(AND(($S54-Y54)&lt;=0,(X54-$R54)&gt;0),$V54/365*($S54-X54+1),$V54/365*(Y54-$R54+1))))),0)</f>
        <v>0</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0</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0</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0</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0</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0</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0</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0</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0</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0</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0</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0</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customHeight="1" outlineLevel="4" spans="1:95">
      <c r="A55" s="122"/>
      <c r="B55" s="123"/>
      <c r="C55" s="124"/>
      <c r="D55" s="122"/>
      <c r="E55" s="123"/>
      <c r="F55" s="123"/>
      <c r="G55" s="123"/>
      <c r="H55" s="125"/>
      <c r="I55" s="125"/>
      <c r="J55" s="125">
        <f t="shared" si="5"/>
        <v>0</v>
      </c>
      <c r="K55" s="125">
        <f t="shared" si="598"/>
        <v>2</v>
      </c>
      <c r="L55" s="150"/>
      <c r="M55" s="151">
        <f>IFERROR(VLOOKUP($L55,'2-2 引出数据_合同数据仓库'!$B$2:$BP$1000,3,FALSE),0)</f>
        <v>0</v>
      </c>
      <c r="N55" s="125"/>
      <c r="O55" s="151">
        <f>IFERROR(VLOOKUP((LEFT(VLOOKUP($L55,'2-2 引出数据_合同数据仓库'!$B$2:$BP$1000,64,FALSE),15)&amp;(RIGHT(VLOOKUP($L55,'2-2 引出数据_合同数据仓库'!$B$2:$BP$1000,64,FALSE),4)+1)),'2-2 引出数据_合同数据仓库'!$B$2:$BP$1000,3,FALSE),0)</f>
        <v>0</v>
      </c>
      <c r="P55" s="125"/>
      <c r="Q55" s="125">
        <f>IFERROR(VLOOKUP($L55,'2-2 引出数据_合同数据仓库'!$B$2:$BP$1000,28,FALSE),0)</f>
        <v>0</v>
      </c>
      <c r="R55" s="125">
        <f>IFERROR(VLOOKUP($L55,'2-2 引出数据_合同数据仓库'!$B$2:$BP$1000,29,FALSE),0)</f>
        <v>0</v>
      </c>
      <c r="S55" s="125">
        <f>IFERROR(VLOOKUP($L55,'2-2 引出数据_合同数据仓库'!$B$2:$BP$1000,4,FALSE),0)</f>
        <v>0</v>
      </c>
      <c r="T55" s="125"/>
      <c r="U55" s="125">
        <f>IFERROR(VLOOKUP($L55,'2-2 引出数据_合同数据仓库'!$B$2:$BP$1000,15,FALSE),0)</f>
        <v>0</v>
      </c>
      <c r="V55" s="125">
        <f t="shared" si="599"/>
        <v>0</v>
      </c>
      <c r="W55" s="125"/>
      <c r="X55" s="157">
        <v>45658</v>
      </c>
      <c r="Y55" s="157">
        <f t="shared" si="600"/>
        <v>45688</v>
      </c>
      <c r="Z55" s="161">
        <f t="shared" si="601"/>
        <v>0</v>
      </c>
      <c r="AA55" s="157">
        <f t="shared" si="602"/>
        <v>45689</v>
      </c>
      <c r="AB55" s="157">
        <f t="shared" si="603"/>
        <v>45716</v>
      </c>
      <c r="AC55" s="161">
        <f t="shared" si="604"/>
        <v>0</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customHeight="1" outlineLevel="4" spans="1:95">
      <c r="A56" s="122"/>
      <c r="B56" s="123"/>
      <c r="C56" s="124"/>
      <c r="D56" s="122"/>
      <c r="E56" s="123"/>
      <c r="F56" s="123"/>
      <c r="G56" s="123"/>
      <c r="H56" s="125"/>
      <c r="I56" s="125"/>
      <c r="J56" s="125">
        <f t="shared" si="5"/>
        <v>0</v>
      </c>
      <c r="K56" s="125">
        <f t="shared" si="598"/>
        <v>3</v>
      </c>
      <c r="L56" s="150"/>
      <c r="M56" s="151">
        <f>IFERROR(VLOOKUP($L56,'2-2 引出数据_合同数据仓库'!$B$2:$BP$1000,3,FALSE),0)</f>
        <v>0</v>
      </c>
      <c r="N56" s="125"/>
      <c r="O56" s="151">
        <f>IFERROR(VLOOKUP((LEFT(VLOOKUP($L56,'2-2 引出数据_合同数据仓库'!$B$2:$BP$1000,64,FALSE),15)&amp;(RIGHT(VLOOKUP($L56,'2-2 引出数据_合同数据仓库'!$B$2:$BP$1000,64,FALSE),4)+1)),'2-2 引出数据_合同数据仓库'!$B$2:$BP$1000,3,FALSE),0)</f>
        <v>0</v>
      </c>
      <c r="P56" s="125"/>
      <c r="Q56" s="125">
        <f>IFERROR(VLOOKUP($L56,'2-2 引出数据_合同数据仓库'!$B$2:$BP$1000,28,FALSE),0)</f>
        <v>0</v>
      </c>
      <c r="R56" s="125">
        <f>IFERROR(VLOOKUP($L56,'2-2 引出数据_合同数据仓库'!$B$2:$BP$1000,29,FALSE),0)</f>
        <v>0</v>
      </c>
      <c r="S56" s="125">
        <f>IFERROR(VLOOKUP($L56,'2-2 引出数据_合同数据仓库'!$B$2:$BP$1000,4,FALSE),0)</f>
        <v>0</v>
      </c>
      <c r="T56" s="125"/>
      <c r="U56" s="125">
        <f>IFERROR(VLOOKUP($L56,'2-2 引出数据_合同数据仓库'!$B$2:$BP$1000,15,FALSE),0)</f>
        <v>0</v>
      </c>
      <c r="V56" s="125">
        <f t="shared" si="599"/>
        <v>0</v>
      </c>
      <c r="W56" s="125"/>
      <c r="X56" s="157">
        <v>45658</v>
      </c>
      <c r="Y56" s="157">
        <f t="shared" si="600"/>
        <v>45688</v>
      </c>
      <c r="Z56" s="161">
        <f t="shared" si="601"/>
        <v>0</v>
      </c>
      <c r="AA56" s="157">
        <f t="shared" si="602"/>
        <v>45689</v>
      </c>
      <c r="AB56" s="157">
        <f t="shared" si="603"/>
        <v>45716</v>
      </c>
      <c r="AC56" s="161">
        <f t="shared" si="604"/>
        <v>0</v>
      </c>
      <c r="AD56" s="157">
        <f t="shared" si="605"/>
        <v>45717</v>
      </c>
      <c r="AE56" s="157">
        <f t="shared" si="606"/>
        <v>45747</v>
      </c>
      <c r="AF56" s="161">
        <f t="shared" si="607"/>
        <v>0</v>
      </c>
      <c r="AG56" s="157">
        <f t="shared" si="608"/>
        <v>45748</v>
      </c>
      <c r="AH56" s="157">
        <f t="shared" si="609"/>
        <v>45777</v>
      </c>
      <c r="AI56" s="161">
        <f t="shared" si="610"/>
        <v>0</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customHeight="1" outlineLevel="4" spans="1:95">
      <c r="A57" s="126" t="s">
        <v>2821</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customHeight="1" outlineLevel="3" spans="1:95">
      <c r="A58" s="118"/>
      <c r="B58" s="119" t="s">
        <v>799</v>
      </c>
      <c r="C58" s="120" t="s">
        <v>14</v>
      </c>
      <c r="D58" s="118" t="s">
        <v>15</v>
      </c>
      <c r="E58" s="119"/>
      <c r="F58" s="119"/>
      <c r="G58" s="119"/>
      <c r="H58" s="121">
        <f>X58+AA58+AD58+AG58+AJ58+AM58+AP58+AS58+AV58+AY58+BB58+BE58</f>
        <v>89433.9622641509</v>
      </c>
      <c r="I58" s="121">
        <f>Y58+AB58+AE58+AH58+AK58+AN58+AQ58+AT58+AW58+AZ58+BC58+BF58</f>
        <v>89433.9622641509</v>
      </c>
      <c r="J58" s="121">
        <f t="shared" si="5"/>
        <v>0</v>
      </c>
      <c r="K58" s="121"/>
      <c r="L58" s="149"/>
      <c r="M58" s="149"/>
      <c r="N58" s="121"/>
      <c r="O58" s="121"/>
      <c r="P58" s="121"/>
      <c r="Q58" s="121"/>
      <c r="R58" s="121"/>
      <c r="S58" s="121"/>
      <c r="T58" s="121"/>
      <c r="U58" s="121"/>
      <c r="V58" s="121"/>
      <c r="W58" s="121"/>
      <c r="X58" s="121">
        <f>VLOOKUP($C58,'1 预算编制表单'!$C:$BJ,27,FALSE)</f>
        <v>7452.83018867924</v>
      </c>
      <c r="Y58" s="121">
        <f>X58-Z58</f>
        <v>7452.83018867924</v>
      </c>
      <c r="Z58" s="121">
        <f>SUM(Z59:Z63)</f>
        <v>0</v>
      </c>
      <c r="AA58" s="121">
        <f>VLOOKUP($C58,'1 预算编制表单'!$C:$BJ,30,FALSE)</f>
        <v>7452.83018867924</v>
      </c>
      <c r="AB58" s="121">
        <f>AA58-AC58</f>
        <v>7452.83018867924</v>
      </c>
      <c r="AC58" s="121">
        <f>SUM(AC59:AC63)</f>
        <v>0</v>
      </c>
      <c r="AD58" s="121">
        <f>VLOOKUP($C58,'1 预算编制表单'!$C:$BJ,33,FALSE)</f>
        <v>7452.83018867924</v>
      </c>
      <c r="AE58" s="121">
        <f>AD58-AF58</f>
        <v>7452.83018867924</v>
      </c>
      <c r="AF58" s="121">
        <f>SUM(AF59:AF63)</f>
        <v>0</v>
      </c>
      <c r="AG58" s="121">
        <f>VLOOKUP($C58,'1 预算编制表单'!$C:$BJ,36,FALSE)</f>
        <v>7452.83018867924</v>
      </c>
      <c r="AH58" s="121">
        <f>AG58-AI58</f>
        <v>7452.83018867924</v>
      </c>
      <c r="AI58" s="121">
        <f>SUM(AI59:AI63)</f>
        <v>0</v>
      </c>
      <c r="AJ58" s="121">
        <f>VLOOKUP($C58,'1 预算编制表单'!$C:$BJ,39,FALSE)</f>
        <v>7452.83018867924</v>
      </c>
      <c r="AK58" s="121">
        <f>AJ58-AL58</f>
        <v>7452.83018867924</v>
      </c>
      <c r="AL58" s="121">
        <f>SUM(AL59:AL63)</f>
        <v>0</v>
      </c>
      <c r="AM58" s="121">
        <f>VLOOKUP($C58,'1 预算编制表单'!$C:$BJ,42,FALSE)</f>
        <v>7452.83018867924</v>
      </c>
      <c r="AN58" s="121">
        <f>AM58-AO58</f>
        <v>7452.83018867924</v>
      </c>
      <c r="AO58" s="121">
        <f>SUM(AO59:AO63)</f>
        <v>0</v>
      </c>
      <c r="AP58" s="121">
        <f>VLOOKUP($C58,'1 预算编制表单'!$C:$BJ,45,FALSE)</f>
        <v>7452.83018867924</v>
      </c>
      <c r="AQ58" s="121">
        <f>AP58-AR58</f>
        <v>7452.83018867924</v>
      </c>
      <c r="AR58" s="121">
        <f>SUM(AR59:AR63)</f>
        <v>0</v>
      </c>
      <c r="AS58" s="121">
        <f>VLOOKUP($C58,'1 预算编制表单'!$C:$BJ,48,FALSE)</f>
        <v>7452.83018867924</v>
      </c>
      <c r="AT58" s="121">
        <f>AS58-AU58</f>
        <v>7452.83018867924</v>
      </c>
      <c r="AU58" s="121">
        <f>SUM(AU59:AU63)</f>
        <v>0</v>
      </c>
      <c r="AV58" s="121">
        <f>VLOOKUP($C58,'1 预算编制表单'!$C:$BJ,51,FALSE)</f>
        <v>7452.83018867924</v>
      </c>
      <c r="AW58" s="121">
        <f>AV58-AX58</f>
        <v>7452.83018867924</v>
      </c>
      <c r="AX58" s="121">
        <f>SUM(AX59:AX63)</f>
        <v>0</v>
      </c>
      <c r="AY58" s="121">
        <f>VLOOKUP($C58,'1 预算编制表单'!$C:$BJ,54,FALSE)</f>
        <v>7452.83018867924</v>
      </c>
      <c r="AZ58" s="121">
        <f>AY58-BA58</f>
        <v>7452.83018867924</v>
      </c>
      <c r="BA58" s="121">
        <f>SUM(BA59:BA63)</f>
        <v>0</v>
      </c>
      <c r="BB58" s="121">
        <f>VLOOKUP($C58,'1 预算编制表单'!$C:$BJ,57,FALSE)</f>
        <v>7452.83018867924</v>
      </c>
      <c r="BC58" s="121">
        <f>BB58-BD58</f>
        <v>7452.83018867924</v>
      </c>
      <c r="BD58" s="121">
        <f>SUM(BD59:BD63)</f>
        <v>0</v>
      </c>
      <c r="BE58" s="121">
        <f>VLOOKUP($C58,'1 预算编制表单'!$C:$BJ,60,FALSE)</f>
        <v>7452.83018867924</v>
      </c>
      <c r="BF58" s="121">
        <f>BE58-BG58</f>
        <v>7452.83018867924</v>
      </c>
      <c r="BG58" s="121">
        <f>SUM(BG59:BG63)</f>
        <v>0</v>
      </c>
      <c r="BH58" s="121">
        <f>VLOOKUP($C58,'1 预算编制表单'!$C:$BJ,27,FALSE)</f>
        <v>7452.83018867924</v>
      </c>
      <c r="BI58" s="121">
        <f>BH58-BJ58</f>
        <v>7452.83018867924</v>
      </c>
      <c r="BJ58" s="121">
        <f>SUM(BJ59:BJ63)</f>
        <v>0</v>
      </c>
      <c r="BK58" s="121">
        <f>VLOOKUP($C58,'1 预算编制表单'!$C:$BJ,30,FALSE)</f>
        <v>7452.83018867924</v>
      </c>
      <c r="BL58" s="121">
        <f>BK58-BM58</f>
        <v>7452.83018867924</v>
      </c>
      <c r="BM58" s="121">
        <f>SUM(BM59:BM63)</f>
        <v>0</v>
      </c>
      <c r="BN58" s="121">
        <f>VLOOKUP($C58,'1 预算编制表单'!$C:$BJ,33,FALSE)</f>
        <v>7452.83018867924</v>
      </c>
      <c r="BO58" s="121">
        <f>BN58-BP58</f>
        <v>7452.83018867924</v>
      </c>
      <c r="BP58" s="121">
        <f>SUM(BP59:BP63)</f>
        <v>0</v>
      </c>
      <c r="BQ58" s="121">
        <f>VLOOKUP($C58,'1 预算编制表单'!$C:$BJ,36,FALSE)</f>
        <v>7452.83018867924</v>
      </c>
      <c r="BR58" s="121">
        <f>BQ58-BS58</f>
        <v>7452.83018867924</v>
      </c>
      <c r="BS58" s="121">
        <f>SUM(BS59:BS63)</f>
        <v>0</v>
      </c>
      <c r="BT58" s="121">
        <f>VLOOKUP($C58,'1 预算编制表单'!$C:$BJ,39,FALSE)</f>
        <v>7452.83018867924</v>
      </c>
      <c r="BU58" s="121">
        <f>BT58-BV58</f>
        <v>7452.83018867924</v>
      </c>
      <c r="BV58" s="121">
        <f>SUM(BV59:BV63)</f>
        <v>0</v>
      </c>
      <c r="BW58" s="121">
        <f>VLOOKUP($C58,'1 预算编制表单'!$C:$BJ,42,FALSE)</f>
        <v>7452.83018867924</v>
      </c>
      <c r="BX58" s="121">
        <f>BW58-BY58</f>
        <v>7452.83018867924</v>
      </c>
      <c r="BY58" s="121">
        <f>SUM(BY59:BY63)</f>
        <v>0</v>
      </c>
      <c r="BZ58" s="121">
        <f>VLOOKUP($C58,'1 预算编制表单'!$C:$BJ,45,FALSE)</f>
        <v>7452.83018867924</v>
      </c>
      <c r="CA58" s="121">
        <f>BZ58-CB58</f>
        <v>7452.83018867924</v>
      </c>
      <c r="CB58" s="121">
        <f>SUM(CB59:CB63)</f>
        <v>0</v>
      </c>
      <c r="CC58" s="121">
        <f>VLOOKUP($C58,'1 预算编制表单'!$C:$BJ,48,FALSE)</f>
        <v>7452.83018867924</v>
      </c>
      <c r="CD58" s="121">
        <f>CC58-CE58</f>
        <v>7452.83018867924</v>
      </c>
      <c r="CE58" s="121">
        <f>SUM(CE59:CE63)</f>
        <v>0</v>
      </c>
      <c r="CF58" s="121">
        <f>VLOOKUP($C58,'1 预算编制表单'!$C:$BJ,51,FALSE)</f>
        <v>7452.83018867924</v>
      </c>
      <c r="CG58" s="121">
        <f>CF58-CH58</f>
        <v>7452.83018867924</v>
      </c>
      <c r="CH58" s="121">
        <f>SUM(CH59:CH63)</f>
        <v>0</v>
      </c>
      <c r="CI58" s="121">
        <f>VLOOKUP($C58,'1 预算编制表单'!$C:$BJ,54,FALSE)</f>
        <v>7452.83018867924</v>
      </c>
      <c r="CJ58" s="121">
        <f>CI58-CK58</f>
        <v>7452.83018867924</v>
      </c>
      <c r="CK58" s="121">
        <f>SUM(CK59:CK63)</f>
        <v>0</v>
      </c>
      <c r="CL58" s="121">
        <f>VLOOKUP($C58,'1 预算编制表单'!$C:$BJ,57,FALSE)</f>
        <v>7452.83018867924</v>
      </c>
      <c r="CM58" s="121">
        <f>CL58-CN58</f>
        <v>7452.83018867924</v>
      </c>
      <c r="CN58" s="121">
        <f>SUM(CN59:CN63)</f>
        <v>0</v>
      </c>
      <c r="CO58" s="121">
        <f>VLOOKUP($C58,'1 预算编制表单'!$C:$BJ,60,FALSE)</f>
        <v>7452.83018867924</v>
      </c>
      <c r="CP58" s="121">
        <f>CO58-CQ58</f>
        <v>7452.83018867924</v>
      </c>
      <c r="CQ58" s="121">
        <f>SUM(CQ59:CQ63)</f>
        <v>0</v>
      </c>
    </row>
    <row r="59" s="83" customFormat="1" ht="24" customHeight="1" outlineLevel="4" spans="1:95">
      <c r="A59" s="122"/>
      <c r="B59" s="123"/>
      <c r="C59" s="124"/>
      <c r="D59" s="122"/>
      <c r="E59" s="123"/>
      <c r="F59" s="123"/>
      <c r="G59" s="123"/>
      <c r="H59" s="125"/>
      <c r="I59" s="125"/>
      <c r="J59" s="125">
        <f t="shared" si="5"/>
        <v>0</v>
      </c>
      <c r="K59" s="125">
        <v>1</v>
      </c>
      <c r="L59" s="150"/>
      <c r="M59" s="151">
        <f>IFERROR(VLOOKUP($L59,'2-2 引出数据_合同数据仓库'!$B$2:$BP$1000,3,FALSE),0)</f>
        <v>0</v>
      </c>
      <c r="N59" s="125"/>
      <c r="O59" s="151">
        <f>IFERROR(VLOOKUP((LEFT(VLOOKUP($L59,'2-2 引出数据_合同数据仓库'!$B$2:$BP$1000,64,FALSE),15)&amp;(RIGHT(VLOOKUP($L59,'2-2 引出数据_合同数据仓库'!$B$2:$BP$1000,64,FALSE),4)+1)),'2-2 引出数据_合同数据仓库'!$B$2:$BP$1000,3,FALSE),0)</f>
        <v>0</v>
      </c>
      <c r="P59" s="125"/>
      <c r="Q59" s="125">
        <f>IFERROR(VLOOKUP($L59,'2-2 引出数据_合同数据仓库'!$B$2:$BP$1000,28,FALSE),0)</f>
        <v>0</v>
      </c>
      <c r="R59" s="125">
        <f>IFERROR(VLOOKUP($L59,'2-2 引出数据_合同数据仓库'!$B$2:$BP$1000,29,FALSE),0)</f>
        <v>0</v>
      </c>
      <c r="S59" s="125">
        <f>IFERROR(VLOOKUP($L59,'2-2 引出数据_合同数据仓库'!$B$2:$BP$1000,4,FALSE),0)</f>
        <v>0</v>
      </c>
      <c r="T59" s="125"/>
      <c r="U59" s="125">
        <f>IFERROR(VLOOKUP($L59,'2-2 引出数据_合同数据仓库'!$B$2:$BP$1000,15,FALSE),0)</f>
        <v>0</v>
      </c>
      <c r="V59" s="125">
        <f t="shared" ref="V59:V62" si="670">U59/(S59-R59+1)*365</f>
        <v>0</v>
      </c>
      <c r="W59" s="125"/>
      <c r="X59" s="157">
        <v>45658</v>
      </c>
      <c r="Y59" s="157">
        <f t="shared" ref="Y59:Y62" si="671">X59+30</f>
        <v>45688</v>
      </c>
      <c r="Z59" s="161">
        <f t="shared" ref="Z59:Z62" si="672">IFERROR(IF(($R59-Y59)&gt;=0,0,IF(($S59-X59)&lt;0,0,IF(AND(($S59-Y59)&gt;0,(X59-$R59)&gt;0),$V59/365*(Y59-X59+1),IF(AND(($S59-Y59)&lt;=0,(X59-$R59)&gt;0),$V59/365*($S59-X59+1),$V59/365*(Y59-$R59+1))))),0)</f>
        <v>0</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0</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0</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0</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0</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0</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0</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0</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0</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0</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0</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0</v>
      </c>
      <c r="BH59" s="157">
        <v>46023</v>
      </c>
      <c r="BI59" s="157">
        <f t="shared" ref="BI59:BI62" si="706">BH59+30</f>
        <v>46053</v>
      </c>
      <c r="BJ59" s="161">
        <f t="shared" ref="BJ59:BJ62" si="707">IFERROR(IF(($R59-BI59)&gt;=0,0,IF(($S59-BH59)&lt;0,0,IF(AND(($S59-BI59)&gt;0,(BH59-$R59)&gt;0),$V59/365*(BI59-BH59+1),IF(AND(($S59-BI59)&lt;=0,(BH59-$R59)&gt;0),$V59/365*($S59-BH59+1),$V59/365*(BI59-$R59+1))))),0)</f>
        <v>0</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0</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0</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0</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0</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0</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0</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0</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customHeight="1" outlineLevel="4" spans="1:95">
      <c r="A60" s="122"/>
      <c r="B60" s="123"/>
      <c r="C60" s="124"/>
      <c r="D60" s="122"/>
      <c r="E60" s="123"/>
      <c r="F60" s="123"/>
      <c r="G60" s="123"/>
      <c r="H60" s="125"/>
      <c r="I60" s="125"/>
      <c r="J60" s="125">
        <f t="shared" si="5"/>
        <v>0</v>
      </c>
      <c r="K60" s="125">
        <f t="shared" ref="K60:K62" si="741">K59+1</f>
        <v>2</v>
      </c>
      <c r="L60" s="150"/>
      <c r="M60" s="151">
        <f>IFERROR(VLOOKUP($L60,'2-2 引出数据_合同数据仓库'!$B$2:$BP$1000,3,FALSE),0)</f>
        <v>0</v>
      </c>
      <c r="N60" s="125"/>
      <c r="O60" s="151">
        <f>IFERROR(VLOOKUP((LEFT(VLOOKUP($L60,'2-2 引出数据_合同数据仓库'!$B$2:$BP$1000,64,FALSE),15)&amp;(RIGHT(VLOOKUP($L60,'2-2 引出数据_合同数据仓库'!$B$2:$BP$1000,64,FALSE),4)+1)),'2-2 引出数据_合同数据仓库'!$B$2:$BP$1000,3,FALSE),0)</f>
        <v>0</v>
      </c>
      <c r="P60" s="125"/>
      <c r="Q60" s="125">
        <f>IFERROR(VLOOKUP($L60,'2-2 引出数据_合同数据仓库'!$B$2:$BP$1000,28,FALSE),0)</f>
        <v>0</v>
      </c>
      <c r="R60" s="125">
        <f>IFERROR(VLOOKUP($L60,'2-2 引出数据_合同数据仓库'!$B$2:$BP$1000,29,FALSE),0)</f>
        <v>0</v>
      </c>
      <c r="S60" s="125">
        <f>IFERROR(VLOOKUP($L60,'2-2 引出数据_合同数据仓库'!$B$2:$BP$1000,4,FALSE),0)</f>
        <v>0</v>
      </c>
      <c r="T60" s="125"/>
      <c r="U60" s="125">
        <f>IFERROR(VLOOKUP($L60,'2-2 引出数据_合同数据仓库'!$B$2:$BP$1000,15,FALSE),0)</f>
        <v>0</v>
      </c>
      <c r="V60" s="125">
        <f t="shared" si="670"/>
        <v>0</v>
      </c>
      <c r="W60" s="125"/>
      <c r="X60" s="157">
        <v>45658</v>
      </c>
      <c r="Y60" s="157">
        <f t="shared" si="671"/>
        <v>45688</v>
      </c>
      <c r="Z60" s="161">
        <f t="shared" si="672"/>
        <v>0</v>
      </c>
      <c r="AA60" s="157">
        <f t="shared" si="673"/>
        <v>45689</v>
      </c>
      <c r="AB60" s="157">
        <f t="shared" si="674"/>
        <v>45716</v>
      </c>
      <c r="AC60" s="161">
        <f t="shared" si="675"/>
        <v>0</v>
      </c>
      <c r="AD60" s="157">
        <f t="shared" si="676"/>
        <v>45717</v>
      </c>
      <c r="AE60" s="157">
        <f t="shared" si="677"/>
        <v>45747</v>
      </c>
      <c r="AF60" s="161">
        <f t="shared" si="678"/>
        <v>0</v>
      </c>
      <c r="AG60" s="157">
        <f t="shared" si="679"/>
        <v>45748</v>
      </c>
      <c r="AH60" s="157">
        <f t="shared" si="680"/>
        <v>45777</v>
      </c>
      <c r="AI60" s="161">
        <f t="shared" si="681"/>
        <v>0</v>
      </c>
      <c r="AJ60" s="157">
        <f t="shared" si="682"/>
        <v>45778</v>
      </c>
      <c r="AK60" s="157">
        <f t="shared" si="683"/>
        <v>45808</v>
      </c>
      <c r="AL60" s="161">
        <f t="shared" si="684"/>
        <v>0</v>
      </c>
      <c r="AM60" s="157">
        <f t="shared" si="685"/>
        <v>45809</v>
      </c>
      <c r="AN60" s="157">
        <f t="shared" si="686"/>
        <v>45838</v>
      </c>
      <c r="AO60" s="161">
        <f t="shared" si="687"/>
        <v>0</v>
      </c>
      <c r="AP60" s="157">
        <f t="shared" si="688"/>
        <v>45839</v>
      </c>
      <c r="AQ60" s="157">
        <f t="shared" si="689"/>
        <v>45869</v>
      </c>
      <c r="AR60" s="161">
        <f t="shared" si="690"/>
        <v>0</v>
      </c>
      <c r="AS60" s="157">
        <f t="shared" si="691"/>
        <v>45870</v>
      </c>
      <c r="AT60" s="157">
        <f t="shared" si="692"/>
        <v>45900</v>
      </c>
      <c r="AU60" s="161">
        <f t="shared" si="693"/>
        <v>0</v>
      </c>
      <c r="AV60" s="157">
        <f t="shared" si="694"/>
        <v>45901</v>
      </c>
      <c r="AW60" s="157">
        <f t="shared" si="695"/>
        <v>45930</v>
      </c>
      <c r="AX60" s="161">
        <f t="shared" si="696"/>
        <v>0</v>
      </c>
      <c r="AY60" s="157">
        <f t="shared" si="697"/>
        <v>45931</v>
      </c>
      <c r="AZ60" s="157">
        <f t="shared" si="698"/>
        <v>45961</v>
      </c>
      <c r="BA60" s="161">
        <f t="shared" si="699"/>
        <v>0</v>
      </c>
      <c r="BB60" s="157">
        <f t="shared" si="700"/>
        <v>45962</v>
      </c>
      <c r="BC60" s="157">
        <f t="shared" si="701"/>
        <v>45991</v>
      </c>
      <c r="BD60" s="161">
        <f t="shared" si="702"/>
        <v>0</v>
      </c>
      <c r="BE60" s="157">
        <f t="shared" si="703"/>
        <v>45992</v>
      </c>
      <c r="BF60" s="157">
        <f t="shared" si="704"/>
        <v>46022</v>
      </c>
      <c r="BG60" s="161">
        <f t="shared" si="705"/>
        <v>0</v>
      </c>
      <c r="BH60" s="157">
        <v>46023</v>
      </c>
      <c r="BI60" s="157">
        <f t="shared" si="706"/>
        <v>46053</v>
      </c>
      <c r="BJ60" s="161">
        <f t="shared" si="707"/>
        <v>0</v>
      </c>
      <c r="BK60" s="157">
        <f t="shared" si="708"/>
        <v>46054</v>
      </c>
      <c r="BL60" s="157">
        <f t="shared" si="709"/>
        <v>46081</v>
      </c>
      <c r="BM60" s="161">
        <f t="shared" si="710"/>
        <v>0</v>
      </c>
      <c r="BN60" s="157">
        <f t="shared" si="711"/>
        <v>46082</v>
      </c>
      <c r="BO60" s="157">
        <f t="shared" si="712"/>
        <v>46112</v>
      </c>
      <c r="BP60" s="161">
        <f t="shared" si="713"/>
        <v>0</v>
      </c>
      <c r="BQ60" s="157">
        <f t="shared" si="714"/>
        <v>46113</v>
      </c>
      <c r="BR60" s="157">
        <f t="shared" si="715"/>
        <v>46142</v>
      </c>
      <c r="BS60" s="161">
        <f t="shared" si="716"/>
        <v>0</v>
      </c>
      <c r="BT60" s="157">
        <f t="shared" si="717"/>
        <v>46143</v>
      </c>
      <c r="BU60" s="157">
        <f t="shared" si="718"/>
        <v>46173</v>
      </c>
      <c r="BV60" s="161">
        <f t="shared" si="719"/>
        <v>0</v>
      </c>
      <c r="BW60" s="157">
        <f t="shared" si="720"/>
        <v>46174</v>
      </c>
      <c r="BX60" s="157">
        <f t="shared" si="721"/>
        <v>46203</v>
      </c>
      <c r="BY60" s="161">
        <f t="shared" si="722"/>
        <v>0</v>
      </c>
      <c r="BZ60" s="157">
        <f t="shared" si="723"/>
        <v>46204</v>
      </c>
      <c r="CA60" s="157">
        <f t="shared" si="724"/>
        <v>46234</v>
      </c>
      <c r="CB60" s="161">
        <f t="shared" si="725"/>
        <v>0</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customHeight="1" outlineLevel="4" spans="1:95">
      <c r="A61" s="122"/>
      <c r="B61" s="123"/>
      <c r="C61" s="124"/>
      <c r="D61" s="122"/>
      <c r="E61" s="123"/>
      <c r="F61" s="123"/>
      <c r="G61" s="123"/>
      <c r="H61" s="125"/>
      <c r="I61" s="125"/>
      <c r="J61" s="125">
        <f t="shared" si="5"/>
        <v>0</v>
      </c>
      <c r="K61" s="125">
        <f t="shared" si="741"/>
        <v>3</v>
      </c>
      <c r="L61" s="150"/>
      <c r="M61" s="151">
        <f>IFERROR(VLOOKUP($L61,'2-2 引出数据_合同数据仓库'!$B$2:$BP$1000,3,FALSE),0)</f>
        <v>0</v>
      </c>
      <c r="N61" s="125"/>
      <c r="O61" s="151">
        <f>IFERROR(VLOOKUP((LEFT(VLOOKUP($L61,'2-2 引出数据_合同数据仓库'!$B$2:$BP$1000,64,FALSE),15)&amp;(RIGHT(VLOOKUP($L61,'2-2 引出数据_合同数据仓库'!$B$2:$BP$1000,64,FALSE),4)+1)),'2-2 引出数据_合同数据仓库'!$B$2:$BP$1000,3,FALSE),0)</f>
        <v>0</v>
      </c>
      <c r="P61" s="125"/>
      <c r="Q61" s="125">
        <f>IFERROR(VLOOKUP($L61,'2-2 引出数据_合同数据仓库'!$B$2:$BP$1000,28,FALSE),0)</f>
        <v>0</v>
      </c>
      <c r="R61" s="125">
        <f>IFERROR(VLOOKUP($L61,'2-2 引出数据_合同数据仓库'!$B$2:$BP$1000,29,FALSE),0)</f>
        <v>0</v>
      </c>
      <c r="S61" s="125">
        <f>IFERROR(VLOOKUP($L61,'2-2 引出数据_合同数据仓库'!$B$2:$BP$1000,4,FALSE),0)</f>
        <v>0</v>
      </c>
      <c r="T61" s="125"/>
      <c r="U61" s="125">
        <f>IFERROR(VLOOKUP($L61,'2-2 引出数据_合同数据仓库'!$B$2:$BP$1000,15,FALSE),0)</f>
        <v>0</v>
      </c>
      <c r="V61" s="125">
        <f t="shared" si="670"/>
        <v>0</v>
      </c>
      <c r="W61" s="125"/>
      <c r="X61" s="157">
        <v>45658</v>
      </c>
      <c r="Y61" s="157">
        <f t="shared" si="671"/>
        <v>45688</v>
      </c>
      <c r="Z61" s="161">
        <f t="shared" si="672"/>
        <v>0</v>
      </c>
      <c r="AA61" s="157">
        <f t="shared" si="673"/>
        <v>45689</v>
      </c>
      <c r="AB61" s="157">
        <f t="shared" si="674"/>
        <v>45716</v>
      </c>
      <c r="AC61" s="161">
        <f t="shared" si="675"/>
        <v>0</v>
      </c>
      <c r="AD61" s="157">
        <f t="shared" si="676"/>
        <v>45717</v>
      </c>
      <c r="AE61" s="157">
        <f t="shared" si="677"/>
        <v>45747</v>
      </c>
      <c r="AF61" s="161">
        <f t="shared" si="678"/>
        <v>0</v>
      </c>
      <c r="AG61" s="157">
        <f t="shared" si="679"/>
        <v>45748</v>
      </c>
      <c r="AH61" s="157">
        <f t="shared" si="680"/>
        <v>45777</v>
      </c>
      <c r="AI61" s="161">
        <f t="shared" si="681"/>
        <v>0</v>
      </c>
      <c r="AJ61" s="157">
        <f t="shared" si="682"/>
        <v>45778</v>
      </c>
      <c r="AK61" s="157">
        <f t="shared" si="683"/>
        <v>45808</v>
      </c>
      <c r="AL61" s="161">
        <f t="shared" si="684"/>
        <v>0</v>
      </c>
      <c r="AM61" s="157">
        <f t="shared" si="685"/>
        <v>45809</v>
      </c>
      <c r="AN61" s="157">
        <f t="shared" si="686"/>
        <v>45838</v>
      </c>
      <c r="AO61" s="161">
        <f t="shared" si="687"/>
        <v>0</v>
      </c>
      <c r="AP61" s="157">
        <f t="shared" si="688"/>
        <v>45839</v>
      </c>
      <c r="AQ61" s="157">
        <f t="shared" si="689"/>
        <v>45869</v>
      </c>
      <c r="AR61" s="161">
        <f t="shared" si="690"/>
        <v>0</v>
      </c>
      <c r="AS61" s="157">
        <f t="shared" si="691"/>
        <v>45870</v>
      </c>
      <c r="AT61" s="157">
        <f t="shared" si="692"/>
        <v>45900</v>
      </c>
      <c r="AU61" s="161">
        <f t="shared" si="693"/>
        <v>0</v>
      </c>
      <c r="AV61" s="157">
        <f t="shared" si="694"/>
        <v>45901</v>
      </c>
      <c r="AW61" s="157">
        <f t="shared" si="695"/>
        <v>45930</v>
      </c>
      <c r="AX61" s="161">
        <f t="shared" si="696"/>
        <v>0</v>
      </c>
      <c r="AY61" s="157">
        <f t="shared" si="697"/>
        <v>45931</v>
      </c>
      <c r="AZ61" s="157">
        <f t="shared" si="698"/>
        <v>45961</v>
      </c>
      <c r="BA61" s="161">
        <f t="shared" si="699"/>
        <v>0</v>
      </c>
      <c r="BB61" s="157">
        <f t="shared" si="700"/>
        <v>45962</v>
      </c>
      <c r="BC61" s="157">
        <f t="shared" si="701"/>
        <v>45991</v>
      </c>
      <c r="BD61" s="161">
        <f t="shared" si="702"/>
        <v>0</v>
      </c>
      <c r="BE61" s="157">
        <f t="shared" si="703"/>
        <v>45992</v>
      </c>
      <c r="BF61" s="157">
        <f t="shared" si="704"/>
        <v>46022</v>
      </c>
      <c r="BG61" s="161">
        <f t="shared" si="705"/>
        <v>0</v>
      </c>
      <c r="BH61" s="157">
        <v>46023</v>
      </c>
      <c r="BI61" s="157">
        <f t="shared" si="706"/>
        <v>46053</v>
      </c>
      <c r="BJ61" s="161">
        <f t="shared" si="707"/>
        <v>0</v>
      </c>
      <c r="BK61" s="157">
        <f t="shared" si="708"/>
        <v>46054</v>
      </c>
      <c r="BL61" s="157">
        <f t="shared" si="709"/>
        <v>46081</v>
      </c>
      <c r="BM61" s="161">
        <f t="shared" si="710"/>
        <v>0</v>
      </c>
      <c r="BN61" s="157">
        <f t="shared" si="711"/>
        <v>46082</v>
      </c>
      <c r="BO61" s="157">
        <f t="shared" si="712"/>
        <v>46112</v>
      </c>
      <c r="BP61" s="161">
        <f t="shared" si="713"/>
        <v>0</v>
      </c>
      <c r="BQ61" s="157">
        <f t="shared" si="714"/>
        <v>46113</v>
      </c>
      <c r="BR61" s="157">
        <f t="shared" si="715"/>
        <v>46142</v>
      </c>
      <c r="BS61" s="161">
        <f t="shared" si="716"/>
        <v>0</v>
      </c>
      <c r="BT61" s="157">
        <f t="shared" si="717"/>
        <v>46143</v>
      </c>
      <c r="BU61" s="157">
        <f t="shared" si="718"/>
        <v>46173</v>
      </c>
      <c r="BV61" s="161">
        <f t="shared" si="719"/>
        <v>0</v>
      </c>
      <c r="BW61" s="157">
        <f t="shared" si="720"/>
        <v>46174</v>
      </c>
      <c r="BX61" s="157">
        <f t="shared" si="721"/>
        <v>46203</v>
      </c>
      <c r="BY61" s="161">
        <f t="shared" si="722"/>
        <v>0</v>
      </c>
      <c r="BZ61" s="157">
        <f t="shared" si="723"/>
        <v>46204</v>
      </c>
      <c r="CA61" s="157">
        <f t="shared" si="724"/>
        <v>46234</v>
      </c>
      <c r="CB61" s="161">
        <f t="shared" si="725"/>
        <v>0</v>
      </c>
      <c r="CC61" s="157">
        <f t="shared" si="726"/>
        <v>46235</v>
      </c>
      <c r="CD61" s="157">
        <f t="shared" si="727"/>
        <v>46265</v>
      </c>
      <c r="CE61" s="161">
        <f t="shared" si="728"/>
        <v>0</v>
      </c>
      <c r="CF61" s="157">
        <f t="shared" si="729"/>
        <v>46266</v>
      </c>
      <c r="CG61" s="157">
        <f t="shared" si="730"/>
        <v>46295</v>
      </c>
      <c r="CH61" s="161">
        <f t="shared" si="731"/>
        <v>0</v>
      </c>
      <c r="CI61" s="157">
        <f t="shared" si="732"/>
        <v>46296</v>
      </c>
      <c r="CJ61" s="157">
        <f t="shared" si="733"/>
        <v>46326</v>
      </c>
      <c r="CK61" s="161">
        <f t="shared" si="734"/>
        <v>0</v>
      </c>
      <c r="CL61" s="157">
        <f t="shared" si="735"/>
        <v>46327</v>
      </c>
      <c r="CM61" s="157">
        <f t="shared" si="736"/>
        <v>46356</v>
      </c>
      <c r="CN61" s="161">
        <f t="shared" si="737"/>
        <v>0</v>
      </c>
      <c r="CO61" s="157">
        <f t="shared" si="738"/>
        <v>46357</v>
      </c>
      <c r="CP61" s="157">
        <f t="shared" si="739"/>
        <v>46387</v>
      </c>
      <c r="CQ61" s="161">
        <f t="shared" si="740"/>
        <v>0</v>
      </c>
    </row>
    <row r="62" s="83" customFormat="1" ht="24" customHeight="1" outlineLevel="4" spans="1:95">
      <c r="A62" s="122"/>
      <c r="B62" s="123"/>
      <c r="C62" s="124"/>
      <c r="D62" s="122"/>
      <c r="E62" s="123"/>
      <c r="F62" s="123"/>
      <c r="G62" s="123"/>
      <c r="H62" s="125"/>
      <c r="I62" s="125"/>
      <c r="J62" s="125">
        <f t="shared" si="5"/>
        <v>0</v>
      </c>
      <c r="K62" s="125">
        <f t="shared" si="741"/>
        <v>4</v>
      </c>
      <c r="L62" s="150"/>
      <c r="M62" s="151">
        <f>IFERROR(VLOOKUP($L62,'2-2 引出数据_合同数据仓库'!$B$2:$BP$1000,3,FALSE),0)</f>
        <v>0</v>
      </c>
      <c r="N62" s="125"/>
      <c r="O62" s="151">
        <f>IFERROR(VLOOKUP((LEFT(VLOOKUP($L62,'2-2 引出数据_合同数据仓库'!$B$2:$BP$1000,64,FALSE),15)&amp;(RIGHT(VLOOKUP($L62,'2-2 引出数据_合同数据仓库'!$B$2:$BP$1000,64,FALSE),4)+1)),'2-2 引出数据_合同数据仓库'!$B$2:$BP$1000,3,FALSE),0)</f>
        <v>0</v>
      </c>
      <c r="P62" s="125"/>
      <c r="Q62" s="125">
        <f>IFERROR(VLOOKUP($L62,'2-2 引出数据_合同数据仓库'!$B$2:$BP$1000,28,FALSE),0)</f>
        <v>0</v>
      </c>
      <c r="R62" s="125">
        <f>IFERROR(VLOOKUP($L62,'2-2 引出数据_合同数据仓库'!$B$2:$BP$1000,29,FALSE),0)</f>
        <v>0</v>
      </c>
      <c r="S62" s="125">
        <f>IFERROR(VLOOKUP($L62,'2-2 引出数据_合同数据仓库'!$B$2:$BP$1000,4,FALSE),0)</f>
        <v>0</v>
      </c>
      <c r="T62" s="125"/>
      <c r="U62" s="125">
        <f>IFERROR(VLOOKUP($L62,'2-2 引出数据_合同数据仓库'!$B$2:$BP$1000,15,FALSE),0)</f>
        <v>0</v>
      </c>
      <c r="V62" s="125">
        <f t="shared" si="670"/>
        <v>0</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0</v>
      </c>
      <c r="AG62" s="157">
        <f t="shared" si="679"/>
        <v>45748</v>
      </c>
      <c r="AH62" s="157">
        <f t="shared" si="680"/>
        <v>45777</v>
      </c>
      <c r="AI62" s="161">
        <f t="shared" si="681"/>
        <v>0</v>
      </c>
      <c r="AJ62" s="157">
        <f t="shared" si="682"/>
        <v>45778</v>
      </c>
      <c r="AK62" s="157">
        <f t="shared" si="683"/>
        <v>45808</v>
      </c>
      <c r="AL62" s="161">
        <f t="shared" si="684"/>
        <v>0</v>
      </c>
      <c r="AM62" s="157">
        <f t="shared" si="685"/>
        <v>45809</v>
      </c>
      <c r="AN62" s="157">
        <f t="shared" si="686"/>
        <v>45838</v>
      </c>
      <c r="AO62" s="161">
        <f t="shared" si="687"/>
        <v>0</v>
      </c>
      <c r="AP62" s="157">
        <f t="shared" si="688"/>
        <v>45839</v>
      </c>
      <c r="AQ62" s="157">
        <f t="shared" si="689"/>
        <v>45869</v>
      </c>
      <c r="AR62" s="161">
        <f t="shared" si="690"/>
        <v>0</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customHeight="1" outlineLevel="4" spans="1:95">
      <c r="A63" s="126" t="s">
        <v>2821</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customHeight="1" outlineLevel="3" spans="1:95">
      <c r="A64" s="118"/>
      <c r="B64" s="119" t="s">
        <v>799</v>
      </c>
      <c r="C64" s="120" t="s">
        <v>938</v>
      </c>
      <c r="D64" s="118" t="s">
        <v>939</v>
      </c>
      <c r="E64" s="119"/>
      <c r="F64" s="119"/>
      <c r="G64" s="119"/>
      <c r="H64" s="121">
        <f>X64+AA64+AD64+AG64+AJ64+AM64+AP64+AS64+AV64+AY64+BB64+BE64</f>
        <v>0</v>
      </c>
      <c r="I64" s="121">
        <f>Y64+AB64+AE64+AH64+AK64+AN64+AQ64+AT64+AW64+AZ64+BC64+BF64</f>
        <v>0</v>
      </c>
      <c r="J64" s="121">
        <f t="shared" si="5"/>
        <v>0</v>
      </c>
      <c r="K64" s="121"/>
      <c r="L64" s="149"/>
      <c r="M64" s="149"/>
      <c r="N64" s="121"/>
      <c r="O64" s="121"/>
      <c r="P64" s="121"/>
      <c r="Q64" s="121"/>
      <c r="R64" s="121"/>
      <c r="S64" s="121"/>
      <c r="T64" s="121"/>
      <c r="U64" s="121"/>
      <c r="V64" s="121"/>
      <c r="W64" s="121"/>
      <c r="X64" s="121">
        <f>VLOOKUP($C64,'1 预算编制表单'!$C:$BJ,27,FALSE)</f>
        <v>0</v>
      </c>
      <c r="Y64" s="121">
        <f>X64-Z64</f>
        <v>0</v>
      </c>
      <c r="Z64" s="121">
        <f>SUM(Z65:Z69)</f>
        <v>0</v>
      </c>
      <c r="AA64" s="121">
        <f>VLOOKUP($C64,'1 预算编制表单'!$C:$BJ,30,FALSE)</f>
        <v>0</v>
      </c>
      <c r="AB64" s="121">
        <f>AA64-AC64</f>
        <v>0</v>
      </c>
      <c r="AC64" s="121">
        <f>SUM(AC65:AC69)</f>
        <v>0</v>
      </c>
      <c r="AD64" s="121">
        <f>VLOOKUP($C64,'1 预算编制表单'!$C:$BJ,33,FALSE)</f>
        <v>0</v>
      </c>
      <c r="AE64" s="121">
        <f>AD64-AF64</f>
        <v>0</v>
      </c>
      <c r="AF64" s="121">
        <f>SUM(AF65:AF69)</f>
        <v>0</v>
      </c>
      <c r="AG64" s="121">
        <f>VLOOKUP($C64,'1 预算编制表单'!$C:$BJ,36,FALSE)</f>
        <v>0</v>
      </c>
      <c r="AH64" s="121">
        <f>AG64-AI64</f>
        <v>0</v>
      </c>
      <c r="AI64" s="121">
        <f>SUM(AI65:AI69)</f>
        <v>0</v>
      </c>
      <c r="AJ64" s="121">
        <f>VLOOKUP($C64,'1 预算编制表单'!$C:$BJ,39,FALSE)</f>
        <v>0</v>
      </c>
      <c r="AK64" s="121">
        <f>AJ64-AL64</f>
        <v>0</v>
      </c>
      <c r="AL64" s="121">
        <f>SUM(AL65:AL69)</f>
        <v>0</v>
      </c>
      <c r="AM64" s="121">
        <f>VLOOKUP($C64,'1 预算编制表单'!$C:$BJ,42,FALSE)</f>
        <v>0</v>
      </c>
      <c r="AN64" s="121">
        <f>AM64-AO64</f>
        <v>0</v>
      </c>
      <c r="AO64" s="121">
        <f>SUM(AO65:AO69)</f>
        <v>0</v>
      </c>
      <c r="AP64" s="121">
        <f>VLOOKUP($C64,'1 预算编制表单'!$C:$BJ,45,FALSE)</f>
        <v>0</v>
      </c>
      <c r="AQ64" s="121">
        <f>AP64-AR64</f>
        <v>0</v>
      </c>
      <c r="AR64" s="121">
        <f>SUM(AR65:AR69)</f>
        <v>0</v>
      </c>
      <c r="AS64" s="121">
        <f>VLOOKUP($C64,'1 预算编制表单'!$C:$BJ,48,FALSE)</f>
        <v>0</v>
      </c>
      <c r="AT64" s="121">
        <f>AS64-AU64</f>
        <v>0</v>
      </c>
      <c r="AU64" s="121">
        <f>SUM(AU65:AU69)</f>
        <v>0</v>
      </c>
      <c r="AV64" s="121">
        <f>VLOOKUP($C64,'1 预算编制表单'!$C:$BJ,51,FALSE)</f>
        <v>0</v>
      </c>
      <c r="AW64" s="121">
        <f>AV64-AX64</f>
        <v>0</v>
      </c>
      <c r="AX64" s="121">
        <f>SUM(AX65:AX69)</f>
        <v>0</v>
      </c>
      <c r="AY64" s="121">
        <f>VLOOKUP($C64,'1 预算编制表单'!$C:$BJ,54,FALSE)</f>
        <v>0</v>
      </c>
      <c r="AZ64" s="121">
        <f>AY64-BA64</f>
        <v>0</v>
      </c>
      <c r="BA64" s="121">
        <f>SUM(BA65:BA69)</f>
        <v>0</v>
      </c>
      <c r="BB64" s="121">
        <f>VLOOKUP($C64,'1 预算编制表单'!$C:$BJ,57,FALSE)</f>
        <v>0</v>
      </c>
      <c r="BC64" s="121">
        <f>BB64-BD64</f>
        <v>0</v>
      </c>
      <c r="BD64" s="121">
        <f>SUM(BD65:BD69)</f>
        <v>0</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customHeight="1" outlineLevel="4" spans="1:95">
      <c r="A65" s="122"/>
      <c r="B65" s="123"/>
      <c r="C65" s="124"/>
      <c r="D65" s="122"/>
      <c r="E65" s="123"/>
      <c r="F65" s="123"/>
      <c r="G65" s="123"/>
      <c r="H65" s="125"/>
      <c r="I65" s="125"/>
      <c r="J65" s="125">
        <f t="shared" si="5"/>
        <v>0</v>
      </c>
      <c r="K65" s="125">
        <v>1</v>
      </c>
      <c r="L65" s="150"/>
      <c r="M65" s="151">
        <f>IFERROR(VLOOKUP($L65,'2-2 引出数据_合同数据仓库'!$B$2:$BP$1000,3,FALSE),0)</f>
        <v>0</v>
      </c>
      <c r="N65" s="125"/>
      <c r="O65" s="151">
        <f>IFERROR(VLOOKUP((LEFT(VLOOKUP($L65,'2-2 引出数据_合同数据仓库'!$B$2:$BP$1000,64,FALSE),15)&amp;(RIGHT(VLOOKUP($L65,'2-2 引出数据_合同数据仓库'!$B$2:$BP$1000,64,FALSE),4)+1)),'2-2 引出数据_合同数据仓库'!$B$2:$BP$1000,3,FALSE),0)</f>
        <v>0</v>
      </c>
      <c r="P65" s="125"/>
      <c r="Q65" s="125">
        <f>IFERROR(VLOOKUP($L65,'2-2 引出数据_合同数据仓库'!$B$2:$BP$1000,28,FALSE),0)</f>
        <v>0</v>
      </c>
      <c r="R65" s="125">
        <f>IFERROR(VLOOKUP($L65,'2-2 引出数据_合同数据仓库'!$B$2:$BP$1000,29,FALSE),0)</f>
        <v>0</v>
      </c>
      <c r="S65" s="125">
        <f>IFERROR(VLOOKUP($L65,'2-2 引出数据_合同数据仓库'!$B$2:$BP$1000,4,FALSE),0)</f>
        <v>0</v>
      </c>
      <c r="T65" s="125"/>
      <c r="U65" s="125">
        <f>IFERROR(VLOOKUP($L65,'2-2 引出数据_合同数据仓库'!$B$2:$BP$1000,15,FALSE),0)</f>
        <v>0</v>
      </c>
      <c r="V65" s="125">
        <f t="shared" ref="V65:V68" si="742">U65/(S65-R65+1)*365</f>
        <v>0</v>
      </c>
      <c r="W65" s="125"/>
      <c r="X65" s="157">
        <v>45658</v>
      </c>
      <c r="Y65" s="157">
        <f t="shared" ref="Y65:Y68" si="743">X65+30</f>
        <v>45688</v>
      </c>
      <c r="Z65" s="161">
        <f t="shared" ref="Z65:Z68" si="744">IFERROR(IF(($R65-Y65)&gt;=0,0,IF(($S65-X65)&lt;0,0,IF(AND(($S65-Y65)&gt;0,(X65-$R65)&gt;0),$V65/365*(Y65-X65+1),IF(AND(($S65-Y65)&lt;=0,(X65-$R65)&gt;0),$V65/365*($S65-X65+1),$V65/365*(Y65-$R65+1))))),0)</f>
        <v>0</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0</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0</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0</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0</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0</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0</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0</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0</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0</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0</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customHeight="1" outlineLevel="4" spans="1:95">
      <c r="A66" s="122"/>
      <c r="B66" s="123"/>
      <c r="C66" s="124"/>
      <c r="D66" s="122"/>
      <c r="E66" s="123"/>
      <c r="F66" s="123"/>
      <c r="G66" s="123"/>
      <c r="H66" s="125"/>
      <c r="I66" s="125"/>
      <c r="J66" s="125">
        <f t="shared" si="5"/>
        <v>0</v>
      </c>
      <c r="K66" s="125">
        <f t="shared" ref="K66:K68" si="813">K65+1</f>
        <v>2</v>
      </c>
      <c r="L66" s="150"/>
      <c r="M66" s="151">
        <f>IFERROR(VLOOKUP($L66,'2-2 引出数据_合同数据仓库'!$B$2:$BP$1000,3,FALSE),0)</f>
        <v>0</v>
      </c>
      <c r="N66" s="125"/>
      <c r="O66" s="151">
        <f>IFERROR(VLOOKUP((LEFT(VLOOKUP($L66,'2-2 引出数据_合同数据仓库'!$B$2:$BP$1000,64,FALSE),15)&amp;(RIGHT(VLOOKUP($L66,'2-2 引出数据_合同数据仓库'!$B$2:$BP$1000,64,FALSE),4)+1)),'2-2 引出数据_合同数据仓库'!$B$2:$BP$1000,3,FALSE),0)</f>
        <v>0</v>
      </c>
      <c r="P66" s="125"/>
      <c r="Q66" s="125">
        <f>IFERROR(VLOOKUP($L66,'2-2 引出数据_合同数据仓库'!$B$2:$BP$1000,28,FALSE),0)</f>
        <v>0</v>
      </c>
      <c r="R66" s="125">
        <f>IFERROR(VLOOKUP($L66,'2-2 引出数据_合同数据仓库'!$B$2:$BP$1000,29,FALSE),0)</f>
        <v>0</v>
      </c>
      <c r="S66" s="125">
        <f>IFERROR(VLOOKUP($L66,'2-2 引出数据_合同数据仓库'!$B$2:$BP$1000,4,FALSE),0)</f>
        <v>0</v>
      </c>
      <c r="T66" s="125"/>
      <c r="U66" s="125">
        <f>IFERROR(VLOOKUP($L66,'2-2 引出数据_合同数据仓库'!$B$2:$BP$1000,15,FALSE),0)</f>
        <v>0</v>
      </c>
      <c r="V66" s="125">
        <f t="shared" si="742"/>
        <v>0</v>
      </c>
      <c r="W66" s="125"/>
      <c r="X66" s="157">
        <v>45658</v>
      </c>
      <c r="Y66" s="157">
        <f t="shared" si="743"/>
        <v>45688</v>
      </c>
      <c r="Z66" s="161">
        <f t="shared" si="744"/>
        <v>0</v>
      </c>
      <c r="AA66" s="157">
        <f t="shared" si="745"/>
        <v>45689</v>
      </c>
      <c r="AB66" s="157">
        <f t="shared" si="746"/>
        <v>45716</v>
      </c>
      <c r="AC66" s="161">
        <f t="shared" si="747"/>
        <v>0</v>
      </c>
      <c r="AD66" s="157">
        <f t="shared" si="748"/>
        <v>45717</v>
      </c>
      <c r="AE66" s="157">
        <f t="shared" si="749"/>
        <v>45747</v>
      </c>
      <c r="AF66" s="161">
        <f t="shared" si="750"/>
        <v>0</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引出数据_合同数据仓库'!$B$2:$BP$1000,3,FALSE),0)</f>
        <v>0</v>
      </c>
      <c r="N67" s="125"/>
      <c r="O67" s="151">
        <f>IFERROR(VLOOKUP((LEFT(VLOOKUP($L67,'2-2 引出数据_合同数据仓库'!$B$2:$BP$1000,64,FALSE),15)&amp;(RIGHT(VLOOKUP($L67,'2-2 引出数据_合同数据仓库'!$B$2:$BP$1000,64,FALSE),4)+1)),'2-2 引出数据_合同数据仓库'!$B$2:$BP$1000,3,FALSE),0)</f>
        <v>0</v>
      </c>
      <c r="P67" s="125"/>
      <c r="Q67" s="125">
        <f>IFERROR(VLOOKUP($L67,'2-2 引出数据_合同数据仓库'!$B$2:$BP$1000,28,FALSE),0)</f>
        <v>0</v>
      </c>
      <c r="R67" s="125">
        <f>IFERROR(VLOOKUP($L67,'2-2 引出数据_合同数据仓库'!$B$2:$BP$1000,29,FALSE),0)</f>
        <v>0</v>
      </c>
      <c r="S67" s="125">
        <f>IFERROR(VLOOKUP($L67,'2-2 引出数据_合同数据仓库'!$B$2:$BP$1000,4,FALSE),0)</f>
        <v>0</v>
      </c>
      <c r="T67" s="125"/>
      <c r="U67" s="125">
        <f>IFERROR(VLOOKUP($L67,'2-2 引出数据_合同数据仓库'!$B$2:$BP$1000,15,FALSE),0)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引出数据_合同数据仓库'!$B$2:$BP$1000,3,FALSE),0)</f>
        <v>0</v>
      </c>
      <c r="N68" s="125"/>
      <c r="O68" s="151">
        <f>IFERROR(VLOOKUP((LEFT(VLOOKUP($L68,'2-2 引出数据_合同数据仓库'!$B$2:$BP$1000,64,FALSE),15)&amp;(RIGHT(VLOOKUP($L68,'2-2 引出数据_合同数据仓库'!$B$2:$BP$1000,64,FALSE),4)+1)),'2-2 引出数据_合同数据仓库'!$B$2:$BP$1000,3,FALSE),0)</f>
        <v>0</v>
      </c>
      <c r="P68" s="125"/>
      <c r="Q68" s="125">
        <f>IFERROR(VLOOKUP($L68,'2-2 引出数据_合同数据仓库'!$B$2:$BP$1000,28,FALSE),0)</f>
        <v>0</v>
      </c>
      <c r="R68" s="125">
        <f>IFERROR(VLOOKUP($L68,'2-2 引出数据_合同数据仓库'!$B$2:$BP$1000,29,FALSE),0)</f>
        <v>0</v>
      </c>
      <c r="S68" s="125">
        <f>IFERROR(VLOOKUP($L68,'2-2 引出数据_合同数据仓库'!$B$2:$BP$1000,4,FALSE),0)</f>
        <v>0</v>
      </c>
      <c r="T68" s="125"/>
      <c r="U68" s="125">
        <f>IFERROR(VLOOKUP($L68,'2-2 引出数据_合同数据仓库'!$B$2:$BP$1000,15,FALSE),0)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customHeight="1" outlineLevel="4" spans="1:95">
      <c r="A69" s="126" t="s">
        <v>2821</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customHeight="1" outlineLevel="2" spans="1:95">
      <c r="A70" s="47"/>
      <c r="B70" s="115" t="s">
        <v>794</v>
      </c>
      <c r="C70" s="116" t="s">
        <v>983</v>
      </c>
      <c r="D70" s="47" t="s">
        <v>984</v>
      </c>
      <c r="E70" s="115"/>
      <c r="F70" s="115"/>
      <c r="G70" s="115"/>
      <c r="H70" s="117">
        <f>X70+AA70+AD70+AG70+AJ70+AM70+AP70+AS70+AV70+AY70+BB70+BE70</f>
        <v>1996299.5</v>
      </c>
      <c r="I70" s="117">
        <f>Y70+AB70+AE70+AH70+AK70+AN70+AQ70+AT70+AW70+AZ70+BC70+BF70</f>
        <v>1996299.5</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164231</v>
      </c>
      <c r="Y70" s="117">
        <f>X70-Z70</f>
        <v>164231</v>
      </c>
      <c r="Z70" s="117">
        <f>Z71+Z77+Z83+Z89</f>
        <v>0</v>
      </c>
      <c r="AA70" s="117">
        <f>VLOOKUP($C70,'1 预算编制表单'!$C:$BJ,30,FALSE)</f>
        <v>164231</v>
      </c>
      <c r="AB70" s="117">
        <f>AA70-AC70</f>
        <v>164231</v>
      </c>
      <c r="AC70" s="117">
        <f>AC71+AC77+AC83+AC89</f>
        <v>0</v>
      </c>
      <c r="AD70" s="117">
        <f>VLOOKUP($C70,'1 预算编制表单'!$C:$BJ,33,FALSE)</f>
        <v>164231</v>
      </c>
      <c r="AE70" s="117">
        <f>AD70-AF70</f>
        <v>164231</v>
      </c>
      <c r="AF70" s="117">
        <f>AF71+AF77+AF83+AF89</f>
        <v>0</v>
      </c>
      <c r="AG70" s="117">
        <f>VLOOKUP($C70,'1 预算编制表单'!$C:$BJ,36,FALSE)</f>
        <v>164231</v>
      </c>
      <c r="AH70" s="117">
        <f>AG70-AI70</f>
        <v>164231</v>
      </c>
      <c r="AI70" s="117">
        <f>AI71+AI77+AI83+AI89</f>
        <v>0</v>
      </c>
      <c r="AJ70" s="117">
        <f>VLOOKUP($C70,'1 预算编制表单'!$C:$BJ,39,FALSE)</f>
        <v>164231</v>
      </c>
      <c r="AK70" s="117">
        <f>AJ70-AL70</f>
        <v>164231</v>
      </c>
      <c r="AL70" s="117">
        <f>AL71+AL77+AL83+AL89</f>
        <v>0</v>
      </c>
      <c r="AM70" s="117">
        <f>VLOOKUP($C70,'1 预算编制表单'!$C:$BJ,42,FALSE)</f>
        <v>164231</v>
      </c>
      <c r="AN70" s="117">
        <f>AM70-AO70</f>
        <v>164231</v>
      </c>
      <c r="AO70" s="117">
        <f>AO71+AO77+AO83+AO89</f>
        <v>0</v>
      </c>
      <c r="AP70" s="117">
        <f>VLOOKUP($C70,'1 预算编制表单'!$C:$BJ,45,FALSE)</f>
        <v>164231</v>
      </c>
      <c r="AQ70" s="117">
        <f>AP70-AR70</f>
        <v>164231</v>
      </c>
      <c r="AR70" s="117">
        <f>AR71+AR77+AR83+AR89</f>
        <v>0</v>
      </c>
      <c r="AS70" s="117">
        <f>VLOOKUP($C70,'1 预算编制表单'!$C:$BJ,48,FALSE)</f>
        <v>164231</v>
      </c>
      <c r="AT70" s="117">
        <f>AS70-AU70</f>
        <v>164231</v>
      </c>
      <c r="AU70" s="117">
        <f>AU71+AU77+AU83+AU89</f>
        <v>0</v>
      </c>
      <c r="AV70" s="117">
        <f>VLOOKUP($C70,'1 预算编制表单'!$C:$BJ,51,FALSE)</f>
        <v>164231</v>
      </c>
      <c r="AW70" s="117">
        <f>AV70-AX70</f>
        <v>164231</v>
      </c>
      <c r="AX70" s="117">
        <f>AX71+AX77+AX83+AX89</f>
        <v>0</v>
      </c>
      <c r="AY70" s="117">
        <f>VLOOKUP($C70,'1 预算编制表单'!$C:$BJ,54,FALSE)</f>
        <v>164231</v>
      </c>
      <c r="AZ70" s="117">
        <f>AY70-BA70</f>
        <v>164231</v>
      </c>
      <c r="BA70" s="117">
        <f>BA71+BA77+BA83+BA89</f>
        <v>0</v>
      </c>
      <c r="BB70" s="117">
        <f>VLOOKUP($C70,'1 预算编制表单'!$C:$BJ,57,FALSE)</f>
        <v>164231</v>
      </c>
      <c r="BC70" s="117">
        <f>BB70-BD70</f>
        <v>164231</v>
      </c>
      <c r="BD70" s="117">
        <f>BD71+BD77+BD83+BD89</f>
        <v>0</v>
      </c>
      <c r="BE70" s="117">
        <f>VLOOKUP($C70,'1 预算编制表单'!$C:$BJ,60,FALSE)</f>
        <v>189758.5</v>
      </c>
      <c r="BF70" s="117">
        <f>BE70-BG70</f>
        <v>189758.5</v>
      </c>
      <c r="BG70" s="117">
        <f>BG71+BG77+BG83+BG89</f>
        <v>0</v>
      </c>
      <c r="BH70" s="117">
        <f>VLOOKUP($C70,'1 预算编制表单'!$C:$BJ,27,FALSE)</f>
        <v>164231</v>
      </c>
      <c r="BI70" s="117">
        <f>BH70-BJ70</f>
        <v>164231</v>
      </c>
      <c r="BJ70" s="117">
        <f>BJ71+BJ77+BJ83+BJ89</f>
        <v>0</v>
      </c>
      <c r="BK70" s="117">
        <f>VLOOKUP($C70,'1 预算编制表单'!$C:$BJ,30,FALSE)</f>
        <v>164231</v>
      </c>
      <c r="BL70" s="117">
        <f>BK70-BM70</f>
        <v>164231</v>
      </c>
      <c r="BM70" s="117">
        <f>BM71+BM77+BM83+BM89</f>
        <v>0</v>
      </c>
      <c r="BN70" s="117">
        <f>VLOOKUP($C70,'1 预算编制表单'!$C:$BJ,33,FALSE)</f>
        <v>164231</v>
      </c>
      <c r="BO70" s="117">
        <f>BN70-BP70</f>
        <v>164231</v>
      </c>
      <c r="BP70" s="117">
        <f>BP71+BP77+BP83+BP89</f>
        <v>0</v>
      </c>
      <c r="BQ70" s="117">
        <f>VLOOKUP($C70,'1 预算编制表单'!$C:$BJ,36,FALSE)</f>
        <v>164231</v>
      </c>
      <c r="BR70" s="117">
        <f>BQ70-BS70</f>
        <v>164231</v>
      </c>
      <c r="BS70" s="117">
        <f>BS71+BS77+BS83+BS89</f>
        <v>0</v>
      </c>
      <c r="BT70" s="117">
        <f>VLOOKUP($C70,'1 预算编制表单'!$C:$BJ,39,FALSE)</f>
        <v>164231</v>
      </c>
      <c r="BU70" s="117">
        <f>BT70-BV70</f>
        <v>164231</v>
      </c>
      <c r="BV70" s="117">
        <f>BV71+BV77+BV83+BV89</f>
        <v>0</v>
      </c>
      <c r="BW70" s="117">
        <f>VLOOKUP($C70,'1 预算编制表单'!$C:$BJ,42,FALSE)</f>
        <v>164231</v>
      </c>
      <c r="BX70" s="117">
        <f>BW70-BY70</f>
        <v>164231</v>
      </c>
      <c r="BY70" s="117">
        <f>BY71+BY77+BY83+BY89</f>
        <v>0</v>
      </c>
      <c r="BZ70" s="117">
        <f>VLOOKUP($C70,'1 预算编制表单'!$C:$BJ,45,FALSE)</f>
        <v>164231</v>
      </c>
      <c r="CA70" s="117">
        <f>BZ70-CB70</f>
        <v>164231</v>
      </c>
      <c r="CB70" s="117">
        <f>CB71+CB77+CB83+CB89</f>
        <v>0</v>
      </c>
      <c r="CC70" s="117">
        <f>VLOOKUP($C70,'1 预算编制表单'!$C:$BJ,48,FALSE)</f>
        <v>164231</v>
      </c>
      <c r="CD70" s="117">
        <f>CC70-CE70</f>
        <v>164231</v>
      </c>
      <c r="CE70" s="117">
        <f>CE71+CE77+CE83+CE89</f>
        <v>0</v>
      </c>
      <c r="CF70" s="117">
        <f>VLOOKUP($C70,'1 预算编制表单'!$C:$BJ,51,FALSE)</f>
        <v>164231</v>
      </c>
      <c r="CG70" s="117">
        <f>CF70-CH70</f>
        <v>164231</v>
      </c>
      <c r="CH70" s="117">
        <f>CH71+CH77+CH83+CH89</f>
        <v>0</v>
      </c>
      <c r="CI70" s="117">
        <f>VLOOKUP($C70,'1 预算编制表单'!$C:$BJ,54,FALSE)</f>
        <v>164231</v>
      </c>
      <c r="CJ70" s="117">
        <f>CI70-CK70</f>
        <v>164231</v>
      </c>
      <c r="CK70" s="117">
        <f>CK71+CK77+CK83+CK89</f>
        <v>0</v>
      </c>
      <c r="CL70" s="117">
        <f>VLOOKUP($C70,'1 预算编制表单'!$C:$BJ,57,FALSE)</f>
        <v>164231</v>
      </c>
      <c r="CM70" s="117">
        <f>CL70-CN70</f>
        <v>164231</v>
      </c>
      <c r="CN70" s="117">
        <f>CN71+CN77+CN83+CN89</f>
        <v>0</v>
      </c>
      <c r="CO70" s="117">
        <f>VLOOKUP($C70,'1 预算编制表单'!$C:$BJ,60,FALSE)</f>
        <v>189758.5</v>
      </c>
      <c r="CP70" s="117">
        <f>CO70-CQ70</f>
        <v>189758.5</v>
      </c>
      <c r="CQ70" s="117">
        <f>CQ71+CQ77+CQ83+CQ89</f>
        <v>0</v>
      </c>
    </row>
    <row r="71" ht="24" customHeight="1" outlineLevel="3" spans="1:95">
      <c r="A71" s="118"/>
      <c r="B71" s="119" t="s">
        <v>799</v>
      </c>
      <c r="C71" s="120" t="s">
        <v>118</v>
      </c>
      <c r="D71" s="118" t="s">
        <v>109</v>
      </c>
      <c r="E71" s="119"/>
      <c r="F71" s="119"/>
      <c r="G71" s="119"/>
      <c r="H71" s="121">
        <f>X71+AA71+AD71+AG71+AJ71+AM71+AP71+AS71+AV71+AY71+BB71+BE71</f>
        <v>1996299.5</v>
      </c>
      <c r="I71" s="121">
        <f>Y71+AB71+AE71+AH71+AK71+AN71+AQ71+AT71+AW71+AZ71+BC71+BF71</f>
        <v>1996299.5</v>
      </c>
      <c r="J71" s="121">
        <f t="shared" si="814"/>
        <v>0</v>
      </c>
      <c r="K71" s="121"/>
      <c r="L71" s="149"/>
      <c r="M71" s="149"/>
      <c r="N71" s="121"/>
      <c r="O71" s="121"/>
      <c r="P71" s="121"/>
      <c r="Q71" s="121"/>
      <c r="R71" s="121"/>
      <c r="S71" s="121"/>
      <c r="T71" s="121"/>
      <c r="U71" s="121"/>
      <c r="V71" s="121"/>
      <c r="W71" s="121"/>
      <c r="X71" s="121">
        <f>VLOOKUP($C71,'1 预算编制表单'!$C:$BJ,27,FALSE)</f>
        <v>164231</v>
      </c>
      <c r="Y71" s="121">
        <f>X71-Z71</f>
        <v>164231</v>
      </c>
      <c r="Z71" s="121">
        <f>SUM(Z72:Z76)</f>
        <v>0</v>
      </c>
      <c r="AA71" s="121">
        <f>VLOOKUP($C71,'1 预算编制表单'!$C:$BJ,30,FALSE)</f>
        <v>164231</v>
      </c>
      <c r="AB71" s="121">
        <f>AA71-AC71</f>
        <v>164231</v>
      </c>
      <c r="AC71" s="121">
        <f>SUM(AC72:AC76)</f>
        <v>0</v>
      </c>
      <c r="AD71" s="121">
        <f>VLOOKUP($C71,'1 预算编制表单'!$C:$BJ,33,FALSE)</f>
        <v>164231</v>
      </c>
      <c r="AE71" s="121">
        <f>AD71-AF71</f>
        <v>164231</v>
      </c>
      <c r="AF71" s="121">
        <f>SUM(AF72:AF76)</f>
        <v>0</v>
      </c>
      <c r="AG71" s="121">
        <f>VLOOKUP($C71,'1 预算编制表单'!$C:$BJ,36,FALSE)</f>
        <v>164231</v>
      </c>
      <c r="AH71" s="121">
        <f>AG71-AI71</f>
        <v>164231</v>
      </c>
      <c r="AI71" s="121">
        <f>SUM(AI72:AI76)</f>
        <v>0</v>
      </c>
      <c r="AJ71" s="121">
        <f>VLOOKUP($C71,'1 预算编制表单'!$C:$BJ,39,FALSE)</f>
        <v>164231</v>
      </c>
      <c r="AK71" s="121">
        <f>AJ71-AL71</f>
        <v>164231</v>
      </c>
      <c r="AL71" s="121">
        <f>SUM(AL72:AL76)</f>
        <v>0</v>
      </c>
      <c r="AM71" s="121">
        <f>VLOOKUP($C71,'1 预算编制表单'!$C:$BJ,42,FALSE)</f>
        <v>164231</v>
      </c>
      <c r="AN71" s="121">
        <f>AM71-AO71</f>
        <v>164231</v>
      </c>
      <c r="AO71" s="121">
        <f>SUM(AO72:AO76)</f>
        <v>0</v>
      </c>
      <c r="AP71" s="121">
        <f>VLOOKUP($C71,'1 预算编制表单'!$C:$BJ,45,FALSE)</f>
        <v>164231</v>
      </c>
      <c r="AQ71" s="121">
        <f>AP71-AR71</f>
        <v>164231</v>
      </c>
      <c r="AR71" s="121">
        <f>SUM(AR72:AR76)</f>
        <v>0</v>
      </c>
      <c r="AS71" s="121">
        <f>VLOOKUP($C71,'1 预算编制表单'!$C:$BJ,48,FALSE)</f>
        <v>164231</v>
      </c>
      <c r="AT71" s="121">
        <f>AS71-AU71</f>
        <v>164231</v>
      </c>
      <c r="AU71" s="121">
        <f>SUM(AU72:AU76)</f>
        <v>0</v>
      </c>
      <c r="AV71" s="121">
        <f>VLOOKUP($C71,'1 预算编制表单'!$C:$BJ,51,FALSE)</f>
        <v>164231</v>
      </c>
      <c r="AW71" s="121">
        <f>AV71-AX71</f>
        <v>164231</v>
      </c>
      <c r="AX71" s="121">
        <f>SUM(AX72:AX76)</f>
        <v>0</v>
      </c>
      <c r="AY71" s="121">
        <f>VLOOKUP($C71,'1 预算编制表单'!$C:$BJ,54,FALSE)</f>
        <v>164231</v>
      </c>
      <c r="AZ71" s="121">
        <f>AY71-BA71</f>
        <v>164231</v>
      </c>
      <c r="BA71" s="121">
        <f>SUM(BA72:BA76)</f>
        <v>0</v>
      </c>
      <c r="BB71" s="121">
        <f>VLOOKUP($C71,'1 预算编制表单'!$C:$BJ,57,FALSE)</f>
        <v>164231</v>
      </c>
      <c r="BC71" s="121">
        <f>BB71-BD71</f>
        <v>164231</v>
      </c>
      <c r="BD71" s="121">
        <f>SUM(BD72:BD76)</f>
        <v>0</v>
      </c>
      <c r="BE71" s="121">
        <f>VLOOKUP($C71,'1 预算编制表单'!$C:$BJ,60,FALSE)</f>
        <v>189758.5</v>
      </c>
      <c r="BF71" s="121">
        <f>BE71-BG71</f>
        <v>189758.5</v>
      </c>
      <c r="BG71" s="121">
        <f>SUM(BG72:BG76)</f>
        <v>0</v>
      </c>
      <c r="BH71" s="121">
        <f>VLOOKUP($C71,'1 预算编制表单'!$C:$BJ,27,FALSE)</f>
        <v>164231</v>
      </c>
      <c r="BI71" s="121">
        <f>BH71-BJ71</f>
        <v>164231</v>
      </c>
      <c r="BJ71" s="121">
        <f>SUM(BJ72:BJ76)</f>
        <v>0</v>
      </c>
      <c r="BK71" s="121">
        <f>VLOOKUP($C71,'1 预算编制表单'!$C:$BJ,30,FALSE)</f>
        <v>164231</v>
      </c>
      <c r="BL71" s="121">
        <f>BK71-BM71</f>
        <v>164231</v>
      </c>
      <c r="BM71" s="121">
        <f>SUM(BM72:BM76)</f>
        <v>0</v>
      </c>
      <c r="BN71" s="121">
        <f>VLOOKUP($C71,'1 预算编制表单'!$C:$BJ,33,FALSE)</f>
        <v>164231</v>
      </c>
      <c r="BO71" s="121">
        <f>BN71-BP71</f>
        <v>164231</v>
      </c>
      <c r="BP71" s="121">
        <f>SUM(BP72:BP76)</f>
        <v>0</v>
      </c>
      <c r="BQ71" s="121">
        <f>VLOOKUP($C71,'1 预算编制表单'!$C:$BJ,36,FALSE)</f>
        <v>164231</v>
      </c>
      <c r="BR71" s="121">
        <f>BQ71-BS71</f>
        <v>164231</v>
      </c>
      <c r="BS71" s="121">
        <f>SUM(BS72:BS76)</f>
        <v>0</v>
      </c>
      <c r="BT71" s="121">
        <f>VLOOKUP($C71,'1 预算编制表单'!$C:$BJ,39,FALSE)</f>
        <v>164231</v>
      </c>
      <c r="BU71" s="121">
        <f>BT71-BV71</f>
        <v>164231</v>
      </c>
      <c r="BV71" s="121">
        <f>SUM(BV72:BV76)</f>
        <v>0</v>
      </c>
      <c r="BW71" s="121">
        <f>VLOOKUP($C71,'1 预算编制表单'!$C:$BJ,42,FALSE)</f>
        <v>164231</v>
      </c>
      <c r="BX71" s="121">
        <f>BW71-BY71</f>
        <v>164231</v>
      </c>
      <c r="BY71" s="121">
        <f>SUM(BY72:BY76)</f>
        <v>0</v>
      </c>
      <c r="BZ71" s="121">
        <f>VLOOKUP($C71,'1 预算编制表单'!$C:$BJ,45,FALSE)</f>
        <v>164231</v>
      </c>
      <c r="CA71" s="121">
        <f>BZ71-CB71</f>
        <v>164231</v>
      </c>
      <c r="CB71" s="121">
        <f>SUM(CB72:CB76)</f>
        <v>0</v>
      </c>
      <c r="CC71" s="121">
        <f>VLOOKUP($C71,'1 预算编制表单'!$C:$BJ,48,FALSE)</f>
        <v>164231</v>
      </c>
      <c r="CD71" s="121">
        <f>CC71-CE71</f>
        <v>164231</v>
      </c>
      <c r="CE71" s="121">
        <f>SUM(CE72:CE76)</f>
        <v>0</v>
      </c>
      <c r="CF71" s="121">
        <f>VLOOKUP($C71,'1 预算编制表单'!$C:$BJ,51,FALSE)</f>
        <v>164231</v>
      </c>
      <c r="CG71" s="121">
        <f>CF71-CH71</f>
        <v>164231</v>
      </c>
      <c r="CH71" s="121">
        <f>SUM(CH72:CH76)</f>
        <v>0</v>
      </c>
      <c r="CI71" s="121">
        <f>VLOOKUP($C71,'1 预算编制表单'!$C:$BJ,54,FALSE)</f>
        <v>164231</v>
      </c>
      <c r="CJ71" s="121">
        <f>CI71-CK71</f>
        <v>164231</v>
      </c>
      <c r="CK71" s="121">
        <f>SUM(CK72:CK76)</f>
        <v>0</v>
      </c>
      <c r="CL71" s="121">
        <f>VLOOKUP($C71,'1 预算编制表单'!$C:$BJ,57,FALSE)</f>
        <v>164231</v>
      </c>
      <c r="CM71" s="121">
        <f>CL71-CN71</f>
        <v>164231</v>
      </c>
      <c r="CN71" s="121">
        <f>SUM(CN72:CN76)</f>
        <v>0</v>
      </c>
      <c r="CO71" s="121">
        <f>VLOOKUP($C71,'1 预算编制表单'!$C:$BJ,60,FALSE)</f>
        <v>189758.5</v>
      </c>
      <c r="CP71" s="121">
        <f>CO71-CQ71</f>
        <v>189758.5</v>
      </c>
      <c r="CQ71" s="121">
        <f>SUM(CQ72:CQ76)</f>
        <v>0</v>
      </c>
    </row>
    <row r="72" s="83" customFormat="1" ht="24" customHeight="1" outlineLevel="4" spans="1:95">
      <c r="A72" s="122"/>
      <c r="B72" s="123"/>
      <c r="C72" s="124"/>
      <c r="D72" s="122"/>
      <c r="E72" s="123"/>
      <c r="F72" s="123"/>
      <c r="G72" s="123"/>
      <c r="H72" s="125"/>
      <c r="I72" s="125"/>
      <c r="J72" s="125">
        <f t="shared" si="814"/>
        <v>0</v>
      </c>
      <c r="K72" s="125">
        <v>1</v>
      </c>
      <c r="L72" s="150"/>
      <c r="M72" s="151">
        <f>IFERROR(VLOOKUP($L72,'2-2 引出数据_合同数据仓库'!$B$2:$BP$1000,3,FALSE),0)</f>
        <v>0</v>
      </c>
      <c r="N72" s="125"/>
      <c r="O72" s="151">
        <f>IFERROR(VLOOKUP((LEFT(VLOOKUP($L72,'2-2 引出数据_合同数据仓库'!$B$2:$BP$1000,64,FALSE),15)&amp;(RIGHT(VLOOKUP($L72,'2-2 引出数据_合同数据仓库'!$B$2:$BP$1000,64,FALSE),4)+1)),'2-2 引出数据_合同数据仓库'!$B$2:$BP$1000,3,FALSE),0)</f>
        <v>0</v>
      </c>
      <c r="P72" s="125"/>
      <c r="Q72" s="125">
        <f>IFERROR(VLOOKUP($L72,'2-2 引出数据_合同数据仓库'!$B$2:$BP$1000,28,FALSE),0)</f>
        <v>0</v>
      </c>
      <c r="R72" s="125">
        <f>IFERROR(VLOOKUP($L72,'2-2 引出数据_合同数据仓库'!$B$2:$BP$1000,29,FALSE),0)</f>
        <v>0</v>
      </c>
      <c r="S72" s="125">
        <f>IFERROR(VLOOKUP($L72,'2-2 引出数据_合同数据仓库'!$B$2:$BP$1000,4,FALSE),0)</f>
        <v>0</v>
      </c>
      <c r="T72" s="125"/>
      <c r="U72" s="125">
        <f>IFERROR(VLOOKUP($L72,'2-2 引出数据_合同数据仓库'!$B$2:$BP$1000,15,FALSE),0)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引出数据_合同数据仓库'!$B$2:$BP$1000,3,FALSE),0)</f>
        <v>0</v>
      </c>
      <c r="N73" s="125"/>
      <c r="O73" s="151">
        <f>IFERROR(VLOOKUP((LEFT(VLOOKUP($L73,'2-2 引出数据_合同数据仓库'!$B$2:$BP$1000,64,FALSE),15)&amp;(RIGHT(VLOOKUP($L73,'2-2 引出数据_合同数据仓库'!$B$2:$BP$1000,64,FALSE),4)+1)),'2-2 引出数据_合同数据仓库'!$B$2:$BP$1000,3,FALSE),0)</f>
        <v>0</v>
      </c>
      <c r="P73" s="125"/>
      <c r="Q73" s="125">
        <f>IFERROR(VLOOKUP($L73,'2-2 引出数据_合同数据仓库'!$B$2:$BP$1000,28,FALSE),0)</f>
        <v>0</v>
      </c>
      <c r="R73" s="125">
        <f>IFERROR(VLOOKUP($L73,'2-2 引出数据_合同数据仓库'!$B$2:$BP$1000,29,FALSE),0)</f>
        <v>0</v>
      </c>
      <c r="S73" s="125">
        <f>IFERROR(VLOOKUP($L73,'2-2 引出数据_合同数据仓库'!$B$2:$BP$1000,4,FALSE),0)</f>
        <v>0</v>
      </c>
      <c r="T73" s="125"/>
      <c r="U73" s="125">
        <f>IFERROR(VLOOKUP($L73,'2-2 引出数据_合同数据仓库'!$B$2:$BP$1000,15,FALSE),0)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引出数据_合同数据仓库'!$B$2:$BP$1000,3,FALSE),0)</f>
        <v>0</v>
      </c>
      <c r="N74" s="125"/>
      <c r="O74" s="151">
        <f>IFERROR(VLOOKUP((LEFT(VLOOKUP($L74,'2-2 引出数据_合同数据仓库'!$B$2:$BP$1000,64,FALSE),15)&amp;(RIGHT(VLOOKUP($L74,'2-2 引出数据_合同数据仓库'!$B$2:$BP$1000,64,FALSE),4)+1)),'2-2 引出数据_合同数据仓库'!$B$2:$BP$1000,3,FALSE),0)</f>
        <v>0</v>
      </c>
      <c r="P74" s="125"/>
      <c r="Q74" s="125">
        <f>IFERROR(VLOOKUP($L74,'2-2 引出数据_合同数据仓库'!$B$2:$BP$1000,28,FALSE),0)</f>
        <v>0</v>
      </c>
      <c r="R74" s="125">
        <f>IFERROR(VLOOKUP($L74,'2-2 引出数据_合同数据仓库'!$B$2:$BP$1000,29,FALSE),0)</f>
        <v>0</v>
      </c>
      <c r="S74" s="125">
        <f>IFERROR(VLOOKUP($L74,'2-2 引出数据_合同数据仓库'!$B$2:$BP$1000,4,FALSE),0)</f>
        <v>0</v>
      </c>
      <c r="T74" s="125"/>
      <c r="U74" s="125">
        <f>IFERROR(VLOOKUP($L74,'2-2 引出数据_合同数据仓库'!$B$2:$BP$1000,15,FALSE),0)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引出数据_合同数据仓库'!$B$2:$BP$1000,3,FALSE),0)</f>
        <v>0</v>
      </c>
      <c r="N75" s="125"/>
      <c r="O75" s="151">
        <f>IFERROR(VLOOKUP((LEFT(VLOOKUP($L75,'2-2 引出数据_合同数据仓库'!$B$2:$BP$1000,64,FALSE),15)&amp;(RIGHT(VLOOKUP($L75,'2-2 引出数据_合同数据仓库'!$B$2:$BP$1000,64,FALSE),4)+1)),'2-2 引出数据_合同数据仓库'!$B$2:$BP$1000,3,FALSE),0)</f>
        <v>0</v>
      </c>
      <c r="P75" s="125"/>
      <c r="Q75" s="125">
        <f>IFERROR(VLOOKUP($L75,'2-2 引出数据_合同数据仓库'!$B$2:$BP$1000,28,FALSE),0)</f>
        <v>0</v>
      </c>
      <c r="R75" s="125">
        <f>IFERROR(VLOOKUP($L75,'2-2 引出数据_合同数据仓库'!$B$2:$BP$1000,29,FALSE),0)</f>
        <v>0</v>
      </c>
      <c r="S75" s="125">
        <f>IFERROR(VLOOKUP($L75,'2-2 引出数据_合同数据仓库'!$B$2:$BP$1000,4,FALSE),0)</f>
        <v>0</v>
      </c>
      <c r="T75" s="125"/>
      <c r="U75" s="125">
        <f>IFERROR(VLOOKUP($L75,'2-2 引出数据_合同数据仓库'!$B$2:$BP$1000,15,FALSE),0)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customHeight="1" outlineLevel="4" spans="1:95">
      <c r="A76" s="126" t="s">
        <v>2821</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customHeight="1" outlineLevel="3" spans="1:95">
      <c r="A77" s="118"/>
      <c r="B77" s="119" t="s">
        <v>799</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customHeight="1" outlineLevel="4" spans="1:95">
      <c r="A78" s="122"/>
      <c r="B78" s="123"/>
      <c r="C78" s="124" t="s">
        <v>1008</v>
      </c>
      <c r="D78" s="131" t="s">
        <v>2822</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引出数据_合同数据仓库'!$B$2:$BP$1000,3,FALSE),0)</f>
        <v>0</v>
      </c>
      <c r="N79" s="125"/>
      <c r="O79" s="151">
        <f>IFERROR(VLOOKUP((LEFT(VLOOKUP($L79,'2-2 引出数据_合同数据仓库'!$B$2:$BP$1000,64,FALSE),15)&amp;(RIGHT(VLOOKUP($L79,'2-2 引出数据_合同数据仓库'!$B$2:$BP$1000,64,FALSE),4)+1)),'2-2 引出数据_合同数据仓库'!$B$2:$BP$1000,3,FALSE),0)</f>
        <v>0</v>
      </c>
      <c r="P79" s="125"/>
      <c r="Q79" s="125">
        <f>IFERROR(VLOOKUP($L79,'2-2 引出数据_合同数据仓库'!$B$2:$BP$1000,28,FALSE),0)</f>
        <v>0</v>
      </c>
      <c r="R79" s="125">
        <f>IFERROR(VLOOKUP($L79,'2-2 引出数据_合同数据仓库'!$B$2:$BP$1000,29,FALSE),0)</f>
        <v>0</v>
      </c>
      <c r="S79" s="125">
        <f>IFERROR(VLOOKUP($L79,'2-2 引出数据_合同数据仓库'!$B$2:$BP$1000,4,FALSE),0)</f>
        <v>0</v>
      </c>
      <c r="T79" s="125"/>
      <c r="U79" s="125">
        <f>IFERROR(VLOOKUP($L79,'2-2 引出数据_合同数据仓库'!$B$2:$BP$1000,15,FALSE),0)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引出数据_合同数据仓库'!$B$2:$BP$1000,3,FALSE),0)</f>
        <v>0</v>
      </c>
      <c r="N80" s="125"/>
      <c r="O80" s="151">
        <f>IFERROR(VLOOKUP((LEFT(VLOOKUP($L80,'2-2 引出数据_合同数据仓库'!$B$2:$BP$1000,64,FALSE),15)&amp;(RIGHT(VLOOKUP($L80,'2-2 引出数据_合同数据仓库'!$B$2:$BP$1000,64,FALSE),4)+1)),'2-2 引出数据_合同数据仓库'!$B$2:$BP$1000,3,FALSE),0)</f>
        <v>0</v>
      </c>
      <c r="P80" s="125"/>
      <c r="Q80" s="125">
        <f>IFERROR(VLOOKUP($L80,'2-2 引出数据_合同数据仓库'!$B$2:$BP$1000,28,FALSE),0)</f>
        <v>0</v>
      </c>
      <c r="R80" s="125">
        <f>IFERROR(VLOOKUP($L80,'2-2 引出数据_合同数据仓库'!$B$2:$BP$1000,29,FALSE),0)</f>
        <v>0</v>
      </c>
      <c r="S80" s="125">
        <f>IFERROR(VLOOKUP($L80,'2-2 引出数据_合同数据仓库'!$B$2:$BP$1000,4,FALSE),0)</f>
        <v>0</v>
      </c>
      <c r="T80" s="125"/>
      <c r="U80" s="125">
        <f>IFERROR(VLOOKUP($L80,'2-2 引出数据_合同数据仓库'!$B$2:$BP$1000,15,FALSE),0)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引出数据_合同数据仓库'!$B$2:$BP$1000,3,FALSE),0)</f>
        <v>0</v>
      </c>
      <c r="N81" s="125"/>
      <c r="O81" s="151">
        <f>IFERROR(VLOOKUP((LEFT(VLOOKUP($L81,'2-2 引出数据_合同数据仓库'!$B$2:$BP$1000,64,FALSE),15)&amp;(RIGHT(VLOOKUP($L81,'2-2 引出数据_合同数据仓库'!$B$2:$BP$1000,64,FALSE),4)+1)),'2-2 引出数据_合同数据仓库'!$B$2:$BP$1000,3,FALSE),0)</f>
        <v>0</v>
      </c>
      <c r="P81" s="125"/>
      <c r="Q81" s="125">
        <f>IFERROR(VLOOKUP($L81,'2-2 引出数据_合同数据仓库'!$B$2:$BP$1000,28,FALSE),0)</f>
        <v>0</v>
      </c>
      <c r="R81" s="125">
        <f>IFERROR(VLOOKUP($L81,'2-2 引出数据_合同数据仓库'!$B$2:$BP$1000,29,FALSE),0)</f>
        <v>0</v>
      </c>
      <c r="S81" s="125">
        <f>IFERROR(VLOOKUP($L81,'2-2 引出数据_合同数据仓库'!$B$2:$BP$1000,4,FALSE),0)</f>
        <v>0</v>
      </c>
      <c r="T81" s="125"/>
      <c r="U81" s="125">
        <f>IFERROR(VLOOKUP($L81,'2-2 引出数据_合同数据仓库'!$B$2:$BP$1000,15,FALSE),0)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customHeight="1" outlineLevel="4" spans="1:95">
      <c r="A82" s="126" t="s">
        <v>2821</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customHeight="1" outlineLevel="3" spans="1:95">
      <c r="A83" s="118"/>
      <c r="B83" s="119" t="s">
        <v>799</v>
      </c>
      <c r="C83" s="120" t="s">
        <v>1019</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customHeight="1" outlineLevel="4" spans="1:95">
      <c r="A84" s="122"/>
      <c r="B84" s="123"/>
      <c r="C84" s="124"/>
      <c r="D84" s="122"/>
      <c r="E84" s="123"/>
      <c r="F84" s="123"/>
      <c r="G84" s="123"/>
      <c r="H84" s="125"/>
      <c r="I84" s="125"/>
      <c r="J84" s="125">
        <f t="shared" si="814"/>
        <v>0</v>
      </c>
      <c r="K84" s="125">
        <v>1</v>
      </c>
      <c r="L84" s="150"/>
      <c r="M84" s="151">
        <f>IFERROR(VLOOKUP($L84,'2-2 引出数据_合同数据仓库'!$B$2:$BP$1000,3,FALSE),0)</f>
        <v>0</v>
      </c>
      <c r="N84" s="125"/>
      <c r="O84" s="151">
        <f>IFERROR(VLOOKUP((LEFT(VLOOKUP($L84,'2-2 引出数据_合同数据仓库'!$B$2:$BP$1000,64,FALSE),15)&amp;(RIGHT(VLOOKUP($L84,'2-2 引出数据_合同数据仓库'!$B$2:$BP$1000,64,FALSE),4)+1)),'2-2 引出数据_合同数据仓库'!$B$2:$BP$1000,3,FALSE),0)</f>
        <v>0</v>
      </c>
      <c r="P84" s="125"/>
      <c r="Q84" s="125">
        <f>IFERROR(VLOOKUP($L84,'2-2 引出数据_合同数据仓库'!$B$2:$BP$1000,28,FALSE),0)</f>
        <v>0</v>
      </c>
      <c r="R84" s="125">
        <f>IFERROR(VLOOKUP($L84,'2-2 引出数据_合同数据仓库'!$B$2:$BP$1000,29,FALSE),0)</f>
        <v>0</v>
      </c>
      <c r="S84" s="125">
        <f>IFERROR(VLOOKUP($L84,'2-2 引出数据_合同数据仓库'!$B$2:$BP$1000,4,FALSE),0)</f>
        <v>0</v>
      </c>
      <c r="T84" s="125"/>
      <c r="U84" s="125">
        <f>IFERROR(VLOOKUP($L84,'2-2 引出数据_合同数据仓库'!$B$2:$BP$1000,15,FALSE),0)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引出数据_合同数据仓库'!$B$2:$BP$1000,3,FALSE),0)</f>
        <v>0</v>
      </c>
      <c r="N85" s="125"/>
      <c r="O85" s="151">
        <f>IFERROR(VLOOKUP((LEFT(VLOOKUP($L85,'2-2 引出数据_合同数据仓库'!$B$2:$BP$1000,64,FALSE),15)&amp;(RIGHT(VLOOKUP($L85,'2-2 引出数据_合同数据仓库'!$B$2:$BP$1000,64,FALSE),4)+1)),'2-2 引出数据_合同数据仓库'!$B$2:$BP$1000,3,FALSE),0)</f>
        <v>0</v>
      </c>
      <c r="P85" s="125"/>
      <c r="Q85" s="125">
        <f>IFERROR(VLOOKUP($L85,'2-2 引出数据_合同数据仓库'!$B$2:$BP$1000,28,FALSE),0)</f>
        <v>0</v>
      </c>
      <c r="R85" s="125">
        <f>IFERROR(VLOOKUP($L85,'2-2 引出数据_合同数据仓库'!$B$2:$BP$1000,29,FALSE),0)</f>
        <v>0</v>
      </c>
      <c r="S85" s="125">
        <f>IFERROR(VLOOKUP($L85,'2-2 引出数据_合同数据仓库'!$B$2:$BP$1000,4,FALSE),0)</f>
        <v>0</v>
      </c>
      <c r="T85" s="125"/>
      <c r="U85" s="125">
        <f>IFERROR(VLOOKUP($L85,'2-2 引出数据_合同数据仓库'!$B$2:$BP$1000,15,FALSE),0)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引出数据_合同数据仓库'!$B$2:$BP$1000,3,FALSE),0)</f>
        <v>0</v>
      </c>
      <c r="N86" s="125"/>
      <c r="O86" s="151">
        <f>IFERROR(VLOOKUP((LEFT(VLOOKUP($L86,'2-2 引出数据_合同数据仓库'!$B$2:$BP$1000,64,FALSE),15)&amp;(RIGHT(VLOOKUP($L86,'2-2 引出数据_合同数据仓库'!$B$2:$BP$1000,64,FALSE),4)+1)),'2-2 引出数据_合同数据仓库'!$B$2:$BP$1000,3,FALSE),0)</f>
        <v>0</v>
      </c>
      <c r="P86" s="125"/>
      <c r="Q86" s="125">
        <f>IFERROR(VLOOKUP($L86,'2-2 引出数据_合同数据仓库'!$B$2:$BP$1000,28,FALSE),0)</f>
        <v>0</v>
      </c>
      <c r="R86" s="125">
        <f>IFERROR(VLOOKUP($L86,'2-2 引出数据_合同数据仓库'!$B$2:$BP$1000,29,FALSE),0)</f>
        <v>0</v>
      </c>
      <c r="S86" s="125">
        <f>IFERROR(VLOOKUP($L86,'2-2 引出数据_合同数据仓库'!$B$2:$BP$1000,4,FALSE),0)</f>
        <v>0</v>
      </c>
      <c r="T86" s="125"/>
      <c r="U86" s="125">
        <f>IFERROR(VLOOKUP($L86,'2-2 引出数据_合同数据仓库'!$B$2:$BP$1000,15,FALSE),0)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引出数据_合同数据仓库'!$B$2:$BP$1000,3,FALSE),0)</f>
        <v>0</v>
      </c>
      <c r="N87" s="125"/>
      <c r="O87" s="151">
        <f>IFERROR(VLOOKUP((LEFT(VLOOKUP($L87,'2-2 引出数据_合同数据仓库'!$B$2:$BP$1000,64,FALSE),15)&amp;(RIGHT(VLOOKUP($L87,'2-2 引出数据_合同数据仓库'!$B$2:$BP$1000,64,FALSE),4)+1)),'2-2 引出数据_合同数据仓库'!$B$2:$BP$1000,3,FALSE),0)</f>
        <v>0</v>
      </c>
      <c r="P87" s="125"/>
      <c r="Q87" s="125">
        <f>IFERROR(VLOOKUP($L87,'2-2 引出数据_合同数据仓库'!$B$2:$BP$1000,28,FALSE),0)</f>
        <v>0</v>
      </c>
      <c r="R87" s="125">
        <f>IFERROR(VLOOKUP($L87,'2-2 引出数据_合同数据仓库'!$B$2:$BP$1000,29,FALSE),0)</f>
        <v>0</v>
      </c>
      <c r="S87" s="125">
        <f>IFERROR(VLOOKUP($L87,'2-2 引出数据_合同数据仓库'!$B$2:$BP$1000,4,FALSE),0)</f>
        <v>0</v>
      </c>
      <c r="T87" s="125"/>
      <c r="U87" s="125">
        <f>IFERROR(VLOOKUP($L87,'2-2 引出数据_合同数据仓库'!$B$2:$BP$1000,15,FALSE),0)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customHeight="1" outlineLevel="4" spans="1:95">
      <c r="A88" s="126" t="s">
        <v>2821</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customHeight="1" outlineLevel="3" spans="1:95">
      <c r="A89" s="118"/>
      <c r="B89" s="119" t="s">
        <v>799</v>
      </c>
      <c r="C89" s="120" t="s">
        <v>1031</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customHeight="1" outlineLevel="4" spans="1:95">
      <c r="A90" s="122"/>
      <c r="B90" s="123"/>
      <c r="C90" s="124"/>
      <c r="D90" s="122"/>
      <c r="E90" s="123"/>
      <c r="F90" s="123"/>
      <c r="G90" s="123"/>
      <c r="H90" s="125"/>
      <c r="I90" s="125"/>
      <c r="J90" s="125">
        <f t="shared" si="814"/>
        <v>0</v>
      </c>
      <c r="K90" s="125">
        <v>1</v>
      </c>
      <c r="L90" s="150"/>
      <c r="M90" s="151">
        <f>IFERROR(VLOOKUP($L90,'2-2 引出数据_合同数据仓库'!$B$2:$BP$1000,3,FALSE),0)</f>
        <v>0</v>
      </c>
      <c r="N90" s="125"/>
      <c r="O90" s="151">
        <f>IFERROR(VLOOKUP((LEFT(VLOOKUP($L90,'2-2 引出数据_合同数据仓库'!$B$2:$BP$1000,64,FALSE),15)&amp;(RIGHT(VLOOKUP($L90,'2-2 引出数据_合同数据仓库'!$B$2:$BP$1000,64,FALSE),4)+1)),'2-2 引出数据_合同数据仓库'!$B$2:$BP$1000,3,FALSE),0)</f>
        <v>0</v>
      </c>
      <c r="P90" s="125"/>
      <c r="Q90" s="125">
        <f>IFERROR(VLOOKUP($L90,'2-2 引出数据_合同数据仓库'!$B$2:$BP$1000,28,FALSE),0)</f>
        <v>0</v>
      </c>
      <c r="R90" s="125">
        <f>IFERROR(VLOOKUP($L90,'2-2 引出数据_合同数据仓库'!$B$2:$BP$1000,29,FALSE),0)</f>
        <v>0</v>
      </c>
      <c r="S90" s="125">
        <f>IFERROR(VLOOKUP($L90,'2-2 引出数据_合同数据仓库'!$B$2:$BP$1000,4,FALSE),0)</f>
        <v>0</v>
      </c>
      <c r="T90" s="125"/>
      <c r="U90" s="125">
        <f>IFERROR(VLOOKUP($L90,'2-2 引出数据_合同数据仓库'!$B$2:$BP$1000,15,FALSE),0)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引出数据_合同数据仓库'!$B$2:$BP$1000,3,FALSE),0)</f>
        <v>0</v>
      </c>
      <c r="N91" s="125"/>
      <c r="O91" s="151">
        <f>IFERROR(VLOOKUP((LEFT(VLOOKUP($L91,'2-2 引出数据_合同数据仓库'!$B$2:$BP$1000,64,FALSE),15)&amp;(RIGHT(VLOOKUP($L91,'2-2 引出数据_合同数据仓库'!$B$2:$BP$1000,64,FALSE),4)+1)),'2-2 引出数据_合同数据仓库'!$B$2:$BP$1000,3,FALSE),0)</f>
        <v>0</v>
      </c>
      <c r="P91" s="125"/>
      <c r="Q91" s="125">
        <f>IFERROR(VLOOKUP($L91,'2-2 引出数据_合同数据仓库'!$B$2:$BP$1000,28,FALSE),0)</f>
        <v>0</v>
      </c>
      <c r="R91" s="125">
        <f>IFERROR(VLOOKUP($L91,'2-2 引出数据_合同数据仓库'!$B$2:$BP$1000,29,FALSE),0)</f>
        <v>0</v>
      </c>
      <c r="S91" s="125">
        <f>IFERROR(VLOOKUP($L91,'2-2 引出数据_合同数据仓库'!$B$2:$BP$1000,4,FALSE),0)</f>
        <v>0</v>
      </c>
      <c r="T91" s="125"/>
      <c r="U91" s="125">
        <f>IFERROR(VLOOKUP($L91,'2-2 引出数据_合同数据仓库'!$B$2:$BP$1000,15,FALSE),0)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引出数据_合同数据仓库'!$B$2:$BP$1000,3,FALSE),0)</f>
        <v>0</v>
      </c>
      <c r="N92" s="125"/>
      <c r="O92" s="151">
        <f>IFERROR(VLOOKUP((LEFT(VLOOKUP($L92,'2-2 引出数据_合同数据仓库'!$B$2:$BP$1000,64,FALSE),15)&amp;(RIGHT(VLOOKUP($L92,'2-2 引出数据_合同数据仓库'!$B$2:$BP$1000,64,FALSE),4)+1)),'2-2 引出数据_合同数据仓库'!$B$2:$BP$1000,3,FALSE),0)</f>
        <v>0</v>
      </c>
      <c r="P92" s="125"/>
      <c r="Q92" s="125">
        <f>IFERROR(VLOOKUP($L92,'2-2 引出数据_合同数据仓库'!$B$2:$BP$1000,28,FALSE),0)</f>
        <v>0</v>
      </c>
      <c r="R92" s="125">
        <f>IFERROR(VLOOKUP($L92,'2-2 引出数据_合同数据仓库'!$B$2:$BP$1000,29,FALSE),0)</f>
        <v>0</v>
      </c>
      <c r="S92" s="125">
        <f>IFERROR(VLOOKUP($L92,'2-2 引出数据_合同数据仓库'!$B$2:$BP$1000,4,FALSE),0)</f>
        <v>0</v>
      </c>
      <c r="T92" s="125"/>
      <c r="U92" s="125">
        <f>IFERROR(VLOOKUP($L92,'2-2 引出数据_合同数据仓库'!$B$2:$BP$1000,15,FALSE),0)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引出数据_合同数据仓库'!$B$2:$BP$1000,3,FALSE),0)</f>
        <v>0</v>
      </c>
      <c r="N93" s="125"/>
      <c r="O93" s="151">
        <f>IFERROR(VLOOKUP((LEFT(VLOOKUP($L93,'2-2 引出数据_合同数据仓库'!$B$2:$BP$1000,64,FALSE),15)&amp;(RIGHT(VLOOKUP($L93,'2-2 引出数据_合同数据仓库'!$B$2:$BP$1000,64,FALSE),4)+1)),'2-2 引出数据_合同数据仓库'!$B$2:$BP$1000,3,FALSE),0)</f>
        <v>0</v>
      </c>
      <c r="P93" s="125"/>
      <c r="Q93" s="125">
        <f>IFERROR(VLOOKUP($L93,'2-2 引出数据_合同数据仓库'!$B$2:$BP$1000,28,FALSE),0)</f>
        <v>0</v>
      </c>
      <c r="R93" s="125">
        <f>IFERROR(VLOOKUP($L93,'2-2 引出数据_合同数据仓库'!$B$2:$BP$1000,29,FALSE),0)</f>
        <v>0</v>
      </c>
      <c r="S93" s="125">
        <f>IFERROR(VLOOKUP($L93,'2-2 引出数据_合同数据仓库'!$B$2:$BP$1000,4,FALSE),0)</f>
        <v>0</v>
      </c>
      <c r="T93" s="125"/>
      <c r="U93" s="125">
        <f>IFERROR(VLOOKUP($L93,'2-2 引出数据_合同数据仓库'!$B$2:$BP$1000,15,FALSE),0)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customHeight="1" outlineLevel="4" spans="1:95">
      <c r="A94" s="126" t="s">
        <v>2821</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customHeight="1" outlineLevel="2" spans="1:95">
      <c r="A95" s="47"/>
      <c r="B95" s="115" t="s">
        <v>794</v>
      </c>
      <c r="C95" s="116" t="s">
        <v>1034</v>
      </c>
      <c r="D95" s="47" t="s">
        <v>1035</v>
      </c>
      <c r="E95" s="115"/>
      <c r="F95" s="115"/>
      <c r="G95" s="115"/>
      <c r="H95" s="117">
        <f>X95+AA95+AD95+AG95+AJ95+AM95+AP95+AS95+AV95+AY95+BB95+BE95</f>
        <v>1138723.46</v>
      </c>
      <c r="I95" s="117">
        <f>Y95+AB95+AE95+AH95+AK95+AN95+AQ95+AT95+AW95+AZ95+BC95+BF95</f>
        <v>1138723.46</v>
      </c>
      <c r="J95" s="117">
        <f t="shared" si="814"/>
        <v>0</v>
      </c>
      <c r="K95" s="117"/>
      <c r="L95" s="148"/>
      <c r="M95" s="148"/>
      <c r="N95" s="117"/>
      <c r="O95" s="117"/>
      <c r="P95" s="117"/>
      <c r="Q95" s="117"/>
      <c r="R95" s="117"/>
      <c r="S95" s="117"/>
      <c r="T95" s="117"/>
      <c r="U95" s="117"/>
      <c r="V95" s="117"/>
      <c r="W95" s="117"/>
      <c r="X95" s="117">
        <f>VLOOKUP($C95,'1 预算编制表单'!$C:$BJ,27,FALSE)</f>
        <v>79629.96</v>
      </c>
      <c r="Y95" s="117">
        <f>X95-Z95</f>
        <v>79629.96</v>
      </c>
      <c r="Z95" s="117">
        <f>Z96+Z102+Z108</f>
        <v>0</v>
      </c>
      <c r="AA95" s="117">
        <f>VLOOKUP($C95,'1 预算编制表单'!$C:$BJ,30,FALSE)</f>
        <v>79629.96</v>
      </c>
      <c r="AB95" s="117">
        <f>AA95-AC95</f>
        <v>79629.96</v>
      </c>
      <c r="AC95" s="117">
        <f>AC96+AC102+AC108</f>
        <v>0</v>
      </c>
      <c r="AD95" s="117">
        <f>VLOOKUP($C95,'1 预算编制表单'!$C:$BJ,33,FALSE)</f>
        <v>79629.96</v>
      </c>
      <c r="AE95" s="117">
        <f>AD95-AF95</f>
        <v>79629.96</v>
      </c>
      <c r="AF95" s="117">
        <f>AF96+AF102+AF108</f>
        <v>0</v>
      </c>
      <c r="AG95" s="117">
        <f>VLOOKUP($C95,'1 预算编制表单'!$C:$BJ,36,FALSE)</f>
        <v>79629.96</v>
      </c>
      <c r="AH95" s="117">
        <f>AG95-AI95</f>
        <v>79629.96</v>
      </c>
      <c r="AI95" s="117">
        <f>AI96+AI102+AI108</f>
        <v>0</v>
      </c>
      <c r="AJ95" s="117">
        <f>VLOOKUP($C95,'1 预算编制表单'!$C:$BJ,39,FALSE)</f>
        <v>79629.96</v>
      </c>
      <c r="AK95" s="117">
        <f>AJ95-AL95</f>
        <v>79629.96</v>
      </c>
      <c r="AL95" s="117">
        <f>AL96+AL102+AL108</f>
        <v>0</v>
      </c>
      <c r="AM95" s="117">
        <f>VLOOKUP($C95,'1 预算编制表单'!$C:$BJ,42,FALSE)</f>
        <v>79629.96</v>
      </c>
      <c r="AN95" s="117">
        <f>AM95-AO95</f>
        <v>79629.96</v>
      </c>
      <c r="AO95" s="117">
        <f>AO96+AO102+AO108</f>
        <v>0</v>
      </c>
      <c r="AP95" s="117">
        <f>VLOOKUP($C95,'1 预算编制表单'!$C:$BJ,45,FALSE)</f>
        <v>79629.96</v>
      </c>
      <c r="AQ95" s="117">
        <f>AP95-AR95</f>
        <v>79629.96</v>
      </c>
      <c r="AR95" s="117">
        <f>AR96+AR102+AR108</f>
        <v>0</v>
      </c>
      <c r="AS95" s="117">
        <f>VLOOKUP($C95,'1 预算编制表单'!$C:$BJ,48,FALSE)</f>
        <v>79629.96</v>
      </c>
      <c r="AT95" s="117">
        <f>AS95-AU95</f>
        <v>79629.96</v>
      </c>
      <c r="AU95" s="117">
        <f>AU96+AU102+AU108</f>
        <v>0</v>
      </c>
      <c r="AV95" s="117">
        <f>VLOOKUP($C95,'1 预算编制表单'!$C:$BJ,51,FALSE)</f>
        <v>79629.96</v>
      </c>
      <c r="AW95" s="117">
        <f>AV95-AX95</f>
        <v>79629.96</v>
      </c>
      <c r="AX95" s="117">
        <f>AX96+AX102+AX108</f>
        <v>0</v>
      </c>
      <c r="AY95" s="117">
        <f>VLOOKUP($C95,'1 预算编制表单'!$C:$BJ,54,FALSE)</f>
        <v>79629.96</v>
      </c>
      <c r="AZ95" s="117">
        <f>AY95-BA95</f>
        <v>79629.96</v>
      </c>
      <c r="BA95" s="117">
        <f>BA96+BA102+BA108</f>
        <v>0</v>
      </c>
      <c r="BB95" s="117">
        <f>VLOOKUP($C95,'1 预算编制表单'!$C:$BJ,57,FALSE)</f>
        <v>79629.96</v>
      </c>
      <c r="BC95" s="117">
        <f>BB95-BD95</f>
        <v>79629.96</v>
      </c>
      <c r="BD95" s="117">
        <f>BD96+BD102+BD108</f>
        <v>0</v>
      </c>
      <c r="BE95" s="117">
        <f>VLOOKUP($C95,'1 预算编制表单'!$C:$BJ,60,FALSE)</f>
        <v>262793.9</v>
      </c>
      <c r="BF95" s="117">
        <f>BE95-BG95</f>
        <v>262793.9</v>
      </c>
      <c r="BG95" s="117">
        <f>BG96+BG102+BG108</f>
        <v>0</v>
      </c>
      <c r="BH95" s="117">
        <f>VLOOKUP($C95,'1 预算编制表单'!$C:$BJ,27,FALSE)</f>
        <v>79629.96</v>
      </c>
      <c r="BI95" s="117">
        <f>BH95-BJ95</f>
        <v>79629.96</v>
      </c>
      <c r="BJ95" s="117">
        <f>BJ96+BJ102+BJ108</f>
        <v>0</v>
      </c>
      <c r="BK95" s="117">
        <f>VLOOKUP($C95,'1 预算编制表单'!$C:$BJ,30,FALSE)</f>
        <v>79629.96</v>
      </c>
      <c r="BL95" s="117">
        <f>BK95-BM95</f>
        <v>79629.96</v>
      </c>
      <c r="BM95" s="117">
        <f>BM96+BM102+BM108</f>
        <v>0</v>
      </c>
      <c r="BN95" s="117">
        <f>VLOOKUP($C95,'1 预算编制表单'!$C:$BJ,33,FALSE)</f>
        <v>79629.96</v>
      </c>
      <c r="BO95" s="117">
        <f>BN95-BP95</f>
        <v>79629.96</v>
      </c>
      <c r="BP95" s="117">
        <f>BP96+BP102+BP108</f>
        <v>0</v>
      </c>
      <c r="BQ95" s="117">
        <f>VLOOKUP($C95,'1 预算编制表单'!$C:$BJ,36,FALSE)</f>
        <v>79629.96</v>
      </c>
      <c r="BR95" s="117">
        <f>BQ95-BS95</f>
        <v>79629.96</v>
      </c>
      <c r="BS95" s="117">
        <f>BS96+BS102+BS108</f>
        <v>0</v>
      </c>
      <c r="BT95" s="117">
        <f>VLOOKUP($C95,'1 预算编制表单'!$C:$BJ,39,FALSE)</f>
        <v>79629.96</v>
      </c>
      <c r="BU95" s="117">
        <f>BT95-BV95</f>
        <v>79629.96</v>
      </c>
      <c r="BV95" s="117">
        <f>BV96+BV102+BV108</f>
        <v>0</v>
      </c>
      <c r="BW95" s="117">
        <f>VLOOKUP($C95,'1 预算编制表单'!$C:$BJ,42,FALSE)</f>
        <v>79629.96</v>
      </c>
      <c r="BX95" s="117">
        <f>BW95-BY95</f>
        <v>79629.96</v>
      </c>
      <c r="BY95" s="117">
        <f>BY96+BY102+BY108</f>
        <v>0</v>
      </c>
      <c r="BZ95" s="117">
        <f>VLOOKUP($C95,'1 预算编制表单'!$C:$BJ,45,FALSE)</f>
        <v>79629.96</v>
      </c>
      <c r="CA95" s="117">
        <f>BZ95-CB95</f>
        <v>79629.96</v>
      </c>
      <c r="CB95" s="117">
        <f>CB96+CB102+CB108</f>
        <v>0</v>
      </c>
      <c r="CC95" s="117">
        <f>VLOOKUP($C95,'1 预算编制表单'!$C:$BJ,48,FALSE)</f>
        <v>79629.96</v>
      </c>
      <c r="CD95" s="117">
        <f>CC95-CE95</f>
        <v>79629.96</v>
      </c>
      <c r="CE95" s="117">
        <f>CE96+CE102+CE108</f>
        <v>0</v>
      </c>
      <c r="CF95" s="117">
        <f>VLOOKUP($C95,'1 预算编制表单'!$C:$BJ,51,FALSE)</f>
        <v>79629.96</v>
      </c>
      <c r="CG95" s="117">
        <f>CF95-CH95</f>
        <v>79629.96</v>
      </c>
      <c r="CH95" s="117">
        <f>CH96+CH102+CH108</f>
        <v>0</v>
      </c>
      <c r="CI95" s="117">
        <f>VLOOKUP($C95,'1 预算编制表单'!$C:$BJ,54,FALSE)</f>
        <v>79629.96</v>
      </c>
      <c r="CJ95" s="117">
        <f>CI95-CK95</f>
        <v>79629.96</v>
      </c>
      <c r="CK95" s="117">
        <f>CK96+CK102+CK108</f>
        <v>0</v>
      </c>
      <c r="CL95" s="117">
        <f>VLOOKUP($C95,'1 预算编制表单'!$C:$BJ,57,FALSE)</f>
        <v>79629.96</v>
      </c>
      <c r="CM95" s="117">
        <f>CL95-CN95</f>
        <v>79629.96</v>
      </c>
      <c r="CN95" s="117">
        <f>CN96+CN102+CN108</f>
        <v>0</v>
      </c>
      <c r="CO95" s="117">
        <f>VLOOKUP($C95,'1 预算编制表单'!$C:$BJ,60,FALSE)</f>
        <v>262793.9</v>
      </c>
      <c r="CP95" s="117">
        <f>CO95-CQ95</f>
        <v>262793.9</v>
      </c>
      <c r="CQ95" s="117">
        <f>CQ96+CQ102+CQ108</f>
        <v>0</v>
      </c>
    </row>
    <row r="96" ht="24" customHeight="1" outlineLevel="3" spans="1:95">
      <c r="A96" s="118"/>
      <c r="B96" s="119" t="s">
        <v>799</v>
      </c>
      <c r="C96" s="120" t="s">
        <v>121</v>
      </c>
      <c r="D96" s="118" t="s">
        <v>109</v>
      </c>
      <c r="E96" s="119"/>
      <c r="F96" s="119"/>
      <c r="G96" s="119"/>
      <c r="H96" s="121">
        <f>X96+AA96+AD96+AG96+AJ96+AM96+AP96+AS96+AV96+AY96+BB96+BE96</f>
        <v>1138723.46</v>
      </c>
      <c r="I96" s="121">
        <f>Y96+AB96+AE96+AH96+AK96+AN96+AQ96+AT96+AW96+AZ96+BC96+BF96</f>
        <v>1138723.46</v>
      </c>
      <c r="J96" s="121">
        <f t="shared" si="814"/>
        <v>0</v>
      </c>
      <c r="K96" s="121"/>
      <c r="L96" s="149"/>
      <c r="M96" s="149"/>
      <c r="N96" s="121"/>
      <c r="O96" s="121"/>
      <c r="P96" s="121"/>
      <c r="Q96" s="121"/>
      <c r="R96" s="121"/>
      <c r="S96" s="121"/>
      <c r="T96" s="121"/>
      <c r="U96" s="121"/>
      <c r="V96" s="121"/>
      <c r="W96" s="121"/>
      <c r="X96" s="121">
        <f>VLOOKUP($C96,'1 预算编制表单'!$C:$BJ,27,FALSE)</f>
        <v>79629.96</v>
      </c>
      <c r="Y96" s="121">
        <f>X96-Z96</f>
        <v>79629.96</v>
      </c>
      <c r="Z96" s="121">
        <f>SUM(Z97:Z101)</f>
        <v>0</v>
      </c>
      <c r="AA96" s="121">
        <f>VLOOKUP($C96,'1 预算编制表单'!$C:$BJ,30,FALSE)</f>
        <v>79629.96</v>
      </c>
      <c r="AB96" s="121">
        <f>AA96-AC96</f>
        <v>79629.96</v>
      </c>
      <c r="AC96" s="121">
        <f>SUM(AC97:AC101)</f>
        <v>0</v>
      </c>
      <c r="AD96" s="121">
        <f>VLOOKUP($C96,'1 预算编制表单'!$C:$BJ,33,FALSE)</f>
        <v>79629.96</v>
      </c>
      <c r="AE96" s="121">
        <f>AD96-AF96</f>
        <v>79629.96</v>
      </c>
      <c r="AF96" s="121">
        <f>SUM(AF97:AF101)</f>
        <v>0</v>
      </c>
      <c r="AG96" s="121">
        <f>VLOOKUP($C96,'1 预算编制表单'!$C:$BJ,36,FALSE)</f>
        <v>79629.96</v>
      </c>
      <c r="AH96" s="121">
        <f>AG96-AI96</f>
        <v>79629.96</v>
      </c>
      <c r="AI96" s="121">
        <f>SUM(AI97:AI101)</f>
        <v>0</v>
      </c>
      <c r="AJ96" s="121">
        <f>VLOOKUP($C96,'1 预算编制表单'!$C:$BJ,39,FALSE)</f>
        <v>79629.96</v>
      </c>
      <c r="AK96" s="121">
        <f>AJ96-AL96</f>
        <v>79629.96</v>
      </c>
      <c r="AL96" s="121">
        <f>SUM(AL97:AL101)</f>
        <v>0</v>
      </c>
      <c r="AM96" s="121">
        <f>VLOOKUP($C96,'1 预算编制表单'!$C:$BJ,42,FALSE)</f>
        <v>79629.96</v>
      </c>
      <c r="AN96" s="121">
        <f>AM96-AO96</f>
        <v>79629.96</v>
      </c>
      <c r="AO96" s="121">
        <f>SUM(AO97:AO101)</f>
        <v>0</v>
      </c>
      <c r="AP96" s="121">
        <f>VLOOKUP($C96,'1 预算编制表单'!$C:$BJ,45,FALSE)</f>
        <v>79629.96</v>
      </c>
      <c r="AQ96" s="121">
        <f>AP96-AR96</f>
        <v>79629.96</v>
      </c>
      <c r="AR96" s="121">
        <f>SUM(AR97:AR101)</f>
        <v>0</v>
      </c>
      <c r="AS96" s="121">
        <f>VLOOKUP($C96,'1 预算编制表单'!$C:$BJ,48,FALSE)</f>
        <v>79629.96</v>
      </c>
      <c r="AT96" s="121">
        <f>AS96-AU96</f>
        <v>79629.96</v>
      </c>
      <c r="AU96" s="121">
        <f>SUM(AU97:AU101)</f>
        <v>0</v>
      </c>
      <c r="AV96" s="121">
        <f>VLOOKUP($C96,'1 预算编制表单'!$C:$BJ,51,FALSE)</f>
        <v>79629.96</v>
      </c>
      <c r="AW96" s="121">
        <f>AV96-AX96</f>
        <v>79629.96</v>
      </c>
      <c r="AX96" s="121">
        <f>SUM(AX97:AX101)</f>
        <v>0</v>
      </c>
      <c r="AY96" s="121">
        <f>VLOOKUP($C96,'1 预算编制表单'!$C:$BJ,54,FALSE)</f>
        <v>79629.96</v>
      </c>
      <c r="AZ96" s="121">
        <f>AY96-BA96</f>
        <v>79629.96</v>
      </c>
      <c r="BA96" s="121">
        <f>SUM(BA97:BA101)</f>
        <v>0</v>
      </c>
      <c r="BB96" s="121">
        <f>VLOOKUP($C96,'1 预算编制表单'!$C:$BJ,57,FALSE)</f>
        <v>79629.96</v>
      </c>
      <c r="BC96" s="121">
        <f>BB96-BD96</f>
        <v>79629.96</v>
      </c>
      <c r="BD96" s="121">
        <f>SUM(BD97:BD101)</f>
        <v>0</v>
      </c>
      <c r="BE96" s="121">
        <f>VLOOKUP($C96,'1 预算编制表单'!$C:$BJ,60,FALSE)</f>
        <v>262793.9</v>
      </c>
      <c r="BF96" s="121">
        <f>BE96-BG96</f>
        <v>262793.9</v>
      </c>
      <c r="BG96" s="121">
        <f>SUM(BG97:BG101)</f>
        <v>0</v>
      </c>
      <c r="BH96" s="121">
        <f>VLOOKUP($C96,'1 预算编制表单'!$C:$BJ,27,FALSE)</f>
        <v>79629.96</v>
      </c>
      <c r="BI96" s="121">
        <f>BH96-BJ96</f>
        <v>79629.96</v>
      </c>
      <c r="BJ96" s="121">
        <f>SUM(BJ97:BJ101)</f>
        <v>0</v>
      </c>
      <c r="BK96" s="121">
        <f>VLOOKUP($C96,'1 预算编制表单'!$C:$BJ,30,FALSE)</f>
        <v>79629.96</v>
      </c>
      <c r="BL96" s="121">
        <f>BK96-BM96</f>
        <v>79629.96</v>
      </c>
      <c r="BM96" s="121">
        <f>SUM(BM97:BM101)</f>
        <v>0</v>
      </c>
      <c r="BN96" s="121">
        <f>VLOOKUP($C96,'1 预算编制表单'!$C:$BJ,33,FALSE)</f>
        <v>79629.96</v>
      </c>
      <c r="BO96" s="121">
        <f>BN96-BP96</f>
        <v>79629.96</v>
      </c>
      <c r="BP96" s="121">
        <f>SUM(BP97:BP101)</f>
        <v>0</v>
      </c>
      <c r="BQ96" s="121">
        <f>VLOOKUP($C96,'1 预算编制表单'!$C:$BJ,36,FALSE)</f>
        <v>79629.96</v>
      </c>
      <c r="BR96" s="121">
        <f>BQ96-BS96</f>
        <v>79629.96</v>
      </c>
      <c r="BS96" s="121">
        <f>SUM(BS97:BS101)</f>
        <v>0</v>
      </c>
      <c r="BT96" s="121">
        <f>VLOOKUP($C96,'1 预算编制表单'!$C:$BJ,39,FALSE)</f>
        <v>79629.96</v>
      </c>
      <c r="BU96" s="121">
        <f>BT96-BV96</f>
        <v>79629.96</v>
      </c>
      <c r="BV96" s="121">
        <f>SUM(BV97:BV101)</f>
        <v>0</v>
      </c>
      <c r="BW96" s="121">
        <f>VLOOKUP($C96,'1 预算编制表单'!$C:$BJ,42,FALSE)</f>
        <v>79629.96</v>
      </c>
      <c r="BX96" s="121">
        <f>BW96-BY96</f>
        <v>79629.96</v>
      </c>
      <c r="BY96" s="121">
        <f>SUM(BY97:BY101)</f>
        <v>0</v>
      </c>
      <c r="BZ96" s="121">
        <f>VLOOKUP($C96,'1 预算编制表单'!$C:$BJ,45,FALSE)</f>
        <v>79629.96</v>
      </c>
      <c r="CA96" s="121">
        <f>BZ96-CB96</f>
        <v>79629.96</v>
      </c>
      <c r="CB96" s="121">
        <f>SUM(CB97:CB101)</f>
        <v>0</v>
      </c>
      <c r="CC96" s="121">
        <f>VLOOKUP($C96,'1 预算编制表单'!$C:$BJ,48,FALSE)</f>
        <v>79629.96</v>
      </c>
      <c r="CD96" s="121">
        <f>CC96-CE96</f>
        <v>79629.96</v>
      </c>
      <c r="CE96" s="121">
        <f>SUM(CE97:CE101)</f>
        <v>0</v>
      </c>
      <c r="CF96" s="121">
        <f>VLOOKUP($C96,'1 预算编制表单'!$C:$BJ,51,FALSE)</f>
        <v>79629.96</v>
      </c>
      <c r="CG96" s="121">
        <f>CF96-CH96</f>
        <v>79629.96</v>
      </c>
      <c r="CH96" s="121">
        <f>SUM(CH97:CH101)</f>
        <v>0</v>
      </c>
      <c r="CI96" s="121">
        <f>VLOOKUP($C96,'1 预算编制表单'!$C:$BJ,54,FALSE)</f>
        <v>79629.96</v>
      </c>
      <c r="CJ96" s="121">
        <f>CI96-CK96</f>
        <v>79629.96</v>
      </c>
      <c r="CK96" s="121">
        <f>SUM(CK97:CK101)</f>
        <v>0</v>
      </c>
      <c r="CL96" s="121">
        <f>VLOOKUP($C96,'1 预算编制表单'!$C:$BJ,57,FALSE)</f>
        <v>79629.96</v>
      </c>
      <c r="CM96" s="121">
        <f>CL96-CN96</f>
        <v>79629.96</v>
      </c>
      <c r="CN96" s="121">
        <f>SUM(CN97:CN101)</f>
        <v>0</v>
      </c>
      <c r="CO96" s="121">
        <f>VLOOKUP($C96,'1 预算编制表单'!$C:$BJ,60,FALSE)</f>
        <v>262793.9</v>
      </c>
      <c r="CP96" s="121">
        <f>CO96-CQ96</f>
        <v>262793.9</v>
      </c>
      <c r="CQ96" s="121">
        <f>SUM(CQ97:CQ101)</f>
        <v>0</v>
      </c>
    </row>
    <row r="97" s="83" customFormat="1" ht="24" customHeight="1" outlineLevel="4" spans="1:95">
      <c r="A97" s="122"/>
      <c r="B97" s="123"/>
      <c r="C97" s="124"/>
      <c r="D97" s="122"/>
      <c r="E97" s="123"/>
      <c r="F97" s="123"/>
      <c r="G97" s="123"/>
      <c r="H97" s="125"/>
      <c r="I97" s="125"/>
      <c r="J97" s="125">
        <f t="shared" si="814"/>
        <v>0</v>
      </c>
      <c r="K97" s="125">
        <v>1</v>
      </c>
      <c r="L97" s="150"/>
      <c r="M97" s="151">
        <f>IFERROR(VLOOKUP($L97,'2-2 引出数据_合同数据仓库'!$B$2:$BP$1000,3,FALSE),0)</f>
        <v>0</v>
      </c>
      <c r="N97" s="125"/>
      <c r="O97" s="151">
        <f>IFERROR(VLOOKUP((LEFT(VLOOKUP($L97,'2-2 引出数据_合同数据仓库'!$B$2:$BP$1000,64,FALSE),15)&amp;(RIGHT(VLOOKUP($L97,'2-2 引出数据_合同数据仓库'!$B$2:$BP$1000,64,FALSE),4)+1)),'2-2 引出数据_合同数据仓库'!$B$2:$BP$1000,3,FALSE),0)</f>
        <v>0</v>
      </c>
      <c r="P97" s="125"/>
      <c r="Q97" s="125">
        <f>IFERROR(VLOOKUP($L97,'2-2 引出数据_合同数据仓库'!$B$2:$BP$1000,28,FALSE),0)</f>
        <v>0</v>
      </c>
      <c r="R97" s="125">
        <f>IFERROR(VLOOKUP($L97,'2-2 引出数据_合同数据仓库'!$B$2:$BP$1000,29,FALSE),0)</f>
        <v>0</v>
      </c>
      <c r="S97" s="125">
        <f>IFERROR(VLOOKUP($L97,'2-2 引出数据_合同数据仓库'!$B$2:$BP$1000,4,FALSE),0)</f>
        <v>0</v>
      </c>
      <c r="T97" s="125"/>
      <c r="U97" s="125">
        <f>IFERROR(VLOOKUP($L97,'2-2 引出数据_合同数据仓库'!$B$2:$BP$1000,15,FALSE),0)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引出数据_合同数据仓库'!$B$2:$BP$1000,3,FALSE),0)</f>
        <v>0</v>
      </c>
      <c r="N98" s="125"/>
      <c r="O98" s="151">
        <f>IFERROR(VLOOKUP((LEFT(VLOOKUP($L98,'2-2 引出数据_合同数据仓库'!$B$2:$BP$1000,64,FALSE),15)&amp;(RIGHT(VLOOKUP($L98,'2-2 引出数据_合同数据仓库'!$B$2:$BP$1000,64,FALSE),4)+1)),'2-2 引出数据_合同数据仓库'!$B$2:$BP$1000,3,FALSE),0)</f>
        <v>0</v>
      </c>
      <c r="P98" s="125"/>
      <c r="Q98" s="125">
        <f>IFERROR(VLOOKUP($L98,'2-2 引出数据_合同数据仓库'!$B$2:$BP$1000,28,FALSE),0)</f>
        <v>0</v>
      </c>
      <c r="R98" s="125">
        <f>IFERROR(VLOOKUP($L98,'2-2 引出数据_合同数据仓库'!$B$2:$BP$1000,29,FALSE),0)</f>
        <v>0</v>
      </c>
      <c r="S98" s="125">
        <f>IFERROR(VLOOKUP($L98,'2-2 引出数据_合同数据仓库'!$B$2:$BP$1000,4,FALSE),0)</f>
        <v>0</v>
      </c>
      <c r="T98" s="125"/>
      <c r="U98" s="125">
        <f>IFERROR(VLOOKUP($L98,'2-2 引出数据_合同数据仓库'!$B$2:$BP$1000,15,FALSE),0)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引出数据_合同数据仓库'!$B$2:$BP$1000,3,FALSE),0)</f>
        <v>0</v>
      </c>
      <c r="N99" s="125"/>
      <c r="O99" s="151">
        <f>IFERROR(VLOOKUP((LEFT(VLOOKUP($L99,'2-2 引出数据_合同数据仓库'!$B$2:$BP$1000,64,FALSE),15)&amp;(RIGHT(VLOOKUP($L99,'2-2 引出数据_合同数据仓库'!$B$2:$BP$1000,64,FALSE),4)+1)),'2-2 引出数据_合同数据仓库'!$B$2:$BP$1000,3,FALSE),0)</f>
        <v>0</v>
      </c>
      <c r="P99" s="125"/>
      <c r="Q99" s="125">
        <f>IFERROR(VLOOKUP($L99,'2-2 引出数据_合同数据仓库'!$B$2:$BP$1000,28,FALSE),0)</f>
        <v>0</v>
      </c>
      <c r="R99" s="125">
        <f>IFERROR(VLOOKUP($L99,'2-2 引出数据_合同数据仓库'!$B$2:$BP$1000,29,FALSE),0)</f>
        <v>0</v>
      </c>
      <c r="S99" s="125">
        <f>IFERROR(VLOOKUP($L99,'2-2 引出数据_合同数据仓库'!$B$2:$BP$1000,4,FALSE),0)</f>
        <v>0</v>
      </c>
      <c r="T99" s="125"/>
      <c r="U99" s="125">
        <f>IFERROR(VLOOKUP($L99,'2-2 引出数据_合同数据仓库'!$B$2:$BP$1000,15,FALSE),0)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引出数据_合同数据仓库'!$B$2:$BP$1000,3,FALSE),0)</f>
        <v>0</v>
      </c>
      <c r="N100" s="125"/>
      <c r="O100" s="151">
        <f>IFERROR(VLOOKUP((LEFT(VLOOKUP($L100,'2-2 引出数据_合同数据仓库'!$B$2:$BP$1000,64,FALSE),15)&amp;(RIGHT(VLOOKUP($L100,'2-2 引出数据_合同数据仓库'!$B$2:$BP$1000,64,FALSE),4)+1)),'2-2 引出数据_合同数据仓库'!$B$2:$BP$1000,3,FALSE),0)</f>
        <v>0</v>
      </c>
      <c r="P100" s="125"/>
      <c r="Q100" s="125">
        <f>IFERROR(VLOOKUP($L100,'2-2 引出数据_合同数据仓库'!$B$2:$BP$1000,28,FALSE),0)</f>
        <v>0</v>
      </c>
      <c r="R100" s="125">
        <f>IFERROR(VLOOKUP($L100,'2-2 引出数据_合同数据仓库'!$B$2:$BP$1000,29,FALSE),0)</f>
        <v>0</v>
      </c>
      <c r="S100" s="125">
        <f>IFERROR(VLOOKUP($L100,'2-2 引出数据_合同数据仓库'!$B$2:$BP$1000,4,FALSE),0)</f>
        <v>0</v>
      </c>
      <c r="T100" s="125"/>
      <c r="U100" s="125">
        <f>IFERROR(VLOOKUP($L100,'2-2 引出数据_合同数据仓库'!$B$2:$BP$1000,15,FALSE),0)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customHeight="1" outlineLevel="4" spans="1:95">
      <c r="A101" s="126" t="s">
        <v>2821</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customHeight="1" outlineLevel="3" spans="1:95">
      <c r="A102" s="118"/>
      <c r="B102" s="119" t="s">
        <v>799</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引出数据_合同数据仓库'!$B$2:$BP$1000,3,FALSE),0)</f>
        <v>0</v>
      </c>
      <c r="N103" s="125"/>
      <c r="O103" s="151">
        <f>IFERROR(VLOOKUP((LEFT(VLOOKUP($L103,'2-2 引出数据_合同数据仓库'!$B$2:$BP$1000,64,FALSE),15)&amp;(RIGHT(VLOOKUP($L103,'2-2 引出数据_合同数据仓库'!$B$2:$BP$1000,64,FALSE),4)+1)),'2-2 引出数据_合同数据仓库'!$B$2:$BP$1000,3,FALSE),0)</f>
        <v>0</v>
      </c>
      <c r="P103" s="125"/>
      <c r="Q103" s="125">
        <f>IFERROR(VLOOKUP($L103,'2-2 引出数据_合同数据仓库'!$B$2:$BP$1000,28,FALSE),0)</f>
        <v>0</v>
      </c>
      <c r="R103" s="125">
        <f>IFERROR(VLOOKUP($L103,'2-2 引出数据_合同数据仓库'!$B$2:$BP$1000,29,FALSE),0)</f>
        <v>0</v>
      </c>
      <c r="S103" s="125">
        <f>IFERROR(VLOOKUP($L103,'2-2 引出数据_合同数据仓库'!$B$2:$BP$1000,4,FALSE),0)</f>
        <v>0</v>
      </c>
      <c r="T103" s="125"/>
      <c r="U103" s="125">
        <f>IFERROR(VLOOKUP($L103,'2-2 引出数据_合同数据仓库'!$B$2:$BP$1000,15,FALSE),0)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引出数据_合同数据仓库'!$B$2:$BP$1000,3,FALSE),0)</f>
        <v>0</v>
      </c>
      <c r="N104" s="125"/>
      <c r="O104" s="151">
        <f>IFERROR(VLOOKUP((LEFT(VLOOKUP($L104,'2-2 引出数据_合同数据仓库'!$B$2:$BP$1000,64,FALSE),15)&amp;(RIGHT(VLOOKUP($L104,'2-2 引出数据_合同数据仓库'!$B$2:$BP$1000,64,FALSE),4)+1)),'2-2 引出数据_合同数据仓库'!$B$2:$BP$1000,3,FALSE),0)</f>
        <v>0</v>
      </c>
      <c r="P104" s="125"/>
      <c r="Q104" s="125">
        <f>IFERROR(VLOOKUP($L104,'2-2 引出数据_合同数据仓库'!$B$2:$BP$1000,28,FALSE),0)</f>
        <v>0</v>
      </c>
      <c r="R104" s="125">
        <f>IFERROR(VLOOKUP($L104,'2-2 引出数据_合同数据仓库'!$B$2:$BP$1000,29,FALSE),0)</f>
        <v>0</v>
      </c>
      <c r="S104" s="125">
        <f>IFERROR(VLOOKUP($L104,'2-2 引出数据_合同数据仓库'!$B$2:$BP$1000,4,FALSE),0)</f>
        <v>0</v>
      </c>
      <c r="T104" s="125"/>
      <c r="U104" s="125">
        <f>IFERROR(VLOOKUP($L104,'2-2 引出数据_合同数据仓库'!$B$2:$BP$1000,15,FALSE),0)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引出数据_合同数据仓库'!$B$2:$BP$1000,3,FALSE),0)</f>
        <v>0</v>
      </c>
      <c r="N105" s="125"/>
      <c r="O105" s="151">
        <f>IFERROR(VLOOKUP((LEFT(VLOOKUP($L105,'2-2 引出数据_合同数据仓库'!$B$2:$BP$1000,64,FALSE),15)&amp;(RIGHT(VLOOKUP($L105,'2-2 引出数据_合同数据仓库'!$B$2:$BP$1000,64,FALSE),4)+1)),'2-2 引出数据_合同数据仓库'!$B$2:$BP$1000,3,FALSE),0)</f>
        <v>0</v>
      </c>
      <c r="P105" s="125"/>
      <c r="Q105" s="125">
        <f>IFERROR(VLOOKUP($L105,'2-2 引出数据_合同数据仓库'!$B$2:$BP$1000,28,FALSE),0)</f>
        <v>0</v>
      </c>
      <c r="R105" s="125">
        <f>IFERROR(VLOOKUP($L105,'2-2 引出数据_合同数据仓库'!$B$2:$BP$1000,29,FALSE),0)</f>
        <v>0</v>
      </c>
      <c r="S105" s="125">
        <f>IFERROR(VLOOKUP($L105,'2-2 引出数据_合同数据仓库'!$B$2:$BP$1000,4,FALSE),0)</f>
        <v>0</v>
      </c>
      <c r="T105" s="125"/>
      <c r="U105" s="125">
        <f>IFERROR(VLOOKUP($L105,'2-2 引出数据_合同数据仓库'!$B$2:$BP$1000,15,FALSE),0)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引出数据_合同数据仓库'!$B$2:$BP$1000,3,FALSE),0)</f>
        <v>0</v>
      </c>
      <c r="N106" s="125"/>
      <c r="O106" s="151">
        <f>IFERROR(VLOOKUP((LEFT(VLOOKUP($L106,'2-2 引出数据_合同数据仓库'!$B$2:$BP$1000,64,FALSE),15)&amp;(RIGHT(VLOOKUP($L106,'2-2 引出数据_合同数据仓库'!$B$2:$BP$1000,64,FALSE),4)+1)),'2-2 引出数据_合同数据仓库'!$B$2:$BP$1000,3,FALSE),0)</f>
        <v>0</v>
      </c>
      <c r="P106" s="125"/>
      <c r="Q106" s="125">
        <f>IFERROR(VLOOKUP($L106,'2-2 引出数据_合同数据仓库'!$B$2:$BP$1000,28,FALSE),0)</f>
        <v>0</v>
      </c>
      <c r="R106" s="125">
        <f>IFERROR(VLOOKUP($L106,'2-2 引出数据_合同数据仓库'!$B$2:$BP$1000,29,FALSE),0)</f>
        <v>0</v>
      </c>
      <c r="S106" s="125">
        <f>IFERROR(VLOOKUP($L106,'2-2 引出数据_合同数据仓库'!$B$2:$BP$1000,4,FALSE),0)</f>
        <v>0</v>
      </c>
      <c r="T106" s="125"/>
      <c r="U106" s="125">
        <f>IFERROR(VLOOKUP($L106,'2-2 引出数据_合同数据仓库'!$B$2:$BP$1000,15,FALSE),0)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customHeight="1" outlineLevel="4" spans="1:95">
      <c r="A107" s="126" t="s">
        <v>2821</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customHeight="1" outlineLevel="3" spans="1:95">
      <c r="A108" s="118"/>
      <c r="B108" s="119" t="s">
        <v>799</v>
      </c>
      <c r="C108" s="120" t="s">
        <v>1056</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引出数据_合同数据仓库'!$B$2:$BP$1000,3,FALSE),0)</f>
        <v>0</v>
      </c>
      <c r="N109" s="125"/>
      <c r="O109" s="151">
        <f>IFERROR(VLOOKUP((LEFT(VLOOKUP($L109,'2-2 引出数据_合同数据仓库'!$B$2:$BP$1000,64,FALSE),15)&amp;(RIGHT(VLOOKUP($L109,'2-2 引出数据_合同数据仓库'!$B$2:$BP$1000,64,FALSE),4)+1)),'2-2 引出数据_合同数据仓库'!$B$2:$BP$1000,3,FALSE),0)</f>
        <v>0</v>
      </c>
      <c r="P109" s="125"/>
      <c r="Q109" s="125">
        <f>IFERROR(VLOOKUP($L109,'2-2 引出数据_合同数据仓库'!$B$2:$BP$1000,28,FALSE),0)</f>
        <v>0</v>
      </c>
      <c r="R109" s="125">
        <f>IFERROR(VLOOKUP($L109,'2-2 引出数据_合同数据仓库'!$B$2:$BP$1000,29,FALSE),0)</f>
        <v>0</v>
      </c>
      <c r="S109" s="125">
        <f>IFERROR(VLOOKUP($L109,'2-2 引出数据_合同数据仓库'!$B$2:$BP$1000,4,FALSE),0)</f>
        <v>0</v>
      </c>
      <c r="T109" s="125"/>
      <c r="U109" s="125">
        <f>IFERROR(VLOOKUP($L109,'2-2 引出数据_合同数据仓库'!$B$2:$BP$1000,15,FALSE),0)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引出数据_合同数据仓库'!$B$2:$BP$1000,3,FALSE),0)</f>
        <v>0</v>
      </c>
      <c r="N110" s="125"/>
      <c r="O110" s="151">
        <f>IFERROR(VLOOKUP((LEFT(VLOOKUP($L110,'2-2 引出数据_合同数据仓库'!$B$2:$BP$1000,64,FALSE),15)&amp;(RIGHT(VLOOKUP($L110,'2-2 引出数据_合同数据仓库'!$B$2:$BP$1000,64,FALSE),4)+1)),'2-2 引出数据_合同数据仓库'!$B$2:$BP$1000,3,FALSE),0)</f>
        <v>0</v>
      </c>
      <c r="P110" s="125"/>
      <c r="Q110" s="125">
        <f>IFERROR(VLOOKUP($L110,'2-2 引出数据_合同数据仓库'!$B$2:$BP$1000,28,FALSE),0)</f>
        <v>0</v>
      </c>
      <c r="R110" s="125">
        <f>IFERROR(VLOOKUP($L110,'2-2 引出数据_合同数据仓库'!$B$2:$BP$1000,29,FALSE),0)</f>
        <v>0</v>
      </c>
      <c r="S110" s="125">
        <f>IFERROR(VLOOKUP($L110,'2-2 引出数据_合同数据仓库'!$B$2:$BP$1000,4,FALSE),0)</f>
        <v>0</v>
      </c>
      <c r="T110" s="125"/>
      <c r="U110" s="125">
        <f>IFERROR(VLOOKUP($L110,'2-2 引出数据_合同数据仓库'!$B$2:$BP$1000,15,FALSE),0)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引出数据_合同数据仓库'!$B$2:$BP$1000,3,FALSE),0)</f>
        <v>0</v>
      </c>
      <c r="N111" s="125"/>
      <c r="O111" s="151">
        <f>IFERROR(VLOOKUP((LEFT(VLOOKUP($L111,'2-2 引出数据_合同数据仓库'!$B$2:$BP$1000,64,FALSE),15)&amp;(RIGHT(VLOOKUP($L111,'2-2 引出数据_合同数据仓库'!$B$2:$BP$1000,64,FALSE),4)+1)),'2-2 引出数据_合同数据仓库'!$B$2:$BP$1000,3,FALSE),0)</f>
        <v>0</v>
      </c>
      <c r="P111" s="125"/>
      <c r="Q111" s="125">
        <f>IFERROR(VLOOKUP($L111,'2-2 引出数据_合同数据仓库'!$B$2:$BP$1000,28,FALSE),0)</f>
        <v>0</v>
      </c>
      <c r="R111" s="125">
        <f>IFERROR(VLOOKUP($L111,'2-2 引出数据_合同数据仓库'!$B$2:$BP$1000,29,FALSE),0)</f>
        <v>0</v>
      </c>
      <c r="S111" s="125">
        <f>IFERROR(VLOOKUP($L111,'2-2 引出数据_合同数据仓库'!$B$2:$BP$1000,4,FALSE),0)</f>
        <v>0</v>
      </c>
      <c r="T111" s="125"/>
      <c r="U111" s="125">
        <f>IFERROR(VLOOKUP($L111,'2-2 引出数据_合同数据仓库'!$B$2:$BP$1000,15,FALSE),0)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引出数据_合同数据仓库'!$B$2:$BP$1000,3,FALSE),0)</f>
        <v>0</v>
      </c>
      <c r="N112" s="125"/>
      <c r="O112" s="151">
        <f>IFERROR(VLOOKUP((LEFT(VLOOKUP($L112,'2-2 引出数据_合同数据仓库'!$B$2:$BP$1000,64,FALSE),15)&amp;(RIGHT(VLOOKUP($L112,'2-2 引出数据_合同数据仓库'!$B$2:$BP$1000,64,FALSE),4)+1)),'2-2 引出数据_合同数据仓库'!$B$2:$BP$1000,3,FALSE),0)</f>
        <v>0</v>
      </c>
      <c r="P112" s="125"/>
      <c r="Q112" s="125">
        <f>IFERROR(VLOOKUP($L112,'2-2 引出数据_合同数据仓库'!$B$2:$BP$1000,28,FALSE),0)</f>
        <v>0</v>
      </c>
      <c r="R112" s="125">
        <f>IFERROR(VLOOKUP($L112,'2-2 引出数据_合同数据仓库'!$B$2:$BP$1000,29,FALSE),0)</f>
        <v>0</v>
      </c>
      <c r="S112" s="125">
        <f>IFERROR(VLOOKUP($L112,'2-2 引出数据_合同数据仓库'!$B$2:$BP$1000,4,FALSE),0)</f>
        <v>0</v>
      </c>
      <c r="T112" s="125"/>
      <c r="U112" s="125">
        <f>IFERROR(VLOOKUP($L112,'2-2 引出数据_合同数据仓库'!$B$2:$BP$1000,15,FALSE),0)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customHeight="1" outlineLevel="4" spans="1:95">
      <c r="A113" s="126" t="s">
        <v>2821</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customHeight="1" outlineLevel="2" spans="1:95">
      <c r="A114" s="47"/>
      <c r="B114" s="115" t="s">
        <v>794</v>
      </c>
      <c r="C114" s="116" t="s">
        <v>1066</v>
      </c>
      <c r="D114" s="47" t="s">
        <v>1067</v>
      </c>
      <c r="E114" s="115"/>
      <c r="F114" s="115"/>
      <c r="G114" s="115"/>
      <c r="H114" s="117">
        <f>X114+AA114+AD114+AG114+AJ114+AM114+AP114+AS114+AV114+AY114+BB114+BE114</f>
        <v>7991805.48</v>
      </c>
      <c r="I114" s="117">
        <f>Y114+AB114+AE114+AH114+AK114+AN114+AQ114+AT114+AW114+AZ114+BC114+BF114</f>
        <v>7991805.48</v>
      </c>
      <c r="J114" s="117">
        <f t="shared" si="814"/>
        <v>0</v>
      </c>
      <c r="K114" s="117"/>
      <c r="L114" s="148"/>
      <c r="M114" s="148"/>
      <c r="N114" s="117"/>
      <c r="O114" s="117"/>
      <c r="P114" s="117"/>
      <c r="Q114" s="117"/>
      <c r="R114" s="117"/>
      <c r="S114" s="117"/>
      <c r="T114" s="117"/>
      <c r="U114" s="117"/>
      <c r="V114" s="117"/>
      <c r="W114" s="117"/>
      <c r="X114" s="117">
        <f>VLOOKUP($C114,'1 预算编制表单'!$C:$BJ,27,FALSE)</f>
        <v>654241.14</v>
      </c>
      <c r="Y114" s="117">
        <f>X114-Z114</f>
        <v>654241.14</v>
      </c>
      <c r="Z114" s="117">
        <f>Z115+Z121+Z127+Z133</f>
        <v>0</v>
      </c>
      <c r="AA114" s="117">
        <f>VLOOKUP($C114,'1 预算编制表单'!$C:$BJ,30,FALSE)</f>
        <v>654241.14</v>
      </c>
      <c r="AB114" s="117">
        <f>AA114-AC114</f>
        <v>654241.14</v>
      </c>
      <c r="AC114" s="117">
        <f>AC115+AC121+AC127+AC133</f>
        <v>0</v>
      </c>
      <c r="AD114" s="117">
        <f>VLOOKUP($C114,'1 预算编制表单'!$C:$BJ,33,FALSE)</f>
        <v>654241.14</v>
      </c>
      <c r="AE114" s="117">
        <f>AD114-AF114</f>
        <v>654241.14</v>
      </c>
      <c r="AF114" s="117">
        <f>AF115+AF121+AF127+AF133</f>
        <v>0</v>
      </c>
      <c r="AG114" s="117">
        <f>VLOOKUP($C114,'1 预算编制表单'!$C:$BJ,36,FALSE)</f>
        <v>654241.14</v>
      </c>
      <c r="AH114" s="117">
        <f>AG114-AI114</f>
        <v>654241.14</v>
      </c>
      <c r="AI114" s="117">
        <f>AI115+AI121+AI127+AI133</f>
        <v>0</v>
      </c>
      <c r="AJ114" s="117">
        <f>VLOOKUP($C114,'1 预算编制表单'!$C:$BJ,39,FALSE)</f>
        <v>654241.14</v>
      </c>
      <c r="AK114" s="117">
        <f>AJ114-AL114</f>
        <v>654241.14</v>
      </c>
      <c r="AL114" s="117">
        <f>AL115+AL121+AL127+AL133</f>
        <v>0</v>
      </c>
      <c r="AM114" s="117">
        <f>VLOOKUP($C114,'1 预算编制表单'!$C:$BJ,42,FALSE)</f>
        <v>654241.14</v>
      </c>
      <c r="AN114" s="117">
        <f>AM114-AO114</f>
        <v>654241.14</v>
      </c>
      <c r="AO114" s="117">
        <f>AO115+AO121+AO127+AO133</f>
        <v>0</v>
      </c>
      <c r="AP114" s="117">
        <f>VLOOKUP($C114,'1 预算编制表单'!$C:$BJ,45,FALSE)</f>
        <v>654241.14</v>
      </c>
      <c r="AQ114" s="117">
        <f>AP114-AR114</f>
        <v>654241.14</v>
      </c>
      <c r="AR114" s="117">
        <f>AR115+AR121+AR127+AR133</f>
        <v>0</v>
      </c>
      <c r="AS114" s="117">
        <f>VLOOKUP($C114,'1 预算编制表单'!$C:$BJ,48,FALSE)</f>
        <v>654241.14</v>
      </c>
      <c r="AT114" s="117">
        <f>AS114-AU114</f>
        <v>654241.14</v>
      </c>
      <c r="AU114" s="117">
        <f>AU115+AU121+AU127+AU133</f>
        <v>0</v>
      </c>
      <c r="AV114" s="117">
        <f>VLOOKUP($C114,'1 预算编制表单'!$C:$BJ,51,FALSE)</f>
        <v>654241.14</v>
      </c>
      <c r="AW114" s="117">
        <f>AV114-AX114</f>
        <v>654241.14</v>
      </c>
      <c r="AX114" s="117">
        <f>AX115+AX121+AX127+AX133</f>
        <v>0</v>
      </c>
      <c r="AY114" s="117">
        <f>VLOOKUP($C114,'1 预算编制表单'!$C:$BJ,54,FALSE)</f>
        <v>654241.14</v>
      </c>
      <c r="AZ114" s="117">
        <f>AY114-BA114</f>
        <v>654241.14</v>
      </c>
      <c r="BA114" s="117">
        <f>BA115+BA121+BA127+BA133</f>
        <v>0</v>
      </c>
      <c r="BB114" s="117">
        <f>VLOOKUP($C114,'1 预算编制表单'!$C:$BJ,57,FALSE)</f>
        <v>654241.14</v>
      </c>
      <c r="BC114" s="117">
        <f>BB114-BD114</f>
        <v>654241.14</v>
      </c>
      <c r="BD114" s="117">
        <f>BD115+BD121+BD127+BD133</f>
        <v>0</v>
      </c>
      <c r="BE114" s="117">
        <f>VLOOKUP($C114,'1 预算编制表单'!$C:$BJ,60,FALSE)</f>
        <v>795152.94</v>
      </c>
      <c r="BF114" s="117">
        <f>BE114-BG114</f>
        <v>795152.94</v>
      </c>
      <c r="BG114" s="117">
        <f>BG115+BG121+BG127+BG133</f>
        <v>0</v>
      </c>
      <c r="BH114" s="117">
        <f>VLOOKUP($C114,'1 预算编制表单'!$C:$BJ,27,FALSE)</f>
        <v>654241.14</v>
      </c>
      <c r="BI114" s="117">
        <f>BH114-BJ114</f>
        <v>654241.14</v>
      </c>
      <c r="BJ114" s="117">
        <f>BJ115+BJ121+BJ127+BJ133</f>
        <v>0</v>
      </c>
      <c r="BK114" s="117">
        <f>VLOOKUP($C114,'1 预算编制表单'!$C:$BJ,30,FALSE)</f>
        <v>654241.14</v>
      </c>
      <c r="BL114" s="117">
        <f>BK114-BM114</f>
        <v>654241.14</v>
      </c>
      <c r="BM114" s="117">
        <f>BM115+BM121+BM127+BM133</f>
        <v>0</v>
      </c>
      <c r="BN114" s="117">
        <f>VLOOKUP($C114,'1 预算编制表单'!$C:$BJ,33,FALSE)</f>
        <v>654241.14</v>
      </c>
      <c r="BO114" s="117">
        <f>BN114-BP114</f>
        <v>654241.14</v>
      </c>
      <c r="BP114" s="117">
        <f>BP115+BP121+BP127+BP133</f>
        <v>0</v>
      </c>
      <c r="BQ114" s="117">
        <f>VLOOKUP($C114,'1 预算编制表单'!$C:$BJ,36,FALSE)</f>
        <v>654241.14</v>
      </c>
      <c r="BR114" s="117">
        <f>BQ114-BS114</f>
        <v>654241.14</v>
      </c>
      <c r="BS114" s="117">
        <f>BS115+BS121+BS127+BS133</f>
        <v>0</v>
      </c>
      <c r="BT114" s="117">
        <f>VLOOKUP($C114,'1 预算编制表单'!$C:$BJ,39,FALSE)</f>
        <v>654241.14</v>
      </c>
      <c r="BU114" s="117">
        <f>BT114-BV114</f>
        <v>654241.14</v>
      </c>
      <c r="BV114" s="117">
        <f>BV115+BV121+BV127+BV133</f>
        <v>0</v>
      </c>
      <c r="BW114" s="117">
        <f>VLOOKUP($C114,'1 预算编制表单'!$C:$BJ,42,FALSE)</f>
        <v>654241.14</v>
      </c>
      <c r="BX114" s="117">
        <f>BW114-BY114</f>
        <v>654241.14</v>
      </c>
      <c r="BY114" s="117">
        <f>BY115+BY121+BY127+BY133</f>
        <v>0</v>
      </c>
      <c r="BZ114" s="117">
        <f>VLOOKUP($C114,'1 预算编制表单'!$C:$BJ,45,FALSE)</f>
        <v>654241.14</v>
      </c>
      <c r="CA114" s="117">
        <f>BZ114-CB114</f>
        <v>654241.14</v>
      </c>
      <c r="CB114" s="117">
        <f>CB115+CB121+CB127+CB133</f>
        <v>0</v>
      </c>
      <c r="CC114" s="117">
        <f>VLOOKUP($C114,'1 预算编制表单'!$C:$BJ,48,FALSE)</f>
        <v>654241.14</v>
      </c>
      <c r="CD114" s="117">
        <f>CC114-CE114</f>
        <v>654241.14</v>
      </c>
      <c r="CE114" s="117">
        <f>CE115+CE121+CE127+CE133</f>
        <v>0</v>
      </c>
      <c r="CF114" s="117">
        <f>VLOOKUP($C114,'1 预算编制表单'!$C:$BJ,51,FALSE)</f>
        <v>654241.14</v>
      </c>
      <c r="CG114" s="117">
        <f>CF114-CH114</f>
        <v>654241.14</v>
      </c>
      <c r="CH114" s="117">
        <f>CH115+CH121+CH127+CH133</f>
        <v>0</v>
      </c>
      <c r="CI114" s="117">
        <f>VLOOKUP($C114,'1 预算编制表单'!$C:$BJ,54,FALSE)</f>
        <v>654241.14</v>
      </c>
      <c r="CJ114" s="117">
        <f>CI114-CK114</f>
        <v>654241.14</v>
      </c>
      <c r="CK114" s="117">
        <f>CK115+CK121+CK127+CK133</f>
        <v>0</v>
      </c>
      <c r="CL114" s="117">
        <f>VLOOKUP($C114,'1 预算编制表单'!$C:$BJ,57,FALSE)</f>
        <v>654241.14</v>
      </c>
      <c r="CM114" s="117">
        <f>CL114-CN114</f>
        <v>654241.14</v>
      </c>
      <c r="CN114" s="117">
        <f>CN115+CN121+CN127+CN133</f>
        <v>0</v>
      </c>
      <c r="CO114" s="117">
        <f>VLOOKUP($C114,'1 预算编制表单'!$C:$BJ,60,FALSE)</f>
        <v>795152.94</v>
      </c>
      <c r="CP114" s="117">
        <f>CO114-CQ114</f>
        <v>795152.94</v>
      </c>
      <c r="CQ114" s="117">
        <f>CQ115+CQ121+CQ127+CQ133</f>
        <v>0</v>
      </c>
    </row>
    <row r="115" ht="24" customHeight="1" outlineLevel="3" spans="1:95">
      <c r="A115" s="118"/>
      <c r="B115" s="119" t="s">
        <v>799</v>
      </c>
      <c r="C115" s="120" t="s">
        <v>124</v>
      </c>
      <c r="D115" s="118" t="s">
        <v>109</v>
      </c>
      <c r="E115" s="119"/>
      <c r="F115" s="119"/>
      <c r="G115" s="119"/>
      <c r="H115" s="121">
        <f>X115+AA115+AD115+AG115+AJ115+AM115+AP115+AS115+AV115+AY115+BB115+BE115</f>
        <v>7991805.48</v>
      </c>
      <c r="I115" s="121">
        <f>Y115+AB115+AE115+AH115+AK115+AN115+AQ115+AT115+AW115+AZ115+BC115+BF115</f>
        <v>7991805.48</v>
      </c>
      <c r="J115" s="121">
        <f t="shared" si="814"/>
        <v>0</v>
      </c>
      <c r="K115" s="121"/>
      <c r="L115" s="149"/>
      <c r="M115" s="149"/>
      <c r="N115" s="121"/>
      <c r="O115" s="121"/>
      <c r="P115" s="121"/>
      <c r="Q115" s="121"/>
      <c r="R115" s="121"/>
      <c r="S115" s="121"/>
      <c r="T115" s="121"/>
      <c r="U115" s="121"/>
      <c r="V115" s="121"/>
      <c r="W115" s="121"/>
      <c r="X115" s="121">
        <f>VLOOKUP($C115,'1 预算编制表单'!$C:$BJ,27,FALSE)</f>
        <v>654241.14</v>
      </c>
      <c r="Y115" s="121">
        <f>X115-Z115</f>
        <v>654241.14</v>
      </c>
      <c r="Z115" s="121">
        <f>SUM(Z116:Z120)</f>
        <v>0</v>
      </c>
      <c r="AA115" s="121">
        <f>VLOOKUP($C115,'1 预算编制表单'!$C:$BJ,30,FALSE)</f>
        <v>654241.14</v>
      </c>
      <c r="AB115" s="121">
        <f>AA115-AC115</f>
        <v>654241.14</v>
      </c>
      <c r="AC115" s="121">
        <f>SUM(AC116:AC120)</f>
        <v>0</v>
      </c>
      <c r="AD115" s="121">
        <f>VLOOKUP($C115,'1 预算编制表单'!$C:$BJ,33,FALSE)</f>
        <v>654241.14</v>
      </c>
      <c r="AE115" s="121">
        <f>AD115-AF115</f>
        <v>654241.14</v>
      </c>
      <c r="AF115" s="121">
        <f>SUM(AF116:AF120)</f>
        <v>0</v>
      </c>
      <c r="AG115" s="121">
        <f>VLOOKUP($C115,'1 预算编制表单'!$C:$BJ,36,FALSE)</f>
        <v>654241.14</v>
      </c>
      <c r="AH115" s="121">
        <f>AG115-AI115</f>
        <v>654241.14</v>
      </c>
      <c r="AI115" s="121">
        <f>SUM(AI116:AI120)</f>
        <v>0</v>
      </c>
      <c r="AJ115" s="121">
        <f>VLOOKUP($C115,'1 预算编制表单'!$C:$BJ,39,FALSE)</f>
        <v>654241.14</v>
      </c>
      <c r="AK115" s="121">
        <f>AJ115-AL115</f>
        <v>654241.14</v>
      </c>
      <c r="AL115" s="121">
        <f>SUM(AL116:AL120)</f>
        <v>0</v>
      </c>
      <c r="AM115" s="121">
        <f>VLOOKUP($C115,'1 预算编制表单'!$C:$BJ,42,FALSE)</f>
        <v>654241.14</v>
      </c>
      <c r="AN115" s="121">
        <f>AM115-AO115</f>
        <v>654241.14</v>
      </c>
      <c r="AO115" s="121">
        <f>SUM(AO116:AO120)</f>
        <v>0</v>
      </c>
      <c r="AP115" s="121">
        <f>VLOOKUP($C115,'1 预算编制表单'!$C:$BJ,45,FALSE)</f>
        <v>654241.14</v>
      </c>
      <c r="AQ115" s="121">
        <f>AP115-AR115</f>
        <v>654241.14</v>
      </c>
      <c r="AR115" s="121">
        <f>SUM(AR116:AR120)</f>
        <v>0</v>
      </c>
      <c r="AS115" s="121">
        <f>VLOOKUP($C115,'1 预算编制表单'!$C:$BJ,48,FALSE)</f>
        <v>654241.14</v>
      </c>
      <c r="AT115" s="121">
        <f>AS115-AU115</f>
        <v>654241.14</v>
      </c>
      <c r="AU115" s="121">
        <f>SUM(AU116:AU120)</f>
        <v>0</v>
      </c>
      <c r="AV115" s="121">
        <f>VLOOKUP($C115,'1 预算编制表单'!$C:$BJ,51,FALSE)</f>
        <v>654241.14</v>
      </c>
      <c r="AW115" s="121">
        <f>AV115-AX115</f>
        <v>654241.14</v>
      </c>
      <c r="AX115" s="121">
        <f>SUM(AX116:AX120)</f>
        <v>0</v>
      </c>
      <c r="AY115" s="121">
        <f>VLOOKUP($C115,'1 预算编制表单'!$C:$BJ,54,FALSE)</f>
        <v>654241.14</v>
      </c>
      <c r="AZ115" s="121">
        <f>AY115-BA115</f>
        <v>654241.14</v>
      </c>
      <c r="BA115" s="121">
        <f>SUM(BA116:BA120)</f>
        <v>0</v>
      </c>
      <c r="BB115" s="121">
        <f>VLOOKUP($C115,'1 预算编制表单'!$C:$BJ,57,FALSE)</f>
        <v>654241.14</v>
      </c>
      <c r="BC115" s="121">
        <f>BB115-BD115</f>
        <v>654241.14</v>
      </c>
      <c r="BD115" s="121">
        <f>SUM(BD116:BD120)</f>
        <v>0</v>
      </c>
      <c r="BE115" s="121">
        <f>VLOOKUP($C115,'1 预算编制表单'!$C:$BJ,60,FALSE)</f>
        <v>795152.94</v>
      </c>
      <c r="BF115" s="121">
        <f>BE115-BG115</f>
        <v>795152.94</v>
      </c>
      <c r="BG115" s="121">
        <f>SUM(BG116:BG120)</f>
        <v>0</v>
      </c>
      <c r="BH115" s="121">
        <f>VLOOKUP($C115,'1 预算编制表单'!$C:$BJ,27,FALSE)</f>
        <v>654241.14</v>
      </c>
      <c r="BI115" s="121">
        <f>BH115-BJ115</f>
        <v>654241.14</v>
      </c>
      <c r="BJ115" s="121">
        <f>SUM(BJ116:BJ120)</f>
        <v>0</v>
      </c>
      <c r="BK115" s="121">
        <f>VLOOKUP($C115,'1 预算编制表单'!$C:$BJ,30,FALSE)</f>
        <v>654241.14</v>
      </c>
      <c r="BL115" s="121">
        <f>BK115-BM115</f>
        <v>654241.14</v>
      </c>
      <c r="BM115" s="121">
        <f>SUM(BM116:BM120)</f>
        <v>0</v>
      </c>
      <c r="BN115" s="121">
        <f>VLOOKUP($C115,'1 预算编制表单'!$C:$BJ,33,FALSE)</f>
        <v>654241.14</v>
      </c>
      <c r="BO115" s="121">
        <f>BN115-BP115</f>
        <v>654241.14</v>
      </c>
      <c r="BP115" s="121">
        <f>SUM(BP116:BP120)</f>
        <v>0</v>
      </c>
      <c r="BQ115" s="121">
        <f>VLOOKUP($C115,'1 预算编制表单'!$C:$BJ,36,FALSE)</f>
        <v>654241.14</v>
      </c>
      <c r="BR115" s="121">
        <f>BQ115-BS115</f>
        <v>654241.14</v>
      </c>
      <c r="BS115" s="121">
        <f>SUM(BS116:BS120)</f>
        <v>0</v>
      </c>
      <c r="BT115" s="121">
        <f>VLOOKUP($C115,'1 预算编制表单'!$C:$BJ,39,FALSE)</f>
        <v>654241.14</v>
      </c>
      <c r="BU115" s="121">
        <f>BT115-BV115</f>
        <v>654241.14</v>
      </c>
      <c r="BV115" s="121">
        <f>SUM(BV116:BV120)</f>
        <v>0</v>
      </c>
      <c r="BW115" s="121">
        <f>VLOOKUP($C115,'1 预算编制表单'!$C:$BJ,42,FALSE)</f>
        <v>654241.14</v>
      </c>
      <c r="BX115" s="121">
        <f>BW115-BY115</f>
        <v>654241.14</v>
      </c>
      <c r="BY115" s="121">
        <f>SUM(BY116:BY120)</f>
        <v>0</v>
      </c>
      <c r="BZ115" s="121">
        <f>VLOOKUP($C115,'1 预算编制表单'!$C:$BJ,45,FALSE)</f>
        <v>654241.14</v>
      </c>
      <c r="CA115" s="121">
        <f>BZ115-CB115</f>
        <v>654241.14</v>
      </c>
      <c r="CB115" s="121">
        <f>SUM(CB116:CB120)</f>
        <v>0</v>
      </c>
      <c r="CC115" s="121">
        <f>VLOOKUP($C115,'1 预算编制表单'!$C:$BJ,48,FALSE)</f>
        <v>654241.14</v>
      </c>
      <c r="CD115" s="121">
        <f>CC115-CE115</f>
        <v>654241.14</v>
      </c>
      <c r="CE115" s="121">
        <f>SUM(CE116:CE120)</f>
        <v>0</v>
      </c>
      <c r="CF115" s="121">
        <f>VLOOKUP($C115,'1 预算编制表单'!$C:$BJ,51,FALSE)</f>
        <v>654241.14</v>
      </c>
      <c r="CG115" s="121">
        <f>CF115-CH115</f>
        <v>654241.14</v>
      </c>
      <c r="CH115" s="121">
        <f>SUM(CH116:CH120)</f>
        <v>0</v>
      </c>
      <c r="CI115" s="121">
        <f>VLOOKUP($C115,'1 预算编制表单'!$C:$BJ,54,FALSE)</f>
        <v>654241.14</v>
      </c>
      <c r="CJ115" s="121">
        <f>CI115-CK115</f>
        <v>654241.14</v>
      </c>
      <c r="CK115" s="121">
        <f>SUM(CK116:CK120)</f>
        <v>0</v>
      </c>
      <c r="CL115" s="121">
        <f>VLOOKUP($C115,'1 预算编制表单'!$C:$BJ,57,FALSE)</f>
        <v>654241.14</v>
      </c>
      <c r="CM115" s="121">
        <f>CL115-CN115</f>
        <v>654241.14</v>
      </c>
      <c r="CN115" s="121">
        <f>SUM(CN116:CN120)</f>
        <v>0</v>
      </c>
      <c r="CO115" s="121">
        <f>VLOOKUP($C115,'1 预算编制表单'!$C:$BJ,60,FALSE)</f>
        <v>795152.94</v>
      </c>
      <c r="CP115" s="121">
        <f>CO115-CQ115</f>
        <v>795152.94</v>
      </c>
      <c r="CQ115" s="121">
        <f>SUM(CQ116:CQ120)</f>
        <v>0</v>
      </c>
    </row>
    <row r="116" s="83" customFormat="1" ht="24" customHeight="1" outlineLevel="4" spans="1:95">
      <c r="A116" s="122"/>
      <c r="B116" s="123"/>
      <c r="C116" s="124"/>
      <c r="D116" s="122"/>
      <c r="E116" s="123"/>
      <c r="F116" s="123"/>
      <c r="G116" s="123"/>
      <c r="H116" s="125"/>
      <c r="I116" s="125"/>
      <c r="J116" s="125">
        <f t="shared" si="814"/>
        <v>0</v>
      </c>
      <c r="K116" s="125">
        <v>1</v>
      </c>
      <c r="L116" s="150"/>
      <c r="M116" s="151">
        <f>IFERROR(VLOOKUP($L116,'2-2 引出数据_合同数据仓库'!$B$2:$BP$1000,3,FALSE),0)</f>
        <v>0</v>
      </c>
      <c r="N116" s="125"/>
      <c r="O116" s="151">
        <f>IFERROR(VLOOKUP((LEFT(VLOOKUP($L116,'2-2 引出数据_合同数据仓库'!$B$2:$BP$1000,64,FALSE),15)&amp;(RIGHT(VLOOKUP($L116,'2-2 引出数据_合同数据仓库'!$B$2:$BP$1000,64,FALSE),4)+1)),'2-2 引出数据_合同数据仓库'!$B$2:$BP$1000,3,FALSE),0)</f>
        <v>0</v>
      </c>
      <c r="P116" s="125"/>
      <c r="Q116" s="125">
        <f>IFERROR(VLOOKUP($L116,'2-2 引出数据_合同数据仓库'!$B$2:$BP$1000,28,FALSE),0)</f>
        <v>0</v>
      </c>
      <c r="R116" s="125">
        <f>IFERROR(VLOOKUP($L116,'2-2 引出数据_合同数据仓库'!$B$2:$BP$1000,29,FALSE),0)</f>
        <v>0</v>
      </c>
      <c r="S116" s="125">
        <f>IFERROR(VLOOKUP($L116,'2-2 引出数据_合同数据仓库'!$B$2:$BP$1000,4,FALSE),0)</f>
        <v>0</v>
      </c>
      <c r="T116" s="125"/>
      <c r="U116" s="125">
        <f>IFERROR(VLOOKUP($L116,'2-2 引出数据_合同数据仓库'!$B$2:$BP$1000,15,FALSE),0)</f>
        <v>0</v>
      </c>
      <c r="V116" s="125">
        <f t="shared" ref="V116:V119" si="1354">U116/(S116-R116+1)*365</f>
        <v>0</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0</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0</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0</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0</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0</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0</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引出数据_合同数据仓库'!$B$2:$BP$1000,3,FALSE),0)</f>
        <v>0</v>
      </c>
      <c r="N117" s="125"/>
      <c r="O117" s="151">
        <f>IFERROR(VLOOKUP((LEFT(VLOOKUP($L117,'2-2 引出数据_合同数据仓库'!$B$2:$BP$1000,64,FALSE),15)&amp;(RIGHT(VLOOKUP($L117,'2-2 引出数据_合同数据仓库'!$B$2:$BP$1000,64,FALSE),4)+1)),'2-2 引出数据_合同数据仓库'!$B$2:$BP$1000,3,FALSE),0)</f>
        <v>0</v>
      </c>
      <c r="P117" s="125"/>
      <c r="Q117" s="125">
        <f>IFERROR(VLOOKUP($L117,'2-2 引出数据_合同数据仓库'!$B$2:$BP$1000,28,FALSE),0)</f>
        <v>0</v>
      </c>
      <c r="R117" s="125">
        <f>IFERROR(VLOOKUP($L117,'2-2 引出数据_合同数据仓库'!$B$2:$BP$1000,29,FALSE),0)</f>
        <v>0</v>
      </c>
      <c r="S117" s="125">
        <f>IFERROR(VLOOKUP($L117,'2-2 引出数据_合同数据仓库'!$B$2:$BP$1000,4,FALSE),0)</f>
        <v>0</v>
      </c>
      <c r="T117" s="125"/>
      <c r="U117" s="125">
        <f>IFERROR(VLOOKUP($L117,'2-2 引出数据_合同数据仓库'!$B$2:$BP$1000,15,FALSE),0)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引出数据_合同数据仓库'!$B$2:$BP$1000,3,FALSE),0)</f>
        <v>0</v>
      </c>
      <c r="N118" s="125"/>
      <c r="O118" s="151">
        <f>IFERROR(VLOOKUP((LEFT(VLOOKUP($L118,'2-2 引出数据_合同数据仓库'!$B$2:$BP$1000,64,FALSE),15)&amp;(RIGHT(VLOOKUP($L118,'2-2 引出数据_合同数据仓库'!$B$2:$BP$1000,64,FALSE),4)+1)),'2-2 引出数据_合同数据仓库'!$B$2:$BP$1000,3,FALSE),0)</f>
        <v>0</v>
      </c>
      <c r="P118" s="125"/>
      <c r="Q118" s="125">
        <f>IFERROR(VLOOKUP($L118,'2-2 引出数据_合同数据仓库'!$B$2:$BP$1000,28,FALSE),0)</f>
        <v>0</v>
      </c>
      <c r="R118" s="125">
        <f>IFERROR(VLOOKUP($L118,'2-2 引出数据_合同数据仓库'!$B$2:$BP$1000,29,FALSE),0)</f>
        <v>0</v>
      </c>
      <c r="S118" s="125">
        <f>IFERROR(VLOOKUP($L118,'2-2 引出数据_合同数据仓库'!$B$2:$BP$1000,4,FALSE),0)</f>
        <v>0</v>
      </c>
      <c r="T118" s="125"/>
      <c r="U118" s="125">
        <f>IFERROR(VLOOKUP($L118,'2-2 引出数据_合同数据仓库'!$B$2:$BP$1000,15,FALSE),0)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引出数据_合同数据仓库'!$B$2:$BP$1000,3,FALSE),0)</f>
        <v>0</v>
      </c>
      <c r="N119" s="125"/>
      <c r="O119" s="151">
        <f>IFERROR(VLOOKUP((LEFT(VLOOKUP($L119,'2-2 引出数据_合同数据仓库'!$B$2:$BP$1000,64,FALSE),15)&amp;(RIGHT(VLOOKUP($L119,'2-2 引出数据_合同数据仓库'!$B$2:$BP$1000,64,FALSE),4)+1)),'2-2 引出数据_合同数据仓库'!$B$2:$BP$1000,3,FALSE),0)</f>
        <v>0</v>
      </c>
      <c r="P119" s="125"/>
      <c r="Q119" s="125">
        <f>IFERROR(VLOOKUP($L119,'2-2 引出数据_合同数据仓库'!$B$2:$BP$1000,28,FALSE),0)</f>
        <v>0</v>
      </c>
      <c r="R119" s="125">
        <f>IFERROR(VLOOKUP($L119,'2-2 引出数据_合同数据仓库'!$B$2:$BP$1000,29,FALSE),0)</f>
        <v>0</v>
      </c>
      <c r="S119" s="125">
        <f>IFERROR(VLOOKUP($L119,'2-2 引出数据_合同数据仓库'!$B$2:$BP$1000,4,FALSE),0)</f>
        <v>0</v>
      </c>
      <c r="T119" s="125"/>
      <c r="U119" s="125">
        <f>IFERROR(VLOOKUP($L119,'2-2 引出数据_合同数据仓库'!$B$2:$BP$1000,15,FALSE),0)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customHeight="1" outlineLevel="4" spans="1:95">
      <c r="A120" s="126" t="s">
        <v>2821</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customHeight="1" outlineLevel="3" spans="1:95">
      <c r="A121" s="118"/>
      <c r="B121" s="119" t="s">
        <v>799</v>
      </c>
      <c r="C121" s="120" t="s">
        <v>73</v>
      </c>
      <c r="D121" s="118" t="s">
        <v>68</v>
      </c>
      <c r="E121" s="119"/>
      <c r="F121" s="119"/>
      <c r="G121" s="119"/>
      <c r="H121" s="121">
        <f>X121+AA121+AD121+AG121+AJ121+AM121+AP121+AS121+AV121+AY121+BB121+BE121</f>
        <v>0</v>
      </c>
      <c r="I121" s="121">
        <f>Y121+AB121+AE121+AH121+AK121+AN121+AQ121+AT121+AW121+AZ121+BC121+BF121</f>
        <v>0</v>
      </c>
      <c r="J121" s="121">
        <f t="shared" si="814"/>
        <v>0</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0</v>
      </c>
      <c r="AI121" s="121">
        <f>SUM(AI122:AI126)</f>
        <v>0</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customHeight="1" outlineLevel="3" spans="1:95">
      <c r="A122" s="133"/>
      <c r="B122" s="133"/>
      <c r="C122" s="133" t="s">
        <v>1080</v>
      </c>
      <c r="D122" s="131" t="s">
        <v>2822</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0</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引出数据_合同数据仓库'!$B$2:$BP$1000,3,FALSE),0)</f>
        <v>0</v>
      </c>
      <c r="N123" s="125"/>
      <c r="O123" s="151">
        <f>IFERROR(VLOOKUP((LEFT(VLOOKUP($L123,'2-2 引出数据_合同数据仓库'!$B$2:$BP$1000,64,FALSE),15)&amp;(RIGHT(VLOOKUP($L123,'2-2 引出数据_合同数据仓库'!$B$2:$BP$1000,64,FALSE),4)+1)),'2-2 引出数据_合同数据仓库'!$B$2:$BP$1000,3,FALSE),0)</f>
        <v>0</v>
      </c>
      <c r="P123" s="125"/>
      <c r="Q123" s="125">
        <f>IFERROR(VLOOKUP($L123,'2-2 引出数据_合同数据仓库'!$B$2:$BP$1000,28,FALSE),0)</f>
        <v>0</v>
      </c>
      <c r="R123" s="125">
        <f>IFERROR(VLOOKUP($L123,'2-2 引出数据_合同数据仓库'!$B$2:$BP$1000,29,FALSE),0)</f>
        <v>0</v>
      </c>
      <c r="S123" s="125">
        <f>IFERROR(VLOOKUP($L123,'2-2 引出数据_合同数据仓库'!$B$2:$BP$1000,4,FALSE),0)</f>
        <v>0</v>
      </c>
      <c r="T123" s="125"/>
      <c r="U123" s="125">
        <f>IFERROR(VLOOKUP($L123,'2-2 引出数据_合同数据仓库'!$B$2:$BP$1000,15,FALSE),0)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引出数据_合同数据仓库'!$B$2:$BP$1000,3,FALSE),0)</f>
        <v>0</v>
      </c>
      <c r="N124" s="125"/>
      <c r="O124" s="151">
        <f>IFERROR(VLOOKUP((LEFT(VLOOKUP($L124,'2-2 引出数据_合同数据仓库'!$B$2:$BP$1000,64,FALSE),15)&amp;(RIGHT(VLOOKUP($L124,'2-2 引出数据_合同数据仓库'!$B$2:$BP$1000,64,FALSE),4)+1)),'2-2 引出数据_合同数据仓库'!$B$2:$BP$1000,3,FALSE),0)</f>
        <v>0</v>
      </c>
      <c r="P124" s="125"/>
      <c r="Q124" s="125">
        <f>IFERROR(VLOOKUP($L124,'2-2 引出数据_合同数据仓库'!$B$2:$BP$1000,28,FALSE),0)</f>
        <v>0</v>
      </c>
      <c r="R124" s="125">
        <f>IFERROR(VLOOKUP($L124,'2-2 引出数据_合同数据仓库'!$B$2:$BP$1000,29,FALSE),0)</f>
        <v>0</v>
      </c>
      <c r="S124" s="125">
        <f>IFERROR(VLOOKUP($L124,'2-2 引出数据_合同数据仓库'!$B$2:$BP$1000,4,FALSE),0)</f>
        <v>0</v>
      </c>
      <c r="T124" s="125"/>
      <c r="U124" s="125">
        <f>IFERROR(VLOOKUP($L124,'2-2 引出数据_合同数据仓库'!$B$2:$BP$1000,15,FALSE),0)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引出数据_合同数据仓库'!$B$2:$BP$1000,3,FALSE),0)</f>
        <v>0</v>
      </c>
      <c r="N125" s="125"/>
      <c r="O125" s="151">
        <f>IFERROR(VLOOKUP((LEFT(VLOOKUP($L125,'2-2 引出数据_合同数据仓库'!$B$2:$BP$1000,64,FALSE),15)&amp;(RIGHT(VLOOKUP($L125,'2-2 引出数据_合同数据仓库'!$B$2:$BP$1000,64,FALSE),4)+1)),'2-2 引出数据_合同数据仓库'!$B$2:$BP$1000,3,FALSE),0)</f>
        <v>0</v>
      </c>
      <c r="P125" s="125"/>
      <c r="Q125" s="125">
        <f>IFERROR(VLOOKUP($L125,'2-2 引出数据_合同数据仓库'!$B$2:$BP$1000,28,FALSE),0)</f>
        <v>0</v>
      </c>
      <c r="R125" s="125">
        <f>IFERROR(VLOOKUP($L125,'2-2 引出数据_合同数据仓库'!$B$2:$BP$1000,29,FALSE),0)</f>
        <v>0</v>
      </c>
      <c r="S125" s="125">
        <f>IFERROR(VLOOKUP($L125,'2-2 引出数据_合同数据仓库'!$B$2:$BP$1000,4,FALSE),0)</f>
        <v>0</v>
      </c>
      <c r="T125" s="125"/>
      <c r="U125" s="125">
        <f>IFERROR(VLOOKUP($L125,'2-2 引出数据_合同数据仓库'!$B$2:$BP$1000,15,FALSE),0)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customHeight="1" outlineLevel="4" spans="1:95">
      <c r="A126" s="126" t="s">
        <v>2821</v>
      </c>
      <c r="B126" s="127"/>
      <c r="C126" s="127"/>
      <c r="D126" s="127"/>
      <c r="E126" s="127"/>
      <c r="F126" s="127"/>
      <c r="G126" s="128"/>
      <c r="H126" s="129"/>
      <c r="I126" s="129"/>
      <c r="J126" s="129"/>
      <c r="K126" s="129"/>
      <c r="L126" s="152"/>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customHeight="1" outlineLevel="3" spans="1:95">
      <c r="A127" s="118"/>
      <c r="B127" s="119" t="s">
        <v>799</v>
      </c>
      <c r="C127" s="120" t="s">
        <v>22</v>
      </c>
      <c r="D127" s="118" t="s">
        <v>23</v>
      </c>
      <c r="E127" s="119"/>
      <c r="F127" s="119"/>
      <c r="G127" s="119"/>
      <c r="H127" s="121">
        <f>X127+AA127+AD127+AG127+AJ127+AM127+AP127+AS127+AV127+AY127+BB127+BE127</f>
        <v>0</v>
      </c>
      <c r="I127" s="121">
        <f>Y127+AB127+AE127+AH127+AK127+AN127+AQ127+AT127+AW127+AZ127+BC127+BF127</f>
        <v>0</v>
      </c>
      <c r="J127" s="121">
        <f t="shared" si="814"/>
        <v>0</v>
      </c>
      <c r="K127" s="121"/>
      <c r="L127" s="149"/>
      <c r="M127" s="149"/>
      <c r="N127" s="121"/>
      <c r="O127" s="121"/>
      <c r="P127" s="121"/>
      <c r="Q127" s="121"/>
      <c r="R127" s="121"/>
      <c r="S127" s="121"/>
      <c r="T127" s="121"/>
      <c r="U127" s="121"/>
      <c r="V127" s="121"/>
      <c r="W127" s="121"/>
      <c r="X127" s="121">
        <f>VLOOKUP($C127,'1 预算编制表单'!$C:$BJ,27,FALSE)</f>
        <v>0</v>
      </c>
      <c r="Y127" s="121">
        <f>X127-Z127</f>
        <v>0</v>
      </c>
      <c r="Z127" s="121">
        <f>SUM(Z128:Z132)</f>
        <v>0</v>
      </c>
      <c r="AA127" s="121">
        <f>VLOOKUP($C127,'1 预算编制表单'!$C:$BJ,30,FALSE)</f>
        <v>0</v>
      </c>
      <c r="AB127" s="121">
        <f>AA127-AC127</f>
        <v>0</v>
      </c>
      <c r="AC127" s="121">
        <f>SUM(AC128:AC132)</f>
        <v>0</v>
      </c>
      <c r="AD127" s="121">
        <f>VLOOKUP($C127,'1 预算编制表单'!$C:$BJ,33,FALSE)</f>
        <v>0</v>
      </c>
      <c r="AE127" s="121">
        <f>AD127-AF127</f>
        <v>0</v>
      </c>
      <c r="AF127" s="121">
        <f>SUM(AF128:AF132)</f>
        <v>0</v>
      </c>
      <c r="AG127" s="121">
        <f>VLOOKUP($C127,'1 预算编制表单'!$C:$BJ,36,FALSE)</f>
        <v>0</v>
      </c>
      <c r="AH127" s="121">
        <f>AG127-AI127</f>
        <v>0</v>
      </c>
      <c r="AI127" s="121">
        <f>SUM(AI128:AI132)</f>
        <v>0</v>
      </c>
      <c r="AJ127" s="121">
        <f>VLOOKUP($C127,'1 预算编制表单'!$C:$BJ,39,FALSE)</f>
        <v>0</v>
      </c>
      <c r="AK127" s="121">
        <f>AJ127-AL127</f>
        <v>0</v>
      </c>
      <c r="AL127" s="121">
        <f>SUM(AL128:AL132)</f>
        <v>0</v>
      </c>
      <c r="AM127" s="121">
        <f>VLOOKUP($C127,'1 预算编制表单'!$C:$BJ,42,FALSE)</f>
        <v>0</v>
      </c>
      <c r="AN127" s="121">
        <f>AM127-AO127</f>
        <v>0</v>
      </c>
      <c r="AO127" s="121">
        <f>SUM(AO128:AO132)</f>
        <v>0</v>
      </c>
      <c r="AP127" s="121">
        <f>VLOOKUP($C127,'1 预算编制表单'!$C:$BJ,45,FALSE)</f>
        <v>0</v>
      </c>
      <c r="AQ127" s="121">
        <f>AP127-AR127</f>
        <v>0</v>
      </c>
      <c r="AR127" s="121">
        <f>SUM(AR128:AR132)</f>
        <v>0</v>
      </c>
      <c r="AS127" s="121">
        <f>VLOOKUP($C127,'1 预算编制表单'!$C:$BJ,48,FALSE)</f>
        <v>0</v>
      </c>
      <c r="AT127" s="121">
        <f>AS127-AU127</f>
        <v>0</v>
      </c>
      <c r="AU127" s="121">
        <f>SUM(AU128:AU132)</f>
        <v>0</v>
      </c>
      <c r="AV127" s="121">
        <f>VLOOKUP($C127,'1 预算编制表单'!$C:$BJ,51,FALSE)</f>
        <v>0</v>
      </c>
      <c r="AW127" s="121">
        <f>AV127-AX127</f>
        <v>0</v>
      </c>
      <c r="AX127" s="121">
        <f>SUM(AX128:AX132)</f>
        <v>0</v>
      </c>
      <c r="AY127" s="121">
        <f>VLOOKUP($C127,'1 预算编制表单'!$C:$BJ,54,FALSE)</f>
        <v>0</v>
      </c>
      <c r="AZ127" s="121">
        <f>AY127-BA127</f>
        <v>0</v>
      </c>
      <c r="BA127" s="121">
        <f>SUM(BA128:BA132)</f>
        <v>0</v>
      </c>
      <c r="BB127" s="121">
        <f>VLOOKUP($C127,'1 预算编制表单'!$C:$BJ,57,FALSE)</f>
        <v>0</v>
      </c>
      <c r="BC127" s="121">
        <f>BB127-BD127</f>
        <v>0</v>
      </c>
      <c r="BD127" s="121">
        <f>SUM(BD128:BD132)</f>
        <v>0</v>
      </c>
      <c r="BE127" s="121">
        <f>VLOOKUP($C127,'1 预算编制表单'!$C:$BJ,60,FALSE)</f>
        <v>0</v>
      </c>
      <c r="BF127" s="121">
        <f>BE127-BG127</f>
        <v>0</v>
      </c>
      <c r="BG127" s="121">
        <f>SUM(BG128:BG132)</f>
        <v>0</v>
      </c>
      <c r="BH127" s="121">
        <f>VLOOKUP($C127,'1 预算编制表单'!$C:$BJ,27,FALSE)</f>
        <v>0</v>
      </c>
      <c r="BI127" s="121">
        <f>BH127-BJ127</f>
        <v>0</v>
      </c>
      <c r="BJ127" s="121">
        <f>SUM(BJ128:BJ132)</f>
        <v>0</v>
      </c>
      <c r="BK127" s="121">
        <f>VLOOKUP($C127,'1 预算编制表单'!$C:$BJ,30,FALSE)</f>
        <v>0</v>
      </c>
      <c r="BL127" s="121">
        <f>BK127-BM127</f>
        <v>0</v>
      </c>
      <c r="BM127" s="121">
        <f>SUM(BM128:BM132)</f>
        <v>0</v>
      </c>
      <c r="BN127" s="121">
        <f>VLOOKUP($C127,'1 预算编制表单'!$C:$BJ,33,FALSE)</f>
        <v>0</v>
      </c>
      <c r="BO127" s="121">
        <f>BN127-BP127</f>
        <v>0</v>
      </c>
      <c r="BP127" s="121">
        <f>SUM(BP128:BP132)</f>
        <v>0</v>
      </c>
      <c r="BQ127" s="121">
        <f>VLOOKUP($C127,'1 预算编制表单'!$C:$BJ,36,FALSE)</f>
        <v>0</v>
      </c>
      <c r="BR127" s="121">
        <f>BQ127-BS127</f>
        <v>0</v>
      </c>
      <c r="BS127" s="121">
        <f>SUM(BS128:BS132)</f>
        <v>0</v>
      </c>
      <c r="BT127" s="121">
        <f>VLOOKUP($C127,'1 预算编制表单'!$C:$BJ,39,FALSE)</f>
        <v>0</v>
      </c>
      <c r="BU127" s="121">
        <f>BT127-BV127</f>
        <v>0</v>
      </c>
      <c r="BV127" s="121">
        <f>SUM(BV128:BV132)</f>
        <v>0</v>
      </c>
      <c r="BW127" s="121">
        <f>VLOOKUP($C127,'1 预算编制表单'!$C:$BJ,42,FALSE)</f>
        <v>0</v>
      </c>
      <c r="BX127" s="121">
        <f>BW127-BY127</f>
        <v>0</v>
      </c>
      <c r="BY127" s="121">
        <f>SUM(BY128:BY132)</f>
        <v>0</v>
      </c>
      <c r="BZ127" s="121">
        <f>VLOOKUP($C127,'1 预算编制表单'!$C:$BJ,45,FALSE)</f>
        <v>0</v>
      </c>
      <c r="CA127" s="121">
        <f>BZ127-CB127</f>
        <v>0</v>
      </c>
      <c r="CB127" s="121">
        <f>SUM(CB128:CB132)</f>
        <v>0</v>
      </c>
      <c r="CC127" s="121">
        <f>VLOOKUP($C127,'1 预算编制表单'!$C:$BJ,48,FALSE)</f>
        <v>0</v>
      </c>
      <c r="CD127" s="121">
        <f>CC127-CE127</f>
        <v>0</v>
      </c>
      <c r="CE127" s="121">
        <f>SUM(CE128:CE132)</f>
        <v>0</v>
      </c>
      <c r="CF127" s="121">
        <f>VLOOKUP($C127,'1 预算编制表单'!$C:$BJ,51,FALSE)</f>
        <v>0</v>
      </c>
      <c r="CG127" s="121">
        <f>CF127-CH127</f>
        <v>0</v>
      </c>
      <c r="CH127" s="121">
        <f>SUM(CH128:CH132)</f>
        <v>0</v>
      </c>
      <c r="CI127" s="121">
        <f>VLOOKUP($C127,'1 预算编制表单'!$C:$BJ,54,FALSE)</f>
        <v>0</v>
      </c>
      <c r="CJ127" s="121">
        <f>CI127-CK127</f>
        <v>0</v>
      </c>
      <c r="CK127" s="121">
        <f>SUM(CK128:CK132)</f>
        <v>0</v>
      </c>
      <c r="CL127" s="121">
        <f>VLOOKUP($C127,'1 预算编制表单'!$C:$BJ,57,FALSE)</f>
        <v>0</v>
      </c>
      <c r="CM127" s="121">
        <f>CL127-CN127</f>
        <v>0</v>
      </c>
      <c r="CN127" s="121">
        <f>SUM(CN128:CN132)</f>
        <v>0</v>
      </c>
      <c r="CO127" s="121">
        <f>VLOOKUP($C127,'1 预算编制表单'!$C:$BJ,60,FALSE)</f>
        <v>0</v>
      </c>
      <c r="CP127" s="121">
        <f>CO127-CQ127</f>
        <v>0</v>
      </c>
      <c r="CQ127" s="121">
        <f>SUM(CQ128:CQ132)</f>
        <v>0</v>
      </c>
    </row>
    <row r="128" s="83" customFormat="1" ht="24" customHeight="1" outlineLevel="4" spans="1:95">
      <c r="A128" s="122"/>
      <c r="B128" s="123"/>
      <c r="C128" s="124"/>
      <c r="D128" s="122"/>
      <c r="E128" s="123"/>
      <c r="F128" s="123"/>
      <c r="G128" s="123"/>
      <c r="H128" s="125"/>
      <c r="I128" s="125"/>
      <c r="J128" s="125">
        <f t="shared" si="814"/>
        <v>0</v>
      </c>
      <c r="K128" s="125">
        <v>1</v>
      </c>
      <c r="L128" s="150"/>
      <c r="M128" s="151">
        <f>IFERROR(VLOOKUP($L128,'2-2 引出数据_合同数据仓库'!$B$2:$BP$1000,3,FALSE),0)</f>
        <v>0</v>
      </c>
      <c r="N128" s="125"/>
      <c r="O128" s="151">
        <f>IFERROR(VLOOKUP((LEFT(VLOOKUP($L128,'2-2 引出数据_合同数据仓库'!$B$2:$BP$1000,64,FALSE),15)&amp;(RIGHT(VLOOKUP($L128,'2-2 引出数据_合同数据仓库'!$B$2:$BP$1000,64,FALSE),4)+1)),'2-2 引出数据_合同数据仓库'!$B$2:$BP$1000,3,FALSE),0)</f>
        <v>0</v>
      </c>
      <c r="P128" s="125"/>
      <c r="Q128" s="125">
        <f>IFERROR(VLOOKUP($L128,'2-2 引出数据_合同数据仓库'!$B$2:$BP$1000,28,FALSE),0)</f>
        <v>0</v>
      </c>
      <c r="R128" s="125">
        <f>IFERROR(VLOOKUP($L128,'2-2 引出数据_合同数据仓库'!$B$2:$BP$1000,29,FALSE),0)</f>
        <v>0</v>
      </c>
      <c r="S128" s="125">
        <f>IFERROR(VLOOKUP($L128,'2-2 引出数据_合同数据仓库'!$B$2:$BP$1000,4,FALSE),0)</f>
        <v>0</v>
      </c>
      <c r="T128" s="125"/>
      <c r="U128" s="125">
        <f>IFERROR(VLOOKUP($L128,'2-2 引出数据_合同数据仓库'!$B$2:$BP$1000,15,FALSE),0)</f>
        <v>0</v>
      </c>
      <c r="V128" s="125">
        <f t="shared" ref="V128:V131" si="1498">U128/(S128-R128+1)*365</f>
        <v>0</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0</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0</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0</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0</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0</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0</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引出数据_合同数据仓库'!$B$2:$BP$1000,3,FALSE),0)</f>
        <v>0</v>
      </c>
      <c r="N129" s="125"/>
      <c r="O129" s="151">
        <f>IFERROR(VLOOKUP((LEFT(VLOOKUP($L129,'2-2 引出数据_合同数据仓库'!$B$2:$BP$1000,64,FALSE),15)&amp;(RIGHT(VLOOKUP($L129,'2-2 引出数据_合同数据仓库'!$B$2:$BP$1000,64,FALSE),4)+1)),'2-2 引出数据_合同数据仓库'!$B$2:$BP$1000,3,FALSE),0)</f>
        <v>0</v>
      </c>
      <c r="P129" s="125"/>
      <c r="Q129" s="125">
        <f>IFERROR(VLOOKUP($L129,'2-2 引出数据_合同数据仓库'!$B$2:$BP$1000,28,FALSE),0)</f>
        <v>0</v>
      </c>
      <c r="R129" s="125">
        <f>IFERROR(VLOOKUP($L129,'2-2 引出数据_合同数据仓库'!$B$2:$BP$1000,29,FALSE),0)</f>
        <v>0</v>
      </c>
      <c r="S129" s="125">
        <f>IFERROR(VLOOKUP($L129,'2-2 引出数据_合同数据仓库'!$B$2:$BP$1000,4,FALSE),0)</f>
        <v>0</v>
      </c>
      <c r="T129" s="125"/>
      <c r="U129" s="125">
        <f>IFERROR(VLOOKUP($L129,'2-2 引出数据_合同数据仓库'!$B$2:$BP$1000,15,FALSE),0)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引出数据_合同数据仓库'!$B$2:$BP$1000,3,FALSE),0)</f>
        <v>0</v>
      </c>
      <c r="N130" s="125"/>
      <c r="O130" s="151">
        <f>IFERROR(VLOOKUP((LEFT(VLOOKUP($L130,'2-2 引出数据_合同数据仓库'!$B$2:$BP$1000,64,FALSE),15)&amp;(RIGHT(VLOOKUP($L130,'2-2 引出数据_合同数据仓库'!$B$2:$BP$1000,64,FALSE),4)+1)),'2-2 引出数据_合同数据仓库'!$B$2:$BP$1000,3,FALSE),0)</f>
        <v>0</v>
      </c>
      <c r="P130" s="125"/>
      <c r="Q130" s="125">
        <f>IFERROR(VLOOKUP($L130,'2-2 引出数据_合同数据仓库'!$B$2:$BP$1000,28,FALSE),0)</f>
        <v>0</v>
      </c>
      <c r="R130" s="125">
        <f>IFERROR(VLOOKUP($L130,'2-2 引出数据_合同数据仓库'!$B$2:$BP$1000,29,FALSE),0)</f>
        <v>0</v>
      </c>
      <c r="S130" s="125">
        <f>IFERROR(VLOOKUP($L130,'2-2 引出数据_合同数据仓库'!$B$2:$BP$1000,4,FALSE),0)</f>
        <v>0</v>
      </c>
      <c r="T130" s="125"/>
      <c r="U130" s="125">
        <f>IFERROR(VLOOKUP($L130,'2-2 引出数据_合同数据仓库'!$B$2:$BP$1000,15,FALSE),0)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引出数据_合同数据仓库'!$B$2:$BP$1000,3,FALSE),0)</f>
        <v>0</v>
      </c>
      <c r="N131" s="125"/>
      <c r="O131" s="151">
        <f>IFERROR(VLOOKUP((LEFT(VLOOKUP($L131,'2-2 引出数据_合同数据仓库'!$B$2:$BP$1000,64,FALSE),15)&amp;(RIGHT(VLOOKUP($L131,'2-2 引出数据_合同数据仓库'!$B$2:$BP$1000,64,FALSE),4)+1)),'2-2 引出数据_合同数据仓库'!$B$2:$BP$1000,3,FALSE),0)</f>
        <v>0</v>
      </c>
      <c r="P131" s="125"/>
      <c r="Q131" s="125">
        <f>IFERROR(VLOOKUP($L131,'2-2 引出数据_合同数据仓库'!$B$2:$BP$1000,28,FALSE),0)</f>
        <v>0</v>
      </c>
      <c r="R131" s="125">
        <f>IFERROR(VLOOKUP($L131,'2-2 引出数据_合同数据仓库'!$B$2:$BP$1000,29,FALSE),0)</f>
        <v>0</v>
      </c>
      <c r="S131" s="125">
        <f>IFERROR(VLOOKUP($L131,'2-2 引出数据_合同数据仓库'!$B$2:$BP$1000,4,FALSE),0)</f>
        <v>0</v>
      </c>
      <c r="T131" s="125"/>
      <c r="U131" s="125">
        <f>IFERROR(VLOOKUP($L131,'2-2 引出数据_合同数据仓库'!$B$2:$BP$1000,15,FALSE),0)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customHeight="1" outlineLevel="4" spans="1:95">
      <c r="A132" s="126" t="s">
        <v>2821</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customHeight="1" outlineLevel="3" spans="1:95">
      <c r="A133" s="118"/>
      <c r="B133" s="119" t="s">
        <v>799</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引出数据_合同数据仓库'!$B$2:$BP$1000,3,FALSE),0)</f>
        <v>0</v>
      </c>
      <c r="N134" s="125"/>
      <c r="O134" s="151">
        <f>IFERROR(VLOOKUP((LEFT(VLOOKUP($L134,'2-2 引出数据_合同数据仓库'!$B$2:$BP$1000,64,FALSE),15)&amp;(RIGHT(VLOOKUP($L134,'2-2 引出数据_合同数据仓库'!$B$2:$BP$1000,64,FALSE),4)+1)),'2-2 引出数据_合同数据仓库'!$B$2:$BP$1000,3,FALSE),0)</f>
        <v>0</v>
      </c>
      <c r="P134" s="125"/>
      <c r="Q134" s="125">
        <f>IFERROR(VLOOKUP($L134,'2-2 引出数据_合同数据仓库'!$B$2:$BP$1000,28,FALSE),0)</f>
        <v>0</v>
      </c>
      <c r="R134" s="125">
        <f>IFERROR(VLOOKUP($L134,'2-2 引出数据_合同数据仓库'!$B$2:$BP$1000,29,FALSE),0)</f>
        <v>0</v>
      </c>
      <c r="S134" s="125">
        <f>IFERROR(VLOOKUP($L134,'2-2 引出数据_合同数据仓库'!$B$2:$BP$1000,4,FALSE),0)</f>
        <v>0</v>
      </c>
      <c r="T134" s="125"/>
      <c r="U134" s="125">
        <f>IFERROR(VLOOKUP($L134,'2-2 引出数据_合同数据仓库'!$B$2:$BP$1000,15,FALSE),0)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引出数据_合同数据仓库'!$B$2:$BP$1000,3,FALSE),0)</f>
        <v>0</v>
      </c>
      <c r="N135" s="125"/>
      <c r="O135" s="151">
        <f>IFERROR(VLOOKUP((LEFT(VLOOKUP($L135,'2-2 引出数据_合同数据仓库'!$B$2:$BP$1000,64,FALSE),15)&amp;(RIGHT(VLOOKUP($L135,'2-2 引出数据_合同数据仓库'!$B$2:$BP$1000,64,FALSE),4)+1)),'2-2 引出数据_合同数据仓库'!$B$2:$BP$1000,3,FALSE),0)</f>
        <v>0</v>
      </c>
      <c r="P135" s="125"/>
      <c r="Q135" s="125">
        <f>IFERROR(VLOOKUP($L135,'2-2 引出数据_合同数据仓库'!$B$2:$BP$1000,28,FALSE),0)</f>
        <v>0</v>
      </c>
      <c r="R135" s="125">
        <f>IFERROR(VLOOKUP($L135,'2-2 引出数据_合同数据仓库'!$B$2:$BP$1000,29,FALSE),0)</f>
        <v>0</v>
      </c>
      <c r="S135" s="125">
        <f>IFERROR(VLOOKUP($L135,'2-2 引出数据_合同数据仓库'!$B$2:$BP$1000,4,FALSE),0)</f>
        <v>0</v>
      </c>
      <c r="T135" s="125"/>
      <c r="U135" s="125">
        <f>IFERROR(VLOOKUP($L135,'2-2 引出数据_合同数据仓库'!$B$2:$BP$1000,15,FALSE),0)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引出数据_合同数据仓库'!$B$2:$BP$1000,3,FALSE),0)</f>
        <v>0</v>
      </c>
      <c r="N136" s="125"/>
      <c r="O136" s="151">
        <f>IFERROR(VLOOKUP((LEFT(VLOOKUP($L136,'2-2 引出数据_合同数据仓库'!$B$2:$BP$1000,64,FALSE),15)&amp;(RIGHT(VLOOKUP($L136,'2-2 引出数据_合同数据仓库'!$B$2:$BP$1000,64,FALSE),4)+1)),'2-2 引出数据_合同数据仓库'!$B$2:$BP$1000,3,FALSE),0)</f>
        <v>0</v>
      </c>
      <c r="P136" s="125"/>
      <c r="Q136" s="125">
        <f>IFERROR(VLOOKUP($L136,'2-2 引出数据_合同数据仓库'!$B$2:$BP$1000,28,FALSE),0)</f>
        <v>0</v>
      </c>
      <c r="R136" s="125">
        <f>IFERROR(VLOOKUP($L136,'2-2 引出数据_合同数据仓库'!$B$2:$BP$1000,29,FALSE),0)</f>
        <v>0</v>
      </c>
      <c r="S136" s="125">
        <f>IFERROR(VLOOKUP($L136,'2-2 引出数据_合同数据仓库'!$B$2:$BP$1000,4,FALSE),0)</f>
        <v>0</v>
      </c>
      <c r="T136" s="125"/>
      <c r="U136" s="125">
        <f>IFERROR(VLOOKUP($L136,'2-2 引出数据_合同数据仓库'!$B$2:$BP$1000,15,FALSE),0)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引出数据_合同数据仓库'!$B$2:$BP$1000,3,FALSE),0)</f>
        <v>0</v>
      </c>
      <c r="N137" s="125"/>
      <c r="O137" s="151">
        <f>IFERROR(VLOOKUP((LEFT(VLOOKUP($L137,'2-2 引出数据_合同数据仓库'!$B$2:$BP$1000,64,FALSE),15)&amp;(RIGHT(VLOOKUP($L137,'2-2 引出数据_合同数据仓库'!$B$2:$BP$1000,64,FALSE),4)+1)),'2-2 引出数据_合同数据仓库'!$B$2:$BP$1000,3,FALSE),0)</f>
        <v>0</v>
      </c>
      <c r="P137" s="125"/>
      <c r="Q137" s="125">
        <f>IFERROR(VLOOKUP($L137,'2-2 引出数据_合同数据仓库'!$B$2:$BP$1000,28,FALSE),0)</f>
        <v>0</v>
      </c>
      <c r="R137" s="125">
        <f>IFERROR(VLOOKUP($L137,'2-2 引出数据_合同数据仓库'!$B$2:$BP$1000,29,FALSE),0)</f>
        <v>0</v>
      </c>
      <c r="S137" s="125">
        <f>IFERROR(VLOOKUP($L137,'2-2 引出数据_合同数据仓库'!$B$2:$BP$1000,4,FALSE),0)</f>
        <v>0</v>
      </c>
      <c r="T137" s="125"/>
      <c r="U137" s="125">
        <f>IFERROR(VLOOKUP($L137,'2-2 引出数据_合同数据仓库'!$B$2:$BP$1000,15,FALSE),0)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customHeight="1" outlineLevel="4" spans="1:95">
      <c r="A138" s="126" t="s">
        <v>2821</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customHeight="1" outlineLevel="2" spans="1:95">
      <c r="A139" s="47"/>
      <c r="B139" s="115" t="s">
        <v>794</v>
      </c>
      <c r="C139" s="116" t="s">
        <v>1097</v>
      </c>
      <c r="D139" s="47" t="s">
        <v>1098</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customHeight="1" outlineLevel="3" spans="1:95">
      <c r="A140" s="118"/>
      <c r="B140" s="119" t="s">
        <v>799</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引出数据_合同数据仓库'!$B$2:$BP$1000,3,FALSE),0)</f>
        <v>0</v>
      </c>
      <c r="N141" s="125"/>
      <c r="O141" s="151">
        <f>IFERROR(VLOOKUP((LEFT(VLOOKUP($L141,'2-2 引出数据_合同数据仓库'!$B$2:$BP$1000,64,FALSE),15)&amp;(RIGHT(VLOOKUP($L141,'2-2 引出数据_合同数据仓库'!$B$2:$BP$1000,64,FALSE),4)+1)),'2-2 引出数据_合同数据仓库'!$B$2:$BP$1000,3,FALSE),0)</f>
        <v>0</v>
      </c>
      <c r="P141" s="125"/>
      <c r="Q141" s="125">
        <f>IFERROR(VLOOKUP($L141,'2-2 引出数据_合同数据仓库'!$B$2:$BP$1000,28,FALSE),0)</f>
        <v>0</v>
      </c>
      <c r="R141" s="125">
        <f>IFERROR(VLOOKUP($L141,'2-2 引出数据_合同数据仓库'!$B$2:$BP$1000,29,FALSE),0)</f>
        <v>0</v>
      </c>
      <c r="S141" s="125">
        <f>IFERROR(VLOOKUP($L141,'2-2 引出数据_合同数据仓库'!$B$2:$BP$1000,4,FALSE),0)</f>
        <v>0</v>
      </c>
      <c r="T141" s="125"/>
      <c r="U141" s="125">
        <f>IFERROR(VLOOKUP($L141,'2-2 引出数据_合同数据仓库'!$B$2:$BP$1000,15,FALSE),0)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引出数据_合同数据仓库'!$B$2:$BP$1000,3,FALSE),0)</f>
        <v>0</v>
      </c>
      <c r="N142" s="125"/>
      <c r="O142" s="151">
        <f>IFERROR(VLOOKUP((LEFT(VLOOKUP($L142,'2-2 引出数据_合同数据仓库'!$B$2:$BP$1000,64,FALSE),15)&amp;(RIGHT(VLOOKUP($L142,'2-2 引出数据_合同数据仓库'!$B$2:$BP$1000,64,FALSE),4)+1)),'2-2 引出数据_合同数据仓库'!$B$2:$BP$1000,3,FALSE),0)</f>
        <v>0</v>
      </c>
      <c r="P142" s="125"/>
      <c r="Q142" s="125">
        <f>IFERROR(VLOOKUP($L142,'2-2 引出数据_合同数据仓库'!$B$2:$BP$1000,28,FALSE),0)</f>
        <v>0</v>
      </c>
      <c r="R142" s="125">
        <f>IFERROR(VLOOKUP($L142,'2-2 引出数据_合同数据仓库'!$B$2:$BP$1000,29,FALSE),0)</f>
        <v>0</v>
      </c>
      <c r="S142" s="125">
        <f>IFERROR(VLOOKUP($L142,'2-2 引出数据_合同数据仓库'!$B$2:$BP$1000,4,FALSE),0)</f>
        <v>0</v>
      </c>
      <c r="T142" s="125"/>
      <c r="U142" s="125">
        <f>IFERROR(VLOOKUP($L142,'2-2 引出数据_合同数据仓库'!$B$2:$BP$1000,15,FALSE),0)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引出数据_合同数据仓库'!$B$2:$BP$1000,3,FALSE),0)</f>
        <v>0</v>
      </c>
      <c r="N143" s="125"/>
      <c r="O143" s="151">
        <f>IFERROR(VLOOKUP((LEFT(VLOOKUP($L143,'2-2 引出数据_合同数据仓库'!$B$2:$BP$1000,64,FALSE),15)&amp;(RIGHT(VLOOKUP($L143,'2-2 引出数据_合同数据仓库'!$B$2:$BP$1000,64,FALSE),4)+1)),'2-2 引出数据_合同数据仓库'!$B$2:$BP$1000,3,FALSE),0)</f>
        <v>0</v>
      </c>
      <c r="P143" s="125"/>
      <c r="Q143" s="125">
        <f>IFERROR(VLOOKUP($L143,'2-2 引出数据_合同数据仓库'!$B$2:$BP$1000,28,FALSE),0)</f>
        <v>0</v>
      </c>
      <c r="R143" s="125">
        <f>IFERROR(VLOOKUP($L143,'2-2 引出数据_合同数据仓库'!$B$2:$BP$1000,29,FALSE),0)</f>
        <v>0</v>
      </c>
      <c r="S143" s="125">
        <f>IFERROR(VLOOKUP($L143,'2-2 引出数据_合同数据仓库'!$B$2:$BP$1000,4,FALSE),0)</f>
        <v>0</v>
      </c>
      <c r="T143" s="125"/>
      <c r="U143" s="125">
        <f>IFERROR(VLOOKUP($L143,'2-2 引出数据_合同数据仓库'!$B$2:$BP$1000,15,FALSE),0)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引出数据_合同数据仓库'!$B$2:$BP$1000,3,FALSE),0)</f>
        <v>0</v>
      </c>
      <c r="N144" s="125"/>
      <c r="O144" s="151">
        <f>IFERROR(VLOOKUP((LEFT(VLOOKUP($L144,'2-2 引出数据_合同数据仓库'!$B$2:$BP$1000,64,FALSE),15)&amp;(RIGHT(VLOOKUP($L144,'2-2 引出数据_合同数据仓库'!$B$2:$BP$1000,64,FALSE),4)+1)),'2-2 引出数据_合同数据仓库'!$B$2:$BP$1000,3,FALSE),0)</f>
        <v>0</v>
      </c>
      <c r="P144" s="125"/>
      <c r="Q144" s="125">
        <f>IFERROR(VLOOKUP($L144,'2-2 引出数据_合同数据仓库'!$B$2:$BP$1000,28,FALSE),0)</f>
        <v>0</v>
      </c>
      <c r="R144" s="125">
        <f>IFERROR(VLOOKUP($L144,'2-2 引出数据_合同数据仓库'!$B$2:$BP$1000,29,FALSE),0)</f>
        <v>0</v>
      </c>
      <c r="S144" s="125">
        <f>IFERROR(VLOOKUP($L144,'2-2 引出数据_合同数据仓库'!$B$2:$BP$1000,4,FALSE),0)</f>
        <v>0</v>
      </c>
      <c r="T144" s="125"/>
      <c r="U144" s="125">
        <f>IFERROR(VLOOKUP($L144,'2-2 引出数据_合同数据仓库'!$B$2:$BP$1000,15,FALSE),0)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customHeight="1" outlineLevel="4" spans="1:95">
      <c r="A145" s="126" t="s">
        <v>2821</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customHeight="1" outlineLevel="3" spans="1:95">
      <c r="A146" s="118"/>
      <c r="B146" s="119" t="s">
        <v>799</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customHeight="1" outlineLevel="4" spans="1:95">
      <c r="A147" s="122"/>
      <c r="B147" s="123"/>
      <c r="C147" s="124" t="s">
        <v>1107</v>
      </c>
      <c r="D147" s="131" t="s">
        <v>2822</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引出数据_合同数据仓库'!$B$2:$BP$1000,3,FALSE),0)</f>
        <v>0</v>
      </c>
      <c r="N148" s="125"/>
      <c r="O148" s="151">
        <f>IFERROR(VLOOKUP((LEFT(VLOOKUP($L148,'2-2 引出数据_合同数据仓库'!$B$2:$BP$1000,64,FALSE),15)&amp;(RIGHT(VLOOKUP($L148,'2-2 引出数据_合同数据仓库'!$B$2:$BP$1000,64,FALSE),4)+1)),'2-2 引出数据_合同数据仓库'!$B$2:$BP$1000,3,FALSE),0)</f>
        <v>0</v>
      </c>
      <c r="P148" s="125"/>
      <c r="Q148" s="125">
        <f>IFERROR(VLOOKUP($L148,'2-2 引出数据_合同数据仓库'!$B$2:$BP$1000,28,FALSE),0)</f>
        <v>0</v>
      </c>
      <c r="R148" s="125">
        <f>IFERROR(VLOOKUP($L148,'2-2 引出数据_合同数据仓库'!$B$2:$BP$1000,29,FALSE),0)</f>
        <v>0</v>
      </c>
      <c r="S148" s="125">
        <f>IFERROR(VLOOKUP($L148,'2-2 引出数据_合同数据仓库'!$B$2:$BP$1000,4,FALSE),0)</f>
        <v>0</v>
      </c>
      <c r="T148" s="125"/>
      <c r="U148" s="125">
        <f>IFERROR(VLOOKUP($L148,'2-2 引出数据_合同数据仓库'!$B$2:$BP$1000,15,FALSE),0)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引出数据_合同数据仓库'!$B$2:$BP$1000,3,FALSE),0)</f>
        <v>0</v>
      </c>
      <c r="N149" s="125"/>
      <c r="O149" s="151">
        <f>IFERROR(VLOOKUP((LEFT(VLOOKUP($L149,'2-2 引出数据_合同数据仓库'!$B$2:$BP$1000,64,FALSE),15)&amp;(RIGHT(VLOOKUP($L149,'2-2 引出数据_合同数据仓库'!$B$2:$BP$1000,64,FALSE),4)+1)),'2-2 引出数据_合同数据仓库'!$B$2:$BP$1000,3,FALSE),0)</f>
        <v>0</v>
      </c>
      <c r="P149" s="125"/>
      <c r="Q149" s="125">
        <f>IFERROR(VLOOKUP($L149,'2-2 引出数据_合同数据仓库'!$B$2:$BP$1000,28,FALSE),0)</f>
        <v>0</v>
      </c>
      <c r="R149" s="125">
        <f>IFERROR(VLOOKUP($L149,'2-2 引出数据_合同数据仓库'!$B$2:$BP$1000,29,FALSE),0)</f>
        <v>0</v>
      </c>
      <c r="S149" s="125">
        <f>IFERROR(VLOOKUP($L149,'2-2 引出数据_合同数据仓库'!$B$2:$BP$1000,4,FALSE),0)</f>
        <v>0</v>
      </c>
      <c r="T149" s="125"/>
      <c r="U149" s="125">
        <f>IFERROR(VLOOKUP($L149,'2-2 引出数据_合同数据仓库'!$B$2:$BP$1000,15,FALSE),0)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引出数据_合同数据仓库'!$B$2:$BP$1000,3,FALSE),0)</f>
        <v>0</v>
      </c>
      <c r="N150" s="125"/>
      <c r="O150" s="151">
        <f>IFERROR(VLOOKUP((LEFT(VLOOKUP($L150,'2-2 引出数据_合同数据仓库'!$B$2:$BP$1000,64,FALSE),15)&amp;(RIGHT(VLOOKUP($L150,'2-2 引出数据_合同数据仓库'!$B$2:$BP$1000,64,FALSE),4)+1)),'2-2 引出数据_合同数据仓库'!$B$2:$BP$1000,3,FALSE),0)</f>
        <v>0</v>
      </c>
      <c r="P150" s="125"/>
      <c r="Q150" s="125">
        <f>IFERROR(VLOOKUP($L150,'2-2 引出数据_合同数据仓库'!$B$2:$BP$1000,28,FALSE),0)</f>
        <v>0</v>
      </c>
      <c r="R150" s="125">
        <f>IFERROR(VLOOKUP($L150,'2-2 引出数据_合同数据仓库'!$B$2:$BP$1000,29,FALSE),0)</f>
        <v>0</v>
      </c>
      <c r="S150" s="125">
        <f>IFERROR(VLOOKUP($L150,'2-2 引出数据_合同数据仓库'!$B$2:$BP$1000,4,FALSE),0)</f>
        <v>0</v>
      </c>
      <c r="T150" s="125"/>
      <c r="U150" s="125">
        <f>IFERROR(VLOOKUP($L150,'2-2 引出数据_合同数据仓库'!$B$2:$BP$1000,15,FALSE),0)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customHeight="1" outlineLevel="4" spans="1:95">
      <c r="A151" s="126" t="s">
        <v>2821</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customHeight="1" outlineLevel="3" spans="1:95">
      <c r="A152" s="118"/>
      <c r="B152" s="119" t="s">
        <v>799</v>
      </c>
      <c r="C152" s="120" t="s">
        <v>1113</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引出数据_合同数据仓库'!$B$2:$BP$1000,3,FALSE),0)</f>
        <v>0</v>
      </c>
      <c r="N153" s="125"/>
      <c r="O153" s="151">
        <f>IFERROR(VLOOKUP((LEFT(VLOOKUP($L153,'2-2 引出数据_合同数据仓库'!$B$2:$BP$1000,64,FALSE),15)&amp;(RIGHT(VLOOKUP($L153,'2-2 引出数据_合同数据仓库'!$B$2:$BP$1000,64,FALSE),4)+1)),'2-2 引出数据_合同数据仓库'!$B$2:$BP$1000,3,FALSE),0)</f>
        <v>0</v>
      </c>
      <c r="P153" s="125"/>
      <c r="Q153" s="125">
        <f>IFERROR(VLOOKUP($L153,'2-2 引出数据_合同数据仓库'!$B$2:$BP$1000,28,FALSE),0)</f>
        <v>0</v>
      </c>
      <c r="R153" s="125">
        <f>IFERROR(VLOOKUP($L153,'2-2 引出数据_合同数据仓库'!$B$2:$BP$1000,29,FALSE),0)</f>
        <v>0</v>
      </c>
      <c r="S153" s="125">
        <f>IFERROR(VLOOKUP($L153,'2-2 引出数据_合同数据仓库'!$B$2:$BP$1000,4,FALSE),0)</f>
        <v>0</v>
      </c>
      <c r="T153" s="125"/>
      <c r="U153" s="125">
        <f>IFERROR(VLOOKUP($L153,'2-2 引出数据_合同数据仓库'!$B$2:$BP$1000,15,FALSE),0)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引出数据_合同数据仓库'!$B$2:$BP$1000,3,FALSE),0)</f>
        <v>0</v>
      </c>
      <c r="N154" s="125"/>
      <c r="O154" s="151">
        <f>IFERROR(VLOOKUP((LEFT(VLOOKUP($L154,'2-2 引出数据_合同数据仓库'!$B$2:$BP$1000,64,FALSE),15)&amp;(RIGHT(VLOOKUP($L154,'2-2 引出数据_合同数据仓库'!$B$2:$BP$1000,64,FALSE),4)+1)),'2-2 引出数据_合同数据仓库'!$B$2:$BP$1000,3,FALSE),0)</f>
        <v>0</v>
      </c>
      <c r="P154" s="125"/>
      <c r="Q154" s="125">
        <f>IFERROR(VLOOKUP($L154,'2-2 引出数据_合同数据仓库'!$B$2:$BP$1000,28,FALSE),0)</f>
        <v>0</v>
      </c>
      <c r="R154" s="125">
        <f>IFERROR(VLOOKUP($L154,'2-2 引出数据_合同数据仓库'!$B$2:$BP$1000,29,FALSE),0)</f>
        <v>0</v>
      </c>
      <c r="S154" s="125">
        <f>IFERROR(VLOOKUP($L154,'2-2 引出数据_合同数据仓库'!$B$2:$BP$1000,4,FALSE),0)</f>
        <v>0</v>
      </c>
      <c r="T154" s="125"/>
      <c r="U154" s="125">
        <f>IFERROR(VLOOKUP($L154,'2-2 引出数据_合同数据仓库'!$B$2:$BP$1000,15,FALSE),0)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引出数据_合同数据仓库'!$B$2:$BP$1000,3,FALSE),0)</f>
        <v>0</v>
      </c>
      <c r="N155" s="125"/>
      <c r="O155" s="151">
        <f>IFERROR(VLOOKUP((LEFT(VLOOKUP($L155,'2-2 引出数据_合同数据仓库'!$B$2:$BP$1000,64,FALSE),15)&amp;(RIGHT(VLOOKUP($L155,'2-2 引出数据_合同数据仓库'!$B$2:$BP$1000,64,FALSE),4)+1)),'2-2 引出数据_合同数据仓库'!$B$2:$BP$1000,3,FALSE),0)</f>
        <v>0</v>
      </c>
      <c r="P155" s="125"/>
      <c r="Q155" s="125">
        <f>IFERROR(VLOOKUP($L155,'2-2 引出数据_合同数据仓库'!$B$2:$BP$1000,28,FALSE),0)</f>
        <v>0</v>
      </c>
      <c r="R155" s="125">
        <f>IFERROR(VLOOKUP($L155,'2-2 引出数据_合同数据仓库'!$B$2:$BP$1000,29,FALSE),0)</f>
        <v>0</v>
      </c>
      <c r="S155" s="125">
        <f>IFERROR(VLOOKUP($L155,'2-2 引出数据_合同数据仓库'!$B$2:$BP$1000,4,FALSE),0)</f>
        <v>0</v>
      </c>
      <c r="T155" s="125"/>
      <c r="U155" s="125">
        <f>IFERROR(VLOOKUP($L155,'2-2 引出数据_合同数据仓库'!$B$2:$BP$1000,15,FALSE),0)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引出数据_合同数据仓库'!$B$2:$BP$1000,3,FALSE),0)</f>
        <v>0</v>
      </c>
      <c r="N156" s="125"/>
      <c r="O156" s="151">
        <f>IFERROR(VLOOKUP((LEFT(VLOOKUP($L156,'2-2 引出数据_合同数据仓库'!$B$2:$BP$1000,64,FALSE),15)&amp;(RIGHT(VLOOKUP($L156,'2-2 引出数据_合同数据仓库'!$B$2:$BP$1000,64,FALSE),4)+1)),'2-2 引出数据_合同数据仓库'!$B$2:$BP$1000,3,FALSE),0)</f>
        <v>0</v>
      </c>
      <c r="P156" s="125"/>
      <c r="Q156" s="125">
        <f>IFERROR(VLOOKUP($L156,'2-2 引出数据_合同数据仓库'!$B$2:$BP$1000,28,FALSE),0)</f>
        <v>0</v>
      </c>
      <c r="R156" s="125">
        <f>IFERROR(VLOOKUP($L156,'2-2 引出数据_合同数据仓库'!$B$2:$BP$1000,29,FALSE),0)</f>
        <v>0</v>
      </c>
      <c r="S156" s="125">
        <f>IFERROR(VLOOKUP($L156,'2-2 引出数据_合同数据仓库'!$B$2:$BP$1000,4,FALSE),0)</f>
        <v>0</v>
      </c>
      <c r="T156" s="125"/>
      <c r="U156" s="125">
        <f>IFERROR(VLOOKUP($L156,'2-2 引出数据_合同数据仓库'!$B$2:$BP$1000,15,FALSE),0)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customHeight="1" outlineLevel="4" spans="1:95">
      <c r="A157" s="126" t="s">
        <v>2821</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customHeight="1" outlineLevel="2" spans="1:95">
      <c r="A158" s="47"/>
      <c r="B158" s="115" t="s">
        <v>794</v>
      </c>
      <c r="C158" s="116" t="s">
        <v>1120</v>
      </c>
      <c r="D158" s="47" t="s">
        <v>1121</v>
      </c>
      <c r="E158" s="115"/>
      <c r="F158" s="115"/>
      <c r="G158" s="115"/>
      <c r="H158" s="117">
        <f>X158+AA158+AD158+AG158+AJ158+AM158+AP158+AS158+AV158+AY158+BB158+BE158</f>
        <v>17668376.02</v>
      </c>
      <c r="I158" s="117">
        <f>Y158+AB158+AE158+AH158+AK158+AN158+AQ158+AT158+AW158+AZ158+BC158+BF158</f>
        <v>17668376.02</v>
      </c>
      <c r="J158" s="117">
        <f t="shared" si="1570"/>
        <v>0</v>
      </c>
      <c r="K158" s="117"/>
      <c r="L158" s="148"/>
      <c r="M158" s="148"/>
      <c r="N158" s="117"/>
      <c r="O158" s="117"/>
      <c r="P158" s="117"/>
      <c r="Q158" s="117"/>
      <c r="R158" s="117"/>
      <c r="S158" s="117"/>
      <c r="T158" s="117"/>
      <c r="U158" s="117"/>
      <c r="V158" s="117"/>
      <c r="W158" s="117"/>
      <c r="X158" s="117">
        <f>VLOOKUP($C158,'1 预算编制表单'!$C:$BJ,27,FALSE)</f>
        <v>1452538.31</v>
      </c>
      <c r="Y158" s="117">
        <f>X158-Z158</f>
        <v>1452538.31</v>
      </c>
      <c r="Z158" s="117">
        <f>Z159+Z165+Z171</f>
        <v>0</v>
      </c>
      <c r="AA158" s="117">
        <f>VLOOKUP($C158,'1 预算编制表单'!$C:$BJ,30,FALSE)</f>
        <v>1452538.31</v>
      </c>
      <c r="AB158" s="117">
        <f>AA158-AC158</f>
        <v>1452538.31</v>
      </c>
      <c r="AC158" s="117">
        <f>AC159+AC165+AC171</f>
        <v>0</v>
      </c>
      <c r="AD158" s="117">
        <f>VLOOKUP($C158,'1 预算编制表单'!$C:$BJ,33,FALSE)</f>
        <v>1452538.31</v>
      </c>
      <c r="AE158" s="117">
        <f>AD158-AF158</f>
        <v>1452538.31</v>
      </c>
      <c r="AF158" s="117">
        <f>AF159+AF165+AF171</f>
        <v>0</v>
      </c>
      <c r="AG158" s="117">
        <f>VLOOKUP($C158,'1 预算编制表单'!$C:$BJ,36,FALSE)</f>
        <v>1452538.31</v>
      </c>
      <c r="AH158" s="117">
        <f>AG158-AI158</f>
        <v>1452538.31</v>
      </c>
      <c r="AI158" s="117">
        <f>AI159+AI165+AI171</f>
        <v>0</v>
      </c>
      <c r="AJ158" s="117">
        <f>VLOOKUP($C158,'1 预算编制表单'!$C:$BJ,39,FALSE)</f>
        <v>1452538.31</v>
      </c>
      <c r="AK158" s="117">
        <f>AJ158-AL158</f>
        <v>1452538.31</v>
      </c>
      <c r="AL158" s="117">
        <f>AL159+AL165+AL171</f>
        <v>0</v>
      </c>
      <c r="AM158" s="117">
        <f>VLOOKUP($C158,'1 预算编制表单'!$C:$BJ,42,FALSE)</f>
        <v>1452538.31</v>
      </c>
      <c r="AN158" s="117">
        <f>AM158-AO158</f>
        <v>1452538.31</v>
      </c>
      <c r="AO158" s="117">
        <f>AO159+AO165+AO171</f>
        <v>0</v>
      </c>
      <c r="AP158" s="117">
        <f>VLOOKUP($C158,'1 预算编制表单'!$C:$BJ,45,FALSE)</f>
        <v>1452538.31</v>
      </c>
      <c r="AQ158" s="117">
        <f>AP158-AR158</f>
        <v>1452538.31</v>
      </c>
      <c r="AR158" s="117">
        <f>AR159+AR165+AR171</f>
        <v>0</v>
      </c>
      <c r="AS158" s="117">
        <f>VLOOKUP($C158,'1 预算编制表单'!$C:$BJ,48,FALSE)</f>
        <v>1452538.31</v>
      </c>
      <c r="AT158" s="117">
        <f>AS158-AU158</f>
        <v>1452538.31</v>
      </c>
      <c r="AU158" s="117">
        <f>AU159+AU165+AU171</f>
        <v>0</v>
      </c>
      <c r="AV158" s="117">
        <f>VLOOKUP($C158,'1 预算编制表单'!$C:$BJ,51,FALSE)</f>
        <v>1452538.31</v>
      </c>
      <c r="AW158" s="117">
        <f>AV158-AX158</f>
        <v>1452538.31</v>
      </c>
      <c r="AX158" s="117">
        <f>AX159+AX165+AX171</f>
        <v>0</v>
      </c>
      <c r="AY158" s="117">
        <f>VLOOKUP($C158,'1 预算编制表单'!$C:$BJ,54,FALSE)</f>
        <v>1452538.31</v>
      </c>
      <c r="AZ158" s="117">
        <f>AY158-BA158</f>
        <v>1452538.31</v>
      </c>
      <c r="BA158" s="117">
        <f>BA159+BA165+BA171</f>
        <v>0</v>
      </c>
      <c r="BB158" s="117">
        <f>VLOOKUP($C158,'1 预算编制表单'!$C:$BJ,57,FALSE)</f>
        <v>1452538.31</v>
      </c>
      <c r="BC158" s="117">
        <f>BB158-BD158</f>
        <v>1452538.31</v>
      </c>
      <c r="BD158" s="117">
        <f>BD159+BD165+BD171</f>
        <v>0</v>
      </c>
      <c r="BE158" s="117">
        <f>VLOOKUP($C158,'1 预算编制表单'!$C:$BJ,60,FALSE)</f>
        <v>1690454.61</v>
      </c>
      <c r="BF158" s="117">
        <f>BE158-BG158</f>
        <v>1690454.61</v>
      </c>
      <c r="BG158" s="117">
        <f>BG159+BG165+BG171</f>
        <v>0</v>
      </c>
      <c r="BH158" s="117">
        <f>VLOOKUP($C158,'1 预算编制表单'!$C:$BJ,27,FALSE)</f>
        <v>1452538.31</v>
      </c>
      <c r="BI158" s="117">
        <f>BH158-BJ158</f>
        <v>1452538.31</v>
      </c>
      <c r="BJ158" s="117">
        <f>BJ159+BJ165+BJ171</f>
        <v>0</v>
      </c>
      <c r="BK158" s="117">
        <f>VLOOKUP($C158,'1 预算编制表单'!$C:$BJ,30,FALSE)</f>
        <v>1452538.31</v>
      </c>
      <c r="BL158" s="117">
        <f>BK158-BM158</f>
        <v>1452538.31</v>
      </c>
      <c r="BM158" s="117">
        <f>BM159+BM165+BM171</f>
        <v>0</v>
      </c>
      <c r="BN158" s="117">
        <f>VLOOKUP($C158,'1 预算编制表单'!$C:$BJ,33,FALSE)</f>
        <v>1452538.31</v>
      </c>
      <c r="BO158" s="117">
        <f>BN158-BP158</f>
        <v>1452538.31</v>
      </c>
      <c r="BP158" s="117">
        <f>BP159+BP165+BP171</f>
        <v>0</v>
      </c>
      <c r="BQ158" s="117">
        <f>VLOOKUP($C158,'1 预算编制表单'!$C:$BJ,36,FALSE)</f>
        <v>1452538.31</v>
      </c>
      <c r="BR158" s="117">
        <f>BQ158-BS158</f>
        <v>1452538.31</v>
      </c>
      <c r="BS158" s="117">
        <f>BS159+BS165+BS171</f>
        <v>0</v>
      </c>
      <c r="BT158" s="117">
        <f>VLOOKUP($C158,'1 预算编制表单'!$C:$BJ,39,FALSE)</f>
        <v>1452538.31</v>
      </c>
      <c r="BU158" s="117">
        <f>BT158-BV158</f>
        <v>1452538.31</v>
      </c>
      <c r="BV158" s="117">
        <f>BV159+BV165+BV171</f>
        <v>0</v>
      </c>
      <c r="BW158" s="117">
        <f>VLOOKUP($C158,'1 预算编制表单'!$C:$BJ,42,FALSE)</f>
        <v>1452538.31</v>
      </c>
      <c r="BX158" s="117">
        <f>BW158-BY158</f>
        <v>1452538.31</v>
      </c>
      <c r="BY158" s="117">
        <f>BY159+BY165+BY171</f>
        <v>0</v>
      </c>
      <c r="BZ158" s="117">
        <f>VLOOKUP($C158,'1 预算编制表单'!$C:$BJ,45,FALSE)</f>
        <v>1452538.31</v>
      </c>
      <c r="CA158" s="117">
        <f>BZ158-CB158</f>
        <v>1452538.31</v>
      </c>
      <c r="CB158" s="117">
        <f>CB159+CB165+CB171</f>
        <v>0</v>
      </c>
      <c r="CC158" s="117">
        <f>VLOOKUP($C158,'1 预算编制表单'!$C:$BJ,48,FALSE)</f>
        <v>1452538.31</v>
      </c>
      <c r="CD158" s="117">
        <f>CC158-CE158</f>
        <v>1452538.31</v>
      </c>
      <c r="CE158" s="117">
        <f>CE159+CE165+CE171</f>
        <v>0</v>
      </c>
      <c r="CF158" s="117">
        <f>VLOOKUP($C158,'1 预算编制表单'!$C:$BJ,51,FALSE)</f>
        <v>1452538.31</v>
      </c>
      <c r="CG158" s="117">
        <f>CF158-CH158</f>
        <v>1452538.31</v>
      </c>
      <c r="CH158" s="117">
        <f>CH159+CH165+CH171</f>
        <v>0</v>
      </c>
      <c r="CI158" s="117">
        <f>VLOOKUP($C158,'1 预算编制表单'!$C:$BJ,54,FALSE)</f>
        <v>1452538.31</v>
      </c>
      <c r="CJ158" s="117">
        <f>CI158-CK158</f>
        <v>1452538.31</v>
      </c>
      <c r="CK158" s="117">
        <f>CK159+CK165+CK171</f>
        <v>0</v>
      </c>
      <c r="CL158" s="117">
        <f>VLOOKUP($C158,'1 预算编制表单'!$C:$BJ,57,FALSE)</f>
        <v>1452538.31</v>
      </c>
      <c r="CM158" s="117">
        <f>CL158-CN158</f>
        <v>1452538.31</v>
      </c>
      <c r="CN158" s="117">
        <f>CN159+CN165+CN171</f>
        <v>0</v>
      </c>
      <c r="CO158" s="117">
        <f>VLOOKUP($C158,'1 预算编制表单'!$C:$BJ,60,FALSE)</f>
        <v>1690454.61</v>
      </c>
      <c r="CP158" s="117">
        <f>CO158-CQ158</f>
        <v>1690454.61</v>
      </c>
      <c r="CQ158" s="117">
        <f>CQ159+CQ165+CQ171</f>
        <v>0</v>
      </c>
    </row>
    <row r="159" ht="24" customHeight="1" outlineLevel="3" spans="1:95">
      <c r="A159" s="118"/>
      <c r="B159" s="119" t="s">
        <v>799</v>
      </c>
      <c r="C159" s="120" t="s">
        <v>130</v>
      </c>
      <c r="D159" s="118" t="s">
        <v>109</v>
      </c>
      <c r="E159" s="119"/>
      <c r="F159" s="119"/>
      <c r="G159" s="119"/>
      <c r="H159" s="121">
        <f>X159+AA159+AD159+AG159+AJ159+AM159+AP159+AS159+AV159+AY159+BB159+BE159</f>
        <v>17668376.02</v>
      </c>
      <c r="I159" s="121">
        <f>Y159+AB159+AE159+AH159+AK159+AN159+AQ159+AT159+AW159+AZ159+BC159+BF159</f>
        <v>17668376.02</v>
      </c>
      <c r="J159" s="121">
        <f t="shared" si="1570"/>
        <v>0</v>
      </c>
      <c r="K159" s="121"/>
      <c r="L159" s="149"/>
      <c r="M159" s="149"/>
      <c r="N159" s="121"/>
      <c r="O159" s="121"/>
      <c r="P159" s="121"/>
      <c r="Q159" s="121"/>
      <c r="R159" s="121"/>
      <c r="S159" s="121"/>
      <c r="T159" s="121"/>
      <c r="U159" s="121"/>
      <c r="V159" s="121"/>
      <c r="W159" s="121"/>
      <c r="X159" s="121">
        <f>VLOOKUP($C159,'1 预算编制表单'!$C:$BJ,27,FALSE)</f>
        <v>1452538.31</v>
      </c>
      <c r="Y159" s="121">
        <f>X159-Z159</f>
        <v>1452538.31</v>
      </c>
      <c r="Z159" s="121">
        <f>SUM(Z160:Z164)</f>
        <v>0</v>
      </c>
      <c r="AA159" s="121">
        <f>VLOOKUP($C159,'1 预算编制表单'!$C:$BJ,30,FALSE)</f>
        <v>1452538.31</v>
      </c>
      <c r="AB159" s="121">
        <f>AA159-AC159</f>
        <v>1452538.31</v>
      </c>
      <c r="AC159" s="121">
        <f>SUM(AC160:AC164)</f>
        <v>0</v>
      </c>
      <c r="AD159" s="121">
        <f>VLOOKUP($C159,'1 预算编制表单'!$C:$BJ,33,FALSE)</f>
        <v>1452538.31</v>
      </c>
      <c r="AE159" s="121">
        <f>AD159-AF159</f>
        <v>1452538.31</v>
      </c>
      <c r="AF159" s="121">
        <f>SUM(AF160:AF164)</f>
        <v>0</v>
      </c>
      <c r="AG159" s="121">
        <f>VLOOKUP($C159,'1 预算编制表单'!$C:$BJ,36,FALSE)</f>
        <v>1452538.31</v>
      </c>
      <c r="AH159" s="121">
        <f>AG159-AI159</f>
        <v>1452538.31</v>
      </c>
      <c r="AI159" s="121">
        <f>SUM(AI160:AI164)</f>
        <v>0</v>
      </c>
      <c r="AJ159" s="121">
        <f>VLOOKUP($C159,'1 预算编制表单'!$C:$BJ,39,FALSE)</f>
        <v>1452538.31</v>
      </c>
      <c r="AK159" s="121">
        <f>AJ159-AL159</f>
        <v>1452538.31</v>
      </c>
      <c r="AL159" s="121">
        <f>SUM(AL160:AL164)</f>
        <v>0</v>
      </c>
      <c r="AM159" s="121">
        <f>VLOOKUP($C159,'1 预算编制表单'!$C:$BJ,42,FALSE)</f>
        <v>1452538.31</v>
      </c>
      <c r="AN159" s="121">
        <f>AM159-AO159</f>
        <v>1452538.31</v>
      </c>
      <c r="AO159" s="121">
        <f>SUM(AO160:AO164)</f>
        <v>0</v>
      </c>
      <c r="AP159" s="121">
        <f>VLOOKUP($C159,'1 预算编制表单'!$C:$BJ,45,FALSE)</f>
        <v>1452538.31</v>
      </c>
      <c r="AQ159" s="121">
        <f>AP159-AR159</f>
        <v>1452538.31</v>
      </c>
      <c r="AR159" s="121">
        <f>SUM(AR160:AR164)</f>
        <v>0</v>
      </c>
      <c r="AS159" s="121">
        <f>VLOOKUP($C159,'1 预算编制表单'!$C:$BJ,48,FALSE)</f>
        <v>1452538.31</v>
      </c>
      <c r="AT159" s="121">
        <f>AS159-AU159</f>
        <v>1452538.31</v>
      </c>
      <c r="AU159" s="121">
        <f>SUM(AU160:AU164)</f>
        <v>0</v>
      </c>
      <c r="AV159" s="121">
        <f>VLOOKUP($C159,'1 预算编制表单'!$C:$BJ,51,FALSE)</f>
        <v>1452538.31</v>
      </c>
      <c r="AW159" s="121">
        <f>AV159-AX159</f>
        <v>1452538.31</v>
      </c>
      <c r="AX159" s="121">
        <f>SUM(AX160:AX164)</f>
        <v>0</v>
      </c>
      <c r="AY159" s="121">
        <f>VLOOKUP($C159,'1 预算编制表单'!$C:$BJ,54,FALSE)</f>
        <v>1452538.31</v>
      </c>
      <c r="AZ159" s="121">
        <f>AY159-BA159</f>
        <v>1452538.31</v>
      </c>
      <c r="BA159" s="121">
        <f>SUM(BA160:BA164)</f>
        <v>0</v>
      </c>
      <c r="BB159" s="121">
        <f>VLOOKUP($C159,'1 预算编制表单'!$C:$BJ,57,FALSE)</f>
        <v>1452538.31</v>
      </c>
      <c r="BC159" s="121">
        <f>BB159-BD159</f>
        <v>1452538.31</v>
      </c>
      <c r="BD159" s="121">
        <f>SUM(BD160:BD164)</f>
        <v>0</v>
      </c>
      <c r="BE159" s="121">
        <f>VLOOKUP($C159,'1 预算编制表单'!$C:$BJ,60,FALSE)</f>
        <v>1690454.61</v>
      </c>
      <c r="BF159" s="121">
        <f>BE159-BG159</f>
        <v>1690454.61</v>
      </c>
      <c r="BG159" s="121">
        <f>SUM(BG160:BG164)</f>
        <v>0</v>
      </c>
      <c r="BH159" s="121">
        <f>VLOOKUP($C159,'1 预算编制表单'!$C:$BJ,27,FALSE)</f>
        <v>1452538.31</v>
      </c>
      <c r="BI159" s="121">
        <f>BH159-BJ159</f>
        <v>1452538.31</v>
      </c>
      <c r="BJ159" s="121">
        <f>SUM(BJ160:BJ164)</f>
        <v>0</v>
      </c>
      <c r="BK159" s="121">
        <f>VLOOKUP($C159,'1 预算编制表单'!$C:$BJ,30,FALSE)</f>
        <v>1452538.31</v>
      </c>
      <c r="BL159" s="121">
        <f>BK159-BM159</f>
        <v>1452538.31</v>
      </c>
      <c r="BM159" s="121">
        <f>SUM(BM160:BM164)</f>
        <v>0</v>
      </c>
      <c r="BN159" s="121">
        <f>VLOOKUP($C159,'1 预算编制表单'!$C:$BJ,33,FALSE)</f>
        <v>1452538.31</v>
      </c>
      <c r="BO159" s="121">
        <f>BN159-BP159</f>
        <v>1452538.31</v>
      </c>
      <c r="BP159" s="121">
        <f>SUM(BP160:BP164)</f>
        <v>0</v>
      </c>
      <c r="BQ159" s="121">
        <f>VLOOKUP($C159,'1 预算编制表单'!$C:$BJ,36,FALSE)</f>
        <v>1452538.31</v>
      </c>
      <c r="BR159" s="121">
        <f>BQ159-BS159</f>
        <v>1452538.31</v>
      </c>
      <c r="BS159" s="121">
        <f>SUM(BS160:BS164)</f>
        <v>0</v>
      </c>
      <c r="BT159" s="121">
        <f>VLOOKUP($C159,'1 预算编制表单'!$C:$BJ,39,FALSE)</f>
        <v>1452538.31</v>
      </c>
      <c r="BU159" s="121">
        <f>BT159-BV159</f>
        <v>1452538.31</v>
      </c>
      <c r="BV159" s="121">
        <f>SUM(BV160:BV164)</f>
        <v>0</v>
      </c>
      <c r="BW159" s="121">
        <f>VLOOKUP($C159,'1 预算编制表单'!$C:$BJ,42,FALSE)</f>
        <v>1452538.31</v>
      </c>
      <c r="BX159" s="121">
        <f>BW159-BY159</f>
        <v>1452538.31</v>
      </c>
      <c r="BY159" s="121">
        <f>SUM(BY160:BY164)</f>
        <v>0</v>
      </c>
      <c r="BZ159" s="121">
        <f>VLOOKUP($C159,'1 预算编制表单'!$C:$BJ,45,FALSE)</f>
        <v>1452538.31</v>
      </c>
      <c r="CA159" s="121">
        <f>BZ159-CB159</f>
        <v>1452538.31</v>
      </c>
      <c r="CB159" s="121">
        <f>SUM(CB160:CB164)</f>
        <v>0</v>
      </c>
      <c r="CC159" s="121">
        <f>VLOOKUP($C159,'1 预算编制表单'!$C:$BJ,48,FALSE)</f>
        <v>1452538.31</v>
      </c>
      <c r="CD159" s="121">
        <f>CC159-CE159</f>
        <v>1452538.31</v>
      </c>
      <c r="CE159" s="121">
        <f>SUM(CE160:CE164)</f>
        <v>0</v>
      </c>
      <c r="CF159" s="121">
        <f>VLOOKUP($C159,'1 预算编制表单'!$C:$BJ,51,FALSE)</f>
        <v>1452538.31</v>
      </c>
      <c r="CG159" s="121">
        <f>CF159-CH159</f>
        <v>1452538.31</v>
      </c>
      <c r="CH159" s="121">
        <f>SUM(CH160:CH164)</f>
        <v>0</v>
      </c>
      <c r="CI159" s="121">
        <f>VLOOKUP($C159,'1 预算编制表单'!$C:$BJ,54,FALSE)</f>
        <v>1452538.31</v>
      </c>
      <c r="CJ159" s="121">
        <f>CI159-CK159</f>
        <v>1452538.31</v>
      </c>
      <c r="CK159" s="121">
        <f>SUM(CK160:CK164)</f>
        <v>0</v>
      </c>
      <c r="CL159" s="121">
        <f>VLOOKUP($C159,'1 预算编制表单'!$C:$BJ,57,FALSE)</f>
        <v>1452538.31</v>
      </c>
      <c r="CM159" s="121">
        <f>CL159-CN159</f>
        <v>1452538.31</v>
      </c>
      <c r="CN159" s="121">
        <f>SUM(CN160:CN164)</f>
        <v>0</v>
      </c>
      <c r="CO159" s="121">
        <f>VLOOKUP($C159,'1 预算编制表单'!$C:$BJ,60,FALSE)</f>
        <v>1690454.61</v>
      </c>
      <c r="CP159" s="121">
        <f>CO159-CQ159</f>
        <v>1690454.61</v>
      </c>
      <c r="CQ159" s="121">
        <f>SUM(CQ160:CQ164)</f>
        <v>0</v>
      </c>
    </row>
    <row r="160" s="83" customFormat="1" ht="24"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引出数据_合同数据仓库'!$B$2:$BP$1000,3,FALSE),0)</f>
        <v>0</v>
      </c>
      <c r="N160" s="125"/>
      <c r="O160" s="151">
        <f>IFERROR(VLOOKUP((LEFT(VLOOKUP($L160,'2-2 引出数据_合同数据仓库'!$B$2:$BP$1000,64,FALSE),15)&amp;(RIGHT(VLOOKUP($L160,'2-2 引出数据_合同数据仓库'!$B$2:$BP$1000,64,FALSE),4)+1)),'2-2 引出数据_合同数据仓库'!$B$2:$BP$1000,3,FALSE),0)</f>
        <v>0</v>
      </c>
      <c r="P160" s="125"/>
      <c r="Q160" s="125">
        <f>IFERROR(VLOOKUP($L160,'2-2 引出数据_合同数据仓库'!$B$2:$BP$1000,28,FALSE),0)</f>
        <v>0</v>
      </c>
      <c r="R160" s="125">
        <f>IFERROR(VLOOKUP($L160,'2-2 引出数据_合同数据仓库'!$B$2:$BP$1000,29,FALSE),0)</f>
        <v>0</v>
      </c>
      <c r="S160" s="125">
        <f>IFERROR(VLOOKUP($L160,'2-2 引出数据_合同数据仓库'!$B$2:$BP$1000,4,FALSE),0)</f>
        <v>0</v>
      </c>
      <c r="T160" s="125"/>
      <c r="U160" s="125">
        <f>IFERROR(VLOOKUP($L160,'2-2 引出数据_合同数据仓库'!$B$2:$BP$1000,15,FALSE),0)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引出数据_合同数据仓库'!$B$2:$BP$1000,3,FALSE),0)</f>
        <v>0</v>
      </c>
      <c r="N161" s="125"/>
      <c r="O161" s="151">
        <f>IFERROR(VLOOKUP((LEFT(VLOOKUP($L161,'2-2 引出数据_合同数据仓库'!$B$2:$BP$1000,64,FALSE),15)&amp;(RIGHT(VLOOKUP($L161,'2-2 引出数据_合同数据仓库'!$B$2:$BP$1000,64,FALSE),4)+1)),'2-2 引出数据_合同数据仓库'!$B$2:$BP$1000,3,FALSE),0)</f>
        <v>0</v>
      </c>
      <c r="P161" s="125"/>
      <c r="Q161" s="125">
        <f>IFERROR(VLOOKUP($L161,'2-2 引出数据_合同数据仓库'!$B$2:$BP$1000,28,FALSE),0)</f>
        <v>0</v>
      </c>
      <c r="R161" s="125">
        <f>IFERROR(VLOOKUP($L161,'2-2 引出数据_合同数据仓库'!$B$2:$BP$1000,29,FALSE),0)</f>
        <v>0</v>
      </c>
      <c r="S161" s="125">
        <f>IFERROR(VLOOKUP($L161,'2-2 引出数据_合同数据仓库'!$B$2:$BP$1000,4,FALSE),0)</f>
        <v>0</v>
      </c>
      <c r="T161" s="125"/>
      <c r="U161" s="125">
        <f>IFERROR(VLOOKUP($L161,'2-2 引出数据_合同数据仓库'!$B$2:$BP$1000,15,FALSE),0)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引出数据_合同数据仓库'!$B$2:$BP$1000,3,FALSE),0)</f>
        <v>0</v>
      </c>
      <c r="N162" s="125"/>
      <c r="O162" s="151">
        <f>IFERROR(VLOOKUP((LEFT(VLOOKUP($L162,'2-2 引出数据_合同数据仓库'!$B$2:$BP$1000,64,FALSE),15)&amp;(RIGHT(VLOOKUP($L162,'2-2 引出数据_合同数据仓库'!$B$2:$BP$1000,64,FALSE),4)+1)),'2-2 引出数据_合同数据仓库'!$B$2:$BP$1000,3,FALSE),0)</f>
        <v>0</v>
      </c>
      <c r="P162" s="125"/>
      <c r="Q162" s="125">
        <f>IFERROR(VLOOKUP($L162,'2-2 引出数据_合同数据仓库'!$B$2:$BP$1000,28,FALSE),0)</f>
        <v>0</v>
      </c>
      <c r="R162" s="125">
        <f>IFERROR(VLOOKUP($L162,'2-2 引出数据_合同数据仓库'!$B$2:$BP$1000,29,FALSE),0)</f>
        <v>0</v>
      </c>
      <c r="S162" s="125">
        <f>IFERROR(VLOOKUP($L162,'2-2 引出数据_合同数据仓库'!$B$2:$BP$1000,4,FALSE),0)</f>
        <v>0</v>
      </c>
      <c r="T162" s="125"/>
      <c r="U162" s="125">
        <f>IFERROR(VLOOKUP($L162,'2-2 引出数据_合同数据仓库'!$B$2:$BP$1000,15,FALSE),0)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引出数据_合同数据仓库'!$B$2:$BP$1000,3,FALSE),0)</f>
        <v>0</v>
      </c>
      <c r="N163" s="125"/>
      <c r="O163" s="151">
        <f>IFERROR(VLOOKUP((LEFT(VLOOKUP($L163,'2-2 引出数据_合同数据仓库'!$B$2:$BP$1000,64,FALSE),15)&amp;(RIGHT(VLOOKUP($L163,'2-2 引出数据_合同数据仓库'!$B$2:$BP$1000,64,FALSE),4)+1)),'2-2 引出数据_合同数据仓库'!$B$2:$BP$1000,3,FALSE),0)</f>
        <v>0</v>
      </c>
      <c r="P163" s="125"/>
      <c r="Q163" s="125">
        <f>IFERROR(VLOOKUP($L163,'2-2 引出数据_合同数据仓库'!$B$2:$BP$1000,28,FALSE),0)</f>
        <v>0</v>
      </c>
      <c r="R163" s="125">
        <f>IFERROR(VLOOKUP($L163,'2-2 引出数据_合同数据仓库'!$B$2:$BP$1000,29,FALSE),0)</f>
        <v>0</v>
      </c>
      <c r="S163" s="125">
        <f>IFERROR(VLOOKUP($L163,'2-2 引出数据_合同数据仓库'!$B$2:$BP$1000,4,FALSE),0)</f>
        <v>0</v>
      </c>
      <c r="T163" s="125"/>
      <c r="U163" s="125">
        <f>IFERROR(VLOOKUP($L163,'2-2 引出数据_合同数据仓库'!$B$2:$BP$1000,15,FALSE),0)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customHeight="1" outlineLevel="4" spans="1:95">
      <c r="A164" s="126" t="s">
        <v>2821</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customHeight="1" outlineLevel="3" spans="1:95">
      <c r="A165" s="118"/>
      <c r="B165" s="119" t="s">
        <v>799</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customHeight="1" outlineLevel="4" spans="1:95">
      <c r="A166" s="122"/>
      <c r="B166" s="123"/>
      <c r="C166" s="124" t="s">
        <v>1133</v>
      </c>
      <c r="D166" s="122" t="s">
        <v>2823</v>
      </c>
      <c r="E166" s="123"/>
      <c r="F166" s="123"/>
      <c r="G166" s="123"/>
      <c r="H166" s="125"/>
      <c r="I166" s="125"/>
      <c r="J166" s="125">
        <f t="shared" si="1570"/>
        <v>0</v>
      </c>
      <c r="K166" s="125"/>
      <c r="L166" s="155"/>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引出数据_合同数据仓库'!$B$2:$BP$1000,3,FALSE),0)</f>
        <v>0</v>
      </c>
      <c r="N167" s="125"/>
      <c r="O167" s="151">
        <f>IFERROR(VLOOKUP((LEFT(VLOOKUP($L167,'2-2 引出数据_合同数据仓库'!$B$2:$BP$1000,64,FALSE),15)&amp;(RIGHT(VLOOKUP($L167,'2-2 引出数据_合同数据仓库'!$B$2:$BP$1000,64,FALSE),4)+1)),'2-2 引出数据_合同数据仓库'!$B$2:$BP$1000,3,FALSE),0)</f>
        <v>0</v>
      </c>
      <c r="P167" s="125"/>
      <c r="Q167" s="125">
        <f>IFERROR(VLOOKUP($L167,'2-2 引出数据_合同数据仓库'!$B$2:$BP$1000,28,FALSE),0)</f>
        <v>0</v>
      </c>
      <c r="R167" s="125">
        <f>IFERROR(VLOOKUP($L167,'2-2 引出数据_合同数据仓库'!$B$2:$BP$1000,29,FALSE),0)</f>
        <v>0</v>
      </c>
      <c r="S167" s="125">
        <f>IFERROR(VLOOKUP($L167,'2-2 引出数据_合同数据仓库'!$B$2:$BP$1000,4,FALSE),0)</f>
        <v>0</v>
      </c>
      <c r="T167" s="125"/>
      <c r="U167" s="125">
        <f>IFERROR(VLOOKUP($L167,'2-2 引出数据_合同数据仓库'!$B$2:$BP$1000,15,FALSE),0)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引出数据_合同数据仓库'!$B$2:$BP$1000,3,FALSE),0)</f>
        <v>0</v>
      </c>
      <c r="N168" s="125"/>
      <c r="O168" s="151">
        <f>IFERROR(VLOOKUP((LEFT(VLOOKUP($L168,'2-2 引出数据_合同数据仓库'!$B$2:$BP$1000,64,FALSE),15)&amp;(RIGHT(VLOOKUP($L168,'2-2 引出数据_合同数据仓库'!$B$2:$BP$1000,64,FALSE),4)+1)),'2-2 引出数据_合同数据仓库'!$B$2:$BP$1000,3,FALSE),0)</f>
        <v>0</v>
      </c>
      <c r="P168" s="125"/>
      <c r="Q168" s="125">
        <f>IFERROR(VLOOKUP($L168,'2-2 引出数据_合同数据仓库'!$B$2:$BP$1000,28,FALSE),0)</f>
        <v>0</v>
      </c>
      <c r="R168" s="125">
        <f>IFERROR(VLOOKUP($L168,'2-2 引出数据_合同数据仓库'!$B$2:$BP$1000,29,FALSE),0)</f>
        <v>0</v>
      </c>
      <c r="S168" s="125">
        <f>IFERROR(VLOOKUP($L168,'2-2 引出数据_合同数据仓库'!$B$2:$BP$1000,4,FALSE),0)</f>
        <v>0</v>
      </c>
      <c r="T168" s="125"/>
      <c r="U168" s="125">
        <f>IFERROR(VLOOKUP($L168,'2-2 引出数据_合同数据仓库'!$B$2:$BP$1000,15,FALSE),0)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引出数据_合同数据仓库'!$B$2:$BP$1000,3,FALSE),0)</f>
        <v>0</v>
      </c>
      <c r="N169" s="125"/>
      <c r="O169" s="151">
        <f>IFERROR(VLOOKUP((LEFT(VLOOKUP($L169,'2-2 引出数据_合同数据仓库'!$B$2:$BP$1000,64,FALSE),15)&amp;(RIGHT(VLOOKUP($L169,'2-2 引出数据_合同数据仓库'!$B$2:$BP$1000,64,FALSE),4)+1)),'2-2 引出数据_合同数据仓库'!$B$2:$BP$1000,3,FALSE),0)</f>
        <v>0</v>
      </c>
      <c r="P169" s="125"/>
      <c r="Q169" s="125">
        <f>IFERROR(VLOOKUP($L169,'2-2 引出数据_合同数据仓库'!$B$2:$BP$1000,28,FALSE),0)</f>
        <v>0</v>
      </c>
      <c r="R169" s="125">
        <f>IFERROR(VLOOKUP($L169,'2-2 引出数据_合同数据仓库'!$B$2:$BP$1000,29,FALSE),0)</f>
        <v>0</v>
      </c>
      <c r="S169" s="125">
        <f>IFERROR(VLOOKUP($L169,'2-2 引出数据_合同数据仓库'!$B$2:$BP$1000,4,FALSE),0)</f>
        <v>0</v>
      </c>
      <c r="T169" s="125"/>
      <c r="U169" s="125">
        <f>IFERROR(VLOOKUP($L169,'2-2 引出数据_合同数据仓库'!$B$2:$BP$1000,15,FALSE),0)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customHeight="1" outlineLevel="4" spans="1:95">
      <c r="A170" s="126" t="s">
        <v>2821</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customHeight="1" outlineLevel="3" spans="1:95">
      <c r="A171" s="118"/>
      <c r="B171" s="119" t="s">
        <v>799</v>
      </c>
      <c r="C171" s="120" t="s">
        <v>1139</v>
      </c>
      <c r="D171" s="118" t="s">
        <v>19</v>
      </c>
      <c r="E171" s="119"/>
      <c r="F171" s="119"/>
      <c r="G171" s="119"/>
      <c r="H171" s="121">
        <f>X171+AA171+AD171+AG171+AJ171+AM171+AP171+AS171+AV171+AY171+BB171+BE171</f>
        <v>0</v>
      </c>
      <c r="I171" s="121">
        <f>Y171+AB171+AE171+AH171+AK171+AN171+AQ171+AT171+AW171+AZ171+BC171+BF171</f>
        <v>0</v>
      </c>
      <c r="J171" s="121">
        <f t="shared" si="1570"/>
        <v>0</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v>
      </c>
      <c r="AO171" s="121">
        <f>SUM(AO172:AO176)</f>
        <v>0</v>
      </c>
      <c r="AP171" s="121">
        <f>VLOOKUP($C171,'1 预算编制表单'!$C:$BJ,45,FALSE)</f>
        <v>0</v>
      </c>
      <c r="AQ171" s="121">
        <f>AP171-AR171</f>
        <v>0</v>
      </c>
      <c r="AR171" s="121">
        <f>SUM(AR172:AR176)</f>
        <v>0</v>
      </c>
      <c r="AS171" s="121">
        <f>VLOOKUP($C171,'1 预算编制表单'!$C:$BJ,48,FALSE)</f>
        <v>0</v>
      </c>
      <c r="AT171" s="121">
        <f>AS171-AU171</f>
        <v>0</v>
      </c>
      <c r="AU171" s="121">
        <f>SUM(AU172:AU176)</f>
        <v>0</v>
      </c>
      <c r="AV171" s="121">
        <f>VLOOKUP($C171,'1 预算编制表单'!$C:$BJ,51,FALSE)</f>
        <v>0</v>
      </c>
      <c r="AW171" s="121">
        <f>AV171-AX171</f>
        <v>0</v>
      </c>
      <c r="AX171" s="121">
        <f>SUM(AX172:AX176)</f>
        <v>0</v>
      </c>
      <c r="AY171" s="121">
        <f>VLOOKUP($C171,'1 预算编制表单'!$C:$BJ,54,FALSE)</f>
        <v>0</v>
      </c>
      <c r="AZ171" s="121">
        <f>AY171-BA171</f>
        <v>0</v>
      </c>
      <c r="BA171" s="121">
        <f>SUM(BA172:BA176)</f>
        <v>0</v>
      </c>
      <c r="BB171" s="121">
        <f>VLOOKUP($C171,'1 预算编制表单'!$C:$BJ,57,FALSE)</f>
        <v>0</v>
      </c>
      <c r="BC171" s="121">
        <f>BB171-BD171</f>
        <v>0</v>
      </c>
      <c r="BD171" s="121">
        <f>SUM(BD172:BD176)</f>
        <v>0</v>
      </c>
      <c r="BE171" s="121">
        <f>VLOOKUP($C171,'1 预算编制表单'!$C:$BJ,60,FALSE)</f>
        <v>0</v>
      </c>
      <c r="BF171" s="121">
        <f>BE171-BG171</f>
        <v>0</v>
      </c>
      <c r="BG171" s="121">
        <f>SUM(BG172:BG176)</f>
        <v>0</v>
      </c>
      <c r="BH171" s="121">
        <f>VLOOKUP($C171,'1 预算编制表单'!$C:$BJ,27,FALSE)</f>
        <v>0</v>
      </c>
      <c r="BI171" s="121">
        <f>BH171-BJ171</f>
        <v>0</v>
      </c>
      <c r="BJ171" s="121">
        <f>SUM(BJ172:BJ176)</f>
        <v>0</v>
      </c>
      <c r="BK171" s="121">
        <f>VLOOKUP($C171,'1 预算编制表单'!$C:$BJ,30,FALSE)</f>
        <v>0</v>
      </c>
      <c r="BL171" s="121">
        <f>BK171-BM171</f>
        <v>0</v>
      </c>
      <c r="BM171" s="121">
        <f>SUM(BM172:BM176)</f>
        <v>0</v>
      </c>
      <c r="BN171" s="121">
        <f>VLOOKUP($C171,'1 预算编制表单'!$C:$BJ,33,FALSE)</f>
        <v>0</v>
      </c>
      <c r="BO171" s="121">
        <f>BN171-BP171</f>
        <v>0</v>
      </c>
      <c r="BP171" s="121">
        <f>SUM(BP172:BP176)</f>
        <v>0</v>
      </c>
      <c r="BQ171" s="121">
        <f>VLOOKUP($C171,'1 预算编制表单'!$C:$BJ,36,FALSE)</f>
        <v>0</v>
      </c>
      <c r="BR171" s="121">
        <f>BQ171-BS171</f>
        <v>0</v>
      </c>
      <c r="BS171" s="121">
        <f>SUM(BS172:BS176)</f>
        <v>0</v>
      </c>
      <c r="BT171" s="121">
        <f>VLOOKUP($C171,'1 预算编制表单'!$C:$BJ,39,FALSE)</f>
        <v>0</v>
      </c>
      <c r="BU171" s="121">
        <f>BT171-BV171</f>
        <v>0</v>
      </c>
      <c r="BV171" s="121">
        <f>SUM(BV172:BV176)</f>
        <v>0</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customHeight="1" outlineLevel="4" spans="1:95">
      <c r="A172" s="122"/>
      <c r="B172" s="123"/>
      <c r="C172" s="124"/>
      <c r="D172" s="122"/>
      <c r="E172" s="123"/>
      <c r="F172" s="123"/>
      <c r="G172" s="123"/>
      <c r="H172" s="125"/>
      <c r="I172" s="125"/>
      <c r="J172" s="125">
        <f t="shared" si="1570"/>
        <v>0</v>
      </c>
      <c r="K172" s="125">
        <v>1</v>
      </c>
      <c r="L172" s="150"/>
      <c r="M172" s="151">
        <f>IFERROR(VLOOKUP($L172,'2-2 引出数据_合同数据仓库'!$B$2:$BP$1000,3,FALSE),0)</f>
        <v>0</v>
      </c>
      <c r="N172" s="125"/>
      <c r="O172" s="151">
        <f>IFERROR(VLOOKUP((LEFT(VLOOKUP($L172,'2-2 引出数据_合同数据仓库'!$B$2:$BP$1000,64,FALSE),15)&amp;(RIGHT(VLOOKUP($L172,'2-2 引出数据_合同数据仓库'!$B$2:$BP$1000,64,FALSE),4)+1)),'2-2 引出数据_合同数据仓库'!$B$2:$BP$1000,3,FALSE),0)</f>
        <v>0</v>
      </c>
      <c r="P172" s="125"/>
      <c r="Q172" s="125">
        <f>IFERROR(VLOOKUP($L172,'2-2 引出数据_合同数据仓库'!$B$2:$BP$1000,28,FALSE),0)</f>
        <v>0</v>
      </c>
      <c r="R172" s="125">
        <f>IFERROR(VLOOKUP($L172,'2-2 引出数据_合同数据仓库'!$B$2:$BP$1000,29,FALSE),0)</f>
        <v>0</v>
      </c>
      <c r="S172" s="125">
        <f>IFERROR(VLOOKUP($L172,'2-2 引出数据_合同数据仓库'!$B$2:$BP$1000,4,FALSE),0)</f>
        <v>0</v>
      </c>
      <c r="T172" s="125"/>
      <c r="U172" s="125">
        <f>IFERROR(VLOOKUP($L172,'2-2 引出数据_合同数据仓库'!$B$2:$BP$1000,15,FALSE),0)</f>
        <v>0</v>
      </c>
      <c r="V172" s="125">
        <f t="shared" ref="V172:V175" si="2038">U172/(S172-R172+1)*365</f>
        <v>0</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引出数据_合同数据仓库'!$B$2:$BP$1000,3,FALSE),0)</f>
        <v>0</v>
      </c>
      <c r="N173" s="125"/>
      <c r="O173" s="151">
        <f>IFERROR(VLOOKUP((LEFT(VLOOKUP($L173,'2-2 引出数据_合同数据仓库'!$B$2:$BP$1000,64,FALSE),15)&amp;(RIGHT(VLOOKUP($L173,'2-2 引出数据_合同数据仓库'!$B$2:$BP$1000,64,FALSE),4)+1)),'2-2 引出数据_合同数据仓库'!$B$2:$BP$1000,3,FALSE),0)</f>
        <v>0</v>
      </c>
      <c r="P173" s="125"/>
      <c r="Q173" s="125">
        <f>IFERROR(VLOOKUP($L173,'2-2 引出数据_合同数据仓库'!$B$2:$BP$1000,28,FALSE),0)</f>
        <v>0</v>
      </c>
      <c r="R173" s="125">
        <f>IFERROR(VLOOKUP($L173,'2-2 引出数据_合同数据仓库'!$B$2:$BP$1000,29,FALSE),0)</f>
        <v>0</v>
      </c>
      <c r="S173" s="125">
        <f>IFERROR(VLOOKUP($L173,'2-2 引出数据_合同数据仓库'!$B$2:$BP$1000,4,FALSE),0)</f>
        <v>0</v>
      </c>
      <c r="T173" s="125"/>
      <c r="U173" s="125">
        <f>IFERROR(VLOOKUP($L173,'2-2 引出数据_合同数据仓库'!$B$2:$BP$1000,15,FALSE),0)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引出数据_合同数据仓库'!$B$2:$BP$1000,3,FALSE),0)</f>
        <v>0</v>
      </c>
      <c r="N174" s="125"/>
      <c r="O174" s="151">
        <f>IFERROR(VLOOKUP((LEFT(VLOOKUP($L174,'2-2 引出数据_合同数据仓库'!$B$2:$BP$1000,64,FALSE),15)&amp;(RIGHT(VLOOKUP($L174,'2-2 引出数据_合同数据仓库'!$B$2:$BP$1000,64,FALSE),4)+1)),'2-2 引出数据_合同数据仓库'!$B$2:$BP$1000,3,FALSE),0)</f>
        <v>0</v>
      </c>
      <c r="P174" s="125"/>
      <c r="Q174" s="125">
        <f>IFERROR(VLOOKUP($L174,'2-2 引出数据_合同数据仓库'!$B$2:$BP$1000,28,FALSE),0)</f>
        <v>0</v>
      </c>
      <c r="R174" s="125">
        <f>IFERROR(VLOOKUP($L174,'2-2 引出数据_合同数据仓库'!$B$2:$BP$1000,29,FALSE),0)</f>
        <v>0</v>
      </c>
      <c r="S174" s="125">
        <f>IFERROR(VLOOKUP($L174,'2-2 引出数据_合同数据仓库'!$B$2:$BP$1000,4,FALSE),0)</f>
        <v>0</v>
      </c>
      <c r="T174" s="125"/>
      <c r="U174" s="125">
        <f>IFERROR(VLOOKUP($L174,'2-2 引出数据_合同数据仓库'!$B$2:$BP$1000,15,FALSE),0)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引出数据_合同数据仓库'!$B$2:$BP$1000,3,FALSE),0)</f>
        <v>0</v>
      </c>
      <c r="N175" s="125"/>
      <c r="O175" s="151">
        <f>IFERROR(VLOOKUP((LEFT(VLOOKUP($L175,'2-2 引出数据_合同数据仓库'!$B$2:$BP$1000,64,FALSE),15)&amp;(RIGHT(VLOOKUP($L175,'2-2 引出数据_合同数据仓库'!$B$2:$BP$1000,64,FALSE),4)+1)),'2-2 引出数据_合同数据仓库'!$B$2:$BP$1000,3,FALSE),0)</f>
        <v>0</v>
      </c>
      <c r="P175" s="125"/>
      <c r="Q175" s="125">
        <f>IFERROR(VLOOKUP($L175,'2-2 引出数据_合同数据仓库'!$B$2:$BP$1000,28,FALSE),0)</f>
        <v>0</v>
      </c>
      <c r="R175" s="125">
        <f>IFERROR(VLOOKUP($L175,'2-2 引出数据_合同数据仓库'!$B$2:$BP$1000,29,FALSE),0)</f>
        <v>0</v>
      </c>
      <c r="S175" s="125">
        <f>IFERROR(VLOOKUP($L175,'2-2 引出数据_合同数据仓库'!$B$2:$BP$1000,4,FALSE),0)</f>
        <v>0</v>
      </c>
      <c r="T175" s="125"/>
      <c r="U175" s="125">
        <f>IFERROR(VLOOKUP($L175,'2-2 引出数据_合同数据仓库'!$B$2:$BP$1000,15,FALSE),0)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customHeight="1" outlineLevel="4" spans="1:95">
      <c r="A176" s="126" t="s">
        <v>2821</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customHeight="1" outlineLevel="1" spans="1:95">
      <c r="A177" s="22"/>
      <c r="B177" s="112" t="s">
        <v>794</v>
      </c>
      <c r="C177" s="113" t="s">
        <v>220</v>
      </c>
      <c r="D177" s="22" t="s">
        <v>221</v>
      </c>
      <c r="E177" s="112"/>
      <c r="F177" s="112"/>
      <c r="G177" s="112"/>
      <c r="H177" s="114">
        <f t="shared" ref="H177:I179" si="2110">X177+AA177+AD177+AG177+AJ177+AM177+AP177+AS177+AV177+AY177+BB177+BE177</f>
        <v>647089.328600785</v>
      </c>
      <c r="I177" s="114">
        <f t="shared" si="2110"/>
        <v>78399.6518884557</v>
      </c>
      <c r="J177" s="114">
        <f t="shared" si="1570"/>
        <v>568689.676712329</v>
      </c>
      <c r="K177" s="114"/>
      <c r="L177" s="147"/>
      <c r="M177" s="147"/>
      <c r="N177" s="114"/>
      <c r="O177" s="147"/>
      <c r="P177" s="114"/>
      <c r="Q177" s="114"/>
      <c r="R177" s="114"/>
      <c r="S177" s="114"/>
      <c r="T177" s="114"/>
      <c r="U177" s="114"/>
      <c r="V177" s="114"/>
      <c r="W177" s="114"/>
      <c r="X177" s="114">
        <f>VLOOKUP($C177,'1 预算编制表单'!$C:$BJ,27,FALSE)</f>
        <v>315774.86319198</v>
      </c>
      <c r="Y177" s="114">
        <f>X177-Z177</f>
        <v>247208.589219377</v>
      </c>
      <c r="Z177" s="114">
        <f>Z178+Z203+Z209+Z252+Z265+Z278+Z339+Z397+Z403+Z422</f>
        <v>68566.2739726028</v>
      </c>
      <c r="AA177" s="114">
        <f>VLOOKUP($C177,'1 预算编制表单'!$C:$BJ,30,FALSE)</f>
        <v>30119.4968553459</v>
      </c>
      <c r="AB177" s="114">
        <f>AA177-AC177</f>
        <v>-37501.6538295855</v>
      </c>
      <c r="AC177" s="114">
        <f>AC178+AC203+AC209+AC252+AC265+AC278+AC339+AC397+AC403+AC422</f>
        <v>67621.1506849314</v>
      </c>
      <c r="AD177" s="114">
        <f>VLOOKUP($C177,'1 预算编制表单'!$C:$BJ,33,FALSE)</f>
        <v>30119.4968553459</v>
      </c>
      <c r="AE177" s="114">
        <f>AD177-AF177</f>
        <v>-44746.7771172569</v>
      </c>
      <c r="AF177" s="114">
        <f>AF178+AF203+AF209+AF252+AF265+AF278+AF339+AF397+AF403+AF422</f>
        <v>74866.2739726028</v>
      </c>
      <c r="AG177" s="114">
        <f>VLOOKUP($C177,'1 预算编制表单'!$C:$BJ,36,FALSE)</f>
        <v>30119.4968553459</v>
      </c>
      <c r="AH177" s="114">
        <f>AG177-AI177</f>
        <v>-28831.7360213665</v>
      </c>
      <c r="AI177" s="114">
        <f>AI178+AI203+AI209+AI252+AI265+AI278+AI339+AI397+AI403+AI422</f>
        <v>58951.2328767124</v>
      </c>
      <c r="AJ177" s="114">
        <f>VLOOKUP($C177,'1 预算编制表单'!$C:$BJ,39,FALSE)</f>
        <v>30119.4968553459</v>
      </c>
      <c r="AK177" s="114">
        <f>AJ177-AL177</f>
        <v>-30796.7771172569</v>
      </c>
      <c r="AL177" s="114">
        <f>AL178+AL203+AL209+AL252+AL265+AL278+AL339+AL397+AL403+AL422</f>
        <v>60916.2739726028</v>
      </c>
      <c r="AM177" s="114">
        <f>VLOOKUP($C177,'1 预算编制表单'!$C:$BJ,42,FALSE)</f>
        <v>30119.4968553459</v>
      </c>
      <c r="AN177" s="114">
        <f>AM177-AO177</f>
        <v>-29755.7360213665</v>
      </c>
      <c r="AO177" s="114">
        <f>AO178+AO203+AO209+AO252+AO265+AO278+AO339+AO397+AO403+AO422</f>
        <v>59875.2328767124</v>
      </c>
      <c r="AP177" s="114">
        <f>VLOOKUP($C177,'1 预算编制表单'!$C:$BJ,45,FALSE)</f>
        <v>30119.4968553459</v>
      </c>
      <c r="AQ177" s="114">
        <f>AP177-AR177</f>
        <v>-31751.5771172569</v>
      </c>
      <c r="AR177" s="114">
        <f>AR178+AR203+AR209+AR252+AR265+AR278+AR339+AR397+AR403+AR422</f>
        <v>61871.0739726028</v>
      </c>
      <c r="AS177" s="114">
        <f>VLOOKUP($C177,'1 预算编制表单'!$C:$BJ,48,FALSE)</f>
        <v>30119.4968553459</v>
      </c>
      <c r="AT177" s="114">
        <f>AS177-AU177</f>
        <v>-31751.5771172569</v>
      </c>
      <c r="AU177" s="114">
        <f>AU178+AU203+AU209+AU252+AU265+AU278+AU339+AU397+AU403+AU422</f>
        <v>61871.0739726028</v>
      </c>
      <c r="AV177" s="114">
        <f>VLOOKUP($C177,'1 预算编制表单'!$C:$BJ,51,FALSE)</f>
        <v>30119.4968553459</v>
      </c>
      <c r="AW177" s="114">
        <f>AV177-AX177</f>
        <v>-13739.8675282158</v>
      </c>
      <c r="AX177" s="114">
        <f>AX178+AX203+AX209+AX252+AX265+AX278+AX339+AX397+AX403+AX422</f>
        <v>43859.3643835617</v>
      </c>
      <c r="AY177" s="114">
        <f>VLOOKUP($C177,'1 预算编制表单'!$C:$BJ,54,FALSE)</f>
        <v>30119.4968553459</v>
      </c>
      <c r="AZ177" s="114">
        <f>AY177-BA177</f>
        <v>19827.7708279486</v>
      </c>
      <c r="BA177" s="114">
        <f>BA178+BA203+BA209+BA252+BA265+BA278+BA339+BA397+BA403+BA422</f>
        <v>10291.7260273973</v>
      </c>
      <c r="BB177" s="114">
        <f>VLOOKUP($C177,'1 预算编制表单'!$C:$BJ,57,FALSE)</f>
        <v>30119.4968553459</v>
      </c>
      <c r="BC177" s="114">
        <f>BB177-BD177</f>
        <v>30119.4968553459</v>
      </c>
      <c r="BD177" s="114">
        <f>BD178+BD203+BD209+BD252+BD265+BD278+BD339+BD397+BD403+BD422</f>
        <v>0</v>
      </c>
      <c r="BE177" s="114">
        <f>VLOOKUP($C177,'1 预算编制表单'!$C:$BJ,60,FALSE)</f>
        <v>30119.4968553459</v>
      </c>
      <c r="BF177" s="114">
        <f>BE177-BG177</f>
        <v>30119.4968553459</v>
      </c>
      <c r="BG177" s="114">
        <f>BG178+BG203+BG209+BG252+BG265+BG278+BG339+BG397+BG403+BG422</f>
        <v>0</v>
      </c>
      <c r="BH177" s="114">
        <f>VLOOKUP($C177,'1 预算编制表单'!$C:$BJ,27,FALSE)</f>
        <v>315774.86319198</v>
      </c>
      <c r="BI177" s="114">
        <f t="shared" ref="BI177:BI179" si="2111">BH177-BJ177</f>
        <v>315774.86319198</v>
      </c>
      <c r="BJ177" s="114">
        <f>BJ178+BJ203+BJ209+BJ252+BJ265+BJ278+BJ339+BJ397+BJ403+BJ422</f>
        <v>0</v>
      </c>
      <c r="BK177" s="114">
        <f>VLOOKUP($C177,'1 预算编制表单'!$C:$BJ,30,FALSE)</f>
        <v>30119.4968553459</v>
      </c>
      <c r="BL177" s="114">
        <f t="shared" ref="BL177:BL179" si="2112">BK177-BM177</f>
        <v>30119.4968553459</v>
      </c>
      <c r="BM177" s="114">
        <f>BM178+BM203+BM209+BM252+BM265+BM278+BM339+BM397+BM403+BM422</f>
        <v>0</v>
      </c>
      <c r="BN177" s="114">
        <f>VLOOKUP($C177,'1 预算编制表单'!$C:$BJ,33,FALSE)</f>
        <v>30119.4968553459</v>
      </c>
      <c r="BO177" s="114">
        <f t="shared" ref="BO177:BO179" si="2113">BN177-BP177</f>
        <v>30119.4968553459</v>
      </c>
      <c r="BP177" s="114">
        <f>BP178+BP203+BP209+BP252+BP265+BP278+BP339+BP397+BP403+BP422</f>
        <v>0</v>
      </c>
      <c r="BQ177" s="114">
        <f>VLOOKUP($C177,'1 预算编制表单'!$C:$BJ,36,FALSE)</f>
        <v>30119.4968553459</v>
      </c>
      <c r="BR177" s="114">
        <f t="shared" ref="BR177:BR179" si="2114">BQ177-BS177</f>
        <v>30119.4968553459</v>
      </c>
      <c r="BS177" s="114">
        <f>BS178+BS203+BS209+BS252+BS265+BS278+BS339+BS397+BS403+BS422</f>
        <v>0</v>
      </c>
      <c r="BT177" s="114">
        <f>VLOOKUP($C177,'1 预算编制表单'!$C:$BJ,39,FALSE)</f>
        <v>30119.4968553459</v>
      </c>
      <c r="BU177" s="114">
        <f t="shared" ref="BU177:BU179" si="2115">BT177-BV177</f>
        <v>30119.4968553459</v>
      </c>
      <c r="BV177" s="114">
        <f>BV178+BV203+BV209+BV252+BV265+BV278+BV339+BV397+BV403+BV422</f>
        <v>0</v>
      </c>
      <c r="BW177" s="114">
        <f>VLOOKUP($C177,'1 预算编制表单'!$C:$BJ,42,FALSE)</f>
        <v>30119.4968553459</v>
      </c>
      <c r="BX177" s="114">
        <f t="shared" ref="BX177:BX179" si="2116">BW177-BY177</f>
        <v>30119.4968553459</v>
      </c>
      <c r="BY177" s="114">
        <f>BY178+BY203+BY209+BY252+BY265+BY278+BY339+BY397+BY403+BY422</f>
        <v>0</v>
      </c>
      <c r="BZ177" s="114">
        <f>VLOOKUP($C177,'1 预算编制表单'!$C:$BJ,45,FALSE)</f>
        <v>30119.4968553459</v>
      </c>
      <c r="CA177" s="114">
        <f t="shared" ref="CA177:CA179" si="2117">BZ177-CB177</f>
        <v>30119.4968553459</v>
      </c>
      <c r="CB177" s="114">
        <f>CB178+CB203+CB209+CB252+CB265+CB278+CB339+CB397+CB403+CB422</f>
        <v>0</v>
      </c>
      <c r="CC177" s="114">
        <f>VLOOKUP($C177,'1 预算编制表单'!$C:$BJ,48,FALSE)</f>
        <v>30119.4968553459</v>
      </c>
      <c r="CD177" s="114">
        <f t="shared" ref="CD177:CD179" si="2118">CC177-CE177</f>
        <v>30119.4968553459</v>
      </c>
      <c r="CE177" s="114">
        <f>CE178+CE203+CE209+CE252+CE265+CE278+CE339+CE397+CE403+CE422</f>
        <v>0</v>
      </c>
      <c r="CF177" s="114">
        <f>VLOOKUP($C177,'1 预算编制表单'!$C:$BJ,51,FALSE)</f>
        <v>30119.4968553459</v>
      </c>
      <c r="CG177" s="114">
        <f t="shared" ref="CG177:CG179" si="2119">CF177-CH177</f>
        <v>30119.4968553459</v>
      </c>
      <c r="CH177" s="114">
        <f>CH178+CH203+CH209+CH252+CH265+CH278+CH339+CH397+CH403+CH422</f>
        <v>0</v>
      </c>
      <c r="CI177" s="114">
        <f>VLOOKUP($C177,'1 预算编制表单'!$C:$BJ,54,FALSE)</f>
        <v>30119.4968553459</v>
      </c>
      <c r="CJ177" s="114">
        <f t="shared" ref="CJ177:CJ179" si="2120">CI177-CK177</f>
        <v>30119.4968553459</v>
      </c>
      <c r="CK177" s="114">
        <f>CK178+CK203+CK209+CK252+CK265+CK278+CK339+CK397+CK403+CK422</f>
        <v>0</v>
      </c>
      <c r="CL177" s="114">
        <f>VLOOKUP($C177,'1 预算编制表单'!$C:$BJ,57,FALSE)</f>
        <v>30119.4968553459</v>
      </c>
      <c r="CM177" s="114">
        <f t="shared" ref="CM177:CM179" si="2121">CL177-CN177</f>
        <v>30119.4968553459</v>
      </c>
      <c r="CN177" s="114">
        <f>CN178+CN203+CN209+CN252+CN265+CN278+CN339+CN397+CN403+CN422</f>
        <v>0</v>
      </c>
      <c r="CO177" s="114">
        <f>VLOOKUP($C177,'1 预算编制表单'!$C:$BJ,60,FALSE)</f>
        <v>30119.4968553459</v>
      </c>
      <c r="CP177" s="114">
        <f t="shared" ref="CP177:CP179" si="2122">CO177-CQ177</f>
        <v>30119.4968553459</v>
      </c>
      <c r="CQ177" s="114">
        <f>CQ178+CQ203+CQ209+CQ252+CQ265+CQ278+CQ339+CQ397+CQ403+CQ422</f>
        <v>0</v>
      </c>
    </row>
    <row r="178" ht="24" customHeight="1" outlineLevel="2" spans="1:95">
      <c r="A178" s="47"/>
      <c r="B178" s="115" t="s">
        <v>794</v>
      </c>
      <c r="C178" s="116" t="s">
        <v>32</v>
      </c>
      <c r="D178" s="47" t="s">
        <v>33</v>
      </c>
      <c r="E178" s="115" t="s">
        <v>1146</v>
      </c>
      <c r="F178" s="115"/>
      <c r="G178" s="115"/>
      <c r="H178" s="117">
        <f t="shared" si="2110"/>
        <v>112150.943396226</v>
      </c>
      <c r="I178" s="117">
        <f t="shared" si="2110"/>
        <v>26474.8886017055</v>
      </c>
      <c r="J178" s="117">
        <f t="shared" si="1570"/>
        <v>85676.0547945205</v>
      </c>
      <c r="K178" s="117"/>
      <c r="L178" s="148"/>
      <c r="M178" s="148"/>
      <c r="N178" s="117"/>
      <c r="O178" s="148"/>
      <c r="P178" s="117"/>
      <c r="Q178" s="117"/>
      <c r="R178" s="117"/>
      <c r="S178" s="117"/>
      <c r="T178" s="117"/>
      <c r="U178" s="117"/>
      <c r="V178" s="117"/>
      <c r="W178" s="117"/>
      <c r="X178" s="117">
        <f>VLOOKUP($C178,'1 预算编制表单'!$C:$BJ,27,FALSE)</f>
        <v>9345.91194968553</v>
      </c>
      <c r="Y178" s="117">
        <f>X178-Z178</f>
        <v>-988.553803739171</v>
      </c>
      <c r="Z178" s="117">
        <f>Z179+Z185+Z191+Z197</f>
        <v>10334.4657534247</v>
      </c>
      <c r="AA178" s="117">
        <f>VLOOKUP($C178,'1 预算编制表单'!$C:$BJ,30,FALSE)</f>
        <v>9345.91194968553</v>
      </c>
      <c r="AB178" s="117">
        <f>AA178-AC178</f>
        <v>11.5557853019691</v>
      </c>
      <c r="AC178" s="117">
        <f>AC179+AC185+AC191+AC197</f>
        <v>9334.35616438356</v>
      </c>
      <c r="AD178" s="117">
        <f>VLOOKUP($C178,'1 预算编制表单'!$C:$BJ,33,FALSE)</f>
        <v>9345.91194968553</v>
      </c>
      <c r="AE178" s="117">
        <f>AD178-AF178</f>
        <v>-988.553803739171</v>
      </c>
      <c r="AF178" s="117">
        <f>AF179+AF185+AF191+AF197</f>
        <v>10334.4657534247</v>
      </c>
      <c r="AG178" s="117">
        <f>VLOOKUP($C178,'1 预算编制表单'!$C:$BJ,36,FALSE)</f>
        <v>9345.91194968553</v>
      </c>
      <c r="AH178" s="117">
        <f>AG178-AI178</f>
        <v>-655.18394072547</v>
      </c>
      <c r="AI178" s="117">
        <f>AI179+AI185+AI191+AI197</f>
        <v>10001.095890411</v>
      </c>
      <c r="AJ178" s="117">
        <f>VLOOKUP($C178,'1 预算编制表单'!$C:$BJ,39,FALSE)</f>
        <v>9345.91194968553</v>
      </c>
      <c r="AK178" s="117">
        <f>AJ178-AL178</f>
        <v>-988.553803739171</v>
      </c>
      <c r="AL178" s="117">
        <f>AL179+AL185+AL191+AL197</f>
        <v>10334.4657534247</v>
      </c>
      <c r="AM178" s="117">
        <f>VLOOKUP($C178,'1 预算编制表单'!$C:$BJ,42,FALSE)</f>
        <v>9345.91194968553</v>
      </c>
      <c r="AN178" s="117">
        <f>AM178-AO178</f>
        <v>-655.18394072547</v>
      </c>
      <c r="AO178" s="117">
        <f>AO179+AO185+AO191+AO197</f>
        <v>10001.095890411</v>
      </c>
      <c r="AP178" s="117">
        <f>VLOOKUP($C178,'1 预算编制表单'!$C:$BJ,45,FALSE)</f>
        <v>9345.91194968553</v>
      </c>
      <c r="AQ178" s="117">
        <f>AP178-AR178</f>
        <v>-988.553803739171</v>
      </c>
      <c r="AR178" s="117">
        <f>AR179+AR185+AR191+AR197</f>
        <v>10334.4657534247</v>
      </c>
      <c r="AS178" s="117">
        <f>VLOOKUP($C178,'1 预算编制表单'!$C:$BJ,48,FALSE)</f>
        <v>9345.91194968553</v>
      </c>
      <c r="AT178" s="117">
        <f>AS178-AU178</f>
        <v>-988.553803739171</v>
      </c>
      <c r="AU178" s="117">
        <f>AU179+AU185+AU191+AU197</f>
        <v>10334.4657534247</v>
      </c>
      <c r="AV178" s="117">
        <f>VLOOKUP($C178,'1 预算编制表单'!$C:$BJ,51,FALSE)</f>
        <v>9345.91194968553</v>
      </c>
      <c r="AW178" s="117">
        <f>AV178-AX178</f>
        <v>4678.73386749375</v>
      </c>
      <c r="AX178" s="117">
        <f>AX179+AX185+AX191+AX197</f>
        <v>4667.17808219178</v>
      </c>
      <c r="AY178" s="117">
        <f>VLOOKUP($C178,'1 预算编制表单'!$C:$BJ,54,FALSE)</f>
        <v>9345.91194968553</v>
      </c>
      <c r="AZ178" s="117">
        <f>AY178-BA178</f>
        <v>9345.91194968553</v>
      </c>
      <c r="BA178" s="117">
        <f>BA179+BA185+BA191+BA197</f>
        <v>0</v>
      </c>
      <c r="BB178" s="117">
        <f>VLOOKUP($C178,'1 预算编制表单'!$C:$BJ,57,FALSE)</f>
        <v>9345.91194968553</v>
      </c>
      <c r="BC178" s="117">
        <f>BB178-BD178</f>
        <v>9345.91194968553</v>
      </c>
      <c r="BD178" s="117">
        <f>BD179+BD185+BD191+BD197</f>
        <v>0</v>
      </c>
      <c r="BE178" s="117">
        <f>VLOOKUP($C178,'1 预算编制表单'!$C:$BJ,60,FALSE)</f>
        <v>9345.91194968553</v>
      </c>
      <c r="BF178" s="117">
        <f>BE178-BG178</f>
        <v>9345.91194968553</v>
      </c>
      <c r="BG178" s="117">
        <f>BG179+BG185+BG191+BG197</f>
        <v>0</v>
      </c>
      <c r="BH178" s="117">
        <f>VLOOKUP($C178,'1 预算编制表单'!$C:$BJ,27,FALSE)</f>
        <v>9345.91194968553</v>
      </c>
      <c r="BI178" s="117">
        <f t="shared" si="2111"/>
        <v>9345.91194968553</v>
      </c>
      <c r="BJ178" s="117">
        <f>BJ179+BJ185+BJ191+BJ197</f>
        <v>0</v>
      </c>
      <c r="BK178" s="117">
        <f>VLOOKUP($C178,'1 预算编制表单'!$C:$BJ,30,FALSE)</f>
        <v>9345.91194968553</v>
      </c>
      <c r="BL178" s="117">
        <f t="shared" si="2112"/>
        <v>9345.91194968553</v>
      </c>
      <c r="BM178" s="117">
        <f>BM179+BM185+BM191+BM197</f>
        <v>0</v>
      </c>
      <c r="BN178" s="117">
        <f>VLOOKUP($C178,'1 预算编制表单'!$C:$BJ,33,FALSE)</f>
        <v>9345.91194968553</v>
      </c>
      <c r="BO178" s="117">
        <f t="shared" si="2113"/>
        <v>9345.91194968553</v>
      </c>
      <c r="BP178" s="117">
        <f>BP179+BP185+BP191+BP197</f>
        <v>0</v>
      </c>
      <c r="BQ178" s="117">
        <f>VLOOKUP($C178,'1 预算编制表单'!$C:$BJ,36,FALSE)</f>
        <v>9345.91194968553</v>
      </c>
      <c r="BR178" s="117">
        <f t="shared" si="2114"/>
        <v>9345.91194968553</v>
      </c>
      <c r="BS178" s="117">
        <f>BS179+BS185+BS191+BS197</f>
        <v>0</v>
      </c>
      <c r="BT178" s="117">
        <f>VLOOKUP($C178,'1 预算编制表单'!$C:$BJ,39,FALSE)</f>
        <v>9345.91194968553</v>
      </c>
      <c r="BU178" s="117">
        <f t="shared" si="2115"/>
        <v>9345.91194968553</v>
      </c>
      <c r="BV178" s="117">
        <f>BV179+BV185+BV191+BV197</f>
        <v>0</v>
      </c>
      <c r="BW178" s="117">
        <f>VLOOKUP($C178,'1 预算编制表单'!$C:$BJ,42,FALSE)</f>
        <v>9345.91194968553</v>
      </c>
      <c r="BX178" s="117">
        <f t="shared" si="2116"/>
        <v>9345.91194968553</v>
      </c>
      <c r="BY178" s="117">
        <f>BY179+BY185+BY191+BY197</f>
        <v>0</v>
      </c>
      <c r="BZ178" s="117">
        <f>VLOOKUP($C178,'1 预算编制表单'!$C:$BJ,45,FALSE)</f>
        <v>9345.91194968553</v>
      </c>
      <c r="CA178" s="117">
        <f t="shared" si="2117"/>
        <v>9345.91194968553</v>
      </c>
      <c r="CB178" s="117">
        <f>CB179+CB185+CB191+CB197</f>
        <v>0</v>
      </c>
      <c r="CC178" s="117">
        <f>VLOOKUP($C178,'1 预算编制表单'!$C:$BJ,48,FALSE)</f>
        <v>9345.91194968553</v>
      </c>
      <c r="CD178" s="117">
        <f t="shared" si="2118"/>
        <v>9345.91194968553</v>
      </c>
      <c r="CE178" s="117">
        <f>CE179+CE185+CE191+CE197</f>
        <v>0</v>
      </c>
      <c r="CF178" s="117">
        <f>VLOOKUP($C178,'1 预算编制表单'!$C:$BJ,51,FALSE)</f>
        <v>9345.91194968553</v>
      </c>
      <c r="CG178" s="117">
        <f t="shared" si="2119"/>
        <v>9345.91194968553</v>
      </c>
      <c r="CH178" s="117">
        <f>CH179+CH185+CH191+CH197</f>
        <v>0</v>
      </c>
      <c r="CI178" s="117">
        <f>VLOOKUP($C178,'1 预算编制表单'!$C:$BJ,54,FALSE)</f>
        <v>9345.91194968553</v>
      </c>
      <c r="CJ178" s="117">
        <f t="shared" si="2120"/>
        <v>9345.91194968553</v>
      </c>
      <c r="CK178" s="117">
        <f>CK179+CK185+CK191+CK197</f>
        <v>0</v>
      </c>
      <c r="CL178" s="117">
        <f>VLOOKUP($C178,'1 预算编制表单'!$C:$BJ,57,FALSE)</f>
        <v>9345.91194968553</v>
      </c>
      <c r="CM178" s="117">
        <f t="shared" si="2121"/>
        <v>9345.91194968553</v>
      </c>
      <c r="CN178" s="117">
        <f>CN179+CN185+CN191+CN197</f>
        <v>0</v>
      </c>
      <c r="CO178" s="117">
        <f>VLOOKUP($C178,'1 预算编制表单'!$C:$BJ,60,FALSE)</f>
        <v>9345.91194968553</v>
      </c>
      <c r="CP178" s="117">
        <f t="shared" si="2122"/>
        <v>9345.91194968553</v>
      </c>
      <c r="CQ178" s="117">
        <f>CQ179+CQ185+CQ191+CQ197</f>
        <v>0</v>
      </c>
    </row>
    <row r="179" ht="24" customHeight="1" outlineLevel="3" spans="1:95">
      <c r="A179" s="118"/>
      <c r="B179" s="119" t="s">
        <v>799</v>
      </c>
      <c r="C179" s="120" t="s">
        <v>1147</v>
      </c>
      <c r="D179" s="118" t="s">
        <v>2824</v>
      </c>
      <c r="E179" s="119"/>
      <c r="F179" s="119"/>
      <c r="G179" s="119"/>
      <c r="H179" s="121">
        <f t="shared" si="2110"/>
        <v>112150.943396226</v>
      </c>
      <c r="I179" s="121">
        <f t="shared" si="2110"/>
        <v>112150.943396226</v>
      </c>
      <c r="J179" s="121">
        <f t="shared" si="1570"/>
        <v>0</v>
      </c>
      <c r="K179" s="121"/>
      <c r="L179" s="149"/>
      <c r="M179" s="149"/>
      <c r="N179" s="121"/>
      <c r="O179" s="149"/>
      <c r="P179" s="121"/>
      <c r="Q179" s="121"/>
      <c r="R179" s="121"/>
      <c r="S179" s="121"/>
      <c r="T179" s="121"/>
      <c r="U179" s="121"/>
      <c r="V179" s="121"/>
      <c r="W179" s="121"/>
      <c r="X179" s="121">
        <f>VLOOKUP($C179,'1 预算编制表单'!$C:$BJ,27,FALSE)</f>
        <v>9345.91194968553</v>
      </c>
      <c r="Y179" s="121">
        <f>X179-Z179</f>
        <v>9345.91194968553</v>
      </c>
      <c r="Z179" s="121">
        <f>SUM(Z180:Z184)</f>
        <v>0</v>
      </c>
      <c r="AA179" s="121">
        <f>VLOOKUP($C179,'1 预算编制表单'!$C:$BJ,30,FALSE)</f>
        <v>9345.91194968553</v>
      </c>
      <c r="AB179" s="121">
        <f>AA179-AC179</f>
        <v>9345.91194968553</v>
      </c>
      <c r="AC179" s="121">
        <f>SUM(AC180:AC184)</f>
        <v>0</v>
      </c>
      <c r="AD179" s="121">
        <f>VLOOKUP($C179,'1 预算编制表单'!$C:$BJ,33,FALSE)</f>
        <v>9345.91194968553</v>
      </c>
      <c r="AE179" s="121">
        <f>AD179-AF179</f>
        <v>9345.91194968553</v>
      </c>
      <c r="AF179" s="121">
        <f>SUM(AF180:AF184)</f>
        <v>0</v>
      </c>
      <c r="AG179" s="121">
        <f>VLOOKUP($C179,'1 预算编制表单'!$C:$BJ,36,FALSE)</f>
        <v>9345.91194968553</v>
      </c>
      <c r="AH179" s="121">
        <f>AG179-AI179</f>
        <v>9345.91194968553</v>
      </c>
      <c r="AI179" s="121">
        <f>SUM(AI180:AI184)</f>
        <v>0</v>
      </c>
      <c r="AJ179" s="121">
        <f>VLOOKUP($C179,'1 预算编制表单'!$C:$BJ,39,FALSE)</f>
        <v>9345.91194968553</v>
      </c>
      <c r="AK179" s="121">
        <f>AJ179-AL179</f>
        <v>9345.91194968553</v>
      </c>
      <c r="AL179" s="121">
        <f>SUM(AL180:AL184)</f>
        <v>0</v>
      </c>
      <c r="AM179" s="121">
        <f>VLOOKUP($C179,'1 预算编制表单'!$C:$BJ,42,FALSE)</f>
        <v>9345.91194968553</v>
      </c>
      <c r="AN179" s="121">
        <f>AM179-AO179</f>
        <v>9345.91194968553</v>
      </c>
      <c r="AO179" s="121">
        <f>SUM(AO180:AO184)</f>
        <v>0</v>
      </c>
      <c r="AP179" s="121">
        <f>VLOOKUP($C179,'1 预算编制表单'!$C:$BJ,45,FALSE)</f>
        <v>9345.91194968553</v>
      </c>
      <c r="AQ179" s="121">
        <f>AP179-AR179</f>
        <v>9345.91194968553</v>
      </c>
      <c r="AR179" s="121">
        <f>SUM(AR180:AR184)</f>
        <v>0</v>
      </c>
      <c r="AS179" s="121">
        <f>VLOOKUP($C179,'1 预算编制表单'!$C:$BJ,48,FALSE)</f>
        <v>9345.91194968553</v>
      </c>
      <c r="AT179" s="121">
        <f>AS179-AU179</f>
        <v>9345.91194968553</v>
      </c>
      <c r="AU179" s="121">
        <f>SUM(AU180:AU184)</f>
        <v>0</v>
      </c>
      <c r="AV179" s="121">
        <f>VLOOKUP($C179,'1 预算编制表单'!$C:$BJ,51,FALSE)</f>
        <v>9345.91194968553</v>
      </c>
      <c r="AW179" s="121">
        <f>AV179-AX179</f>
        <v>9345.91194968553</v>
      </c>
      <c r="AX179" s="121">
        <f>SUM(AX180:AX184)</f>
        <v>0</v>
      </c>
      <c r="AY179" s="121">
        <f>VLOOKUP($C179,'1 预算编制表单'!$C:$BJ,54,FALSE)</f>
        <v>9345.91194968553</v>
      </c>
      <c r="AZ179" s="121">
        <f>AY179-BA179</f>
        <v>9345.91194968553</v>
      </c>
      <c r="BA179" s="121">
        <f>SUM(BA180:BA184)</f>
        <v>0</v>
      </c>
      <c r="BB179" s="121">
        <f>VLOOKUP($C179,'1 预算编制表单'!$C:$BJ,57,FALSE)</f>
        <v>9345.91194968553</v>
      </c>
      <c r="BC179" s="121">
        <f>BB179-BD179</f>
        <v>9345.91194968553</v>
      </c>
      <c r="BD179" s="121">
        <f>SUM(BD180:BD184)</f>
        <v>0</v>
      </c>
      <c r="BE179" s="121">
        <f>VLOOKUP($C179,'1 预算编制表单'!$C:$BJ,60,FALSE)</f>
        <v>9345.91194968553</v>
      </c>
      <c r="BF179" s="121">
        <f>BE179-BG179</f>
        <v>9345.91194968553</v>
      </c>
      <c r="BG179" s="121">
        <f>SUM(BG180:BG184)</f>
        <v>0</v>
      </c>
      <c r="BH179" s="121">
        <f>VLOOKUP($C179,'1 预算编制表单'!$C:$BJ,27,FALSE)</f>
        <v>9345.91194968553</v>
      </c>
      <c r="BI179" s="121">
        <f t="shared" si="2111"/>
        <v>9345.91194968553</v>
      </c>
      <c r="BJ179" s="121">
        <f>SUM(BJ180:BJ184)</f>
        <v>0</v>
      </c>
      <c r="BK179" s="121">
        <f>VLOOKUP($C179,'1 预算编制表单'!$C:$BJ,30,FALSE)</f>
        <v>9345.91194968553</v>
      </c>
      <c r="BL179" s="121">
        <f t="shared" si="2112"/>
        <v>9345.91194968553</v>
      </c>
      <c r="BM179" s="121">
        <f>SUM(BM180:BM184)</f>
        <v>0</v>
      </c>
      <c r="BN179" s="121">
        <f>VLOOKUP($C179,'1 预算编制表单'!$C:$BJ,33,FALSE)</f>
        <v>9345.91194968553</v>
      </c>
      <c r="BO179" s="121">
        <f t="shared" si="2113"/>
        <v>9345.91194968553</v>
      </c>
      <c r="BP179" s="121">
        <f>SUM(BP180:BP184)</f>
        <v>0</v>
      </c>
      <c r="BQ179" s="121">
        <f>VLOOKUP($C179,'1 预算编制表单'!$C:$BJ,36,FALSE)</f>
        <v>9345.91194968553</v>
      </c>
      <c r="BR179" s="121">
        <f t="shared" si="2114"/>
        <v>9345.91194968553</v>
      </c>
      <c r="BS179" s="121">
        <f>SUM(BS180:BS184)</f>
        <v>0</v>
      </c>
      <c r="BT179" s="121">
        <f>VLOOKUP($C179,'1 预算编制表单'!$C:$BJ,39,FALSE)</f>
        <v>9345.91194968553</v>
      </c>
      <c r="BU179" s="121">
        <f t="shared" si="2115"/>
        <v>9345.91194968553</v>
      </c>
      <c r="BV179" s="121">
        <f>SUM(BV180:BV184)</f>
        <v>0</v>
      </c>
      <c r="BW179" s="121">
        <f>VLOOKUP($C179,'1 预算编制表单'!$C:$BJ,42,FALSE)</f>
        <v>9345.91194968553</v>
      </c>
      <c r="BX179" s="121">
        <f t="shared" si="2116"/>
        <v>9345.91194968553</v>
      </c>
      <c r="BY179" s="121">
        <f>SUM(BY180:BY184)</f>
        <v>0</v>
      </c>
      <c r="BZ179" s="121">
        <f>VLOOKUP($C179,'1 预算编制表单'!$C:$BJ,45,FALSE)</f>
        <v>9345.91194968553</v>
      </c>
      <c r="CA179" s="121">
        <f t="shared" si="2117"/>
        <v>9345.91194968553</v>
      </c>
      <c r="CB179" s="121">
        <f>SUM(CB180:CB184)</f>
        <v>0</v>
      </c>
      <c r="CC179" s="121">
        <f>VLOOKUP($C179,'1 预算编制表单'!$C:$BJ,48,FALSE)</f>
        <v>9345.91194968553</v>
      </c>
      <c r="CD179" s="121">
        <f t="shared" si="2118"/>
        <v>9345.91194968553</v>
      </c>
      <c r="CE179" s="121">
        <f>SUM(CE180:CE184)</f>
        <v>0</v>
      </c>
      <c r="CF179" s="121">
        <f>VLOOKUP($C179,'1 预算编制表单'!$C:$BJ,51,FALSE)</f>
        <v>9345.91194968553</v>
      </c>
      <c r="CG179" s="121">
        <f t="shared" si="2119"/>
        <v>9345.91194968553</v>
      </c>
      <c r="CH179" s="121">
        <f>SUM(CH180:CH184)</f>
        <v>0</v>
      </c>
      <c r="CI179" s="121">
        <f>VLOOKUP($C179,'1 预算编制表单'!$C:$BJ,54,FALSE)</f>
        <v>9345.91194968553</v>
      </c>
      <c r="CJ179" s="121">
        <f t="shared" si="2120"/>
        <v>9345.91194968553</v>
      </c>
      <c r="CK179" s="121">
        <f>SUM(CK180:CK184)</f>
        <v>0</v>
      </c>
      <c r="CL179" s="121">
        <f>VLOOKUP($C179,'1 预算编制表单'!$C:$BJ,57,FALSE)</f>
        <v>9345.91194968553</v>
      </c>
      <c r="CM179" s="121">
        <f t="shared" si="2121"/>
        <v>9345.91194968553</v>
      </c>
      <c r="CN179" s="121">
        <f>SUM(CN180:CN184)</f>
        <v>0</v>
      </c>
      <c r="CO179" s="121">
        <f>VLOOKUP($C179,'1 预算编制表单'!$C:$BJ,60,FALSE)</f>
        <v>9345.91194968553</v>
      </c>
      <c r="CP179" s="121">
        <f t="shared" si="2122"/>
        <v>9345.91194968553</v>
      </c>
      <c r="CQ179" s="121">
        <f>SUM(CQ180:CQ184)</f>
        <v>0</v>
      </c>
    </row>
    <row r="180" s="83" customFormat="1" ht="24" customHeight="1" outlineLevel="4" spans="1:95">
      <c r="A180" s="122"/>
      <c r="B180" s="123"/>
      <c r="C180" s="124"/>
      <c r="D180" s="122"/>
      <c r="E180" s="123"/>
      <c r="F180" s="123"/>
      <c r="G180" s="123"/>
      <c r="H180" s="125"/>
      <c r="I180" s="125"/>
      <c r="J180" s="125">
        <f t="shared" si="1570"/>
        <v>0</v>
      </c>
      <c r="K180" s="125">
        <v>1</v>
      </c>
      <c r="L180" s="150"/>
      <c r="M180" s="151">
        <f>IFERROR(VLOOKUP($L180,'2-2 引出数据_合同数据仓库'!$B$2:$BP$1000,3,FALSE),0)</f>
        <v>0</v>
      </c>
      <c r="N180" s="125"/>
      <c r="O180" s="151">
        <f>IFERROR(VLOOKUP((LEFT(VLOOKUP($L180,'2-2 引出数据_合同数据仓库'!$B$2:$BP$1000,64,FALSE),15)&amp;(RIGHT(VLOOKUP($L180,'2-2 引出数据_合同数据仓库'!$B$2:$BP$1000,64,FALSE),4)+1)),'2-2 引出数据_合同数据仓库'!$B$2:$BP$1000,3,FALSE),0)</f>
        <v>0</v>
      </c>
      <c r="P180" s="125"/>
      <c r="Q180" s="125">
        <f>IFERROR(VLOOKUP($L180,'2-2 引出数据_合同数据仓库'!$B$2:$BP$1000,28,FALSE),0)</f>
        <v>0</v>
      </c>
      <c r="R180" s="125">
        <f>IFERROR(VLOOKUP($L180,'2-2 引出数据_合同数据仓库'!$B$2:$BP$1000,29,FALSE),0)</f>
        <v>0</v>
      </c>
      <c r="S180" s="125">
        <f>IFERROR(VLOOKUP($L180,'2-2 引出数据_合同数据仓库'!$B$2:$BP$1000,4,FALSE),0)</f>
        <v>0</v>
      </c>
      <c r="T180" s="125"/>
      <c r="U180" s="125">
        <f>IFERROR(VLOOKUP($L180,'2-2 引出数据_合同数据仓库'!$B$2:$BP$1000,15,FALSE),0)</f>
        <v>0</v>
      </c>
      <c r="V180" s="125">
        <f t="shared" ref="V180:V183" si="2123">U180/(S180-R180+1)*365</f>
        <v>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0</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0</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0</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0</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0</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0</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0</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0</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0</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customHeight="1" outlineLevel="4" spans="1:95">
      <c r="A181" s="122"/>
      <c r="B181" s="123"/>
      <c r="C181" s="124"/>
      <c r="D181" s="122"/>
      <c r="E181" s="123"/>
      <c r="F181" s="123"/>
      <c r="G181" s="123"/>
      <c r="H181" s="125"/>
      <c r="I181" s="125"/>
      <c r="J181" s="125">
        <f t="shared" si="1570"/>
        <v>0</v>
      </c>
      <c r="K181" s="125">
        <f t="shared" ref="K181:K183" si="2194">K180+1</f>
        <v>2</v>
      </c>
      <c r="L181" s="150"/>
      <c r="M181" s="151">
        <f>IFERROR(VLOOKUP($L181,'2-2 引出数据_合同数据仓库'!$B$2:$BP$1000,3,FALSE),0)</f>
        <v>0</v>
      </c>
      <c r="N181" s="125"/>
      <c r="O181" s="151">
        <f>IFERROR(VLOOKUP((LEFT(VLOOKUP($L181,'2-2 引出数据_合同数据仓库'!$B$2:$BP$1000,64,FALSE),15)&amp;(RIGHT(VLOOKUP($L181,'2-2 引出数据_合同数据仓库'!$B$2:$BP$1000,64,FALSE),4)+1)),'2-2 引出数据_合同数据仓库'!$B$2:$BP$1000,3,FALSE),0)</f>
        <v>0</v>
      </c>
      <c r="P181" s="125"/>
      <c r="Q181" s="125">
        <f>IFERROR(VLOOKUP($L181,'2-2 引出数据_合同数据仓库'!$B$2:$BP$1000,28,FALSE),0)</f>
        <v>0</v>
      </c>
      <c r="R181" s="125">
        <f>IFERROR(VLOOKUP($L181,'2-2 引出数据_合同数据仓库'!$B$2:$BP$1000,29,FALSE),0)</f>
        <v>0</v>
      </c>
      <c r="S181" s="125">
        <f>IFERROR(VLOOKUP($L181,'2-2 引出数据_合同数据仓库'!$B$2:$BP$1000,4,FALSE),0)</f>
        <v>0</v>
      </c>
      <c r="T181" s="125"/>
      <c r="U181" s="125">
        <f>IFERROR(VLOOKUP($L181,'2-2 引出数据_合同数据仓库'!$B$2:$BP$1000,15,FALSE),0)</f>
        <v>0</v>
      </c>
      <c r="V181" s="125">
        <f t="shared" si="2123"/>
        <v>0</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引出数据_合同数据仓库'!$B$2:$BP$1000,3,FALSE),0)</f>
        <v>0</v>
      </c>
      <c r="N182" s="125"/>
      <c r="O182" s="151">
        <f>IFERROR(VLOOKUP((LEFT(VLOOKUP($L182,'2-2 引出数据_合同数据仓库'!$B$2:$BP$1000,64,FALSE),15)&amp;(RIGHT(VLOOKUP($L182,'2-2 引出数据_合同数据仓库'!$B$2:$BP$1000,64,FALSE),4)+1)),'2-2 引出数据_合同数据仓库'!$B$2:$BP$1000,3,FALSE),0)</f>
        <v>0</v>
      </c>
      <c r="P182" s="125"/>
      <c r="Q182" s="125">
        <f>IFERROR(VLOOKUP($L182,'2-2 引出数据_合同数据仓库'!$B$2:$BP$1000,28,FALSE),0)</f>
        <v>0</v>
      </c>
      <c r="R182" s="125">
        <f>IFERROR(VLOOKUP($L182,'2-2 引出数据_合同数据仓库'!$B$2:$BP$1000,29,FALSE),0)</f>
        <v>0</v>
      </c>
      <c r="S182" s="125">
        <f>IFERROR(VLOOKUP($L182,'2-2 引出数据_合同数据仓库'!$B$2:$BP$1000,4,FALSE),0)</f>
        <v>0</v>
      </c>
      <c r="T182" s="125"/>
      <c r="U182" s="125">
        <f>IFERROR(VLOOKUP($L182,'2-2 引出数据_合同数据仓库'!$B$2:$BP$1000,15,FALSE),0)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引出数据_合同数据仓库'!$B$2:$BP$1000,3,FALSE),0)</f>
        <v>0</v>
      </c>
      <c r="N183" s="125"/>
      <c r="O183" s="151">
        <f>IFERROR(VLOOKUP((LEFT(VLOOKUP($L183,'2-2 引出数据_合同数据仓库'!$B$2:$BP$1000,64,FALSE),15)&amp;(RIGHT(VLOOKUP($L183,'2-2 引出数据_合同数据仓库'!$B$2:$BP$1000,64,FALSE),4)+1)),'2-2 引出数据_合同数据仓库'!$B$2:$BP$1000,3,FALSE),0)</f>
        <v>0</v>
      </c>
      <c r="P183" s="125"/>
      <c r="Q183" s="125">
        <f>IFERROR(VLOOKUP($L183,'2-2 引出数据_合同数据仓库'!$B$2:$BP$1000,28,FALSE),0)</f>
        <v>0</v>
      </c>
      <c r="R183" s="125">
        <f>IFERROR(VLOOKUP($L183,'2-2 引出数据_合同数据仓库'!$B$2:$BP$1000,29,FALSE),0)</f>
        <v>0</v>
      </c>
      <c r="S183" s="125">
        <f>IFERROR(VLOOKUP($L183,'2-2 引出数据_合同数据仓库'!$B$2:$BP$1000,4,FALSE),0)</f>
        <v>0</v>
      </c>
      <c r="T183" s="125"/>
      <c r="U183" s="125">
        <f>IFERROR(VLOOKUP($L183,'2-2 引出数据_合同数据仓库'!$B$2:$BP$1000,15,FALSE),0)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customHeight="1" outlineLevel="4" spans="1:95">
      <c r="A184" s="126" t="s">
        <v>2821</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customHeight="1" outlineLevel="3" spans="1:95">
      <c r="A185" s="118"/>
      <c r="B185" s="119" t="s">
        <v>799</v>
      </c>
      <c r="C185" s="120" t="s">
        <v>1152</v>
      </c>
      <c r="D185" s="118" t="s">
        <v>2825</v>
      </c>
      <c r="E185" s="119"/>
      <c r="F185" s="119"/>
      <c r="G185" s="119"/>
      <c r="H185" s="121">
        <f>X185+AA185+AD185+AG185+AJ185+AM185+AP185+AS185+AV185+AY185+BB185+BE185</f>
        <v>0</v>
      </c>
      <c r="I185" s="121">
        <f>Y185+AB185+AE185+AH185+AK185+AN185+AQ185+AT185+AW185+AZ185+BC185+BF185</f>
        <v>-85676.0547945208</v>
      </c>
      <c r="J185" s="121">
        <f t="shared" si="1570"/>
        <v>85676.0547945205</v>
      </c>
      <c r="K185" s="121"/>
      <c r="L185" s="149"/>
      <c r="M185" s="149"/>
      <c r="N185" s="121"/>
      <c r="O185" s="121"/>
      <c r="P185" s="121"/>
      <c r="Q185" s="121"/>
      <c r="R185" s="121"/>
      <c r="S185" s="121"/>
      <c r="T185" s="121"/>
      <c r="U185" s="121"/>
      <c r="V185" s="121"/>
      <c r="W185" s="121"/>
      <c r="X185" s="121">
        <f>VLOOKUP($C185,'1 预算编制表单'!$C:$BJ,27,FALSE)</f>
        <v>0</v>
      </c>
      <c r="Y185" s="121">
        <f>X185-Z185</f>
        <v>-10334.4657534247</v>
      </c>
      <c r="Z185" s="121">
        <f>SUM(Z186:Z190)</f>
        <v>10334.4657534247</v>
      </c>
      <c r="AA185" s="121">
        <f>VLOOKUP($C185,'1 预算编制表单'!$C:$BJ,30,FALSE)</f>
        <v>0</v>
      </c>
      <c r="AB185" s="121">
        <f>AA185-AC185</f>
        <v>-9334.35616438356</v>
      </c>
      <c r="AC185" s="121">
        <f>SUM(AC186:AC190)</f>
        <v>9334.35616438356</v>
      </c>
      <c r="AD185" s="121">
        <f>VLOOKUP($C185,'1 预算编制表单'!$C:$BJ,33,FALSE)</f>
        <v>0</v>
      </c>
      <c r="AE185" s="121">
        <f>AD185-AF185</f>
        <v>-10334.4657534247</v>
      </c>
      <c r="AF185" s="121">
        <f>SUM(AF186:AF190)</f>
        <v>10334.4657534247</v>
      </c>
      <c r="AG185" s="121">
        <f>VLOOKUP($C185,'1 预算编制表单'!$C:$BJ,36,FALSE)</f>
        <v>0</v>
      </c>
      <c r="AH185" s="121">
        <f>AG185-AI185</f>
        <v>-10001.095890411</v>
      </c>
      <c r="AI185" s="121">
        <f>SUM(AI186:AI190)</f>
        <v>10001.095890411</v>
      </c>
      <c r="AJ185" s="121">
        <f>VLOOKUP($C185,'1 预算编制表单'!$C:$BJ,39,FALSE)</f>
        <v>0</v>
      </c>
      <c r="AK185" s="121">
        <f>AJ185-AL185</f>
        <v>-10334.4657534247</v>
      </c>
      <c r="AL185" s="121">
        <f>SUM(AL186:AL190)</f>
        <v>10334.4657534247</v>
      </c>
      <c r="AM185" s="121">
        <f>VLOOKUP($C185,'1 预算编制表单'!$C:$BJ,42,FALSE)</f>
        <v>0</v>
      </c>
      <c r="AN185" s="121">
        <f>AM185-AO185</f>
        <v>-10001.095890411</v>
      </c>
      <c r="AO185" s="121">
        <f>SUM(AO186:AO190)</f>
        <v>10001.095890411</v>
      </c>
      <c r="AP185" s="121">
        <f>VLOOKUP($C185,'1 预算编制表单'!$C:$BJ,45,FALSE)</f>
        <v>0</v>
      </c>
      <c r="AQ185" s="121">
        <f>AP185-AR185</f>
        <v>-10334.4657534247</v>
      </c>
      <c r="AR185" s="121">
        <f>SUM(AR186:AR190)</f>
        <v>10334.4657534247</v>
      </c>
      <c r="AS185" s="121">
        <f>VLOOKUP($C185,'1 预算编制表单'!$C:$BJ,48,FALSE)</f>
        <v>0</v>
      </c>
      <c r="AT185" s="121">
        <f>AS185-AU185</f>
        <v>-10334.4657534247</v>
      </c>
      <c r="AU185" s="121">
        <f>SUM(AU186:AU190)</f>
        <v>10334.4657534247</v>
      </c>
      <c r="AV185" s="121">
        <f>VLOOKUP($C185,'1 预算编制表单'!$C:$BJ,51,FALSE)</f>
        <v>0</v>
      </c>
      <c r="AW185" s="121">
        <f>AV185-AX185</f>
        <v>-4667.17808219178</v>
      </c>
      <c r="AX185" s="121">
        <f>SUM(AX186:AX190)</f>
        <v>4667.17808219178</v>
      </c>
      <c r="AY185" s="121">
        <f>VLOOKUP($C185,'1 预算编制表单'!$C:$BJ,54,FALSE)</f>
        <v>0</v>
      </c>
      <c r="AZ185" s="121">
        <f>AY185-BA185</f>
        <v>0</v>
      </c>
      <c r="BA185" s="121">
        <f>SUM(BA186:BA190)</f>
        <v>0</v>
      </c>
      <c r="BB185" s="121">
        <f>VLOOKUP($C185,'1 预算编制表单'!$C:$BJ,57,FALSE)</f>
        <v>0</v>
      </c>
      <c r="BC185" s="121">
        <f>BB185-BD185</f>
        <v>0</v>
      </c>
      <c r="BD185" s="121">
        <f>SUM(BD186:BD190)</f>
        <v>0</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customHeight="1" outlineLevel="4" spans="1:95">
      <c r="A186" s="122"/>
      <c r="B186" s="123"/>
      <c r="C186" s="124"/>
      <c r="D186" s="122"/>
      <c r="E186" s="123"/>
      <c r="F186" s="123"/>
      <c r="G186" s="123"/>
      <c r="H186" s="125"/>
      <c r="I186" s="125"/>
      <c r="J186" s="125">
        <f t="shared" si="1570"/>
        <v>85676.0547945205</v>
      </c>
      <c r="K186" s="125">
        <v>1</v>
      </c>
      <c r="L186" s="150" t="s">
        <v>2826</v>
      </c>
      <c r="M186" s="151" t="str">
        <f>IFERROR(VLOOKUP($L186,'2-2 引出数据_合同数据仓库'!$B$2:$BP$1000,3,FALSE),0)</f>
        <v>南山分局电梯维护保养合同</v>
      </c>
      <c r="N186" s="125"/>
      <c r="O186" s="151">
        <f>IFERROR(VLOOKUP((LEFT(VLOOKUP($L186,'2-2 引出数据_合同数据仓库'!$B$2:$BP$1000,64,FALSE),15)&amp;(RIGHT(VLOOKUP($L186,'2-2 引出数据_合同数据仓库'!$B$2:$BP$1000,64,FALSE),4)+1)),'2-2 引出数据_合同数据仓库'!$B$2:$BP$1000,3,FALSE),0)</f>
        <v>0</v>
      </c>
      <c r="P186" s="125"/>
      <c r="Q186" s="125" t="str">
        <f>IFERROR(VLOOKUP($L186,'2-2 引出数据_合同数据仓库'!$B$2:$BP$1000,28,FALSE),0)</f>
        <v>2024-09-14</v>
      </c>
      <c r="R186" s="125" t="str">
        <f>IFERROR(VLOOKUP($L186,'2-2 引出数据_合同数据仓库'!$B$2:$BP$1000,29,FALSE),0)</f>
        <v>2024-09-15</v>
      </c>
      <c r="S186" s="125" t="str">
        <f>IFERROR(VLOOKUP($L186,'2-2 引出数据_合同数据仓库'!$B$2:$BP$1000,4,FALSE),0)</f>
        <v>2025-09-14</v>
      </c>
      <c r="T186" s="125"/>
      <c r="U186" s="125">
        <f>IFERROR(VLOOKUP($L186,'2-2 引出数据_合同数据仓库'!$B$2:$BP$1000,15,FALSE),0)</f>
        <v>121680</v>
      </c>
      <c r="V186" s="125">
        <f t="shared" ref="V186:V189" si="2195">U186/(S186-R186+1)*365</f>
        <v>121680</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10334.4657534247</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9334.35616438356</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10334.4657534247</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10001.095890411</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10334.4657534247</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10001.095890411</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10334.4657534247</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10334.4657534247</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4667.17808219178</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0</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0</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引出数据_合同数据仓库'!$B$2:$BP$1000,3,FALSE),0)</f>
        <v>0</v>
      </c>
      <c r="N187" s="125"/>
      <c r="O187" s="151">
        <f>IFERROR(VLOOKUP((LEFT(VLOOKUP($L187,'2-2 引出数据_合同数据仓库'!$B$2:$BP$1000,64,FALSE),15)&amp;(RIGHT(VLOOKUP($L187,'2-2 引出数据_合同数据仓库'!$B$2:$BP$1000,64,FALSE),4)+1)),'2-2 引出数据_合同数据仓库'!$B$2:$BP$1000,3,FALSE),0)</f>
        <v>0</v>
      </c>
      <c r="P187" s="125"/>
      <c r="Q187" s="125">
        <f>IFERROR(VLOOKUP($L187,'2-2 引出数据_合同数据仓库'!$B$2:$BP$1000,28,FALSE),0)</f>
        <v>0</v>
      </c>
      <c r="R187" s="125">
        <f>IFERROR(VLOOKUP($L187,'2-2 引出数据_合同数据仓库'!$B$2:$BP$1000,29,FALSE),0)</f>
        <v>0</v>
      </c>
      <c r="S187" s="125">
        <f>IFERROR(VLOOKUP($L187,'2-2 引出数据_合同数据仓库'!$B$2:$BP$1000,4,FALSE),0)</f>
        <v>0</v>
      </c>
      <c r="T187" s="125"/>
      <c r="U187" s="125">
        <f>IFERROR(VLOOKUP($L187,'2-2 引出数据_合同数据仓库'!$B$2:$BP$1000,15,FALSE),0)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引出数据_合同数据仓库'!$B$2:$BP$1000,3,FALSE),0)</f>
        <v>0</v>
      </c>
      <c r="N188" s="125"/>
      <c r="O188" s="151">
        <f>IFERROR(VLOOKUP((LEFT(VLOOKUP($L188,'2-2 引出数据_合同数据仓库'!$B$2:$BP$1000,64,FALSE),15)&amp;(RIGHT(VLOOKUP($L188,'2-2 引出数据_合同数据仓库'!$B$2:$BP$1000,64,FALSE),4)+1)),'2-2 引出数据_合同数据仓库'!$B$2:$BP$1000,3,FALSE),0)</f>
        <v>0</v>
      </c>
      <c r="P188" s="125"/>
      <c r="Q188" s="125">
        <f>IFERROR(VLOOKUP($L188,'2-2 引出数据_合同数据仓库'!$B$2:$BP$1000,28,FALSE),0)</f>
        <v>0</v>
      </c>
      <c r="R188" s="125">
        <f>IFERROR(VLOOKUP($L188,'2-2 引出数据_合同数据仓库'!$B$2:$BP$1000,29,FALSE),0)</f>
        <v>0</v>
      </c>
      <c r="S188" s="125">
        <f>IFERROR(VLOOKUP($L188,'2-2 引出数据_合同数据仓库'!$B$2:$BP$1000,4,FALSE),0)</f>
        <v>0</v>
      </c>
      <c r="T188" s="125"/>
      <c r="U188" s="125">
        <f>IFERROR(VLOOKUP($L188,'2-2 引出数据_合同数据仓库'!$B$2:$BP$1000,15,FALSE),0)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引出数据_合同数据仓库'!$B$2:$BP$1000,3,FALSE),0)</f>
        <v>0</v>
      </c>
      <c r="N189" s="125"/>
      <c r="O189" s="151">
        <f>IFERROR(VLOOKUP((LEFT(VLOOKUP($L189,'2-2 引出数据_合同数据仓库'!$B$2:$BP$1000,64,FALSE),15)&amp;(RIGHT(VLOOKUP($L189,'2-2 引出数据_合同数据仓库'!$B$2:$BP$1000,64,FALSE),4)+1)),'2-2 引出数据_合同数据仓库'!$B$2:$BP$1000,3,FALSE),0)</f>
        <v>0</v>
      </c>
      <c r="P189" s="125"/>
      <c r="Q189" s="125">
        <f>IFERROR(VLOOKUP($L189,'2-2 引出数据_合同数据仓库'!$B$2:$BP$1000,28,FALSE),0)</f>
        <v>0</v>
      </c>
      <c r="R189" s="125">
        <f>IFERROR(VLOOKUP($L189,'2-2 引出数据_合同数据仓库'!$B$2:$BP$1000,29,FALSE),0)</f>
        <v>0</v>
      </c>
      <c r="S189" s="125">
        <f>IFERROR(VLOOKUP($L189,'2-2 引出数据_合同数据仓库'!$B$2:$BP$1000,4,FALSE),0)</f>
        <v>0</v>
      </c>
      <c r="T189" s="125"/>
      <c r="U189" s="125">
        <f>IFERROR(VLOOKUP($L189,'2-2 引出数据_合同数据仓库'!$B$2:$BP$1000,15,FALSE),0)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customHeight="1" outlineLevel="4" spans="1:95">
      <c r="A190" s="126" t="s">
        <v>2821</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customHeight="1" outlineLevel="3" spans="1:95">
      <c r="A191" s="118"/>
      <c r="B191" s="119" t="s">
        <v>799</v>
      </c>
      <c r="C191" s="120" t="s">
        <v>1154</v>
      </c>
      <c r="D191" s="118" t="s">
        <v>2431</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引出数据_合同数据仓库'!$B$2:$BP$1000,3,FALSE),0)</f>
        <v>0</v>
      </c>
      <c r="N192" s="125"/>
      <c r="O192" s="151">
        <f>IFERROR(VLOOKUP((LEFT(VLOOKUP($L192,'2-2 引出数据_合同数据仓库'!$B$2:$BP$1000,64,FALSE),15)&amp;(RIGHT(VLOOKUP($L192,'2-2 引出数据_合同数据仓库'!$B$2:$BP$1000,64,FALSE),4)+1)),'2-2 引出数据_合同数据仓库'!$B$2:$BP$1000,3,FALSE),0)</f>
        <v>0</v>
      </c>
      <c r="P192" s="125"/>
      <c r="Q192" s="125">
        <f>IFERROR(VLOOKUP($L192,'2-2 引出数据_合同数据仓库'!$B$2:$BP$1000,28,FALSE),0)</f>
        <v>0</v>
      </c>
      <c r="R192" s="125">
        <f>IFERROR(VLOOKUP($L192,'2-2 引出数据_合同数据仓库'!$B$2:$BP$1000,29,FALSE),0)</f>
        <v>0</v>
      </c>
      <c r="S192" s="125">
        <f>IFERROR(VLOOKUP($L192,'2-2 引出数据_合同数据仓库'!$B$2:$BP$1000,4,FALSE),0)</f>
        <v>0</v>
      </c>
      <c r="T192" s="125"/>
      <c r="U192" s="125">
        <f>IFERROR(VLOOKUP($L192,'2-2 引出数据_合同数据仓库'!$B$2:$BP$1000,15,FALSE),0)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引出数据_合同数据仓库'!$B$2:$BP$1000,3,FALSE),0)</f>
        <v>0</v>
      </c>
      <c r="N193" s="125"/>
      <c r="O193" s="151">
        <f>IFERROR(VLOOKUP((LEFT(VLOOKUP($L193,'2-2 引出数据_合同数据仓库'!$B$2:$BP$1000,64,FALSE),15)&amp;(RIGHT(VLOOKUP($L193,'2-2 引出数据_合同数据仓库'!$B$2:$BP$1000,64,FALSE),4)+1)),'2-2 引出数据_合同数据仓库'!$B$2:$BP$1000,3,FALSE),0)</f>
        <v>0</v>
      </c>
      <c r="P193" s="125"/>
      <c r="Q193" s="125">
        <f>IFERROR(VLOOKUP($L193,'2-2 引出数据_合同数据仓库'!$B$2:$BP$1000,28,FALSE),0)</f>
        <v>0</v>
      </c>
      <c r="R193" s="125">
        <f>IFERROR(VLOOKUP($L193,'2-2 引出数据_合同数据仓库'!$B$2:$BP$1000,29,FALSE),0)</f>
        <v>0</v>
      </c>
      <c r="S193" s="125">
        <f>IFERROR(VLOOKUP($L193,'2-2 引出数据_合同数据仓库'!$B$2:$BP$1000,4,FALSE),0)</f>
        <v>0</v>
      </c>
      <c r="T193" s="125"/>
      <c r="U193" s="125">
        <f>IFERROR(VLOOKUP($L193,'2-2 引出数据_合同数据仓库'!$B$2:$BP$1000,15,FALSE),0)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引出数据_合同数据仓库'!$B$2:$BP$1000,3,FALSE),0)</f>
        <v>0</v>
      </c>
      <c r="N194" s="125"/>
      <c r="O194" s="151">
        <f>IFERROR(VLOOKUP((LEFT(VLOOKUP($L194,'2-2 引出数据_合同数据仓库'!$B$2:$BP$1000,64,FALSE),15)&amp;(RIGHT(VLOOKUP($L194,'2-2 引出数据_合同数据仓库'!$B$2:$BP$1000,64,FALSE),4)+1)),'2-2 引出数据_合同数据仓库'!$B$2:$BP$1000,3,FALSE),0)</f>
        <v>0</v>
      </c>
      <c r="P194" s="125"/>
      <c r="Q194" s="125">
        <f>IFERROR(VLOOKUP($L194,'2-2 引出数据_合同数据仓库'!$B$2:$BP$1000,28,FALSE),0)</f>
        <v>0</v>
      </c>
      <c r="R194" s="125">
        <f>IFERROR(VLOOKUP($L194,'2-2 引出数据_合同数据仓库'!$B$2:$BP$1000,29,FALSE),0)</f>
        <v>0</v>
      </c>
      <c r="S194" s="125">
        <f>IFERROR(VLOOKUP($L194,'2-2 引出数据_合同数据仓库'!$B$2:$BP$1000,4,FALSE),0)</f>
        <v>0</v>
      </c>
      <c r="T194" s="125"/>
      <c r="U194" s="125">
        <f>IFERROR(VLOOKUP($L194,'2-2 引出数据_合同数据仓库'!$B$2:$BP$1000,15,FALSE),0)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引出数据_合同数据仓库'!$B$2:$BP$1000,3,FALSE),0)</f>
        <v>0</v>
      </c>
      <c r="N195" s="125"/>
      <c r="O195" s="151">
        <f>IFERROR(VLOOKUP((LEFT(VLOOKUP($L195,'2-2 引出数据_合同数据仓库'!$B$2:$BP$1000,64,FALSE),15)&amp;(RIGHT(VLOOKUP($L195,'2-2 引出数据_合同数据仓库'!$B$2:$BP$1000,64,FALSE),4)+1)),'2-2 引出数据_合同数据仓库'!$B$2:$BP$1000,3,FALSE),0)</f>
        <v>0</v>
      </c>
      <c r="P195" s="125"/>
      <c r="Q195" s="125">
        <f>IFERROR(VLOOKUP($L195,'2-2 引出数据_合同数据仓库'!$B$2:$BP$1000,28,FALSE),0)</f>
        <v>0</v>
      </c>
      <c r="R195" s="125">
        <f>IFERROR(VLOOKUP($L195,'2-2 引出数据_合同数据仓库'!$B$2:$BP$1000,29,FALSE),0)</f>
        <v>0</v>
      </c>
      <c r="S195" s="125">
        <f>IFERROR(VLOOKUP($L195,'2-2 引出数据_合同数据仓库'!$B$2:$BP$1000,4,FALSE),0)</f>
        <v>0</v>
      </c>
      <c r="T195" s="125"/>
      <c r="U195" s="125">
        <f>IFERROR(VLOOKUP($L195,'2-2 引出数据_合同数据仓库'!$B$2:$BP$1000,15,FALSE),0)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customHeight="1" outlineLevel="4" spans="1:95">
      <c r="A196" s="126" t="s">
        <v>2821</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customHeight="1" outlineLevel="3" spans="1:95">
      <c r="A197" s="118"/>
      <c r="B197" s="119" t="s">
        <v>799</v>
      </c>
      <c r="C197" s="120" t="s">
        <v>1156</v>
      </c>
      <c r="D197" s="118" t="s">
        <v>2433</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引出数据_合同数据仓库'!$B$2:$BP$1000,3,FALSE),0)</f>
        <v>0</v>
      </c>
      <c r="N198" s="125"/>
      <c r="O198" s="151">
        <f>IFERROR(VLOOKUP((LEFT(VLOOKUP($L198,'2-2 引出数据_合同数据仓库'!$B$2:$BP$1000,64,FALSE),15)&amp;(RIGHT(VLOOKUP($L198,'2-2 引出数据_合同数据仓库'!$B$2:$BP$1000,64,FALSE),4)+1)),'2-2 引出数据_合同数据仓库'!$B$2:$BP$1000,3,FALSE),0)</f>
        <v>0</v>
      </c>
      <c r="P198" s="125"/>
      <c r="Q198" s="125">
        <f>IFERROR(VLOOKUP($L198,'2-2 引出数据_合同数据仓库'!$B$2:$BP$1000,28,FALSE),0)</f>
        <v>0</v>
      </c>
      <c r="R198" s="125">
        <f>IFERROR(VLOOKUP($L198,'2-2 引出数据_合同数据仓库'!$B$2:$BP$1000,29,FALSE),0)</f>
        <v>0</v>
      </c>
      <c r="S198" s="125">
        <f>IFERROR(VLOOKUP($L198,'2-2 引出数据_合同数据仓库'!$B$2:$BP$1000,4,FALSE),0)</f>
        <v>0</v>
      </c>
      <c r="T198" s="125"/>
      <c r="U198" s="125">
        <f>IFERROR(VLOOKUP($L198,'2-2 引出数据_合同数据仓库'!$B$2:$BP$1000,15,FALSE),0)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引出数据_合同数据仓库'!$B$2:$BP$1000,3,FALSE),0)</f>
        <v>0</v>
      </c>
      <c r="N199" s="125"/>
      <c r="O199" s="151">
        <f>IFERROR(VLOOKUP((LEFT(VLOOKUP($L199,'2-2 引出数据_合同数据仓库'!$B$2:$BP$1000,64,FALSE),15)&amp;(RIGHT(VLOOKUP($L199,'2-2 引出数据_合同数据仓库'!$B$2:$BP$1000,64,FALSE),4)+1)),'2-2 引出数据_合同数据仓库'!$B$2:$BP$1000,3,FALSE),0)</f>
        <v>0</v>
      </c>
      <c r="P199" s="125"/>
      <c r="Q199" s="125">
        <f>IFERROR(VLOOKUP($L199,'2-2 引出数据_合同数据仓库'!$B$2:$BP$1000,28,FALSE),0)</f>
        <v>0</v>
      </c>
      <c r="R199" s="125">
        <f>IFERROR(VLOOKUP($L199,'2-2 引出数据_合同数据仓库'!$B$2:$BP$1000,29,FALSE),0)</f>
        <v>0</v>
      </c>
      <c r="S199" s="125">
        <f>IFERROR(VLOOKUP($L199,'2-2 引出数据_合同数据仓库'!$B$2:$BP$1000,4,FALSE),0)</f>
        <v>0</v>
      </c>
      <c r="T199" s="125"/>
      <c r="U199" s="125">
        <f>IFERROR(VLOOKUP($L199,'2-2 引出数据_合同数据仓库'!$B$2:$BP$1000,15,FALSE),0)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引出数据_合同数据仓库'!$B$2:$BP$1000,3,FALSE),0)</f>
        <v>0</v>
      </c>
      <c r="N200" s="125"/>
      <c r="O200" s="151">
        <f>IFERROR(VLOOKUP((LEFT(VLOOKUP($L200,'2-2 引出数据_合同数据仓库'!$B$2:$BP$1000,64,FALSE),15)&amp;(RIGHT(VLOOKUP($L200,'2-2 引出数据_合同数据仓库'!$B$2:$BP$1000,64,FALSE),4)+1)),'2-2 引出数据_合同数据仓库'!$B$2:$BP$1000,3,FALSE),0)</f>
        <v>0</v>
      </c>
      <c r="P200" s="125"/>
      <c r="Q200" s="125">
        <f>IFERROR(VLOOKUP($L200,'2-2 引出数据_合同数据仓库'!$B$2:$BP$1000,28,FALSE),0)</f>
        <v>0</v>
      </c>
      <c r="R200" s="125">
        <f>IFERROR(VLOOKUP($L200,'2-2 引出数据_合同数据仓库'!$B$2:$BP$1000,29,FALSE),0)</f>
        <v>0</v>
      </c>
      <c r="S200" s="125">
        <f>IFERROR(VLOOKUP($L200,'2-2 引出数据_合同数据仓库'!$B$2:$BP$1000,4,FALSE),0)</f>
        <v>0</v>
      </c>
      <c r="T200" s="125"/>
      <c r="U200" s="125">
        <f>IFERROR(VLOOKUP($L200,'2-2 引出数据_合同数据仓库'!$B$2:$BP$1000,15,FALSE),0)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引出数据_合同数据仓库'!$B$2:$BP$1000,3,FALSE),0)</f>
        <v>0</v>
      </c>
      <c r="N201" s="125"/>
      <c r="O201" s="151">
        <f>IFERROR(VLOOKUP((LEFT(VLOOKUP($L201,'2-2 引出数据_合同数据仓库'!$B$2:$BP$1000,64,FALSE),15)&amp;(RIGHT(VLOOKUP($L201,'2-2 引出数据_合同数据仓库'!$B$2:$BP$1000,64,FALSE),4)+1)),'2-2 引出数据_合同数据仓库'!$B$2:$BP$1000,3,FALSE),0)</f>
        <v>0</v>
      </c>
      <c r="P201" s="125"/>
      <c r="Q201" s="125">
        <f>IFERROR(VLOOKUP($L201,'2-2 引出数据_合同数据仓库'!$B$2:$BP$1000,28,FALSE),0)</f>
        <v>0</v>
      </c>
      <c r="R201" s="125">
        <f>IFERROR(VLOOKUP($L201,'2-2 引出数据_合同数据仓库'!$B$2:$BP$1000,29,FALSE),0)</f>
        <v>0</v>
      </c>
      <c r="S201" s="125">
        <f>IFERROR(VLOOKUP($L201,'2-2 引出数据_合同数据仓库'!$B$2:$BP$1000,4,FALSE),0)</f>
        <v>0</v>
      </c>
      <c r="T201" s="125"/>
      <c r="U201" s="125">
        <f>IFERROR(VLOOKUP($L201,'2-2 引出数据_合同数据仓库'!$B$2:$BP$1000,15,FALSE),0)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customHeight="1" outlineLevel="4" spans="1:95">
      <c r="A202" s="126" t="s">
        <v>2821</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customHeight="1" outlineLevel="2" spans="1:95">
      <c r="A203" s="47"/>
      <c r="B203" s="115" t="s">
        <v>799</v>
      </c>
      <c r="C203" s="116" t="s">
        <v>46</v>
      </c>
      <c r="D203" s="47" t="s">
        <v>47</v>
      </c>
      <c r="E203" s="115" t="s">
        <v>1176</v>
      </c>
      <c r="F203" s="115"/>
      <c r="G203" s="115" t="s">
        <v>803</v>
      </c>
      <c r="H203" s="117">
        <f>X203+AA203+AD203+AG203+AJ203+AM203+AP203+AS203+AV203+AY203+BB203+BE203</f>
        <v>30000</v>
      </c>
      <c r="I203" s="117">
        <f>Y203+AB203+AE203+AH203+AK203+AN203+AQ203+AT203+AW203+AZ203+BC203+BF203</f>
        <v>26735.2</v>
      </c>
      <c r="J203" s="117">
        <f t="shared" si="2339"/>
        <v>3264.8</v>
      </c>
      <c r="K203" s="117"/>
      <c r="L203" s="148"/>
      <c r="M203" s="148"/>
      <c r="N203" s="117"/>
      <c r="O203" s="117"/>
      <c r="P203" s="117"/>
      <c r="Q203" s="117"/>
      <c r="R203" s="117"/>
      <c r="S203" s="117"/>
      <c r="T203" s="117"/>
      <c r="U203" s="117"/>
      <c r="V203" s="117"/>
      <c r="W203" s="117"/>
      <c r="X203" s="117">
        <f>VLOOKUP($C203,'1 预算编制表单'!$C:$BJ,27,FALSE)</f>
        <v>2500</v>
      </c>
      <c r="Y203" s="117">
        <f>X203-Z203</f>
        <v>2500</v>
      </c>
      <c r="Z203" s="117">
        <f>SUM(Z204:Z208)</f>
        <v>0</v>
      </c>
      <c r="AA203" s="117">
        <f>VLOOKUP($C203,'1 预算编制表单'!$C:$BJ,30,FALSE)</f>
        <v>2500</v>
      </c>
      <c r="AB203" s="117">
        <f>AA203-AC203</f>
        <v>2500</v>
      </c>
      <c r="AC203" s="117">
        <f>SUM(AC204:AC208)</f>
        <v>0</v>
      </c>
      <c r="AD203" s="117">
        <f>VLOOKUP($C203,'1 预算编制表单'!$C:$BJ,33,FALSE)</f>
        <v>2500</v>
      </c>
      <c r="AE203" s="117">
        <f>AD203-AF203</f>
        <v>2500</v>
      </c>
      <c r="AF203" s="117">
        <f>SUM(AF204:AF208)</f>
        <v>0</v>
      </c>
      <c r="AG203" s="117">
        <f>VLOOKUP($C203,'1 预算编制表单'!$C:$BJ,36,FALSE)</f>
        <v>2500</v>
      </c>
      <c r="AH203" s="117">
        <f>AG203-AI203</f>
        <v>2500</v>
      </c>
      <c r="AI203" s="117">
        <f>SUM(AI204:AI208)</f>
        <v>0</v>
      </c>
      <c r="AJ203" s="117">
        <f>VLOOKUP($C203,'1 预算编制表单'!$C:$BJ,39,FALSE)</f>
        <v>2500</v>
      </c>
      <c r="AK203" s="117">
        <f>AJ203-AL203</f>
        <v>2500</v>
      </c>
      <c r="AL203" s="117">
        <f>SUM(AL204:AL208)</f>
        <v>0</v>
      </c>
      <c r="AM203" s="117">
        <f>VLOOKUP($C203,'1 预算编制表单'!$C:$BJ,42,FALSE)</f>
        <v>2500</v>
      </c>
      <c r="AN203" s="117">
        <f>AM203-AO203</f>
        <v>1576</v>
      </c>
      <c r="AO203" s="117">
        <f>SUM(AO204:AO208)</f>
        <v>924</v>
      </c>
      <c r="AP203" s="117">
        <f>VLOOKUP($C203,'1 预算编制表单'!$C:$BJ,45,FALSE)</f>
        <v>2500</v>
      </c>
      <c r="AQ203" s="117">
        <f>AP203-AR203</f>
        <v>1545.2</v>
      </c>
      <c r="AR203" s="117">
        <f>SUM(AR204:AR208)</f>
        <v>954.8</v>
      </c>
      <c r="AS203" s="117">
        <f>VLOOKUP($C203,'1 预算编制表单'!$C:$BJ,48,FALSE)</f>
        <v>2500</v>
      </c>
      <c r="AT203" s="117">
        <f>AS203-AU203</f>
        <v>1545.2</v>
      </c>
      <c r="AU203" s="117">
        <f>SUM(AU204:AU208)</f>
        <v>954.8</v>
      </c>
      <c r="AV203" s="117">
        <f>VLOOKUP($C203,'1 预算编制表单'!$C:$BJ,51,FALSE)</f>
        <v>2500</v>
      </c>
      <c r="AW203" s="117">
        <f>AV203-AX203</f>
        <v>2068.8</v>
      </c>
      <c r="AX203" s="117">
        <f>SUM(AX204:AX208)</f>
        <v>431.2</v>
      </c>
      <c r="AY203" s="117">
        <f>VLOOKUP($C203,'1 预算编制表单'!$C:$BJ,54,FALSE)</f>
        <v>2500</v>
      </c>
      <c r="AZ203" s="117">
        <f>AY203-BA203</f>
        <v>2500</v>
      </c>
      <c r="BA203" s="117">
        <f>SUM(BA204:BA208)</f>
        <v>0</v>
      </c>
      <c r="BB203" s="117">
        <f>VLOOKUP($C203,'1 预算编制表单'!$C:$BJ,57,FALSE)</f>
        <v>2500</v>
      </c>
      <c r="BC203" s="117">
        <f>BB203-BD203</f>
        <v>2500</v>
      </c>
      <c r="BD203" s="117">
        <f>SUM(BD204:BD208)</f>
        <v>0</v>
      </c>
      <c r="BE203" s="117">
        <f>VLOOKUP($C203,'1 预算编制表单'!$C:$BJ,60,FALSE)</f>
        <v>2500</v>
      </c>
      <c r="BF203" s="117">
        <f>BE203-BG203</f>
        <v>2500</v>
      </c>
      <c r="BG203" s="117">
        <f>SUM(BG204:BG208)</f>
        <v>0</v>
      </c>
      <c r="BH203" s="117">
        <f>VLOOKUP($C203,'1 预算编制表单'!$C:$BJ,27,FALSE)</f>
        <v>2500</v>
      </c>
      <c r="BI203" s="117">
        <f>BH203-BJ203</f>
        <v>2500</v>
      </c>
      <c r="BJ203" s="117">
        <f>SUM(BJ204:BJ208)</f>
        <v>0</v>
      </c>
      <c r="BK203" s="117">
        <f>VLOOKUP($C203,'1 预算编制表单'!$C:$BJ,30,FALSE)</f>
        <v>2500</v>
      </c>
      <c r="BL203" s="117">
        <f>BK203-BM203</f>
        <v>2500</v>
      </c>
      <c r="BM203" s="117">
        <f>SUM(BM204:BM208)</f>
        <v>0</v>
      </c>
      <c r="BN203" s="117">
        <f>VLOOKUP($C203,'1 预算编制表单'!$C:$BJ,33,FALSE)</f>
        <v>2500</v>
      </c>
      <c r="BO203" s="117">
        <f>BN203-BP203</f>
        <v>2500</v>
      </c>
      <c r="BP203" s="117">
        <f>SUM(BP204:BP208)</f>
        <v>0</v>
      </c>
      <c r="BQ203" s="117">
        <f>VLOOKUP($C203,'1 预算编制表单'!$C:$BJ,36,FALSE)</f>
        <v>2500</v>
      </c>
      <c r="BR203" s="117">
        <f>BQ203-BS203</f>
        <v>2500</v>
      </c>
      <c r="BS203" s="117">
        <f>SUM(BS204:BS208)</f>
        <v>0</v>
      </c>
      <c r="BT203" s="117">
        <f>VLOOKUP($C203,'1 预算编制表单'!$C:$BJ,39,FALSE)</f>
        <v>2500</v>
      </c>
      <c r="BU203" s="117">
        <f>BT203-BV203</f>
        <v>2500</v>
      </c>
      <c r="BV203" s="117">
        <f>SUM(BV204:BV208)</f>
        <v>0</v>
      </c>
      <c r="BW203" s="117">
        <f>VLOOKUP($C203,'1 预算编制表单'!$C:$BJ,42,FALSE)</f>
        <v>2500</v>
      </c>
      <c r="BX203" s="117">
        <f>BW203-BY203</f>
        <v>2500</v>
      </c>
      <c r="BY203" s="117">
        <f>SUM(BY204:BY208)</f>
        <v>0</v>
      </c>
      <c r="BZ203" s="117">
        <f>VLOOKUP($C203,'1 预算编制表单'!$C:$BJ,45,FALSE)</f>
        <v>2500</v>
      </c>
      <c r="CA203" s="117">
        <f>BZ203-CB203</f>
        <v>2500</v>
      </c>
      <c r="CB203" s="117">
        <f>SUM(CB204:CB208)</f>
        <v>0</v>
      </c>
      <c r="CC203" s="117">
        <f>VLOOKUP($C203,'1 预算编制表单'!$C:$BJ,48,FALSE)</f>
        <v>2500</v>
      </c>
      <c r="CD203" s="117">
        <f>CC203-CE203</f>
        <v>2500</v>
      </c>
      <c r="CE203" s="117">
        <f>SUM(CE204:CE208)</f>
        <v>0</v>
      </c>
      <c r="CF203" s="117">
        <f>VLOOKUP($C203,'1 预算编制表单'!$C:$BJ,51,FALSE)</f>
        <v>2500</v>
      </c>
      <c r="CG203" s="117">
        <f>CF203-CH203</f>
        <v>2500</v>
      </c>
      <c r="CH203" s="117">
        <f>SUM(CH204:CH208)</f>
        <v>0</v>
      </c>
      <c r="CI203" s="117">
        <f>VLOOKUP($C203,'1 预算编制表单'!$C:$BJ,54,FALSE)</f>
        <v>2500</v>
      </c>
      <c r="CJ203" s="117">
        <f>CI203-CK203</f>
        <v>2500</v>
      </c>
      <c r="CK203" s="117">
        <f>SUM(CK204:CK208)</f>
        <v>0</v>
      </c>
      <c r="CL203" s="117">
        <f>VLOOKUP($C203,'1 预算编制表单'!$C:$BJ,57,FALSE)</f>
        <v>2500</v>
      </c>
      <c r="CM203" s="117">
        <f>CL203-CN203</f>
        <v>2500</v>
      </c>
      <c r="CN203" s="117">
        <f>SUM(CN204:CN208)</f>
        <v>0</v>
      </c>
      <c r="CO203" s="117">
        <f>VLOOKUP($C203,'1 预算编制表单'!$C:$BJ,60,FALSE)</f>
        <v>2500</v>
      </c>
      <c r="CP203" s="117">
        <f>CO203-CQ203</f>
        <v>2500</v>
      </c>
      <c r="CQ203" s="117">
        <f>SUM(CQ204:CQ208)</f>
        <v>0</v>
      </c>
    </row>
    <row r="204" s="83" customFormat="1" ht="24" customHeight="1" outlineLevel="3" spans="1:95">
      <c r="A204" s="122"/>
      <c r="B204" s="123"/>
      <c r="C204" s="124"/>
      <c r="D204" s="122"/>
      <c r="E204" s="123"/>
      <c r="F204" s="123"/>
      <c r="G204" s="123"/>
      <c r="H204" s="125"/>
      <c r="I204" s="125"/>
      <c r="J204" s="125">
        <f t="shared" si="2339"/>
        <v>3264.8</v>
      </c>
      <c r="K204" s="125">
        <v>1</v>
      </c>
      <c r="L204" s="150" t="s">
        <v>2827</v>
      </c>
      <c r="M204" s="151" t="str">
        <f>IFERROR(VLOOKUP($L204,'2-2 引出数据_合同数据仓库'!$B$2:$BP$1000,3,FALSE),0)</f>
        <v>深圳非住三片区南山分局项目消防维保合同（2025年5月15日-2025年9月14日）</v>
      </c>
      <c r="N204" s="125"/>
      <c r="O204" s="151">
        <f>IFERROR(VLOOKUP((LEFT(VLOOKUP($L204,'2-2 引出数据_合同数据仓库'!$B$2:$BP$1000,64,FALSE),15)&amp;(RIGHT(VLOOKUP($L204,'2-2 引出数据_合同数据仓库'!$B$2:$BP$1000,64,FALSE),4)+1)),'2-2 引出数据_合同数据仓库'!$B$2:$BP$1000,3,FALSE),0)</f>
        <v>0</v>
      </c>
      <c r="P204" s="125"/>
      <c r="Q204" s="125" t="str">
        <f>IFERROR(VLOOKUP($L204,'2-2 引出数据_合同数据仓库'!$B$2:$BP$1000,28,FALSE),0)</f>
        <v>2025-05-14</v>
      </c>
      <c r="R204" s="125" t="str">
        <f>IFERROR(VLOOKUP($L204,'2-2 引出数据_合同数据仓库'!$B$2:$BP$1000,29,FALSE),0)</f>
        <v>2025-06-01</v>
      </c>
      <c r="S204" s="125" t="str">
        <f>IFERROR(VLOOKUP($L204,'2-2 引出数据_合同数据仓库'!$B$2:$BP$1000,4,FALSE),0)</f>
        <v>2025-09-14</v>
      </c>
      <c r="T204" s="125"/>
      <c r="U204" s="125">
        <f>IFERROR(VLOOKUP($L204,'2-2 引出数据_合同数据仓库'!$B$2:$BP$1000,15,FALSE),0)</f>
        <v>3264.8</v>
      </c>
      <c r="V204" s="125">
        <f t="shared" ref="V204:V207" si="2412">U204/(S204-R204+1)*365</f>
        <v>11242</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0</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0</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0</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0</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0</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924</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954.8</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954.8</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431.2</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0</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0</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0</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引出数据_合同数据仓库'!$B$2:$BP$1000,3,FALSE),0)</f>
        <v>0</v>
      </c>
      <c r="N205" s="125"/>
      <c r="O205" s="151">
        <f>IFERROR(VLOOKUP((LEFT(VLOOKUP($L205,'2-2 引出数据_合同数据仓库'!$B$2:$BP$1000,64,FALSE),15)&amp;(RIGHT(VLOOKUP($L205,'2-2 引出数据_合同数据仓库'!$B$2:$BP$1000,64,FALSE),4)+1)),'2-2 引出数据_合同数据仓库'!$B$2:$BP$1000,3,FALSE),0)</f>
        <v>0</v>
      </c>
      <c r="P205" s="125"/>
      <c r="Q205" s="125">
        <f>IFERROR(VLOOKUP($L205,'2-2 引出数据_合同数据仓库'!$B$2:$BP$1000,28,FALSE),0)</f>
        <v>0</v>
      </c>
      <c r="R205" s="125">
        <f>IFERROR(VLOOKUP($L205,'2-2 引出数据_合同数据仓库'!$B$2:$BP$1000,29,FALSE),0)</f>
        <v>0</v>
      </c>
      <c r="S205" s="125">
        <f>IFERROR(VLOOKUP($L205,'2-2 引出数据_合同数据仓库'!$B$2:$BP$1000,4,FALSE),0)</f>
        <v>0</v>
      </c>
      <c r="T205" s="125"/>
      <c r="U205" s="125">
        <f>IFERROR(VLOOKUP($L205,'2-2 引出数据_合同数据仓库'!$B$2:$BP$1000,15,FALSE),0)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引出数据_合同数据仓库'!$B$2:$BP$1000,3,FALSE),0)</f>
        <v>0</v>
      </c>
      <c r="N206" s="125"/>
      <c r="O206" s="151">
        <f>IFERROR(VLOOKUP((LEFT(VLOOKUP($L206,'2-2 引出数据_合同数据仓库'!$B$2:$BP$1000,64,FALSE),15)&amp;(RIGHT(VLOOKUP($L206,'2-2 引出数据_合同数据仓库'!$B$2:$BP$1000,64,FALSE),4)+1)),'2-2 引出数据_合同数据仓库'!$B$2:$BP$1000,3,FALSE),0)</f>
        <v>0</v>
      </c>
      <c r="P206" s="125"/>
      <c r="Q206" s="125">
        <f>IFERROR(VLOOKUP($L206,'2-2 引出数据_合同数据仓库'!$B$2:$BP$1000,28,FALSE),0)</f>
        <v>0</v>
      </c>
      <c r="R206" s="125">
        <f>IFERROR(VLOOKUP($L206,'2-2 引出数据_合同数据仓库'!$B$2:$BP$1000,29,FALSE),0)</f>
        <v>0</v>
      </c>
      <c r="S206" s="125">
        <f>IFERROR(VLOOKUP($L206,'2-2 引出数据_合同数据仓库'!$B$2:$BP$1000,4,FALSE),0)</f>
        <v>0</v>
      </c>
      <c r="T206" s="125"/>
      <c r="U206" s="125">
        <f>IFERROR(VLOOKUP($L206,'2-2 引出数据_合同数据仓库'!$B$2:$BP$1000,15,FALSE),0)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customHeight="1" outlineLevel="3" spans="1:95">
      <c r="A207" s="122"/>
      <c r="B207" s="123"/>
      <c r="C207" s="124"/>
      <c r="D207" s="122"/>
      <c r="E207" s="123"/>
      <c r="F207" s="123"/>
      <c r="G207" s="123"/>
      <c r="H207" s="125"/>
      <c r="I207" s="125"/>
      <c r="J207" s="125">
        <f t="shared" si="2339"/>
        <v>0</v>
      </c>
      <c r="K207" s="125">
        <f t="shared" si="2483"/>
        <v>4</v>
      </c>
      <c r="L207" s="150"/>
      <c r="M207" s="151">
        <f>IFERROR(VLOOKUP($L207,'2-2 引出数据_合同数据仓库'!$B$2:$BP$1000,3,FALSE),0)</f>
        <v>0</v>
      </c>
      <c r="N207" s="125"/>
      <c r="O207" s="151">
        <f>IFERROR(VLOOKUP((LEFT(VLOOKUP($L207,'2-2 引出数据_合同数据仓库'!$B$2:$BP$1000,64,FALSE),15)&amp;(RIGHT(VLOOKUP($L207,'2-2 引出数据_合同数据仓库'!$B$2:$BP$1000,64,FALSE),4)+1)),'2-2 引出数据_合同数据仓库'!$B$2:$BP$1000,3,FALSE),0)</f>
        <v>0</v>
      </c>
      <c r="P207" s="125"/>
      <c r="Q207" s="125">
        <f>IFERROR(VLOOKUP($L207,'2-2 引出数据_合同数据仓库'!$B$2:$BP$1000,28,FALSE),0)</f>
        <v>0</v>
      </c>
      <c r="R207" s="125">
        <f>IFERROR(VLOOKUP($L207,'2-2 引出数据_合同数据仓库'!$B$2:$BP$1000,29,FALSE),0)</f>
        <v>0</v>
      </c>
      <c r="S207" s="125">
        <f>IFERROR(VLOOKUP($L207,'2-2 引出数据_合同数据仓库'!$B$2:$BP$1000,4,FALSE),0)</f>
        <v>0</v>
      </c>
      <c r="T207" s="125"/>
      <c r="U207" s="125">
        <f>IFERROR(VLOOKUP($L207,'2-2 引出数据_合同数据仓库'!$B$2:$BP$1000,15,FALSE),0)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customHeight="1" outlineLevel="4" spans="1:95">
      <c r="A208" s="126" t="s">
        <v>2821</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customHeight="1" outlineLevel="2" spans="1:95">
      <c r="A209" s="47"/>
      <c r="B209" s="115" t="s">
        <v>794</v>
      </c>
      <c r="C209" s="116" t="s">
        <v>36</v>
      </c>
      <c r="D209" s="47" t="s">
        <v>37</v>
      </c>
      <c r="E209" s="115"/>
      <c r="F209" s="115"/>
      <c r="G209" s="115"/>
      <c r="H209" s="117">
        <f>X209+AA209+AD209+AG209+AJ209+AM209+AP209+AS209+AV209+AY209+BB209+BE209</f>
        <v>0</v>
      </c>
      <c r="I209" s="117">
        <f>Y209+AB209+AE209+AH209+AK209+AN209+AQ209+AT209+AW209+AZ209+BC209+BF209</f>
        <v>-70905.2054794521</v>
      </c>
      <c r="J209" s="117">
        <f t="shared" si="2339"/>
        <v>70905.2054794521</v>
      </c>
      <c r="K209" s="117"/>
      <c r="L209" s="148"/>
      <c r="M209" s="148"/>
      <c r="N209" s="117"/>
      <c r="O209" s="117"/>
      <c r="P209" s="117"/>
      <c r="Q209" s="117"/>
      <c r="R209" s="117"/>
      <c r="S209" s="117"/>
      <c r="T209" s="117"/>
      <c r="U209" s="117"/>
      <c r="V209" s="117"/>
      <c r="W209" s="117"/>
      <c r="X209" s="117">
        <f>VLOOKUP($C209,'1 预算编制表单'!$C:$BJ,27,FALSE)</f>
        <v>0</v>
      </c>
      <c r="Y209" s="117">
        <f>X209-Z209</f>
        <v>-8051.50684931507</v>
      </c>
      <c r="Z209" s="117">
        <f>Z210+Z216+Z222+Z228+Z234+Z240+Z246</f>
        <v>8051.50684931507</v>
      </c>
      <c r="AA209" s="117">
        <f>VLOOKUP($C209,'1 预算编制表单'!$C:$BJ,30,FALSE)</f>
        <v>0</v>
      </c>
      <c r="AB209" s="117">
        <f>AA209-AC209</f>
        <v>-7272.32876712329</v>
      </c>
      <c r="AC209" s="117">
        <f>AC210+AC216+AC222+AC228+AC234+AC240+AC246</f>
        <v>7272.32876712329</v>
      </c>
      <c r="AD209" s="117">
        <f>VLOOKUP($C209,'1 预算编制表单'!$C:$BJ,33,FALSE)</f>
        <v>0</v>
      </c>
      <c r="AE209" s="117">
        <f>AD209-AF209</f>
        <v>-8051.50684931507</v>
      </c>
      <c r="AF209" s="117">
        <f>AF210+AF216+AF222+AF228+AF234+AF240+AF246</f>
        <v>8051.50684931507</v>
      </c>
      <c r="AG209" s="117">
        <f>VLOOKUP($C209,'1 预算编制表单'!$C:$BJ,36,FALSE)</f>
        <v>0</v>
      </c>
      <c r="AH209" s="117">
        <f>AG209-AI209</f>
        <v>-7791.78082191781</v>
      </c>
      <c r="AI209" s="117">
        <f>AI210+AI216+AI222+AI228+AI234+AI240+AI246</f>
        <v>7791.78082191781</v>
      </c>
      <c r="AJ209" s="117">
        <f>VLOOKUP($C209,'1 预算编制表单'!$C:$BJ,39,FALSE)</f>
        <v>0</v>
      </c>
      <c r="AK209" s="117">
        <f>AJ209-AL209</f>
        <v>-8051.50684931507</v>
      </c>
      <c r="AL209" s="117">
        <f>AL210+AL216+AL222+AL228+AL234+AL240+AL246</f>
        <v>8051.50684931507</v>
      </c>
      <c r="AM209" s="117">
        <f>VLOOKUP($C209,'1 预算编制表单'!$C:$BJ,42,FALSE)</f>
        <v>0</v>
      </c>
      <c r="AN209" s="117">
        <f>AM209-AO209</f>
        <v>-7791.78082191781</v>
      </c>
      <c r="AO209" s="117">
        <f>AO210+AO216+AO222+AO228+AO234+AO240+AO246</f>
        <v>7791.78082191781</v>
      </c>
      <c r="AP209" s="117">
        <f>VLOOKUP($C209,'1 预算编制表单'!$C:$BJ,45,FALSE)</f>
        <v>0</v>
      </c>
      <c r="AQ209" s="117">
        <f>AP209-AR209</f>
        <v>-8051.50684931507</v>
      </c>
      <c r="AR209" s="117">
        <f>AR210+AR216+AR222+AR228+AR234+AR240+AR246</f>
        <v>8051.50684931507</v>
      </c>
      <c r="AS209" s="117">
        <f>VLOOKUP($C209,'1 预算编制表单'!$C:$BJ,48,FALSE)</f>
        <v>0</v>
      </c>
      <c r="AT209" s="117">
        <f>AS209-AU209</f>
        <v>-8051.50684931507</v>
      </c>
      <c r="AU209" s="117">
        <f>AU210+AU216+AU222+AU228+AU234+AU240+AU246</f>
        <v>8051.50684931507</v>
      </c>
      <c r="AV209" s="117">
        <f>VLOOKUP($C209,'1 预算编制表单'!$C:$BJ,51,FALSE)</f>
        <v>0</v>
      </c>
      <c r="AW209" s="117">
        <f>AV209-AX209</f>
        <v>-7791.78082191781</v>
      </c>
      <c r="AX209" s="117">
        <f>AX210+AX216+AX222+AX228+AX234+AX240+AX246</f>
        <v>7791.78082191781</v>
      </c>
      <c r="AY209" s="117">
        <f>VLOOKUP($C209,'1 预算编制表单'!$C:$BJ,54,FALSE)</f>
        <v>0</v>
      </c>
      <c r="AZ209" s="117">
        <f>AY209-BA209</f>
        <v>0</v>
      </c>
      <c r="BA209" s="117">
        <f>BA210+BA216+BA222+BA228+BA234+BA240+BA246</f>
        <v>0</v>
      </c>
      <c r="BB209" s="117">
        <f>VLOOKUP($C209,'1 预算编制表单'!$C:$BJ,57,FALSE)</f>
        <v>0</v>
      </c>
      <c r="BC209" s="117">
        <f>BB209-BD209</f>
        <v>0</v>
      </c>
      <c r="BD209" s="117">
        <f>BD210+BD216+BD222+BD228+BD234+BD240+BD246</f>
        <v>0</v>
      </c>
      <c r="BE209" s="117">
        <f>VLOOKUP($C209,'1 预算编制表单'!$C:$BJ,60,FALSE)</f>
        <v>0</v>
      </c>
      <c r="BF209" s="117">
        <f>BE209-BG209</f>
        <v>0</v>
      </c>
      <c r="BG209" s="117">
        <f>BG210+BG216+BG222+BG228+BG234+BG240+BG246</f>
        <v>0</v>
      </c>
      <c r="BH209" s="117">
        <f>VLOOKUP($C209,'1 预算编制表单'!$C:$BJ,27,FALSE)</f>
        <v>0</v>
      </c>
      <c r="BI209" s="117">
        <f>BH209-BJ209</f>
        <v>0</v>
      </c>
      <c r="BJ209" s="117">
        <f>BJ210+BJ216+BJ222+BJ228+BJ234+BJ240+BJ246</f>
        <v>0</v>
      </c>
      <c r="BK209" s="117">
        <f>VLOOKUP($C209,'1 预算编制表单'!$C:$BJ,30,FALSE)</f>
        <v>0</v>
      </c>
      <c r="BL209" s="117">
        <f>BK209-BM209</f>
        <v>0</v>
      </c>
      <c r="BM209" s="117">
        <f>BM210+BM216+BM222+BM228+BM234+BM240+BM246</f>
        <v>0</v>
      </c>
      <c r="BN209" s="117">
        <f>VLOOKUP($C209,'1 预算编制表单'!$C:$BJ,33,FALSE)</f>
        <v>0</v>
      </c>
      <c r="BO209" s="117">
        <f>BN209-BP209</f>
        <v>0</v>
      </c>
      <c r="BP209" s="117">
        <f>BP210+BP216+BP222+BP228+BP234+BP240+BP246</f>
        <v>0</v>
      </c>
      <c r="BQ209" s="117">
        <f>VLOOKUP($C209,'1 预算编制表单'!$C:$BJ,36,FALSE)</f>
        <v>0</v>
      </c>
      <c r="BR209" s="117">
        <f>BQ209-BS209</f>
        <v>0</v>
      </c>
      <c r="BS209" s="117">
        <f>BS210+BS216+BS222+BS228+BS234+BS240+BS246</f>
        <v>0</v>
      </c>
      <c r="BT209" s="117">
        <f>VLOOKUP($C209,'1 预算编制表单'!$C:$BJ,39,FALSE)</f>
        <v>0</v>
      </c>
      <c r="BU209" s="117">
        <f>BT209-BV209</f>
        <v>0</v>
      </c>
      <c r="BV209" s="117">
        <f>BV210+BV216+BV222+BV228+BV234+BV240+BV246</f>
        <v>0</v>
      </c>
      <c r="BW209" s="117">
        <f>VLOOKUP($C209,'1 预算编制表单'!$C:$BJ,42,FALSE)</f>
        <v>0</v>
      </c>
      <c r="BX209" s="117">
        <f>BW209-BY209</f>
        <v>0</v>
      </c>
      <c r="BY209" s="117">
        <f>BY210+BY216+BY222+BY228+BY234+BY240+BY246</f>
        <v>0</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customHeight="1" outlineLevel="3" spans="1:95">
      <c r="A210" s="118"/>
      <c r="B210" s="119" t="s">
        <v>799</v>
      </c>
      <c r="C210" s="120" t="s">
        <v>1178</v>
      </c>
      <c r="D210" s="118" t="s">
        <v>1179</v>
      </c>
      <c r="E210" s="119" t="s">
        <v>1180</v>
      </c>
      <c r="F210" s="119"/>
      <c r="G210" s="119"/>
      <c r="H210" s="121">
        <f>X210+AA210+AD210+AG210+AJ210+AM210+AP210+AS210+AV210+AY210+BB210+BE210</f>
        <v>0</v>
      </c>
      <c r="I210" s="121">
        <f>Y210+AB210+AE210+AH210+AK210+AN210+AQ210+AT210+AW210+AZ210+BC210+BF210</f>
        <v>0</v>
      </c>
      <c r="J210" s="121">
        <f t="shared" si="2339"/>
        <v>0</v>
      </c>
      <c r="K210" s="121"/>
      <c r="L210" s="149"/>
      <c r="M210" s="149"/>
      <c r="N210" s="121"/>
      <c r="O210" s="121"/>
      <c r="P210" s="121"/>
      <c r="Q210" s="121"/>
      <c r="R210" s="121"/>
      <c r="S210" s="121"/>
      <c r="T210" s="121"/>
      <c r="U210" s="121"/>
      <c r="V210" s="121"/>
      <c r="W210" s="121"/>
      <c r="X210" s="121">
        <f>VLOOKUP($C210,'1 预算编制表单'!$C:$BJ,27,FALSE)</f>
        <v>0</v>
      </c>
      <c r="Y210" s="121">
        <f>X210-Z210</f>
        <v>0</v>
      </c>
      <c r="Z210" s="121">
        <f>SUM(Z211:Z215)</f>
        <v>0</v>
      </c>
      <c r="AA210" s="121">
        <f>VLOOKUP($C210,'1 预算编制表单'!$C:$BJ,30,FALSE)</f>
        <v>0</v>
      </c>
      <c r="AB210" s="121">
        <f>AA210-AC210</f>
        <v>0</v>
      </c>
      <c r="AC210" s="121">
        <f>SUM(AC211:AC215)</f>
        <v>0</v>
      </c>
      <c r="AD210" s="121">
        <f>VLOOKUP($C210,'1 预算编制表单'!$C:$BJ,33,FALSE)</f>
        <v>0</v>
      </c>
      <c r="AE210" s="121">
        <f>AD210-AF210</f>
        <v>0</v>
      </c>
      <c r="AF210" s="121">
        <f>SUM(AF211:AF215)</f>
        <v>0</v>
      </c>
      <c r="AG210" s="121">
        <f>VLOOKUP($C210,'1 预算编制表单'!$C:$BJ,36,FALSE)</f>
        <v>0</v>
      </c>
      <c r="AH210" s="121">
        <f>AG210-AI210</f>
        <v>0</v>
      </c>
      <c r="AI210" s="121">
        <f>SUM(AI211:AI215)</f>
        <v>0</v>
      </c>
      <c r="AJ210" s="121">
        <f>VLOOKUP($C210,'1 预算编制表单'!$C:$BJ,39,FALSE)</f>
        <v>0</v>
      </c>
      <c r="AK210" s="121">
        <f>AJ210-AL210</f>
        <v>0</v>
      </c>
      <c r="AL210" s="121">
        <f>SUM(AL211:AL215)</f>
        <v>0</v>
      </c>
      <c r="AM210" s="121">
        <f>VLOOKUP($C210,'1 预算编制表单'!$C:$BJ,42,FALSE)</f>
        <v>0</v>
      </c>
      <c r="AN210" s="121">
        <f>AM210-AO210</f>
        <v>0</v>
      </c>
      <c r="AO210" s="121">
        <f>SUM(AO211:AO215)</f>
        <v>0</v>
      </c>
      <c r="AP210" s="121">
        <f>VLOOKUP($C210,'1 预算编制表单'!$C:$BJ,45,FALSE)</f>
        <v>0</v>
      </c>
      <c r="AQ210" s="121">
        <f>AP210-AR210</f>
        <v>0</v>
      </c>
      <c r="AR210" s="121">
        <f>SUM(AR211:AR215)</f>
        <v>0</v>
      </c>
      <c r="AS210" s="121">
        <f>VLOOKUP($C210,'1 预算编制表单'!$C:$BJ,48,FALSE)</f>
        <v>0</v>
      </c>
      <c r="AT210" s="121">
        <f>AS210-AU210</f>
        <v>0</v>
      </c>
      <c r="AU210" s="121">
        <f>SUM(AU211:AU215)</f>
        <v>0</v>
      </c>
      <c r="AV210" s="121">
        <f>VLOOKUP($C210,'1 预算编制表单'!$C:$BJ,51,FALSE)</f>
        <v>0</v>
      </c>
      <c r="AW210" s="121">
        <f>AV210-AX210</f>
        <v>0</v>
      </c>
      <c r="AX210" s="121">
        <f>SUM(AX211:AX215)</f>
        <v>0</v>
      </c>
      <c r="AY210" s="121">
        <f>VLOOKUP($C210,'1 预算编制表单'!$C:$BJ,54,FALSE)</f>
        <v>0</v>
      </c>
      <c r="AZ210" s="121">
        <f>AY210-BA210</f>
        <v>0</v>
      </c>
      <c r="BA210" s="121">
        <f>SUM(BA211:BA215)</f>
        <v>0</v>
      </c>
      <c r="BB210" s="121">
        <f>VLOOKUP($C210,'1 预算编制表单'!$C:$BJ,57,FALSE)</f>
        <v>0</v>
      </c>
      <c r="BC210" s="121">
        <f>BB210-BD210</f>
        <v>0</v>
      </c>
      <c r="BD210" s="121">
        <f>SUM(BD211:BD215)</f>
        <v>0</v>
      </c>
      <c r="BE210" s="121">
        <f>VLOOKUP($C210,'1 预算编制表单'!$C:$BJ,60,FALSE)</f>
        <v>0</v>
      </c>
      <c r="BF210" s="121">
        <f>BE210-BG210</f>
        <v>0</v>
      </c>
      <c r="BG210" s="121">
        <f>SUM(BG211:BG215)</f>
        <v>0</v>
      </c>
      <c r="BH210" s="121">
        <f>VLOOKUP($C210,'1 预算编制表单'!$C:$BJ,27,FALSE)</f>
        <v>0</v>
      </c>
      <c r="BI210" s="121">
        <f>BH210-BJ210</f>
        <v>0</v>
      </c>
      <c r="BJ210" s="121">
        <f>SUM(BJ211:BJ215)</f>
        <v>0</v>
      </c>
      <c r="BK210" s="121">
        <f>VLOOKUP($C210,'1 预算编制表单'!$C:$BJ,30,FALSE)</f>
        <v>0</v>
      </c>
      <c r="BL210" s="121">
        <f>BK210-BM210</f>
        <v>0</v>
      </c>
      <c r="BM210" s="121">
        <f>SUM(BM211:BM215)</f>
        <v>0</v>
      </c>
      <c r="BN210" s="121">
        <f>VLOOKUP($C210,'1 预算编制表单'!$C:$BJ,33,FALSE)</f>
        <v>0</v>
      </c>
      <c r="BO210" s="121">
        <f>BN210-BP210</f>
        <v>0</v>
      </c>
      <c r="BP210" s="121">
        <f>SUM(BP211:BP215)</f>
        <v>0</v>
      </c>
      <c r="BQ210" s="121">
        <f>VLOOKUP($C210,'1 预算编制表单'!$C:$BJ,36,FALSE)</f>
        <v>0</v>
      </c>
      <c r="BR210" s="121">
        <f>BQ210-BS210</f>
        <v>0</v>
      </c>
      <c r="BS210" s="121">
        <f>SUM(BS211:BS215)</f>
        <v>0</v>
      </c>
      <c r="BT210" s="121">
        <f>VLOOKUP($C210,'1 预算编制表单'!$C:$BJ,39,FALSE)</f>
        <v>0</v>
      </c>
      <c r="BU210" s="121">
        <f>BT210-BV210</f>
        <v>0</v>
      </c>
      <c r="BV210" s="121">
        <f>SUM(BV211:BV215)</f>
        <v>0</v>
      </c>
      <c r="BW210" s="121">
        <f>VLOOKUP($C210,'1 预算编制表单'!$C:$BJ,42,FALSE)</f>
        <v>0</v>
      </c>
      <c r="BX210" s="121">
        <f>BW210-BY210</f>
        <v>0</v>
      </c>
      <c r="BY210" s="121">
        <f>SUM(BY211:BY215)</f>
        <v>0</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customHeight="1" outlineLevel="4" spans="1:95">
      <c r="A211" s="122"/>
      <c r="B211" s="123"/>
      <c r="C211" s="124"/>
      <c r="D211" s="122"/>
      <c r="E211" s="123"/>
      <c r="F211" s="123"/>
      <c r="G211" s="123"/>
      <c r="H211" s="125"/>
      <c r="I211" s="125"/>
      <c r="J211" s="125">
        <f t="shared" si="2339"/>
        <v>0</v>
      </c>
      <c r="K211" s="125">
        <v>1</v>
      </c>
      <c r="L211" s="150"/>
      <c r="M211" s="151">
        <f>IFERROR(VLOOKUP($L211,'2-2 引出数据_合同数据仓库'!$B$2:$BP$1000,3,FALSE),0)</f>
        <v>0</v>
      </c>
      <c r="N211" s="125"/>
      <c r="O211" s="151">
        <f>IFERROR(VLOOKUP((LEFT(VLOOKUP($L211,'2-2 引出数据_合同数据仓库'!$B$2:$BP$1000,64,FALSE),15)&amp;(RIGHT(VLOOKUP($L211,'2-2 引出数据_合同数据仓库'!$B$2:$BP$1000,64,FALSE),4)+1)),'2-2 引出数据_合同数据仓库'!$B$2:$BP$1000,3,FALSE),0)</f>
        <v>0</v>
      </c>
      <c r="P211" s="125"/>
      <c r="Q211" s="125">
        <f>IFERROR(VLOOKUP($L211,'2-2 引出数据_合同数据仓库'!$B$2:$BP$1000,28,FALSE),0)</f>
        <v>0</v>
      </c>
      <c r="R211" s="125">
        <f>IFERROR(VLOOKUP($L211,'2-2 引出数据_合同数据仓库'!$B$2:$BP$1000,29,FALSE),0)</f>
        <v>0</v>
      </c>
      <c r="S211" s="125">
        <f>IFERROR(VLOOKUP($L211,'2-2 引出数据_合同数据仓库'!$B$2:$BP$1000,4,FALSE),0)</f>
        <v>0</v>
      </c>
      <c r="T211" s="125"/>
      <c r="U211" s="125">
        <f>IFERROR(VLOOKUP($L211,'2-2 引出数据_合同数据仓库'!$B$2:$BP$1000,15,FALSE),0)</f>
        <v>0</v>
      </c>
      <c r="V211" s="125">
        <f t="shared" ref="V211:V214" si="2484">U211/(S211-R211+1)*365</f>
        <v>0</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0</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0</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0</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0</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0</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0</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0</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0</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0</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0</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0</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0</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0</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0</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0</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0</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0</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0</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customHeight="1" outlineLevel="4" spans="1:95">
      <c r="A212" s="122"/>
      <c r="B212" s="123"/>
      <c r="C212" s="124"/>
      <c r="D212" s="122"/>
      <c r="E212" s="123"/>
      <c r="F212" s="123"/>
      <c r="G212" s="123"/>
      <c r="H212" s="125"/>
      <c r="I212" s="125"/>
      <c r="J212" s="125">
        <f t="shared" si="2339"/>
        <v>0</v>
      </c>
      <c r="K212" s="125">
        <f t="shared" ref="K212:K214" si="2555">K211+1</f>
        <v>2</v>
      </c>
      <c r="L212" s="150"/>
      <c r="M212" s="151">
        <f>IFERROR(VLOOKUP($L212,'2-2 引出数据_合同数据仓库'!$B$2:$BP$1000,3,FALSE),0)</f>
        <v>0</v>
      </c>
      <c r="N212" s="125"/>
      <c r="O212" s="151">
        <f>IFERROR(VLOOKUP((LEFT(VLOOKUP($L212,'2-2 引出数据_合同数据仓库'!$B$2:$BP$1000,64,FALSE),15)&amp;(RIGHT(VLOOKUP($L212,'2-2 引出数据_合同数据仓库'!$B$2:$BP$1000,64,FALSE),4)+1)),'2-2 引出数据_合同数据仓库'!$B$2:$BP$1000,3,FALSE),0)</f>
        <v>0</v>
      </c>
      <c r="P212" s="125"/>
      <c r="Q212" s="125">
        <f>IFERROR(VLOOKUP($L212,'2-2 引出数据_合同数据仓库'!$B$2:$BP$1000,28,FALSE),0)</f>
        <v>0</v>
      </c>
      <c r="R212" s="125">
        <f>IFERROR(VLOOKUP($L212,'2-2 引出数据_合同数据仓库'!$B$2:$BP$1000,29,FALSE),0)</f>
        <v>0</v>
      </c>
      <c r="S212" s="125">
        <f>IFERROR(VLOOKUP($L212,'2-2 引出数据_合同数据仓库'!$B$2:$BP$1000,4,FALSE),0)</f>
        <v>0</v>
      </c>
      <c r="T212" s="125"/>
      <c r="U212" s="125">
        <f>IFERROR(VLOOKUP($L212,'2-2 引出数据_合同数据仓库'!$B$2:$BP$1000,15,FALSE),0)</f>
        <v>0</v>
      </c>
      <c r="V212" s="125">
        <f t="shared" si="2484"/>
        <v>0</v>
      </c>
      <c r="W212" s="125"/>
      <c r="X212" s="157">
        <v>45658</v>
      </c>
      <c r="Y212" s="157">
        <f t="shared" si="2485"/>
        <v>45688</v>
      </c>
      <c r="Z212" s="161">
        <f t="shared" si="2486"/>
        <v>0</v>
      </c>
      <c r="AA212" s="157">
        <f t="shared" si="2487"/>
        <v>45689</v>
      </c>
      <c r="AB212" s="157">
        <f t="shared" si="2488"/>
        <v>45716</v>
      </c>
      <c r="AC212" s="161">
        <f t="shared" si="2489"/>
        <v>0</v>
      </c>
      <c r="AD212" s="157">
        <f t="shared" si="2490"/>
        <v>45717</v>
      </c>
      <c r="AE212" s="157">
        <f t="shared" si="2491"/>
        <v>45747</v>
      </c>
      <c r="AF212" s="161">
        <f t="shared" si="2492"/>
        <v>0</v>
      </c>
      <c r="AG212" s="157">
        <f t="shared" si="2493"/>
        <v>45748</v>
      </c>
      <c r="AH212" s="157">
        <f t="shared" si="2494"/>
        <v>45777</v>
      </c>
      <c r="AI212" s="161">
        <f t="shared" si="2495"/>
        <v>0</v>
      </c>
      <c r="AJ212" s="157">
        <f t="shared" si="2496"/>
        <v>45778</v>
      </c>
      <c r="AK212" s="157">
        <f t="shared" si="2497"/>
        <v>45808</v>
      </c>
      <c r="AL212" s="161">
        <f t="shared" si="2498"/>
        <v>0</v>
      </c>
      <c r="AM212" s="157">
        <f t="shared" si="2499"/>
        <v>45809</v>
      </c>
      <c r="AN212" s="157">
        <f t="shared" si="2500"/>
        <v>45838</v>
      </c>
      <c r="AO212" s="161">
        <f t="shared" si="2501"/>
        <v>0</v>
      </c>
      <c r="AP212" s="157">
        <f t="shared" si="2502"/>
        <v>45839</v>
      </c>
      <c r="AQ212" s="157">
        <f t="shared" si="2503"/>
        <v>45869</v>
      </c>
      <c r="AR212" s="161">
        <f t="shared" si="2504"/>
        <v>0</v>
      </c>
      <c r="AS212" s="157">
        <f t="shared" si="2505"/>
        <v>45870</v>
      </c>
      <c r="AT212" s="157">
        <f t="shared" si="2506"/>
        <v>45900</v>
      </c>
      <c r="AU212" s="161">
        <f t="shared" si="2507"/>
        <v>0</v>
      </c>
      <c r="AV212" s="157">
        <f t="shared" si="2508"/>
        <v>45901</v>
      </c>
      <c r="AW212" s="157">
        <f t="shared" si="2509"/>
        <v>45930</v>
      </c>
      <c r="AX212" s="161">
        <f t="shared" si="2510"/>
        <v>0</v>
      </c>
      <c r="AY212" s="157">
        <f t="shared" si="2511"/>
        <v>45931</v>
      </c>
      <c r="AZ212" s="157">
        <f t="shared" si="2512"/>
        <v>45961</v>
      </c>
      <c r="BA212" s="161">
        <f t="shared" si="2513"/>
        <v>0</v>
      </c>
      <c r="BB212" s="157">
        <f t="shared" si="2514"/>
        <v>45962</v>
      </c>
      <c r="BC212" s="157">
        <f t="shared" si="2515"/>
        <v>45991</v>
      </c>
      <c r="BD212" s="161">
        <f t="shared" si="2516"/>
        <v>0</v>
      </c>
      <c r="BE212" s="157">
        <f t="shared" si="2517"/>
        <v>45992</v>
      </c>
      <c r="BF212" s="157">
        <f t="shared" si="2518"/>
        <v>46022</v>
      </c>
      <c r="BG212" s="161">
        <f t="shared" si="2519"/>
        <v>0</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customHeight="1" outlineLevel="4" spans="1:95">
      <c r="A213" s="122"/>
      <c r="B213" s="123"/>
      <c r="C213" s="124"/>
      <c r="D213" s="122"/>
      <c r="E213" s="123"/>
      <c r="F213" s="123"/>
      <c r="G213" s="123"/>
      <c r="H213" s="125"/>
      <c r="I213" s="125"/>
      <c r="J213" s="125">
        <f t="shared" si="2339"/>
        <v>0</v>
      </c>
      <c r="K213" s="125">
        <f t="shared" si="2555"/>
        <v>3</v>
      </c>
      <c r="L213" s="150"/>
      <c r="M213" s="151">
        <f>IFERROR(VLOOKUP($L213,'2-2 引出数据_合同数据仓库'!$B$2:$BP$1000,3,FALSE),0)</f>
        <v>0</v>
      </c>
      <c r="N213" s="125"/>
      <c r="O213" s="151">
        <f>IFERROR(VLOOKUP((LEFT(VLOOKUP($L213,'2-2 引出数据_合同数据仓库'!$B$2:$BP$1000,64,FALSE),15)&amp;(RIGHT(VLOOKUP($L213,'2-2 引出数据_合同数据仓库'!$B$2:$BP$1000,64,FALSE),4)+1)),'2-2 引出数据_合同数据仓库'!$B$2:$BP$1000,3,FALSE),0)</f>
        <v>0</v>
      </c>
      <c r="P213" s="125"/>
      <c r="Q213" s="125">
        <f>IFERROR(VLOOKUP($L213,'2-2 引出数据_合同数据仓库'!$B$2:$BP$1000,28,FALSE),0)</f>
        <v>0</v>
      </c>
      <c r="R213" s="125">
        <f>IFERROR(VLOOKUP($L213,'2-2 引出数据_合同数据仓库'!$B$2:$BP$1000,29,FALSE),0)</f>
        <v>0</v>
      </c>
      <c r="S213" s="125">
        <f>IFERROR(VLOOKUP($L213,'2-2 引出数据_合同数据仓库'!$B$2:$BP$1000,4,FALSE),0)</f>
        <v>0</v>
      </c>
      <c r="T213" s="125"/>
      <c r="U213" s="125">
        <f>IFERROR(VLOOKUP($L213,'2-2 引出数据_合同数据仓库'!$B$2:$BP$1000,15,FALSE),0)</f>
        <v>0</v>
      </c>
      <c r="V213" s="125">
        <f t="shared" si="2484"/>
        <v>0</v>
      </c>
      <c r="W213" s="125"/>
      <c r="X213" s="157">
        <v>45658</v>
      </c>
      <c r="Y213" s="157">
        <f t="shared" si="2485"/>
        <v>45688</v>
      </c>
      <c r="Z213" s="161">
        <f t="shared" si="2486"/>
        <v>0</v>
      </c>
      <c r="AA213" s="157">
        <f t="shared" si="2487"/>
        <v>45689</v>
      </c>
      <c r="AB213" s="157">
        <f t="shared" si="2488"/>
        <v>45716</v>
      </c>
      <c r="AC213" s="161">
        <f t="shared" si="2489"/>
        <v>0</v>
      </c>
      <c r="AD213" s="157">
        <f t="shared" si="2490"/>
        <v>45717</v>
      </c>
      <c r="AE213" s="157">
        <f t="shared" si="2491"/>
        <v>45747</v>
      </c>
      <c r="AF213" s="161">
        <f t="shared" si="2492"/>
        <v>0</v>
      </c>
      <c r="AG213" s="157">
        <f t="shared" si="2493"/>
        <v>45748</v>
      </c>
      <c r="AH213" s="157">
        <f t="shared" si="2494"/>
        <v>45777</v>
      </c>
      <c r="AI213" s="161">
        <f t="shared" si="2495"/>
        <v>0</v>
      </c>
      <c r="AJ213" s="157">
        <f t="shared" si="2496"/>
        <v>45778</v>
      </c>
      <c r="AK213" s="157">
        <f t="shared" si="2497"/>
        <v>45808</v>
      </c>
      <c r="AL213" s="161">
        <f t="shared" si="2498"/>
        <v>0</v>
      </c>
      <c r="AM213" s="157">
        <f t="shared" si="2499"/>
        <v>45809</v>
      </c>
      <c r="AN213" s="157">
        <f t="shared" si="2500"/>
        <v>45838</v>
      </c>
      <c r="AO213" s="161">
        <f t="shared" si="2501"/>
        <v>0</v>
      </c>
      <c r="AP213" s="157">
        <f t="shared" si="2502"/>
        <v>45839</v>
      </c>
      <c r="AQ213" s="157">
        <f t="shared" si="2503"/>
        <v>45869</v>
      </c>
      <c r="AR213" s="161">
        <f t="shared" si="2504"/>
        <v>0</v>
      </c>
      <c r="AS213" s="157">
        <f t="shared" si="2505"/>
        <v>45870</v>
      </c>
      <c r="AT213" s="157">
        <f t="shared" si="2506"/>
        <v>45900</v>
      </c>
      <c r="AU213" s="161">
        <f t="shared" si="2507"/>
        <v>0</v>
      </c>
      <c r="AV213" s="157">
        <f t="shared" si="2508"/>
        <v>45901</v>
      </c>
      <c r="AW213" s="157">
        <f t="shared" si="2509"/>
        <v>45930</v>
      </c>
      <c r="AX213" s="161">
        <f t="shared" si="2510"/>
        <v>0</v>
      </c>
      <c r="AY213" s="157">
        <f t="shared" si="2511"/>
        <v>45931</v>
      </c>
      <c r="AZ213" s="157">
        <f t="shared" si="2512"/>
        <v>45961</v>
      </c>
      <c r="BA213" s="161">
        <f t="shared" si="2513"/>
        <v>0</v>
      </c>
      <c r="BB213" s="157">
        <f t="shared" si="2514"/>
        <v>45962</v>
      </c>
      <c r="BC213" s="157">
        <f t="shared" si="2515"/>
        <v>45991</v>
      </c>
      <c r="BD213" s="161">
        <f t="shared" si="2516"/>
        <v>0</v>
      </c>
      <c r="BE213" s="157">
        <f t="shared" si="2517"/>
        <v>45992</v>
      </c>
      <c r="BF213" s="157">
        <f t="shared" si="2518"/>
        <v>46022</v>
      </c>
      <c r="BG213" s="161">
        <f t="shared" si="2519"/>
        <v>0</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引出数据_合同数据仓库'!$B$2:$BP$1000,3,FALSE),0)</f>
        <v>0</v>
      </c>
      <c r="N214" s="125"/>
      <c r="O214" s="151">
        <f>IFERROR(VLOOKUP((LEFT(VLOOKUP($L214,'2-2 引出数据_合同数据仓库'!$B$2:$BP$1000,64,FALSE),15)&amp;(RIGHT(VLOOKUP($L214,'2-2 引出数据_合同数据仓库'!$B$2:$BP$1000,64,FALSE),4)+1)),'2-2 引出数据_合同数据仓库'!$B$2:$BP$1000,3,FALSE),0)</f>
        <v>0</v>
      </c>
      <c r="P214" s="125"/>
      <c r="Q214" s="125">
        <f>IFERROR(VLOOKUP($L214,'2-2 引出数据_合同数据仓库'!$B$2:$BP$1000,28,FALSE),0)</f>
        <v>0</v>
      </c>
      <c r="R214" s="125">
        <f>IFERROR(VLOOKUP($L214,'2-2 引出数据_合同数据仓库'!$B$2:$BP$1000,29,FALSE),0)</f>
        <v>0</v>
      </c>
      <c r="S214" s="125">
        <f>IFERROR(VLOOKUP($L214,'2-2 引出数据_合同数据仓库'!$B$2:$BP$1000,4,FALSE),0)</f>
        <v>0</v>
      </c>
      <c r="T214" s="125"/>
      <c r="U214" s="125">
        <f>IFERROR(VLOOKUP($L214,'2-2 引出数据_合同数据仓库'!$B$2:$BP$1000,15,FALSE),0)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customHeight="1" outlineLevel="4" spans="1:95">
      <c r="A215" s="126" t="s">
        <v>2821</v>
      </c>
      <c r="B215" s="127"/>
      <c r="C215" s="127"/>
      <c r="D215" s="127"/>
      <c r="E215" s="127"/>
      <c r="F215" s="127"/>
      <c r="G215" s="128"/>
      <c r="H215" s="129"/>
      <c r="I215" s="129"/>
      <c r="J215" s="129"/>
      <c r="K215" s="129"/>
      <c r="L215" s="152"/>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customHeight="1" outlineLevel="3" spans="1:95">
      <c r="A216" s="118"/>
      <c r="B216" s="119" t="s">
        <v>799</v>
      </c>
      <c r="C216" s="120" t="s">
        <v>1184</v>
      </c>
      <c r="D216" s="118" t="s">
        <v>1190</v>
      </c>
      <c r="E216" s="119" t="s">
        <v>1191</v>
      </c>
      <c r="F216" s="119"/>
      <c r="G216" s="119" t="s">
        <v>943</v>
      </c>
      <c r="H216" s="121">
        <f>X216+AA216+AD216+AG216+AJ216+AM216+AP216+AS216+AV216+AY216+BB216+BE216</f>
        <v>0</v>
      </c>
      <c r="I216" s="121">
        <f>Y216+AB216+AE216+AH216+AK216+AN216+AQ216+AT216+AW216+AZ216+BC216+BF216</f>
        <v>0</v>
      </c>
      <c r="J216" s="121">
        <f t="shared" si="2339"/>
        <v>0</v>
      </c>
      <c r="K216" s="121"/>
      <c r="L216" s="149"/>
      <c r="M216" s="149"/>
      <c r="N216" s="121"/>
      <c r="O216" s="121"/>
      <c r="P216" s="121"/>
      <c r="Q216" s="121"/>
      <c r="R216" s="121"/>
      <c r="S216" s="121"/>
      <c r="T216" s="121"/>
      <c r="U216" s="121"/>
      <c r="V216" s="121"/>
      <c r="W216" s="121"/>
      <c r="X216" s="121">
        <f>VLOOKUP($C216,'1 预算编制表单'!$C:$BJ,27,FALSE)</f>
        <v>0</v>
      </c>
      <c r="Y216" s="121">
        <f>X216-Z216</f>
        <v>0</v>
      </c>
      <c r="Z216" s="121">
        <f>SUM(Z217:Z221)</f>
        <v>0</v>
      </c>
      <c r="AA216" s="121">
        <f>VLOOKUP($C216,'1 预算编制表单'!$C:$BJ,30,FALSE)</f>
        <v>0</v>
      </c>
      <c r="AB216" s="121">
        <f>AA216-AC216</f>
        <v>0</v>
      </c>
      <c r="AC216" s="121">
        <f>SUM(AC217:AC221)</f>
        <v>0</v>
      </c>
      <c r="AD216" s="121">
        <f>VLOOKUP($C216,'1 预算编制表单'!$C:$BJ,33,FALSE)</f>
        <v>0</v>
      </c>
      <c r="AE216" s="121">
        <f>AD216-AF216</f>
        <v>0</v>
      </c>
      <c r="AF216" s="121">
        <f>SUM(AF217:AF221)</f>
        <v>0</v>
      </c>
      <c r="AG216" s="121">
        <f>VLOOKUP($C216,'1 预算编制表单'!$C:$BJ,36,FALSE)</f>
        <v>0</v>
      </c>
      <c r="AH216" s="121">
        <f>AG216-AI216</f>
        <v>0</v>
      </c>
      <c r="AI216" s="121">
        <f>SUM(AI217:AI221)</f>
        <v>0</v>
      </c>
      <c r="AJ216" s="121">
        <f>VLOOKUP($C216,'1 预算编制表单'!$C:$BJ,39,FALSE)</f>
        <v>0</v>
      </c>
      <c r="AK216" s="121">
        <f>AJ216-AL216</f>
        <v>0</v>
      </c>
      <c r="AL216" s="121">
        <f>SUM(AL217:AL221)</f>
        <v>0</v>
      </c>
      <c r="AM216" s="121">
        <f>VLOOKUP($C216,'1 预算编制表单'!$C:$BJ,42,FALSE)</f>
        <v>0</v>
      </c>
      <c r="AN216" s="121">
        <f>AM216-AO216</f>
        <v>0</v>
      </c>
      <c r="AO216" s="121">
        <f>SUM(AO217:AO221)</f>
        <v>0</v>
      </c>
      <c r="AP216" s="121">
        <f>VLOOKUP($C216,'1 预算编制表单'!$C:$BJ,45,FALSE)</f>
        <v>0</v>
      </c>
      <c r="AQ216" s="121">
        <f>AP216-AR216</f>
        <v>0</v>
      </c>
      <c r="AR216" s="121">
        <f>SUM(AR217:AR221)</f>
        <v>0</v>
      </c>
      <c r="AS216" s="121">
        <f>VLOOKUP($C216,'1 预算编制表单'!$C:$BJ,48,FALSE)</f>
        <v>0</v>
      </c>
      <c r="AT216" s="121">
        <f>AS216-AU216</f>
        <v>0</v>
      </c>
      <c r="AU216" s="121">
        <f>SUM(AU217:AU221)</f>
        <v>0</v>
      </c>
      <c r="AV216" s="121">
        <f>VLOOKUP($C216,'1 预算编制表单'!$C:$BJ,51,FALSE)</f>
        <v>0</v>
      </c>
      <c r="AW216" s="121">
        <f>AV216-AX216</f>
        <v>0</v>
      </c>
      <c r="AX216" s="121">
        <f>SUM(AX217:AX221)</f>
        <v>0</v>
      </c>
      <c r="AY216" s="121">
        <f>VLOOKUP($C216,'1 预算编制表单'!$C:$BJ,54,FALSE)</f>
        <v>0</v>
      </c>
      <c r="AZ216" s="121">
        <f>AY216-BA216</f>
        <v>0</v>
      </c>
      <c r="BA216" s="121">
        <f>SUM(BA217:BA221)</f>
        <v>0</v>
      </c>
      <c r="BB216" s="121">
        <f>VLOOKUP($C216,'1 预算编制表单'!$C:$BJ,57,FALSE)</f>
        <v>0</v>
      </c>
      <c r="BC216" s="121">
        <f>BB216-BD216</f>
        <v>0</v>
      </c>
      <c r="BD216" s="121">
        <f>SUM(BD217:BD221)</f>
        <v>0</v>
      </c>
      <c r="BE216" s="121">
        <f>VLOOKUP($C216,'1 预算编制表单'!$C:$BJ,60,FALSE)</f>
        <v>0</v>
      </c>
      <c r="BF216" s="121">
        <f>BE216-BG216</f>
        <v>0</v>
      </c>
      <c r="BG216" s="121">
        <f>SUM(BG217:BG221)</f>
        <v>0</v>
      </c>
      <c r="BH216" s="121">
        <f>VLOOKUP($C216,'1 预算编制表单'!$C:$BJ,27,FALSE)</f>
        <v>0</v>
      </c>
      <c r="BI216" s="121">
        <f>BH216-BJ216</f>
        <v>0</v>
      </c>
      <c r="BJ216" s="121">
        <f>SUM(BJ217:BJ221)</f>
        <v>0</v>
      </c>
      <c r="BK216" s="121">
        <f>VLOOKUP($C216,'1 预算编制表单'!$C:$BJ,30,FALSE)</f>
        <v>0</v>
      </c>
      <c r="BL216" s="121">
        <f>BK216-BM216</f>
        <v>0</v>
      </c>
      <c r="BM216" s="121">
        <f>SUM(BM217:BM221)</f>
        <v>0</v>
      </c>
      <c r="BN216" s="121">
        <f>VLOOKUP($C216,'1 预算编制表单'!$C:$BJ,33,FALSE)</f>
        <v>0</v>
      </c>
      <c r="BO216" s="121">
        <f>BN216-BP216</f>
        <v>0</v>
      </c>
      <c r="BP216" s="121">
        <f>SUM(BP217:BP221)</f>
        <v>0</v>
      </c>
      <c r="BQ216" s="121">
        <f>VLOOKUP($C216,'1 预算编制表单'!$C:$BJ,36,FALSE)</f>
        <v>0</v>
      </c>
      <c r="BR216" s="121">
        <f>BQ216-BS216</f>
        <v>0</v>
      </c>
      <c r="BS216" s="121">
        <f>SUM(BS217:BS221)</f>
        <v>0</v>
      </c>
      <c r="BT216" s="121">
        <f>VLOOKUP($C216,'1 预算编制表单'!$C:$BJ,39,FALSE)</f>
        <v>0</v>
      </c>
      <c r="BU216" s="121">
        <f>BT216-BV216</f>
        <v>0</v>
      </c>
      <c r="BV216" s="121">
        <f>SUM(BV217:BV221)</f>
        <v>0</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customHeight="1" outlineLevel="4" spans="1:95">
      <c r="A217" s="122"/>
      <c r="B217" s="123"/>
      <c r="C217" s="124"/>
      <c r="D217" s="122"/>
      <c r="E217" s="123"/>
      <c r="F217" s="123"/>
      <c r="G217" s="123"/>
      <c r="H217" s="125"/>
      <c r="I217" s="125"/>
      <c r="J217" s="125">
        <f t="shared" si="2339"/>
        <v>0</v>
      </c>
      <c r="K217" s="125">
        <v>1</v>
      </c>
      <c r="L217" s="150"/>
      <c r="M217" s="151">
        <f>IFERROR(VLOOKUP($L217,'2-2 引出数据_合同数据仓库'!$B$2:$BP$1000,3,FALSE),0)</f>
        <v>0</v>
      </c>
      <c r="N217" s="125"/>
      <c r="O217" s="151">
        <f>IFERROR(VLOOKUP((LEFT(VLOOKUP($L217,'2-2 引出数据_合同数据仓库'!$B$2:$BP$1000,64,FALSE),15)&amp;(RIGHT(VLOOKUP($L217,'2-2 引出数据_合同数据仓库'!$B$2:$BP$1000,64,FALSE),4)+1)),'2-2 引出数据_合同数据仓库'!$B$2:$BP$1000,3,FALSE),0)</f>
        <v>0</v>
      </c>
      <c r="P217" s="125"/>
      <c r="Q217" s="125">
        <f>IFERROR(VLOOKUP($L217,'2-2 引出数据_合同数据仓库'!$B$2:$BP$1000,28,FALSE),0)</f>
        <v>0</v>
      </c>
      <c r="R217" s="125">
        <f>IFERROR(VLOOKUP($L217,'2-2 引出数据_合同数据仓库'!$B$2:$BP$1000,29,FALSE),0)</f>
        <v>0</v>
      </c>
      <c r="S217" s="125">
        <f>IFERROR(VLOOKUP($L217,'2-2 引出数据_合同数据仓库'!$B$2:$BP$1000,4,FALSE),0)</f>
        <v>0</v>
      </c>
      <c r="T217" s="125"/>
      <c r="U217" s="125">
        <f>IFERROR(VLOOKUP($L217,'2-2 引出数据_合同数据仓库'!$B$2:$BP$1000,15,FALSE),0)</f>
        <v>0</v>
      </c>
      <c r="V217" s="125">
        <f t="shared" ref="V217:V220" si="2556">U217/(S217-R217+1)*365</f>
        <v>0</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0</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0</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0</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0</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0</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0</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0</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0</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0</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0</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0</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0</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customHeight="1" outlineLevel="4" spans="1:95">
      <c r="A218" s="122"/>
      <c r="B218" s="123"/>
      <c r="C218" s="124"/>
      <c r="D218" s="122"/>
      <c r="E218" s="123"/>
      <c r="F218" s="123"/>
      <c r="G218" s="123"/>
      <c r="H218" s="125"/>
      <c r="I218" s="125"/>
      <c r="J218" s="125">
        <f t="shared" si="2339"/>
        <v>0</v>
      </c>
      <c r="K218" s="125">
        <f t="shared" ref="K218:K220" si="2627">K217+1</f>
        <v>2</v>
      </c>
      <c r="L218" s="150"/>
      <c r="M218" s="151">
        <f>IFERROR(VLOOKUP($L218,'2-2 引出数据_合同数据仓库'!$B$2:$BP$1000,3,FALSE),0)</f>
        <v>0</v>
      </c>
      <c r="N218" s="125"/>
      <c r="O218" s="151">
        <f>IFERROR(VLOOKUP((LEFT(VLOOKUP($L218,'2-2 引出数据_合同数据仓库'!$B$2:$BP$1000,64,FALSE),15)&amp;(RIGHT(VLOOKUP($L218,'2-2 引出数据_合同数据仓库'!$B$2:$BP$1000,64,FALSE),4)+1)),'2-2 引出数据_合同数据仓库'!$B$2:$BP$1000,3,FALSE),0)</f>
        <v>0</v>
      </c>
      <c r="P218" s="125"/>
      <c r="Q218" s="125">
        <f>IFERROR(VLOOKUP($L218,'2-2 引出数据_合同数据仓库'!$B$2:$BP$1000,28,FALSE),0)</f>
        <v>0</v>
      </c>
      <c r="R218" s="125">
        <f>IFERROR(VLOOKUP($L218,'2-2 引出数据_合同数据仓库'!$B$2:$BP$1000,29,FALSE),0)</f>
        <v>0</v>
      </c>
      <c r="S218" s="125">
        <f>IFERROR(VLOOKUP($L218,'2-2 引出数据_合同数据仓库'!$B$2:$BP$1000,4,FALSE),0)</f>
        <v>0</v>
      </c>
      <c r="T218" s="125"/>
      <c r="U218" s="125">
        <f>IFERROR(VLOOKUP($L218,'2-2 引出数据_合同数据仓库'!$B$2:$BP$1000,15,FALSE),0)</f>
        <v>0</v>
      </c>
      <c r="V218" s="125">
        <f t="shared" si="2556"/>
        <v>0</v>
      </c>
      <c r="W218" s="125"/>
      <c r="X218" s="157">
        <v>45658</v>
      </c>
      <c r="Y218" s="157">
        <f t="shared" si="2557"/>
        <v>45688</v>
      </c>
      <c r="Z218" s="161">
        <f t="shared" si="2558"/>
        <v>0</v>
      </c>
      <c r="AA218" s="157">
        <f t="shared" si="2559"/>
        <v>45689</v>
      </c>
      <c r="AB218" s="157">
        <f t="shared" si="2560"/>
        <v>45716</v>
      </c>
      <c r="AC218" s="161">
        <f t="shared" si="2561"/>
        <v>0</v>
      </c>
      <c r="AD218" s="157">
        <f t="shared" si="2562"/>
        <v>45717</v>
      </c>
      <c r="AE218" s="157">
        <f t="shared" si="2563"/>
        <v>45747</v>
      </c>
      <c r="AF218" s="161">
        <f t="shared" si="2564"/>
        <v>0</v>
      </c>
      <c r="AG218" s="157">
        <f t="shared" si="2565"/>
        <v>45748</v>
      </c>
      <c r="AH218" s="157">
        <f t="shared" si="2566"/>
        <v>45777</v>
      </c>
      <c r="AI218" s="161">
        <f t="shared" si="2567"/>
        <v>0</v>
      </c>
      <c r="AJ218" s="157">
        <f t="shared" si="2568"/>
        <v>45778</v>
      </c>
      <c r="AK218" s="157">
        <f t="shared" si="2569"/>
        <v>45808</v>
      </c>
      <c r="AL218" s="161">
        <f t="shared" si="2570"/>
        <v>0</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引出数据_合同数据仓库'!$B$2:$BP$1000,3,FALSE),0)</f>
        <v>0</v>
      </c>
      <c r="N219" s="125"/>
      <c r="O219" s="151">
        <f>IFERROR(VLOOKUP((LEFT(VLOOKUP($L219,'2-2 引出数据_合同数据仓库'!$B$2:$BP$1000,64,FALSE),15)&amp;(RIGHT(VLOOKUP($L219,'2-2 引出数据_合同数据仓库'!$B$2:$BP$1000,64,FALSE),4)+1)),'2-2 引出数据_合同数据仓库'!$B$2:$BP$1000,3,FALSE),0)</f>
        <v>0</v>
      </c>
      <c r="P219" s="125"/>
      <c r="Q219" s="125">
        <f>IFERROR(VLOOKUP($L219,'2-2 引出数据_合同数据仓库'!$B$2:$BP$1000,28,FALSE),0)</f>
        <v>0</v>
      </c>
      <c r="R219" s="125">
        <f>IFERROR(VLOOKUP($L219,'2-2 引出数据_合同数据仓库'!$B$2:$BP$1000,29,FALSE),0)</f>
        <v>0</v>
      </c>
      <c r="S219" s="125">
        <f>IFERROR(VLOOKUP($L219,'2-2 引出数据_合同数据仓库'!$B$2:$BP$1000,4,FALSE),0)</f>
        <v>0</v>
      </c>
      <c r="T219" s="125"/>
      <c r="U219" s="125">
        <f>IFERROR(VLOOKUP($L219,'2-2 引出数据_合同数据仓库'!$B$2:$BP$1000,15,FALSE),0)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引出数据_合同数据仓库'!$B$2:$BP$1000,3,FALSE),0)</f>
        <v>0</v>
      </c>
      <c r="N220" s="125"/>
      <c r="O220" s="151">
        <f>IFERROR(VLOOKUP((LEFT(VLOOKUP($L220,'2-2 引出数据_合同数据仓库'!$B$2:$BP$1000,64,FALSE),15)&amp;(RIGHT(VLOOKUP($L220,'2-2 引出数据_合同数据仓库'!$B$2:$BP$1000,64,FALSE),4)+1)),'2-2 引出数据_合同数据仓库'!$B$2:$BP$1000,3,FALSE),0)</f>
        <v>0</v>
      </c>
      <c r="P220" s="125"/>
      <c r="Q220" s="125">
        <f>IFERROR(VLOOKUP($L220,'2-2 引出数据_合同数据仓库'!$B$2:$BP$1000,28,FALSE),0)</f>
        <v>0</v>
      </c>
      <c r="R220" s="125">
        <f>IFERROR(VLOOKUP($L220,'2-2 引出数据_合同数据仓库'!$B$2:$BP$1000,29,FALSE),0)</f>
        <v>0</v>
      </c>
      <c r="S220" s="125">
        <f>IFERROR(VLOOKUP($L220,'2-2 引出数据_合同数据仓库'!$B$2:$BP$1000,4,FALSE),0)</f>
        <v>0</v>
      </c>
      <c r="T220" s="125"/>
      <c r="U220" s="125">
        <f>IFERROR(VLOOKUP($L220,'2-2 引出数据_合同数据仓库'!$B$2:$BP$1000,15,FALSE),0)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customHeight="1" outlineLevel="4" spans="1:95">
      <c r="A221" s="126" t="s">
        <v>2821</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customHeight="1" outlineLevel="3" spans="1:95">
      <c r="A222" s="118"/>
      <c r="B222" s="119" t="s">
        <v>799</v>
      </c>
      <c r="C222" s="120" t="s">
        <v>1186</v>
      </c>
      <c r="D222" s="118" t="s">
        <v>1192</v>
      </c>
      <c r="E222" s="119" t="s">
        <v>1193</v>
      </c>
      <c r="F222" s="119"/>
      <c r="G222" s="119" t="s">
        <v>943</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引出数据_合同数据仓库'!$B$2:$BP$1000,3,FALSE),0)</f>
        <v>0</v>
      </c>
      <c r="N223" s="125"/>
      <c r="O223" s="151">
        <f>IFERROR(VLOOKUP((LEFT(VLOOKUP($L223,'2-2 引出数据_合同数据仓库'!$B$2:$BP$1000,64,FALSE),15)&amp;(RIGHT(VLOOKUP($L223,'2-2 引出数据_合同数据仓库'!$B$2:$BP$1000,64,FALSE),4)+1)),'2-2 引出数据_合同数据仓库'!$B$2:$BP$1000,3,FALSE),0)</f>
        <v>0</v>
      </c>
      <c r="P223" s="125"/>
      <c r="Q223" s="125">
        <f>IFERROR(VLOOKUP($L223,'2-2 引出数据_合同数据仓库'!$B$2:$BP$1000,28,FALSE),0)</f>
        <v>0</v>
      </c>
      <c r="R223" s="125">
        <f>IFERROR(VLOOKUP($L223,'2-2 引出数据_合同数据仓库'!$B$2:$BP$1000,29,FALSE),0)</f>
        <v>0</v>
      </c>
      <c r="S223" s="125">
        <f>IFERROR(VLOOKUP($L223,'2-2 引出数据_合同数据仓库'!$B$2:$BP$1000,4,FALSE),0)</f>
        <v>0</v>
      </c>
      <c r="T223" s="125"/>
      <c r="U223" s="125">
        <f>IFERROR(VLOOKUP($L223,'2-2 引出数据_合同数据仓库'!$B$2:$BP$1000,15,FALSE),0)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引出数据_合同数据仓库'!$B$2:$BP$1000,3,FALSE),0)</f>
        <v>0</v>
      </c>
      <c r="N224" s="125"/>
      <c r="O224" s="151">
        <f>IFERROR(VLOOKUP((LEFT(VLOOKUP($L224,'2-2 引出数据_合同数据仓库'!$B$2:$BP$1000,64,FALSE),15)&amp;(RIGHT(VLOOKUP($L224,'2-2 引出数据_合同数据仓库'!$B$2:$BP$1000,64,FALSE),4)+1)),'2-2 引出数据_合同数据仓库'!$B$2:$BP$1000,3,FALSE),0)</f>
        <v>0</v>
      </c>
      <c r="P224" s="125"/>
      <c r="Q224" s="125">
        <f>IFERROR(VLOOKUP($L224,'2-2 引出数据_合同数据仓库'!$B$2:$BP$1000,28,FALSE),0)</f>
        <v>0</v>
      </c>
      <c r="R224" s="125">
        <f>IFERROR(VLOOKUP($L224,'2-2 引出数据_合同数据仓库'!$B$2:$BP$1000,29,FALSE),0)</f>
        <v>0</v>
      </c>
      <c r="S224" s="125">
        <f>IFERROR(VLOOKUP($L224,'2-2 引出数据_合同数据仓库'!$B$2:$BP$1000,4,FALSE),0)</f>
        <v>0</v>
      </c>
      <c r="T224" s="125"/>
      <c r="U224" s="125">
        <f>IFERROR(VLOOKUP($L224,'2-2 引出数据_合同数据仓库'!$B$2:$BP$1000,15,FALSE),0)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引出数据_合同数据仓库'!$B$2:$BP$1000,3,FALSE),0)</f>
        <v>0</v>
      </c>
      <c r="N225" s="125"/>
      <c r="O225" s="151">
        <f>IFERROR(VLOOKUP((LEFT(VLOOKUP($L225,'2-2 引出数据_合同数据仓库'!$B$2:$BP$1000,64,FALSE),15)&amp;(RIGHT(VLOOKUP($L225,'2-2 引出数据_合同数据仓库'!$B$2:$BP$1000,64,FALSE),4)+1)),'2-2 引出数据_合同数据仓库'!$B$2:$BP$1000,3,FALSE),0)</f>
        <v>0</v>
      </c>
      <c r="P225" s="125"/>
      <c r="Q225" s="125">
        <f>IFERROR(VLOOKUP($L225,'2-2 引出数据_合同数据仓库'!$B$2:$BP$1000,28,FALSE),0)</f>
        <v>0</v>
      </c>
      <c r="R225" s="125">
        <f>IFERROR(VLOOKUP($L225,'2-2 引出数据_合同数据仓库'!$B$2:$BP$1000,29,FALSE),0)</f>
        <v>0</v>
      </c>
      <c r="S225" s="125">
        <f>IFERROR(VLOOKUP($L225,'2-2 引出数据_合同数据仓库'!$B$2:$BP$1000,4,FALSE),0)</f>
        <v>0</v>
      </c>
      <c r="T225" s="125"/>
      <c r="U225" s="125">
        <f>IFERROR(VLOOKUP($L225,'2-2 引出数据_合同数据仓库'!$B$2:$BP$1000,15,FALSE),0)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引出数据_合同数据仓库'!$B$2:$BP$1000,3,FALSE),0)</f>
        <v>0</v>
      </c>
      <c r="N226" s="125"/>
      <c r="O226" s="151">
        <f>IFERROR(VLOOKUP((LEFT(VLOOKUP($L226,'2-2 引出数据_合同数据仓库'!$B$2:$BP$1000,64,FALSE),15)&amp;(RIGHT(VLOOKUP($L226,'2-2 引出数据_合同数据仓库'!$B$2:$BP$1000,64,FALSE),4)+1)),'2-2 引出数据_合同数据仓库'!$B$2:$BP$1000,3,FALSE),0)</f>
        <v>0</v>
      </c>
      <c r="P226" s="125"/>
      <c r="Q226" s="125">
        <f>IFERROR(VLOOKUP($L226,'2-2 引出数据_合同数据仓库'!$B$2:$BP$1000,28,FALSE),0)</f>
        <v>0</v>
      </c>
      <c r="R226" s="125">
        <f>IFERROR(VLOOKUP($L226,'2-2 引出数据_合同数据仓库'!$B$2:$BP$1000,29,FALSE),0)</f>
        <v>0</v>
      </c>
      <c r="S226" s="125">
        <f>IFERROR(VLOOKUP($L226,'2-2 引出数据_合同数据仓库'!$B$2:$BP$1000,4,FALSE),0)</f>
        <v>0</v>
      </c>
      <c r="T226" s="125"/>
      <c r="U226" s="125">
        <f>IFERROR(VLOOKUP($L226,'2-2 引出数据_合同数据仓库'!$B$2:$BP$1000,15,FALSE),0)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customHeight="1" outlineLevel="4" spans="1:95">
      <c r="A227" s="126" t="s">
        <v>2821</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customHeight="1" outlineLevel="3" spans="1:95">
      <c r="A228" s="118"/>
      <c r="B228" s="119" t="s">
        <v>799</v>
      </c>
      <c r="C228" s="120" t="s">
        <v>1188</v>
      </c>
      <c r="D228" s="118" t="s">
        <v>1194</v>
      </c>
      <c r="E228" s="119" t="s">
        <v>1195</v>
      </c>
      <c r="F228" s="119"/>
      <c r="G228" s="119" t="s">
        <v>943</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引出数据_合同数据仓库'!$B$2:$BP$1000,3,FALSE),0)</f>
        <v>0</v>
      </c>
      <c r="N229" s="125"/>
      <c r="O229" s="151">
        <f>IFERROR(VLOOKUP((LEFT(VLOOKUP($L229,'2-2 引出数据_合同数据仓库'!$B$2:$BP$1000,64,FALSE),15)&amp;(RIGHT(VLOOKUP($L229,'2-2 引出数据_合同数据仓库'!$B$2:$BP$1000,64,FALSE),4)+1)),'2-2 引出数据_合同数据仓库'!$B$2:$BP$1000,3,FALSE),0)</f>
        <v>0</v>
      </c>
      <c r="P229" s="125"/>
      <c r="Q229" s="125">
        <f>IFERROR(VLOOKUP($L229,'2-2 引出数据_合同数据仓库'!$B$2:$BP$1000,28,FALSE),0)</f>
        <v>0</v>
      </c>
      <c r="R229" s="125">
        <f>IFERROR(VLOOKUP($L229,'2-2 引出数据_合同数据仓库'!$B$2:$BP$1000,29,FALSE),0)</f>
        <v>0</v>
      </c>
      <c r="S229" s="125">
        <f>IFERROR(VLOOKUP($L229,'2-2 引出数据_合同数据仓库'!$B$2:$BP$1000,4,FALSE),0)</f>
        <v>0</v>
      </c>
      <c r="T229" s="125"/>
      <c r="U229" s="125">
        <f>IFERROR(VLOOKUP($L229,'2-2 引出数据_合同数据仓库'!$B$2:$BP$1000,15,FALSE),0)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引出数据_合同数据仓库'!$B$2:$BP$1000,3,FALSE),0)</f>
        <v>0</v>
      </c>
      <c r="N230" s="125"/>
      <c r="O230" s="151">
        <f>IFERROR(VLOOKUP((LEFT(VLOOKUP($L230,'2-2 引出数据_合同数据仓库'!$B$2:$BP$1000,64,FALSE),15)&amp;(RIGHT(VLOOKUP($L230,'2-2 引出数据_合同数据仓库'!$B$2:$BP$1000,64,FALSE),4)+1)),'2-2 引出数据_合同数据仓库'!$B$2:$BP$1000,3,FALSE),0)</f>
        <v>0</v>
      </c>
      <c r="P230" s="125"/>
      <c r="Q230" s="125">
        <f>IFERROR(VLOOKUP($L230,'2-2 引出数据_合同数据仓库'!$B$2:$BP$1000,28,FALSE),0)</f>
        <v>0</v>
      </c>
      <c r="R230" s="125">
        <f>IFERROR(VLOOKUP($L230,'2-2 引出数据_合同数据仓库'!$B$2:$BP$1000,29,FALSE),0)</f>
        <v>0</v>
      </c>
      <c r="S230" s="125">
        <f>IFERROR(VLOOKUP($L230,'2-2 引出数据_合同数据仓库'!$B$2:$BP$1000,4,FALSE),0)</f>
        <v>0</v>
      </c>
      <c r="T230" s="125"/>
      <c r="U230" s="125">
        <f>IFERROR(VLOOKUP($L230,'2-2 引出数据_合同数据仓库'!$B$2:$BP$1000,15,FALSE),0)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引出数据_合同数据仓库'!$B$2:$BP$1000,3,FALSE),0)</f>
        <v>0</v>
      </c>
      <c r="N231" s="125"/>
      <c r="O231" s="151">
        <f>IFERROR(VLOOKUP((LEFT(VLOOKUP($L231,'2-2 引出数据_合同数据仓库'!$B$2:$BP$1000,64,FALSE),15)&amp;(RIGHT(VLOOKUP($L231,'2-2 引出数据_合同数据仓库'!$B$2:$BP$1000,64,FALSE),4)+1)),'2-2 引出数据_合同数据仓库'!$B$2:$BP$1000,3,FALSE),0)</f>
        <v>0</v>
      </c>
      <c r="P231" s="125"/>
      <c r="Q231" s="125">
        <f>IFERROR(VLOOKUP($L231,'2-2 引出数据_合同数据仓库'!$B$2:$BP$1000,28,FALSE),0)</f>
        <v>0</v>
      </c>
      <c r="R231" s="125">
        <f>IFERROR(VLOOKUP($L231,'2-2 引出数据_合同数据仓库'!$B$2:$BP$1000,29,FALSE),0)</f>
        <v>0</v>
      </c>
      <c r="S231" s="125">
        <f>IFERROR(VLOOKUP($L231,'2-2 引出数据_合同数据仓库'!$B$2:$BP$1000,4,FALSE),0)</f>
        <v>0</v>
      </c>
      <c r="T231" s="125"/>
      <c r="U231" s="125">
        <f>IFERROR(VLOOKUP($L231,'2-2 引出数据_合同数据仓库'!$B$2:$BP$1000,15,FALSE),0)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引出数据_合同数据仓库'!$B$2:$BP$1000,3,FALSE),0)</f>
        <v>0</v>
      </c>
      <c r="N232" s="125"/>
      <c r="O232" s="151">
        <f>IFERROR(VLOOKUP((LEFT(VLOOKUP($L232,'2-2 引出数据_合同数据仓库'!$B$2:$BP$1000,64,FALSE),15)&amp;(RIGHT(VLOOKUP($L232,'2-2 引出数据_合同数据仓库'!$B$2:$BP$1000,64,FALSE),4)+1)),'2-2 引出数据_合同数据仓库'!$B$2:$BP$1000,3,FALSE),0)</f>
        <v>0</v>
      </c>
      <c r="P232" s="125"/>
      <c r="Q232" s="125">
        <f>IFERROR(VLOOKUP($L232,'2-2 引出数据_合同数据仓库'!$B$2:$BP$1000,28,FALSE),0)</f>
        <v>0</v>
      </c>
      <c r="R232" s="125">
        <f>IFERROR(VLOOKUP($L232,'2-2 引出数据_合同数据仓库'!$B$2:$BP$1000,29,FALSE),0)</f>
        <v>0</v>
      </c>
      <c r="S232" s="125">
        <f>IFERROR(VLOOKUP($L232,'2-2 引出数据_合同数据仓库'!$B$2:$BP$1000,4,FALSE),0)</f>
        <v>0</v>
      </c>
      <c r="T232" s="125"/>
      <c r="U232" s="125">
        <f>IFERROR(VLOOKUP($L232,'2-2 引出数据_合同数据仓库'!$B$2:$BP$1000,15,FALSE),0)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customHeight="1" outlineLevel="4" spans="1:95">
      <c r="A233" s="126" t="s">
        <v>2821</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customHeight="1" outlineLevel="3" spans="1:95">
      <c r="A234" s="118"/>
      <c r="B234" s="119" t="s">
        <v>799</v>
      </c>
      <c r="C234" s="120" t="s">
        <v>1197</v>
      </c>
      <c r="D234" s="118" t="s">
        <v>1198</v>
      </c>
      <c r="E234" s="119" t="s">
        <v>1199</v>
      </c>
      <c r="F234" s="119"/>
      <c r="G234" s="119" t="s">
        <v>943</v>
      </c>
      <c r="H234" s="121">
        <f>X234+AA234+AD234+AG234+AJ234+AM234+AP234+AS234+AV234+AY234+BB234+BE234</f>
        <v>0</v>
      </c>
      <c r="I234" s="121">
        <f>Y234+AB234+AE234+AH234+AK234+AN234+AQ234+AT234+AW234+AZ234+BC234+BF234</f>
        <v>-70905.2054794521</v>
      </c>
      <c r="J234" s="121">
        <f t="shared" si="2339"/>
        <v>70905.2054794521</v>
      </c>
      <c r="K234" s="121"/>
      <c r="L234" s="149"/>
      <c r="M234" s="149"/>
      <c r="N234" s="121"/>
      <c r="O234" s="121"/>
      <c r="P234" s="121"/>
      <c r="Q234" s="121"/>
      <c r="R234" s="121"/>
      <c r="S234" s="121"/>
      <c r="T234" s="121"/>
      <c r="U234" s="121"/>
      <c r="V234" s="121"/>
      <c r="W234" s="121"/>
      <c r="X234" s="121">
        <f>VLOOKUP($C234,'1 预算编制表单'!$C:$BJ,27,FALSE)</f>
        <v>0</v>
      </c>
      <c r="Y234" s="121">
        <f>X234-Z234</f>
        <v>-8051.50684931507</v>
      </c>
      <c r="Z234" s="121">
        <f>SUM(Z235:Z239)</f>
        <v>8051.50684931507</v>
      </c>
      <c r="AA234" s="121">
        <f>VLOOKUP($C234,'1 预算编制表单'!$C:$BJ,30,FALSE)</f>
        <v>0</v>
      </c>
      <c r="AB234" s="121">
        <f>AA234-AC234</f>
        <v>-7272.32876712329</v>
      </c>
      <c r="AC234" s="121">
        <f>SUM(AC235:AC239)</f>
        <v>7272.32876712329</v>
      </c>
      <c r="AD234" s="121">
        <f>VLOOKUP($C234,'1 预算编制表单'!$C:$BJ,33,FALSE)</f>
        <v>0</v>
      </c>
      <c r="AE234" s="121">
        <f>AD234-AF234</f>
        <v>-8051.50684931507</v>
      </c>
      <c r="AF234" s="121">
        <f>SUM(AF235:AF239)</f>
        <v>8051.50684931507</v>
      </c>
      <c r="AG234" s="121">
        <f>VLOOKUP($C234,'1 预算编制表单'!$C:$BJ,36,FALSE)</f>
        <v>0</v>
      </c>
      <c r="AH234" s="121">
        <f>AG234-AI234</f>
        <v>-7791.78082191781</v>
      </c>
      <c r="AI234" s="121">
        <f>SUM(AI235:AI239)</f>
        <v>7791.78082191781</v>
      </c>
      <c r="AJ234" s="121">
        <f>VLOOKUP($C234,'1 预算编制表单'!$C:$BJ,39,FALSE)</f>
        <v>0</v>
      </c>
      <c r="AK234" s="121">
        <f>AJ234-AL234</f>
        <v>-8051.50684931507</v>
      </c>
      <c r="AL234" s="121">
        <f>SUM(AL235:AL239)</f>
        <v>8051.50684931507</v>
      </c>
      <c r="AM234" s="121">
        <f>VLOOKUP($C234,'1 预算编制表单'!$C:$BJ,42,FALSE)</f>
        <v>0</v>
      </c>
      <c r="AN234" s="121">
        <f>AM234-AO234</f>
        <v>-7791.78082191781</v>
      </c>
      <c r="AO234" s="121">
        <f>SUM(AO235:AO239)</f>
        <v>7791.78082191781</v>
      </c>
      <c r="AP234" s="121">
        <f>VLOOKUP($C234,'1 预算编制表单'!$C:$BJ,45,FALSE)</f>
        <v>0</v>
      </c>
      <c r="AQ234" s="121">
        <f>AP234-AR234</f>
        <v>-8051.50684931507</v>
      </c>
      <c r="AR234" s="121">
        <f>SUM(AR235:AR239)</f>
        <v>8051.50684931507</v>
      </c>
      <c r="AS234" s="121">
        <f>VLOOKUP($C234,'1 预算编制表单'!$C:$BJ,48,FALSE)</f>
        <v>0</v>
      </c>
      <c r="AT234" s="121">
        <f>AS234-AU234</f>
        <v>-8051.50684931507</v>
      </c>
      <c r="AU234" s="121">
        <f>SUM(AU235:AU239)</f>
        <v>8051.50684931507</v>
      </c>
      <c r="AV234" s="121">
        <f>VLOOKUP($C234,'1 预算编制表单'!$C:$BJ,51,FALSE)</f>
        <v>0</v>
      </c>
      <c r="AW234" s="121">
        <f>AV234-AX234</f>
        <v>-7791.78082191781</v>
      </c>
      <c r="AX234" s="121">
        <f>SUM(AX235:AX239)</f>
        <v>7791.78082191781</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customHeight="1" outlineLevel="4" spans="1:95">
      <c r="A235" s="122"/>
      <c r="B235" s="123"/>
      <c r="C235" s="124"/>
      <c r="D235" s="122"/>
      <c r="E235" s="123"/>
      <c r="F235" s="123"/>
      <c r="G235" s="123"/>
      <c r="H235" s="125"/>
      <c r="I235" s="125"/>
      <c r="J235" s="125">
        <f t="shared" si="2339"/>
        <v>70905.2054794521</v>
      </c>
      <c r="K235" s="125">
        <v>1</v>
      </c>
      <c r="L235" s="150" t="s">
        <v>2828</v>
      </c>
      <c r="M235" s="151" t="str">
        <f>IFERROR(VLOOKUP($L235,'2-2 引出数据_合同数据仓库'!$B$2:$BP$1000,3,FALSE),0)</f>
        <v>化粪池、隔油池清理及厨房排污管疏通服务合同</v>
      </c>
      <c r="N235" s="125"/>
      <c r="O235" s="151">
        <f>IFERROR(VLOOKUP((LEFT(VLOOKUP($L235,'2-2 引出数据_合同数据仓库'!$B$2:$BP$1000,64,FALSE),15)&amp;(RIGHT(VLOOKUP($L235,'2-2 引出数据_合同数据仓库'!$B$2:$BP$1000,64,FALSE),4)+1)),'2-2 引出数据_合同数据仓库'!$B$2:$BP$1000,3,FALSE),0)</f>
        <v>0</v>
      </c>
      <c r="P235" s="125"/>
      <c r="Q235" s="125" t="str">
        <f>IFERROR(VLOOKUP($L235,'2-2 引出数据_合同数据仓库'!$B$2:$BP$1000,28,FALSE),0)</f>
        <v>2024-09-24</v>
      </c>
      <c r="R235" s="125" t="str">
        <f>IFERROR(VLOOKUP($L235,'2-2 引出数据_合同数据仓库'!$B$2:$BP$1000,29,FALSE),0)</f>
        <v>2024-10-01</v>
      </c>
      <c r="S235" s="125" t="str">
        <f>IFERROR(VLOOKUP($L235,'2-2 引出数据_合同数据仓库'!$B$2:$BP$1000,4,FALSE),0)</f>
        <v>2025-09-30</v>
      </c>
      <c r="T235" s="125"/>
      <c r="U235" s="125">
        <f>IFERROR(VLOOKUP($L235,'2-2 引出数据_合同数据仓库'!$B$2:$BP$1000,15,FALSE),0)</f>
        <v>94800</v>
      </c>
      <c r="V235" s="125">
        <f t="shared" ref="V235:V238" si="2772">U235/(S235-R235+1)*365</f>
        <v>94800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8051.50684931507</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7272.32876712329</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8051.50684931507</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7791.78082191781</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8051.50684931507</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7791.78082191781</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8051.50684931507</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8051.50684931507</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7791.78082191781</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引出数据_合同数据仓库'!$B$2:$BP$1000,3,FALSE),0)</f>
        <v>0</v>
      </c>
      <c r="N236" s="125"/>
      <c r="O236" s="151">
        <f>IFERROR(VLOOKUP((LEFT(VLOOKUP($L236,'2-2 引出数据_合同数据仓库'!$B$2:$BP$1000,64,FALSE),15)&amp;(RIGHT(VLOOKUP($L236,'2-2 引出数据_合同数据仓库'!$B$2:$BP$1000,64,FALSE),4)+1)),'2-2 引出数据_合同数据仓库'!$B$2:$BP$1000,3,FALSE),0)</f>
        <v>0</v>
      </c>
      <c r="P236" s="125"/>
      <c r="Q236" s="125">
        <f>IFERROR(VLOOKUP($L236,'2-2 引出数据_合同数据仓库'!$B$2:$BP$1000,28,FALSE),0)</f>
        <v>0</v>
      </c>
      <c r="R236" s="125">
        <f>IFERROR(VLOOKUP($L236,'2-2 引出数据_合同数据仓库'!$B$2:$BP$1000,29,FALSE),0)</f>
        <v>0</v>
      </c>
      <c r="S236" s="125">
        <f>IFERROR(VLOOKUP($L236,'2-2 引出数据_合同数据仓库'!$B$2:$BP$1000,4,FALSE),0)</f>
        <v>0</v>
      </c>
      <c r="T236" s="125"/>
      <c r="U236" s="125">
        <f>IFERROR(VLOOKUP($L236,'2-2 引出数据_合同数据仓库'!$B$2:$BP$1000,15,FALSE),0)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引出数据_合同数据仓库'!$B$2:$BP$1000,3,FALSE),0)</f>
        <v>0</v>
      </c>
      <c r="N237" s="125"/>
      <c r="O237" s="151">
        <f>IFERROR(VLOOKUP((LEFT(VLOOKUP($L237,'2-2 引出数据_合同数据仓库'!$B$2:$BP$1000,64,FALSE),15)&amp;(RIGHT(VLOOKUP($L237,'2-2 引出数据_合同数据仓库'!$B$2:$BP$1000,64,FALSE),4)+1)),'2-2 引出数据_合同数据仓库'!$B$2:$BP$1000,3,FALSE),0)</f>
        <v>0</v>
      </c>
      <c r="P237" s="125"/>
      <c r="Q237" s="125">
        <f>IFERROR(VLOOKUP($L237,'2-2 引出数据_合同数据仓库'!$B$2:$BP$1000,28,FALSE),0)</f>
        <v>0</v>
      </c>
      <c r="R237" s="125">
        <f>IFERROR(VLOOKUP($L237,'2-2 引出数据_合同数据仓库'!$B$2:$BP$1000,29,FALSE),0)</f>
        <v>0</v>
      </c>
      <c r="S237" s="125">
        <f>IFERROR(VLOOKUP($L237,'2-2 引出数据_合同数据仓库'!$B$2:$BP$1000,4,FALSE),0)</f>
        <v>0</v>
      </c>
      <c r="T237" s="125"/>
      <c r="U237" s="125">
        <f>IFERROR(VLOOKUP($L237,'2-2 引出数据_合同数据仓库'!$B$2:$BP$1000,15,FALSE),0)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引出数据_合同数据仓库'!$B$2:$BP$1000,3,FALSE),0)</f>
        <v>0</v>
      </c>
      <c r="N238" s="125"/>
      <c r="O238" s="151">
        <f>IFERROR(VLOOKUP((LEFT(VLOOKUP($L238,'2-2 引出数据_合同数据仓库'!$B$2:$BP$1000,64,FALSE),15)&amp;(RIGHT(VLOOKUP($L238,'2-2 引出数据_合同数据仓库'!$B$2:$BP$1000,64,FALSE),4)+1)),'2-2 引出数据_合同数据仓库'!$B$2:$BP$1000,3,FALSE),0)</f>
        <v>0</v>
      </c>
      <c r="P238" s="125"/>
      <c r="Q238" s="125">
        <f>IFERROR(VLOOKUP($L238,'2-2 引出数据_合同数据仓库'!$B$2:$BP$1000,28,FALSE),0)</f>
        <v>0</v>
      </c>
      <c r="R238" s="125">
        <f>IFERROR(VLOOKUP($L238,'2-2 引出数据_合同数据仓库'!$B$2:$BP$1000,29,FALSE),0)</f>
        <v>0</v>
      </c>
      <c r="S238" s="125">
        <f>IFERROR(VLOOKUP($L238,'2-2 引出数据_合同数据仓库'!$B$2:$BP$1000,4,FALSE),0)</f>
        <v>0</v>
      </c>
      <c r="T238" s="125"/>
      <c r="U238" s="125">
        <f>IFERROR(VLOOKUP($L238,'2-2 引出数据_合同数据仓库'!$B$2:$BP$1000,15,FALSE),0)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customHeight="1" outlineLevel="4" spans="1:95">
      <c r="A239" s="126" t="s">
        <v>2821</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customHeight="1" outlineLevel="3" spans="1:95">
      <c r="A240" s="118"/>
      <c r="B240" s="119" t="s">
        <v>799</v>
      </c>
      <c r="C240" s="120" t="s">
        <v>1203</v>
      </c>
      <c r="D240" s="118" t="s">
        <v>1204</v>
      </c>
      <c r="E240" s="119" t="s">
        <v>1205</v>
      </c>
      <c r="F240" s="119"/>
      <c r="G240" s="119" t="s">
        <v>943</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引出数据_合同数据仓库'!$B$2:$BP$1000,3,FALSE),0)</f>
        <v>0</v>
      </c>
      <c r="N241" s="125"/>
      <c r="O241" s="151">
        <f>IFERROR(VLOOKUP((LEFT(VLOOKUP($L241,'2-2 引出数据_合同数据仓库'!$B$2:$BP$1000,64,FALSE),15)&amp;(RIGHT(VLOOKUP($L241,'2-2 引出数据_合同数据仓库'!$B$2:$BP$1000,64,FALSE),4)+1)),'2-2 引出数据_合同数据仓库'!$B$2:$BP$1000,3,FALSE),0)</f>
        <v>0</v>
      </c>
      <c r="P241" s="125"/>
      <c r="Q241" s="125">
        <f>IFERROR(VLOOKUP($L241,'2-2 引出数据_合同数据仓库'!$B$2:$BP$1000,28,FALSE),0)</f>
        <v>0</v>
      </c>
      <c r="R241" s="125">
        <f>IFERROR(VLOOKUP($L241,'2-2 引出数据_合同数据仓库'!$B$2:$BP$1000,29,FALSE),0)</f>
        <v>0</v>
      </c>
      <c r="S241" s="125">
        <f>IFERROR(VLOOKUP($L241,'2-2 引出数据_合同数据仓库'!$B$2:$BP$1000,4,FALSE),0)</f>
        <v>0</v>
      </c>
      <c r="T241" s="125"/>
      <c r="U241" s="125">
        <f>IFERROR(VLOOKUP($L241,'2-2 引出数据_合同数据仓库'!$B$2:$BP$1000,15,FALSE),0)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引出数据_合同数据仓库'!$B$2:$BP$1000,3,FALSE),0)</f>
        <v>0</v>
      </c>
      <c r="N242" s="125"/>
      <c r="O242" s="151">
        <f>IFERROR(VLOOKUP((LEFT(VLOOKUP($L242,'2-2 引出数据_合同数据仓库'!$B$2:$BP$1000,64,FALSE),15)&amp;(RIGHT(VLOOKUP($L242,'2-2 引出数据_合同数据仓库'!$B$2:$BP$1000,64,FALSE),4)+1)),'2-2 引出数据_合同数据仓库'!$B$2:$BP$1000,3,FALSE),0)</f>
        <v>0</v>
      </c>
      <c r="P242" s="125"/>
      <c r="Q242" s="125">
        <f>IFERROR(VLOOKUP($L242,'2-2 引出数据_合同数据仓库'!$B$2:$BP$1000,28,FALSE),0)</f>
        <v>0</v>
      </c>
      <c r="R242" s="125">
        <f>IFERROR(VLOOKUP($L242,'2-2 引出数据_合同数据仓库'!$B$2:$BP$1000,29,FALSE),0)</f>
        <v>0</v>
      </c>
      <c r="S242" s="125">
        <f>IFERROR(VLOOKUP($L242,'2-2 引出数据_合同数据仓库'!$B$2:$BP$1000,4,FALSE),0)</f>
        <v>0</v>
      </c>
      <c r="T242" s="125"/>
      <c r="U242" s="125">
        <f>IFERROR(VLOOKUP($L242,'2-2 引出数据_合同数据仓库'!$B$2:$BP$1000,15,FALSE),0)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引出数据_合同数据仓库'!$B$2:$BP$1000,3,FALSE),0)</f>
        <v>0</v>
      </c>
      <c r="N243" s="125"/>
      <c r="O243" s="151">
        <f>IFERROR(VLOOKUP((LEFT(VLOOKUP($L243,'2-2 引出数据_合同数据仓库'!$B$2:$BP$1000,64,FALSE),15)&amp;(RIGHT(VLOOKUP($L243,'2-2 引出数据_合同数据仓库'!$B$2:$BP$1000,64,FALSE),4)+1)),'2-2 引出数据_合同数据仓库'!$B$2:$BP$1000,3,FALSE),0)</f>
        <v>0</v>
      </c>
      <c r="P243" s="125"/>
      <c r="Q243" s="125">
        <f>IFERROR(VLOOKUP($L243,'2-2 引出数据_合同数据仓库'!$B$2:$BP$1000,28,FALSE),0)</f>
        <v>0</v>
      </c>
      <c r="R243" s="125">
        <f>IFERROR(VLOOKUP($L243,'2-2 引出数据_合同数据仓库'!$B$2:$BP$1000,29,FALSE),0)</f>
        <v>0</v>
      </c>
      <c r="S243" s="125">
        <f>IFERROR(VLOOKUP($L243,'2-2 引出数据_合同数据仓库'!$B$2:$BP$1000,4,FALSE),0)</f>
        <v>0</v>
      </c>
      <c r="T243" s="125"/>
      <c r="U243" s="125">
        <f>IFERROR(VLOOKUP($L243,'2-2 引出数据_合同数据仓库'!$B$2:$BP$1000,15,FALSE),0)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引出数据_合同数据仓库'!$B$2:$BP$1000,3,FALSE),0)</f>
        <v>0</v>
      </c>
      <c r="N244" s="125"/>
      <c r="O244" s="151">
        <f>IFERROR(VLOOKUP((LEFT(VLOOKUP($L244,'2-2 引出数据_合同数据仓库'!$B$2:$BP$1000,64,FALSE),15)&amp;(RIGHT(VLOOKUP($L244,'2-2 引出数据_合同数据仓库'!$B$2:$BP$1000,64,FALSE),4)+1)),'2-2 引出数据_合同数据仓库'!$B$2:$BP$1000,3,FALSE),0)</f>
        <v>0</v>
      </c>
      <c r="P244" s="125"/>
      <c r="Q244" s="125">
        <f>IFERROR(VLOOKUP($L244,'2-2 引出数据_合同数据仓库'!$B$2:$BP$1000,28,FALSE),0)</f>
        <v>0</v>
      </c>
      <c r="R244" s="125">
        <f>IFERROR(VLOOKUP($L244,'2-2 引出数据_合同数据仓库'!$B$2:$BP$1000,29,FALSE),0)</f>
        <v>0</v>
      </c>
      <c r="S244" s="125">
        <f>IFERROR(VLOOKUP($L244,'2-2 引出数据_合同数据仓库'!$B$2:$BP$1000,4,FALSE),0)</f>
        <v>0</v>
      </c>
      <c r="T244" s="125"/>
      <c r="U244" s="125">
        <f>IFERROR(VLOOKUP($L244,'2-2 引出数据_合同数据仓库'!$B$2:$BP$1000,15,FALSE),0)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customHeight="1" outlineLevel="4" spans="1:95">
      <c r="A245" s="126" t="s">
        <v>2821</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customHeight="1" outlineLevel="3" spans="1:95">
      <c r="A246" s="118"/>
      <c r="B246" s="119" t="s">
        <v>799</v>
      </c>
      <c r="C246" s="120" t="s">
        <v>1206</v>
      </c>
      <c r="D246" s="118" t="s">
        <v>1207</v>
      </c>
      <c r="E246" s="119" t="s">
        <v>1208</v>
      </c>
      <c r="F246" s="119"/>
      <c r="G246" s="119" t="s">
        <v>943</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引出数据_合同数据仓库'!$B$2:$BP$1000,3,FALSE),0)</f>
        <v>0</v>
      </c>
      <c r="N247" s="125"/>
      <c r="O247" s="151">
        <f>IFERROR(VLOOKUP((LEFT(VLOOKUP($L247,'2-2 引出数据_合同数据仓库'!$B$2:$BP$1000,64,FALSE),15)&amp;(RIGHT(VLOOKUP($L247,'2-2 引出数据_合同数据仓库'!$B$2:$BP$1000,64,FALSE),4)+1)),'2-2 引出数据_合同数据仓库'!$B$2:$BP$1000,3,FALSE),0)</f>
        <v>0</v>
      </c>
      <c r="P247" s="125"/>
      <c r="Q247" s="125">
        <f>IFERROR(VLOOKUP($L247,'2-2 引出数据_合同数据仓库'!$B$2:$BP$1000,28,FALSE),0)</f>
        <v>0</v>
      </c>
      <c r="R247" s="125">
        <f>IFERROR(VLOOKUP($L247,'2-2 引出数据_合同数据仓库'!$B$2:$BP$1000,29,FALSE),0)</f>
        <v>0</v>
      </c>
      <c r="S247" s="125">
        <f>IFERROR(VLOOKUP($L247,'2-2 引出数据_合同数据仓库'!$B$2:$BP$1000,4,FALSE),0)</f>
        <v>0</v>
      </c>
      <c r="T247" s="125"/>
      <c r="U247" s="125">
        <f>IFERROR(VLOOKUP($L247,'2-2 引出数据_合同数据仓库'!$B$2:$BP$1000,15,FALSE),0)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引出数据_合同数据仓库'!$B$2:$BP$1000,3,FALSE),0)</f>
        <v>0</v>
      </c>
      <c r="N248" s="125"/>
      <c r="O248" s="151">
        <f>IFERROR(VLOOKUP((LEFT(VLOOKUP($L248,'2-2 引出数据_合同数据仓库'!$B$2:$BP$1000,64,FALSE),15)&amp;(RIGHT(VLOOKUP($L248,'2-2 引出数据_合同数据仓库'!$B$2:$BP$1000,64,FALSE),4)+1)),'2-2 引出数据_合同数据仓库'!$B$2:$BP$1000,3,FALSE),0)</f>
        <v>0</v>
      </c>
      <c r="P248" s="125"/>
      <c r="Q248" s="125">
        <f>IFERROR(VLOOKUP($L248,'2-2 引出数据_合同数据仓库'!$B$2:$BP$1000,28,FALSE),0)</f>
        <v>0</v>
      </c>
      <c r="R248" s="125">
        <f>IFERROR(VLOOKUP($L248,'2-2 引出数据_合同数据仓库'!$B$2:$BP$1000,29,FALSE),0)</f>
        <v>0</v>
      </c>
      <c r="S248" s="125">
        <f>IFERROR(VLOOKUP($L248,'2-2 引出数据_合同数据仓库'!$B$2:$BP$1000,4,FALSE),0)</f>
        <v>0</v>
      </c>
      <c r="T248" s="125"/>
      <c r="U248" s="125">
        <f>IFERROR(VLOOKUP($L248,'2-2 引出数据_合同数据仓库'!$B$2:$BP$1000,15,FALSE),0)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引出数据_合同数据仓库'!$B$2:$BP$1000,3,FALSE),0)</f>
        <v>0</v>
      </c>
      <c r="N249" s="125"/>
      <c r="O249" s="151">
        <f>IFERROR(VLOOKUP((LEFT(VLOOKUP($L249,'2-2 引出数据_合同数据仓库'!$B$2:$BP$1000,64,FALSE),15)&amp;(RIGHT(VLOOKUP($L249,'2-2 引出数据_合同数据仓库'!$B$2:$BP$1000,64,FALSE),4)+1)),'2-2 引出数据_合同数据仓库'!$B$2:$BP$1000,3,FALSE),0)</f>
        <v>0</v>
      </c>
      <c r="P249" s="125"/>
      <c r="Q249" s="125">
        <f>IFERROR(VLOOKUP($L249,'2-2 引出数据_合同数据仓库'!$B$2:$BP$1000,28,FALSE),0)</f>
        <v>0</v>
      </c>
      <c r="R249" s="125">
        <f>IFERROR(VLOOKUP($L249,'2-2 引出数据_合同数据仓库'!$B$2:$BP$1000,29,FALSE),0)</f>
        <v>0</v>
      </c>
      <c r="S249" s="125">
        <f>IFERROR(VLOOKUP($L249,'2-2 引出数据_合同数据仓库'!$B$2:$BP$1000,4,FALSE),0)</f>
        <v>0</v>
      </c>
      <c r="T249" s="125"/>
      <c r="U249" s="125">
        <f>IFERROR(VLOOKUP($L249,'2-2 引出数据_合同数据仓库'!$B$2:$BP$1000,15,FALSE),0)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引出数据_合同数据仓库'!$B$2:$BP$1000,3,FALSE),0)</f>
        <v>0</v>
      </c>
      <c r="N250" s="125"/>
      <c r="O250" s="151">
        <f>IFERROR(VLOOKUP((LEFT(VLOOKUP($L250,'2-2 引出数据_合同数据仓库'!$B$2:$BP$1000,64,FALSE),15)&amp;(RIGHT(VLOOKUP($L250,'2-2 引出数据_合同数据仓库'!$B$2:$BP$1000,64,FALSE),4)+1)),'2-2 引出数据_合同数据仓库'!$B$2:$BP$1000,3,FALSE),0)</f>
        <v>0</v>
      </c>
      <c r="P250" s="125"/>
      <c r="Q250" s="125">
        <f>IFERROR(VLOOKUP($L250,'2-2 引出数据_合同数据仓库'!$B$2:$BP$1000,28,FALSE),0)</f>
        <v>0</v>
      </c>
      <c r="R250" s="125">
        <f>IFERROR(VLOOKUP($L250,'2-2 引出数据_合同数据仓库'!$B$2:$BP$1000,29,FALSE),0)</f>
        <v>0</v>
      </c>
      <c r="S250" s="125">
        <f>IFERROR(VLOOKUP($L250,'2-2 引出数据_合同数据仓库'!$B$2:$BP$1000,4,FALSE),0)</f>
        <v>0</v>
      </c>
      <c r="T250" s="125"/>
      <c r="U250" s="125">
        <f>IFERROR(VLOOKUP($L250,'2-2 引出数据_合同数据仓库'!$B$2:$BP$1000,15,FALSE),0)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customHeight="1" outlineLevel="4" spans="1:95">
      <c r="A251" s="126" t="s">
        <v>2821</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customHeight="1" outlineLevel="2" spans="1:95">
      <c r="A252" s="47"/>
      <c r="B252" s="115" t="s">
        <v>794</v>
      </c>
      <c r="C252" s="116" t="s">
        <v>38</v>
      </c>
      <c r="D252" s="47" t="s">
        <v>39</v>
      </c>
      <c r="E252" s="115"/>
      <c r="F252" s="115"/>
      <c r="G252" s="115"/>
      <c r="H252" s="117">
        <f>X252+AA252+AD252+AG252+AJ252+AM252+AP252+AS252+AV252+AY252+BB252+BE252</f>
        <v>0</v>
      </c>
      <c r="I252" s="117">
        <f>Y252+AB252+AE252+AH252+AK252+AN252+AQ252+AT252+AW252+AZ252+BC252+BF252</f>
        <v>0</v>
      </c>
      <c r="J252" s="117">
        <f t="shared" si="2339"/>
        <v>0</v>
      </c>
      <c r="K252" s="117"/>
      <c r="L252" s="148"/>
      <c r="M252" s="148"/>
      <c r="N252" s="117"/>
      <c r="O252" s="117"/>
      <c r="P252" s="117"/>
      <c r="Q252" s="117"/>
      <c r="R252" s="117"/>
      <c r="S252" s="117"/>
      <c r="T252" s="117"/>
      <c r="U252" s="117"/>
      <c r="V252" s="117"/>
      <c r="W252" s="117"/>
      <c r="X252" s="117">
        <f>VLOOKUP($C252,'1 预算编制表单'!$C:$BJ,27,FALSE)</f>
        <v>0</v>
      </c>
      <c r="Y252" s="117">
        <f>X252-Z252</f>
        <v>0</v>
      </c>
      <c r="Z252" s="117">
        <f>Z253+Z259</f>
        <v>0</v>
      </c>
      <c r="AA252" s="117">
        <f>VLOOKUP($C252,'1 预算编制表单'!$C:$BJ,30,FALSE)</f>
        <v>0</v>
      </c>
      <c r="AB252" s="117">
        <f>AA252-AC252</f>
        <v>0</v>
      </c>
      <c r="AC252" s="117">
        <f>AC253+AC259</f>
        <v>0</v>
      </c>
      <c r="AD252" s="117">
        <f>VLOOKUP($C252,'1 预算编制表单'!$C:$BJ,33,FALSE)</f>
        <v>0</v>
      </c>
      <c r="AE252" s="117">
        <f>AD252-AF252</f>
        <v>0</v>
      </c>
      <c r="AF252" s="117">
        <f>AF253+AF259</f>
        <v>0</v>
      </c>
      <c r="AG252" s="117">
        <f>VLOOKUP($C252,'1 预算编制表单'!$C:$BJ,36,FALSE)</f>
        <v>0</v>
      </c>
      <c r="AH252" s="117">
        <f>AG252-AI252</f>
        <v>0</v>
      </c>
      <c r="AI252" s="117">
        <f>AI253+AI259</f>
        <v>0</v>
      </c>
      <c r="AJ252" s="117">
        <f>VLOOKUP($C252,'1 预算编制表单'!$C:$BJ,39,FALSE)</f>
        <v>0</v>
      </c>
      <c r="AK252" s="117">
        <f>AJ252-AL252</f>
        <v>0</v>
      </c>
      <c r="AL252" s="117">
        <f>AL253+AL259</f>
        <v>0</v>
      </c>
      <c r="AM252" s="117">
        <f>VLOOKUP($C252,'1 预算编制表单'!$C:$BJ,42,FALSE)</f>
        <v>0</v>
      </c>
      <c r="AN252" s="117">
        <f>AM252-AO252</f>
        <v>0</v>
      </c>
      <c r="AO252" s="117">
        <f>AO253+AO259</f>
        <v>0</v>
      </c>
      <c r="AP252" s="117">
        <f>VLOOKUP($C252,'1 预算编制表单'!$C:$BJ,45,FALSE)</f>
        <v>0</v>
      </c>
      <c r="AQ252" s="117">
        <f>AP252-AR252</f>
        <v>0</v>
      </c>
      <c r="AR252" s="117">
        <f>AR253+AR259</f>
        <v>0</v>
      </c>
      <c r="AS252" s="117">
        <f>VLOOKUP($C252,'1 预算编制表单'!$C:$BJ,48,FALSE)</f>
        <v>0</v>
      </c>
      <c r="AT252" s="117">
        <f>AS252-AU252</f>
        <v>0</v>
      </c>
      <c r="AU252" s="117">
        <f>AU253+AU259</f>
        <v>0</v>
      </c>
      <c r="AV252" s="117">
        <f>VLOOKUP($C252,'1 预算编制表单'!$C:$BJ,51,FALSE)</f>
        <v>0</v>
      </c>
      <c r="AW252" s="117">
        <f>AV252-AX252</f>
        <v>0</v>
      </c>
      <c r="AX252" s="117">
        <f>AX253+AX259</f>
        <v>0</v>
      </c>
      <c r="AY252" s="117">
        <f>VLOOKUP($C252,'1 预算编制表单'!$C:$BJ,54,FALSE)</f>
        <v>0</v>
      </c>
      <c r="AZ252" s="117">
        <f>AY252-BA252</f>
        <v>0</v>
      </c>
      <c r="BA252" s="117">
        <f>BA253+BA259</f>
        <v>0</v>
      </c>
      <c r="BB252" s="117">
        <f>VLOOKUP($C252,'1 预算编制表单'!$C:$BJ,57,FALSE)</f>
        <v>0</v>
      </c>
      <c r="BC252" s="117">
        <f>BB252-BD252</f>
        <v>0</v>
      </c>
      <c r="BD252" s="117">
        <f>BD253+BD259</f>
        <v>0</v>
      </c>
      <c r="BE252" s="117">
        <f>VLOOKUP($C252,'1 预算编制表单'!$C:$BJ,60,FALSE)</f>
        <v>0</v>
      </c>
      <c r="BF252" s="117">
        <f>BE252-BG252</f>
        <v>0</v>
      </c>
      <c r="BG252" s="117">
        <f>BG253+BG259</f>
        <v>0</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customHeight="1" outlineLevel="3" spans="1:95">
      <c r="A253" s="118"/>
      <c r="B253" s="119" t="s">
        <v>799</v>
      </c>
      <c r="C253" s="120" t="s">
        <v>1209</v>
      </c>
      <c r="D253" s="118" t="s">
        <v>1210</v>
      </c>
      <c r="E253" s="119" t="s">
        <v>1211</v>
      </c>
      <c r="F253" s="119"/>
      <c r="G253" s="119" t="s">
        <v>943</v>
      </c>
      <c r="H253" s="121">
        <f>X253+AA253+AD253+AG253+AJ253+AM253+AP253+AS253+AV253+AY253+BB253+BE253</f>
        <v>0</v>
      </c>
      <c r="I253" s="121">
        <f>Y253+AB253+AE253+AH253+AK253+AN253+AQ253+AT253+AW253+AZ253+BC253+BF253</f>
        <v>0</v>
      </c>
      <c r="J253" s="121">
        <f t="shared" si="2339"/>
        <v>0</v>
      </c>
      <c r="K253" s="121"/>
      <c r="L253" s="149"/>
      <c r="M253" s="149"/>
      <c r="N253" s="121"/>
      <c r="O253" s="121"/>
      <c r="P253" s="121"/>
      <c r="Q253" s="121"/>
      <c r="R253" s="121"/>
      <c r="S253" s="121"/>
      <c r="T253" s="121"/>
      <c r="U253" s="121"/>
      <c r="V253" s="121"/>
      <c r="W253" s="121"/>
      <c r="X253" s="121">
        <f>VLOOKUP($C253,'1 预算编制表单'!$C:$BJ,27,FALSE)</f>
        <v>0</v>
      </c>
      <c r="Y253" s="121">
        <f>X253-Z253</f>
        <v>0</v>
      </c>
      <c r="Z253" s="121">
        <f>SUM(Z254:Z258)</f>
        <v>0</v>
      </c>
      <c r="AA253" s="121">
        <f>VLOOKUP($C253,'1 预算编制表单'!$C:$BJ,30,FALSE)</f>
        <v>0</v>
      </c>
      <c r="AB253" s="121">
        <f>AA253-AC253</f>
        <v>0</v>
      </c>
      <c r="AC253" s="121">
        <f>SUM(AC254:AC258)</f>
        <v>0</v>
      </c>
      <c r="AD253" s="121">
        <f>VLOOKUP($C253,'1 预算编制表单'!$C:$BJ,33,FALSE)</f>
        <v>0</v>
      </c>
      <c r="AE253" s="121">
        <f>AD253-AF253</f>
        <v>0</v>
      </c>
      <c r="AF253" s="121">
        <f>SUM(AF254:AF258)</f>
        <v>0</v>
      </c>
      <c r="AG253" s="121">
        <f>VLOOKUP($C253,'1 预算编制表单'!$C:$BJ,36,FALSE)</f>
        <v>0</v>
      </c>
      <c r="AH253" s="121">
        <f>AG253-AI253</f>
        <v>0</v>
      </c>
      <c r="AI253" s="121">
        <f>SUM(AI254:AI258)</f>
        <v>0</v>
      </c>
      <c r="AJ253" s="121">
        <f>VLOOKUP($C253,'1 预算编制表单'!$C:$BJ,39,FALSE)</f>
        <v>0</v>
      </c>
      <c r="AK253" s="121">
        <f>AJ253-AL253</f>
        <v>0</v>
      </c>
      <c r="AL253" s="121">
        <f>SUM(AL254:AL258)</f>
        <v>0</v>
      </c>
      <c r="AM253" s="121">
        <f>VLOOKUP($C253,'1 预算编制表单'!$C:$BJ,42,FALSE)</f>
        <v>0</v>
      </c>
      <c r="AN253" s="121">
        <f>AM253-AO253</f>
        <v>0</v>
      </c>
      <c r="AO253" s="121">
        <f>SUM(AO254:AO258)</f>
        <v>0</v>
      </c>
      <c r="AP253" s="121">
        <f>VLOOKUP($C253,'1 预算编制表单'!$C:$BJ,45,FALSE)</f>
        <v>0</v>
      </c>
      <c r="AQ253" s="121">
        <f>AP253-AR253</f>
        <v>0</v>
      </c>
      <c r="AR253" s="121">
        <f>SUM(AR254:AR258)</f>
        <v>0</v>
      </c>
      <c r="AS253" s="121">
        <f>VLOOKUP($C253,'1 预算编制表单'!$C:$BJ,48,FALSE)</f>
        <v>0</v>
      </c>
      <c r="AT253" s="121">
        <f>AS253-AU253</f>
        <v>0</v>
      </c>
      <c r="AU253" s="121">
        <f>SUM(AU254:AU258)</f>
        <v>0</v>
      </c>
      <c r="AV253" s="121">
        <f>VLOOKUP($C253,'1 预算编制表单'!$C:$BJ,51,FALSE)</f>
        <v>0</v>
      </c>
      <c r="AW253" s="121">
        <f>AV253-AX253</f>
        <v>0</v>
      </c>
      <c r="AX253" s="121">
        <f>SUM(AX254:AX258)</f>
        <v>0</v>
      </c>
      <c r="AY253" s="121">
        <f>VLOOKUP($C253,'1 预算编制表单'!$C:$BJ,54,FALSE)</f>
        <v>0</v>
      </c>
      <c r="AZ253" s="121">
        <f>AY253-BA253</f>
        <v>0</v>
      </c>
      <c r="BA253" s="121">
        <f>SUM(BA254:BA258)</f>
        <v>0</v>
      </c>
      <c r="BB253" s="121">
        <f>VLOOKUP($C253,'1 预算编制表单'!$C:$BJ,57,FALSE)</f>
        <v>0</v>
      </c>
      <c r="BC253" s="121">
        <f>BB253-BD253</f>
        <v>0</v>
      </c>
      <c r="BD253" s="121">
        <f>SUM(BD254:BD258)</f>
        <v>0</v>
      </c>
      <c r="BE253" s="121">
        <f>VLOOKUP($C253,'1 预算编制表单'!$C:$BJ,60,FALSE)</f>
        <v>0</v>
      </c>
      <c r="BF253" s="121">
        <f>BE253-BG253</f>
        <v>0</v>
      </c>
      <c r="BG253" s="121">
        <f>SUM(BG254:BG258)</f>
        <v>0</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customHeight="1" outlineLevel="4" spans="1:95">
      <c r="A254" s="122"/>
      <c r="B254" s="123"/>
      <c r="C254" s="124"/>
      <c r="D254" s="122"/>
      <c r="E254" s="123"/>
      <c r="F254" s="123"/>
      <c r="G254" s="123"/>
      <c r="H254" s="125"/>
      <c r="I254" s="125"/>
      <c r="J254" s="125">
        <f t="shared" si="2339"/>
        <v>0</v>
      </c>
      <c r="K254" s="125">
        <v>1</v>
      </c>
      <c r="L254" s="150"/>
      <c r="M254" s="151">
        <f>IFERROR(VLOOKUP($L254,'2-2 引出数据_合同数据仓库'!$B$2:$BP$1000,3,FALSE),0)</f>
        <v>0</v>
      </c>
      <c r="N254" s="125"/>
      <c r="O254" s="151">
        <f>IFERROR(VLOOKUP((LEFT(VLOOKUP($L254,'2-2 引出数据_合同数据仓库'!$B$2:$BP$1000,64,FALSE),15)&amp;(RIGHT(VLOOKUP($L254,'2-2 引出数据_合同数据仓库'!$B$2:$BP$1000,64,FALSE),4)+1)),'2-2 引出数据_合同数据仓库'!$B$2:$BP$1000,3,FALSE),0)</f>
        <v>0</v>
      </c>
      <c r="P254" s="125"/>
      <c r="Q254" s="125">
        <f>IFERROR(VLOOKUP($L254,'2-2 引出数据_合同数据仓库'!$B$2:$BP$1000,28,FALSE),0)</f>
        <v>0</v>
      </c>
      <c r="R254" s="125">
        <f>IFERROR(VLOOKUP($L254,'2-2 引出数据_合同数据仓库'!$B$2:$BP$1000,29,FALSE),0)</f>
        <v>0</v>
      </c>
      <c r="S254" s="125">
        <f>IFERROR(VLOOKUP($L254,'2-2 引出数据_合同数据仓库'!$B$2:$BP$1000,4,FALSE),0)</f>
        <v>0</v>
      </c>
      <c r="T254" s="125"/>
      <c r="U254" s="125">
        <f>IFERROR(VLOOKUP($L254,'2-2 引出数据_合同数据仓库'!$B$2:$BP$1000,15,FALSE),0)</f>
        <v>0</v>
      </c>
      <c r="V254" s="125">
        <f t="shared" ref="V254:V257" si="2988">U254/(S254-R254+1)*365</f>
        <v>0</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0</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0</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0</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0</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0</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0</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0</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0</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0</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0</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0</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0</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customHeight="1" outlineLevel="4" spans="1:95">
      <c r="A255" s="122"/>
      <c r="B255" s="123"/>
      <c r="C255" s="124"/>
      <c r="D255" s="122"/>
      <c r="E255" s="123"/>
      <c r="F255" s="123"/>
      <c r="G255" s="123"/>
      <c r="H255" s="125"/>
      <c r="I255" s="125"/>
      <c r="J255" s="125">
        <f t="shared" si="2339"/>
        <v>0</v>
      </c>
      <c r="K255" s="125">
        <f t="shared" ref="K255:K257" si="3059">K254+1</f>
        <v>2</v>
      </c>
      <c r="L255" s="150"/>
      <c r="M255" s="151">
        <f>IFERROR(VLOOKUP($L255,'2-2 引出数据_合同数据仓库'!$B$2:$BP$1000,3,FALSE),0)</f>
        <v>0</v>
      </c>
      <c r="N255" s="125"/>
      <c r="O255" s="151">
        <f>IFERROR(VLOOKUP((LEFT(VLOOKUP($L255,'2-2 引出数据_合同数据仓库'!$B$2:$BP$1000,64,FALSE),15)&amp;(RIGHT(VLOOKUP($L255,'2-2 引出数据_合同数据仓库'!$B$2:$BP$1000,64,FALSE),4)+1)),'2-2 引出数据_合同数据仓库'!$B$2:$BP$1000,3,FALSE),0)</f>
        <v>0</v>
      </c>
      <c r="P255" s="125"/>
      <c r="Q255" s="125">
        <f>IFERROR(VLOOKUP($L255,'2-2 引出数据_合同数据仓库'!$B$2:$BP$1000,28,FALSE),0)</f>
        <v>0</v>
      </c>
      <c r="R255" s="125">
        <f>IFERROR(VLOOKUP($L255,'2-2 引出数据_合同数据仓库'!$B$2:$BP$1000,29,FALSE),0)</f>
        <v>0</v>
      </c>
      <c r="S255" s="125">
        <f>IFERROR(VLOOKUP($L255,'2-2 引出数据_合同数据仓库'!$B$2:$BP$1000,4,FALSE),0)</f>
        <v>0</v>
      </c>
      <c r="T255" s="125"/>
      <c r="U255" s="125">
        <f>IFERROR(VLOOKUP($L255,'2-2 引出数据_合同数据仓库'!$B$2:$BP$1000,15,FALSE),0)</f>
        <v>0</v>
      </c>
      <c r="V255" s="125">
        <f t="shared" si="2988"/>
        <v>0</v>
      </c>
      <c r="W255" s="125"/>
      <c r="X255" s="157">
        <v>45658</v>
      </c>
      <c r="Y255" s="157">
        <f t="shared" si="2989"/>
        <v>45688</v>
      </c>
      <c r="Z255" s="161">
        <f t="shared" si="2990"/>
        <v>0</v>
      </c>
      <c r="AA255" s="157">
        <f t="shared" si="2991"/>
        <v>45689</v>
      </c>
      <c r="AB255" s="157">
        <f t="shared" si="2992"/>
        <v>45716</v>
      </c>
      <c r="AC255" s="161">
        <f t="shared" si="2993"/>
        <v>0</v>
      </c>
      <c r="AD255" s="157">
        <f t="shared" si="2994"/>
        <v>45717</v>
      </c>
      <c r="AE255" s="157">
        <f t="shared" si="2995"/>
        <v>45747</v>
      </c>
      <c r="AF255" s="161">
        <f t="shared" si="2996"/>
        <v>0</v>
      </c>
      <c r="AG255" s="157">
        <f t="shared" si="2997"/>
        <v>45748</v>
      </c>
      <c r="AH255" s="157">
        <f t="shared" si="2998"/>
        <v>45777</v>
      </c>
      <c r="AI255" s="161">
        <f t="shared" si="2999"/>
        <v>0</v>
      </c>
      <c r="AJ255" s="157">
        <f t="shared" si="3000"/>
        <v>45778</v>
      </c>
      <c r="AK255" s="157">
        <f t="shared" si="3001"/>
        <v>45808</v>
      </c>
      <c r="AL255" s="161">
        <f t="shared" si="3002"/>
        <v>0</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customHeight="1" outlineLevel="4" spans="1:95">
      <c r="A256" s="122"/>
      <c r="B256" s="123"/>
      <c r="C256" s="124"/>
      <c r="D256" s="122"/>
      <c r="E256" s="123"/>
      <c r="F256" s="123"/>
      <c r="G256" s="123"/>
      <c r="H256" s="125"/>
      <c r="I256" s="125"/>
      <c r="J256" s="125">
        <f t="shared" si="2339"/>
        <v>0</v>
      </c>
      <c r="K256" s="125">
        <f t="shared" si="3059"/>
        <v>3</v>
      </c>
      <c r="L256" s="150"/>
      <c r="M256" s="151">
        <f>IFERROR(VLOOKUP($L256,'2-2 引出数据_合同数据仓库'!$B$2:$BP$1000,3,FALSE),0)</f>
        <v>0</v>
      </c>
      <c r="N256" s="125"/>
      <c r="O256" s="151">
        <f>IFERROR(VLOOKUP((LEFT(VLOOKUP($L256,'2-2 引出数据_合同数据仓库'!$B$2:$BP$1000,64,FALSE),15)&amp;(RIGHT(VLOOKUP($L256,'2-2 引出数据_合同数据仓库'!$B$2:$BP$1000,64,FALSE),4)+1)),'2-2 引出数据_合同数据仓库'!$B$2:$BP$1000,3,FALSE),0)</f>
        <v>0</v>
      </c>
      <c r="P256" s="125"/>
      <c r="Q256" s="125">
        <f>IFERROR(VLOOKUP($L256,'2-2 引出数据_合同数据仓库'!$B$2:$BP$1000,28,FALSE),0)</f>
        <v>0</v>
      </c>
      <c r="R256" s="125">
        <f>IFERROR(VLOOKUP($L256,'2-2 引出数据_合同数据仓库'!$B$2:$BP$1000,29,FALSE),0)</f>
        <v>0</v>
      </c>
      <c r="S256" s="125">
        <f>IFERROR(VLOOKUP($L256,'2-2 引出数据_合同数据仓库'!$B$2:$BP$1000,4,FALSE),0)</f>
        <v>0</v>
      </c>
      <c r="T256" s="125"/>
      <c r="U256" s="125">
        <f>IFERROR(VLOOKUP($L256,'2-2 引出数据_合同数据仓库'!$B$2:$BP$1000,15,FALSE),0)</f>
        <v>0</v>
      </c>
      <c r="V256" s="125">
        <f t="shared" si="2988"/>
        <v>0</v>
      </c>
      <c r="W256" s="125"/>
      <c r="X256" s="157">
        <v>45658</v>
      </c>
      <c r="Y256" s="157">
        <f t="shared" si="2989"/>
        <v>45688</v>
      </c>
      <c r="Z256" s="161">
        <f t="shared" si="2990"/>
        <v>0</v>
      </c>
      <c r="AA256" s="157">
        <f t="shared" si="2991"/>
        <v>45689</v>
      </c>
      <c r="AB256" s="157">
        <f t="shared" si="2992"/>
        <v>45716</v>
      </c>
      <c r="AC256" s="161">
        <f t="shared" si="2993"/>
        <v>0</v>
      </c>
      <c r="AD256" s="157">
        <f t="shared" si="2994"/>
        <v>45717</v>
      </c>
      <c r="AE256" s="157">
        <f t="shared" si="2995"/>
        <v>45747</v>
      </c>
      <c r="AF256" s="161">
        <f t="shared" si="2996"/>
        <v>0</v>
      </c>
      <c r="AG256" s="157">
        <f t="shared" si="2997"/>
        <v>45748</v>
      </c>
      <c r="AH256" s="157">
        <f t="shared" si="2998"/>
        <v>45777</v>
      </c>
      <c r="AI256" s="161">
        <f t="shared" si="2999"/>
        <v>0</v>
      </c>
      <c r="AJ256" s="157">
        <f t="shared" si="3000"/>
        <v>45778</v>
      </c>
      <c r="AK256" s="157">
        <f t="shared" si="3001"/>
        <v>45808</v>
      </c>
      <c r="AL256" s="161">
        <f t="shared" si="3002"/>
        <v>0</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引出数据_合同数据仓库'!$B$2:$BP$1000,3,FALSE),0)</f>
        <v>0</v>
      </c>
      <c r="N257" s="125"/>
      <c r="O257" s="151">
        <f>IFERROR(VLOOKUP((LEFT(VLOOKUP($L257,'2-2 引出数据_合同数据仓库'!$B$2:$BP$1000,64,FALSE),15)&amp;(RIGHT(VLOOKUP($L257,'2-2 引出数据_合同数据仓库'!$B$2:$BP$1000,64,FALSE),4)+1)),'2-2 引出数据_合同数据仓库'!$B$2:$BP$1000,3,FALSE),0)</f>
        <v>0</v>
      </c>
      <c r="P257" s="125"/>
      <c r="Q257" s="125">
        <f>IFERROR(VLOOKUP($L257,'2-2 引出数据_合同数据仓库'!$B$2:$BP$1000,28,FALSE),0)</f>
        <v>0</v>
      </c>
      <c r="R257" s="125">
        <f>IFERROR(VLOOKUP($L257,'2-2 引出数据_合同数据仓库'!$B$2:$BP$1000,29,FALSE),0)</f>
        <v>0</v>
      </c>
      <c r="S257" s="125">
        <f>IFERROR(VLOOKUP($L257,'2-2 引出数据_合同数据仓库'!$B$2:$BP$1000,4,FALSE),0)</f>
        <v>0</v>
      </c>
      <c r="T257" s="125"/>
      <c r="U257" s="125">
        <f>IFERROR(VLOOKUP($L257,'2-2 引出数据_合同数据仓库'!$B$2:$BP$1000,15,FALSE),0)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customHeight="1" outlineLevel="4" spans="1:95">
      <c r="A258" s="126" t="s">
        <v>2821</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customHeight="1" outlineLevel="3" spans="1:95">
      <c r="A259" s="118"/>
      <c r="B259" s="119" t="s">
        <v>799</v>
      </c>
      <c r="C259" s="120" t="s">
        <v>1212</v>
      </c>
      <c r="D259" s="118" t="s">
        <v>1213</v>
      </c>
      <c r="E259" s="119" t="s">
        <v>1214</v>
      </c>
      <c r="F259" s="119"/>
      <c r="G259" s="119" t="s">
        <v>943</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引出数据_合同数据仓库'!$B$2:$BP$1000,3,FALSE),0)</f>
        <v>0</v>
      </c>
      <c r="N260" s="125"/>
      <c r="O260" s="151">
        <f>IFERROR(VLOOKUP((LEFT(VLOOKUP($L260,'2-2 引出数据_合同数据仓库'!$B$2:$BP$1000,64,FALSE),15)&amp;(RIGHT(VLOOKUP($L260,'2-2 引出数据_合同数据仓库'!$B$2:$BP$1000,64,FALSE),4)+1)),'2-2 引出数据_合同数据仓库'!$B$2:$BP$1000,3,FALSE),0)</f>
        <v>0</v>
      </c>
      <c r="P260" s="125"/>
      <c r="Q260" s="125">
        <f>IFERROR(VLOOKUP($L260,'2-2 引出数据_合同数据仓库'!$B$2:$BP$1000,28,FALSE),0)</f>
        <v>0</v>
      </c>
      <c r="R260" s="125">
        <f>IFERROR(VLOOKUP($L260,'2-2 引出数据_合同数据仓库'!$B$2:$BP$1000,29,FALSE),0)</f>
        <v>0</v>
      </c>
      <c r="S260" s="125">
        <f>IFERROR(VLOOKUP($L260,'2-2 引出数据_合同数据仓库'!$B$2:$BP$1000,4,FALSE),0)</f>
        <v>0</v>
      </c>
      <c r="T260" s="125"/>
      <c r="U260" s="125">
        <f>IFERROR(VLOOKUP($L260,'2-2 引出数据_合同数据仓库'!$B$2:$BP$1000,15,FALSE),0)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引出数据_合同数据仓库'!$B$2:$BP$1000,3,FALSE),0)</f>
        <v>0</v>
      </c>
      <c r="N261" s="125"/>
      <c r="O261" s="151">
        <f>IFERROR(VLOOKUP((LEFT(VLOOKUP($L261,'2-2 引出数据_合同数据仓库'!$B$2:$BP$1000,64,FALSE),15)&amp;(RIGHT(VLOOKUP($L261,'2-2 引出数据_合同数据仓库'!$B$2:$BP$1000,64,FALSE),4)+1)),'2-2 引出数据_合同数据仓库'!$B$2:$BP$1000,3,FALSE),0)</f>
        <v>0</v>
      </c>
      <c r="P261" s="125"/>
      <c r="Q261" s="125">
        <f>IFERROR(VLOOKUP($L261,'2-2 引出数据_合同数据仓库'!$B$2:$BP$1000,28,FALSE),0)</f>
        <v>0</v>
      </c>
      <c r="R261" s="125">
        <f>IFERROR(VLOOKUP($L261,'2-2 引出数据_合同数据仓库'!$B$2:$BP$1000,29,FALSE),0)</f>
        <v>0</v>
      </c>
      <c r="S261" s="125">
        <f>IFERROR(VLOOKUP($L261,'2-2 引出数据_合同数据仓库'!$B$2:$BP$1000,4,FALSE),0)</f>
        <v>0</v>
      </c>
      <c r="T261" s="125"/>
      <c r="U261" s="125">
        <f>IFERROR(VLOOKUP($L261,'2-2 引出数据_合同数据仓库'!$B$2:$BP$1000,15,FALSE),0)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引出数据_合同数据仓库'!$B$2:$BP$1000,3,FALSE),0)</f>
        <v>0</v>
      </c>
      <c r="N262" s="125"/>
      <c r="O262" s="151">
        <f>IFERROR(VLOOKUP((LEFT(VLOOKUP($L262,'2-2 引出数据_合同数据仓库'!$B$2:$BP$1000,64,FALSE),15)&amp;(RIGHT(VLOOKUP($L262,'2-2 引出数据_合同数据仓库'!$B$2:$BP$1000,64,FALSE),4)+1)),'2-2 引出数据_合同数据仓库'!$B$2:$BP$1000,3,FALSE),0)</f>
        <v>0</v>
      </c>
      <c r="P262" s="125"/>
      <c r="Q262" s="125">
        <f>IFERROR(VLOOKUP($L262,'2-2 引出数据_合同数据仓库'!$B$2:$BP$1000,28,FALSE),0)</f>
        <v>0</v>
      </c>
      <c r="R262" s="125">
        <f>IFERROR(VLOOKUP($L262,'2-2 引出数据_合同数据仓库'!$B$2:$BP$1000,29,FALSE),0)</f>
        <v>0</v>
      </c>
      <c r="S262" s="125">
        <f>IFERROR(VLOOKUP($L262,'2-2 引出数据_合同数据仓库'!$B$2:$BP$1000,4,FALSE),0)</f>
        <v>0</v>
      </c>
      <c r="T262" s="125"/>
      <c r="U262" s="125">
        <f>IFERROR(VLOOKUP($L262,'2-2 引出数据_合同数据仓库'!$B$2:$BP$1000,15,FALSE),0)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引出数据_合同数据仓库'!$B$2:$BP$1000,3,FALSE),0)</f>
        <v>0</v>
      </c>
      <c r="N263" s="125"/>
      <c r="O263" s="151">
        <f>IFERROR(VLOOKUP((LEFT(VLOOKUP($L263,'2-2 引出数据_合同数据仓库'!$B$2:$BP$1000,64,FALSE),15)&amp;(RIGHT(VLOOKUP($L263,'2-2 引出数据_合同数据仓库'!$B$2:$BP$1000,64,FALSE),4)+1)),'2-2 引出数据_合同数据仓库'!$B$2:$BP$1000,3,FALSE),0)</f>
        <v>0</v>
      </c>
      <c r="P263" s="125"/>
      <c r="Q263" s="125">
        <f>IFERROR(VLOOKUP($L263,'2-2 引出数据_合同数据仓库'!$B$2:$BP$1000,28,FALSE),0)</f>
        <v>0</v>
      </c>
      <c r="R263" s="125">
        <f>IFERROR(VLOOKUP($L263,'2-2 引出数据_合同数据仓库'!$B$2:$BP$1000,29,FALSE),0)</f>
        <v>0</v>
      </c>
      <c r="S263" s="125">
        <f>IFERROR(VLOOKUP($L263,'2-2 引出数据_合同数据仓库'!$B$2:$BP$1000,4,FALSE),0)</f>
        <v>0</v>
      </c>
      <c r="T263" s="125"/>
      <c r="U263" s="125">
        <f>IFERROR(VLOOKUP($L263,'2-2 引出数据_合同数据仓库'!$B$2:$BP$1000,15,FALSE),0)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customHeight="1" outlineLevel="4" spans="1:95">
      <c r="A264" s="126" t="s">
        <v>2821</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customHeight="1" outlineLevel="2" spans="1:95">
      <c r="A265" s="47"/>
      <c r="B265" s="115" t="s">
        <v>794</v>
      </c>
      <c r="C265" s="116" t="s">
        <v>40</v>
      </c>
      <c r="D265" s="47" t="s">
        <v>41</v>
      </c>
      <c r="E265" s="115"/>
      <c r="F265" s="115"/>
      <c r="G265" s="115"/>
      <c r="H265" s="117">
        <f>X265+AA265+AD265+AG265+AJ265+AM265+AP265+AS265+AV265+AY265+BB265+BE265</f>
        <v>0</v>
      </c>
      <c r="I265" s="117">
        <f>Y265+AB265+AE265+AH265+AK265+AN265+AQ265+AT265+AW265+AZ265+BC265+BF265</f>
        <v>0</v>
      </c>
      <c r="J265" s="117">
        <f t="shared" si="3131"/>
        <v>0</v>
      </c>
      <c r="K265" s="117"/>
      <c r="L265" s="148"/>
      <c r="M265" s="148"/>
      <c r="N265" s="117"/>
      <c r="O265" s="117"/>
      <c r="P265" s="117"/>
      <c r="Q265" s="117"/>
      <c r="R265" s="117"/>
      <c r="S265" s="117"/>
      <c r="T265" s="117"/>
      <c r="U265" s="117"/>
      <c r="V265" s="117"/>
      <c r="W265" s="117"/>
      <c r="X265" s="117">
        <f>VLOOKUP($C265,'1 预算编制表单'!$C:$BJ,27,FALSE)</f>
        <v>0</v>
      </c>
      <c r="Y265" s="117">
        <f>X265-Z265</f>
        <v>0</v>
      </c>
      <c r="Z265" s="117">
        <f>Z266+Z272</f>
        <v>0</v>
      </c>
      <c r="AA265" s="117">
        <f>VLOOKUP($C265,'1 预算编制表单'!$C:$BJ,30,FALSE)</f>
        <v>0</v>
      </c>
      <c r="AB265" s="117">
        <f>AA265-AC265</f>
        <v>0</v>
      </c>
      <c r="AC265" s="117">
        <f>AC266+AC272</f>
        <v>0</v>
      </c>
      <c r="AD265" s="117">
        <f>VLOOKUP($C265,'1 预算编制表单'!$C:$BJ,33,FALSE)</f>
        <v>0</v>
      </c>
      <c r="AE265" s="117">
        <f>AD265-AF265</f>
        <v>0</v>
      </c>
      <c r="AF265" s="117">
        <f>AF266+AF272</f>
        <v>0</v>
      </c>
      <c r="AG265" s="117">
        <f>VLOOKUP($C265,'1 预算编制表单'!$C:$BJ,36,FALSE)</f>
        <v>0</v>
      </c>
      <c r="AH265" s="117">
        <f>AG265-AI265</f>
        <v>0</v>
      </c>
      <c r="AI265" s="117">
        <f>AI266+AI272</f>
        <v>0</v>
      </c>
      <c r="AJ265" s="117">
        <f>VLOOKUP($C265,'1 预算编制表单'!$C:$BJ,39,FALSE)</f>
        <v>0</v>
      </c>
      <c r="AK265" s="117">
        <f>AJ265-AL265</f>
        <v>0</v>
      </c>
      <c r="AL265" s="117">
        <f>AL266+AL272</f>
        <v>0</v>
      </c>
      <c r="AM265" s="117">
        <f>VLOOKUP($C265,'1 预算编制表单'!$C:$BJ,42,FALSE)</f>
        <v>0</v>
      </c>
      <c r="AN265" s="117">
        <f>AM265-AO265</f>
        <v>0</v>
      </c>
      <c r="AO265" s="117">
        <f>AO266+AO272</f>
        <v>0</v>
      </c>
      <c r="AP265" s="117">
        <f>VLOOKUP($C265,'1 预算编制表单'!$C:$BJ,45,FALSE)</f>
        <v>0</v>
      </c>
      <c r="AQ265" s="117">
        <f>AP265-AR265</f>
        <v>0</v>
      </c>
      <c r="AR265" s="117">
        <f>AR266+AR272</f>
        <v>0</v>
      </c>
      <c r="AS265" s="117">
        <f>VLOOKUP($C265,'1 预算编制表单'!$C:$BJ,48,FALSE)</f>
        <v>0</v>
      </c>
      <c r="AT265" s="117">
        <f>AS265-AU265</f>
        <v>0</v>
      </c>
      <c r="AU265" s="117">
        <f>AU266+AU272</f>
        <v>0</v>
      </c>
      <c r="AV265" s="117">
        <f>VLOOKUP($C265,'1 预算编制表单'!$C:$BJ,51,FALSE)</f>
        <v>0</v>
      </c>
      <c r="AW265" s="117">
        <f>AV265-AX265</f>
        <v>0</v>
      </c>
      <c r="AX265" s="117">
        <f>AX266+AX272</f>
        <v>0</v>
      </c>
      <c r="AY265" s="117">
        <f>VLOOKUP($C265,'1 预算编制表单'!$C:$BJ,54,FALSE)</f>
        <v>0</v>
      </c>
      <c r="AZ265" s="117">
        <f>AY265-BA265</f>
        <v>0</v>
      </c>
      <c r="BA265" s="117">
        <f>BA266+BA272</f>
        <v>0</v>
      </c>
      <c r="BB265" s="117">
        <f>VLOOKUP($C265,'1 预算编制表单'!$C:$BJ,57,FALSE)</f>
        <v>0</v>
      </c>
      <c r="BC265" s="117">
        <f>BB265-BD265</f>
        <v>0</v>
      </c>
      <c r="BD265" s="117">
        <f>BD266+BD272</f>
        <v>0</v>
      </c>
      <c r="BE265" s="117">
        <f>VLOOKUP($C265,'1 预算编制表单'!$C:$BJ,60,FALSE)</f>
        <v>0</v>
      </c>
      <c r="BF265" s="117">
        <f>BE265-BG265</f>
        <v>0</v>
      </c>
      <c r="BG265" s="117">
        <f>BG266+BG272</f>
        <v>0</v>
      </c>
      <c r="BH265" s="117">
        <f>VLOOKUP($C265,'1 预算编制表单'!$C:$BJ,27,FALSE)</f>
        <v>0</v>
      </c>
      <c r="BI265" s="117">
        <f>BH265-BJ265</f>
        <v>0</v>
      </c>
      <c r="BJ265" s="117">
        <f>BJ266+BJ272</f>
        <v>0</v>
      </c>
      <c r="BK265" s="117">
        <f>VLOOKUP($C265,'1 预算编制表单'!$C:$BJ,30,FALSE)</f>
        <v>0</v>
      </c>
      <c r="BL265" s="117">
        <f>BK265-BM265</f>
        <v>0</v>
      </c>
      <c r="BM265" s="117">
        <f>BM266+BM272</f>
        <v>0</v>
      </c>
      <c r="BN265" s="117">
        <f>VLOOKUP($C265,'1 预算编制表单'!$C:$BJ,33,FALSE)</f>
        <v>0</v>
      </c>
      <c r="BO265" s="117">
        <f>BN265-BP265</f>
        <v>0</v>
      </c>
      <c r="BP265" s="117">
        <f>BP266+BP272</f>
        <v>0</v>
      </c>
      <c r="BQ265" s="117">
        <f>VLOOKUP($C265,'1 预算编制表单'!$C:$BJ,36,FALSE)</f>
        <v>0</v>
      </c>
      <c r="BR265" s="117">
        <f>BQ265-BS265</f>
        <v>0</v>
      </c>
      <c r="BS265" s="117">
        <f>BS266+BS272</f>
        <v>0</v>
      </c>
      <c r="BT265" s="117">
        <f>VLOOKUP($C265,'1 预算编制表单'!$C:$BJ,39,FALSE)</f>
        <v>0</v>
      </c>
      <c r="BU265" s="117">
        <f>BT265-BV265</f>
        <v>0</v>
      </c>
      <c r="BV265" s="117">
        <f>BV266+BV272</f>
        <v>0</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customHeight="1" outlineLevel="3" spans="1:95">
      <c r="A266" s="118"/>
      <c r="B266" s="119" t="s">
        <v>799</v>
      </c>
      <c r="C266" s="120" t="s">
        <v>1215</v>
      </c>
      <c r="D266" s="118" t="s">
        <v>1216</v>
      </c>
      <c r="E266" s="119" t="s">
        <v>1217</v>
      </c>
      <c r="F266" s="119"/>
      <c r="G266" s="119" t="s">
        <v>943</v>
      </c>
      <c r="H266" s="121">
        <f>X266+AA266+AD266+AG266+AJ266+AM266+AP266+AS266+AV266+AY266+BB266+BE266</f>
        <v>0</v>
      </c>
      <c r="I266" s="121">
        <f>Y266+AB266+AE266+AH266+AK266+AN266+AQ266+AT266+AW266+AZ266+BC266+BF266</f>
        <v>0</v>
      </c>
      <c r="J266" s="121">
        <f t="shared" si="3131"/>
        <v>0</v>
      </c>
      <c r="K266" s="121"/>
      <c r="L266" s="149"/>
      <c r="M266" s="149"/>
      <c r="N266" s="121"/>
      <c r="O266" s="121"/>
      <c r="P266" s="121"/>
      <c r="Q266" s="121"/>
      <c r="R266" s="121"/>
      <c r="S266" s="121"/>
      <c r="T266" s="121"/>
      <c r="U266" s="121"/>
      <c r="V266" s="121"/>
      <c r="W266" s="121"/>
      <c r="X266" s="121">
        <f>VLOOKUP($C266,'1 预算编制表单'!$C:$BJ,27,FALSE)</f>
        <v>0</v>
      </c>
      <c r="Y266" s="121">
        <f>X266-Z266</f>
        <v>0</v>
      </c>
      <c r="Z266" s="121">
        <f>SUM(Z267:Z271)</f>
        <v>0</v>
      </c>
      <c r="AA266" s="121">
        <f>VLOOKUP($C266,'1 预算编制表单'!$C:$BJ,30,FALSE)</f>
        <v>0</v>
      </c>
      <c r="AB266" s="121">
        <f>AA266-AC266</f>
        <v>0</v>
      </c>
      <c r="AC266" s="121">
        <f>SUM(AC267:AC271)</f>
        <v>0</v>
      </c>
      <c r="AD266" s="121">
        <f>VLOOKUP($C266,'1 预算编制表单'!$C:$BJ,33,FALSE)</f>
        <v>0</v>
      </c>
      <c r="AE266" s="121">
        <f>AD266-AF266</f>
        <v>0</v>
      </c>
      <c r="AF266" s="121">
        <f>SUM(AF267:AF271)</f>
        <v>0</v>
      </c>
      <c r="AG266" s="121">
        <f>VLOOKUP($C266,'1 预算编制表单'!$C:$BJ,36,FALSE)</f>
        <v>0</v>
      </c>
      <c r="AH266" s="121">
        <f>AG266-AI266</f>
        <v>0</v>
      </c>
      <c r="AI266" s="121">
        <f>SUM(AI267:AI271)</f>
        <v>0</v>
      </c>
      <c r="AJ266" s="121">
        <f>VLOOKUP($C266,'1 预算编制表单'!$C:$BJ,39,FALSE)</f>
        <v>0</v>
      </c>
      <c r="AK266" s="121">
        <f>AJ266-AL266</f>
        <v>0</v>
      </c>
      <c r="AL266" s="121">
        <f>SUM(AL267:AL271)</f>
        <v>0</v>
      </c>
      <c r="AM266" s="121">
        <f>VLOOKUP($C266,'1 预算编制表单'!$C:$BJ,42,FALSE)</f>
        <v>0</v>
      </c>
      <c r="AN266" s="121">
        <f>AM266-AO266</f>
        <v>0</v>
      </c>
      <c r="AO266" s="121">
        <f>SUM(AO267:AO271)</f>
        <v>0</v>
      </c>
      <c r="AP266" s="121">
        <f>VLOOKUP($C266,'1 预算编制表单'!$C:$BJ,45,FALSE)</f>
        <v>0</v>
      </c>
      <c r="AQ266" s="121">
        <f>AP266-AR266</f>
        <v>0</v>
      </c>
      <c r="AR266" s="121">
        <f>SUM(AR267:AR271)</f>
        <v>0</v>
      </c>
      <c r="AS266" s="121">
        <f>VLOOKUP($C266,'1 预算编制表单'!$C:$BJ,48,FALSE)</f>
        <v>0</v>
      </c>
      <c r="AT266" s="121">
        <f>AS266-AU266</f>
        <v>0</v>
      </c>
      <c r="AU266" s="121">
        <f>SUM(AU267:AU271)</f>
        <v>0</v>
      </c>
      <c r="AV266" s="121">
        <f>VLOOKUP($C266,'1 预算编制表单'!$C:$BJ,51,FALSE)</f>
        <v>0</v>
      </c>
      <c r="AW266" s="121">
        <f>AV266-AX266</f>
        <v>0</v>
      </c>
      <c r="AX266" s="121">
        <f>SUM(AX267:AX271)</f>
        <v>0</v>
      </c>
      <c r="AY266" s="121">
        <f>VLOOKUP($C266,'1 预算编制表单'!$C:$BJ,54,FALSE)</f>
        <v>0</v>
      </c>
      <c r="AZ266" s="121">
        <f>AY266-BA266</f>
        <v>0</v>
      </c>
      <c r="BA266" s="121">
        <f>SUM(BA267:BA271)</f>
        <v>0</v>
      </c>
      <c r="BB266" s="121">
        <f>VLOOKUP($C266,'1 预算编制表单'!$C:$BJ,57,FALSE)</f>
        <v>0</v>
      </c>
      <c r="BC266" s="121">
        <f>BB266-BD266</f>
        <v>0</v>
      </c>
      <c r="BD266" s="121">
        <f>SUM(BD267:BD271)</f>
        <v>0</v>
      </c>
      <c r="BE266" s="121">
        <f>VLOOKUP($C266,'1 预算编制表单'!$C:$BJ,60,FALSE)</f>
        <v>0</v>
      </c>
      <c r="BF266" s="121">
        <f>BE266-BG266</f>
        <v>0</v>
      </c>
      <c r="BG266" s="121">
        <f>SUM(BG267:BG271)</f>
        <v>0</v>
      </c>
      <c r="BH266" s="121">
        <f>VLOOKUP($C266,'1 预算编制表单'!$C:$BJ,27,FALSE)</f>
        <v>0</v>
      </c>
      <c r="BI266" s="121">
        <f>BH266-BJ266</f>
        <v>0</v>
      </c>
      <c r="BJ266" s="121">
        <f>SUM(BJ267:BJ271)</f>
        <v>0</v>
      </c>
      <c r="BK266" s="121">
        <f>VLOOKUP($C266,'1 预算编制表单'!$C:$BJ,30,FALSE)</f>
        <v>0</v>
      </c>
      <c r="BL266" s="121">
        <f>BK266-BM266</f>
        <v>0</v>
      </c>
      <c r="BM266" s="121">
        <f>SUM(BM267:BM271)</f>
        <v>0</v>
      </c>
      <c r="BN266" s="121">
        <f>VLOOKUP($C266,'1 预算编制表单'!$C:$BJ,33,FALSE)</f>
        <v>0</v>
      </c>
      <c r="BO266" s="121">
        <f>BN266-BP266</f>
        <v>0</v>
      </c>
      <c r="BP266" s="121">
        <f>SUM(BP267:BP271)</f>
        <v>0</v>
      </c>
      <c r="BQ266" s="121">
        <f>VLOOKUP($C266,'1 预算编制表单'!$C:$BJ,36,FALSE)</f>
        <v>0</v>
      </c>
      <c r="BR266" s="121">
        <f>BQ266-BS266</f>
        <v>0</v>
      </c>
      <c r="BS266" s="121">
        <f>SUM(BS267:BS271)</f>
        <v>0</v>
      </c>
      <c r="BT266" s="121">
        <f>VLOOKUP($C266,'1 预算编制表单'!$C:$BJ,39,FALSE)</f>
        <v>0</v>
      </c>
      <c r="BU266" s="121">
        <f>BT266-BV266</f>
        <v>0</v>
      </c>
      <c r="BV266" s="121">
        <f>SUM(BV267:BV271)</f>
        <v>0</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customHeight="1" outlineLevel="4" spans="1:95">
      <c r="A267" s="122"/>
      <c r="B267" s="123"/>
      <c r="C267" s="124"/>
      <c r="D267" s="122"/>
      <c r="E267" s="123"/>
      <c r="F267" s="123"/>
      <c r="G267" s="123"/>
      <c r="H267" s="125"/>
      <c r="I267" s="125"/>
      <c r="J267" s="125">
        <f t="shared" si="3131"/>
        <v>0</v>
      </c>
      <c r="K267" s="125">
        <v>1</v>
      </c>
      <c r="L267" s="150"/>
      <c r="M267" s="151">
        <f>IFERROR(VLOOKUP($L267,'2-2 引出数据_合同数据仓库'!$B$2:$BP$1000,3,FALSE),0)</f>
        <v>0</v>
      </c>
      <c r="N267" s="125"/>
      <c r="O267" s="151">
        <f>IFERROR(VLOOKUP((LEFT(VLOOKUP($L267,'2-2 引出数据_合同数据仓库'!$B$2:$BP$1000,64,FALSE),15)&amp;(RIGHT(VLOOKUP($L267,'2-2 引出数据_合同数据仓库'!$B$2:$BP$1000,64,FALSE),4)+1)),'2-2 引出数据_合同数据仓库'!$B$2:$BP$1000,3,FALSE),0)</f>
        <v>0</v>
      </c>
      <c r="P267" s="125"/>
      <c r="Q267" s="125">
        <f>IFERROR(VLOOKUP($L267,'2-2 引出数据_合同数据仓库'!$B$2:$BP$1000,28,FALSE),0)</f>
        <v>0</v>
      </c>
      <c r="R267" s="125">
        <f>IFERROR(VLOOKUP($L267,'2-2 引出数据_合同数据仓库'!$B$2:$BP$1000,29,FALSE),0)</f>
        <v>0</v>
      </c>
      <c r="S267" s="125">
        <f>IFERROR(VLOOKUP($L267,'2-2 引出数据_合同数据仓库'!$B$2:$BP$1000,4,FALSE),0)</f>
        <v>0</v>
      </c>
      <c r="T267" s="125"/>
      <c r="U267" s="125">
        <f>IFERROR(VLOOKUP($L267,'2-2 引出数据_合同数据仓库'!$B$2:$BP$1000,15,FALSE),0)</f>
        <v>0</v>
      </c>
      <c r="V267" s="125">
        <f t="shared" ref="V267:V270" si="3133">U267/(S267-R267+1)*365</f>
        <v>0</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0</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0</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0</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0</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0</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0</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0</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0</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0</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0</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0</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0</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0</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0</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0</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0</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0</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引出数据_合同数据仓库'!$B$2:$BP$1000,3,FALSE),0)</f>
        <v>0</v>
      </c>
      <c r="N268" s="125"/>
      <c r="O268" s="151">
        <f>IFERROR(VLOOKUP((LEFT(VLOOKUP($L268,'2-2 引出数据_合同数据仓库'!$B$2:$BP$1000,64,FALSE),15)&amp;(RIGHT(VLOOKUP($L268,'2-2 引出数据_合同数据仓库'!$B$2:$BP$1000,64,FALSE),4)+1)),'2-2 引出数据_合同数据仓库'!$B$2:$BP$1000,3,FALSE),0)</f>
        <v>0</v>
      </c>
      <c r="P268" s="125"/>
      <c r="Q268" s="125">
        <f>IFERROR(VLOOKUP($L268,'2-2 引出数据_合同数据仓库'!$B$2:$BP$1000,28,FALSE),0)</f>
        <v>0</v>
      </c>
      <c r="R268" s="125">
        <f>IFERROR(VLOOKUP($L268,'2-2 引出数据_合同数据仓库'!$B$2:$BP$1000,29,FALSE),0)</f>
        <v>0</v>
      </c>
      <c r="S268" s="125">
        <f>IFERROR(VLOOKUP($L268,'2-2 引出数据_合同数据仓库'!$B$2:$BP$1000,4,FALSE),0)</f>
        <v>0</v>
      </c>
      <c r="T268" s="125"/>
      <c r="U268" s="125">
        <f>IFERROR(VLOOKUP($L268,'2-2 引出数据_合同数据仓库'!$B$2:$BP$1000,15,FALSE),0)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引出数据_合同数据仓库'!$B$2:$BP$1000,3,FALSE),0)</f>
        <v>0</v>
      </c>
      <c r="N269" s="125"/>
      <c r="O269" s="151">
        <f>IFERROR(VLOOKUP((LEFT(VLOOKUP($L269,'2-2 引出数据_合同数据仓库'!$B$2:$BP$1000,64,FALSE),15)&amp;(RIGHT(VLOOKUP($L269,'2-2 引出数据_合同数据仓库'!$B$2:$BP$1000,64,FALSE),4)+1)),'2-2 引出数据_合同数据仓库'!$B$2:$BP$1000,3,FALSE),0)</f>
        <v>0</v>
      </c>
      <c r="P269" s="125"/>
      <c r="Q269" s="125">
        <f>IFERROR(VLOOKUP($L269,'2-2 引出数据_合同数据仓库'!$B$2:$BP$1000,28,FALSE),0)</f>
        <v>0</v>
      </c>
      <c r="R269" s="125">
        <f>IFERROR(VLOOKUP($L269,'2-2 引出数据_合同数据仓库'!$B$2:$BP$1000,29,FALSE),0)</f>
        <v>0</v>
      </c>
      <c r="S269" s="125">
        <f>IFERROR(VLOOKUP($L269,'2-2 引出数据_合同数据仓库'!$B$2:$BP$1000,4,FALSE),0)</f>
        <v>0</v>
      </c>
      <c r="T269" s="125"/>
      <c r="U269" s="125">
        <f>IFERROR(VLOOKUP($L269,'2-2 引出数据_合同数据仓库'!$B$2:$BP$1000,15,FALSE),0)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引出数据_合同数据仓库'!$B$2:$BP$1000,3,FALSE),0)</f>
        <v>0</v>
      </c>
      <c r="N270" s="125"/>
      <c r="O270" s="151">
        <f>IFERROR(VLOOKUP((LEFT(VLOOKUP($L270,'2-2 引出数据_合同数据仓库'!$B$2:$BP$1000,64,FALSE),15)&amp;(RIGHT(VLOOKUP($L270,'2-2 引出数据_合同数据仓库'!$B$2:$BP$1000,64,FALSE),4)+1)),'2-2 引出数据_合同数据仓库'!$B$2:$BP$1000,3,FALSE),0)</f>
        <v>0</v>
      </c>
      <c r="P270" s="125"/>
      <c r="Q270" s="125">
        <f>IFERROR(VLOOKUP($L270,'2-2 引出数据_合同数据仓库'!$B$2:$BP$1000,28,FALSE),0)</f>
        <v>0</v>
      </c>
      <c r="R270" s="125">
        <f>IFERROR(VLOOKUP($L270,'2-2 引出数据_合同数据仓库'!$B$2:$BP$1000,29,FALSE),0)</f>
        <v>0</v>
      </c>
      <c r="S270" s="125">
        <f>IFERROR(VLOOKUP($L270,'2-2 引出数据_合同数据仓库'!$B$2:$BP$1000,4,FALSE),0)</f>
        <v>0</v>
      </c>
      <c r="T270" s="125"/>
      <c r="U270" s="125">
        <f>IFERROR(VLOOKUP($L270,'2-2 引出数据_合同数据仓库'!$B$2:$BP$1000,15,FALSE),0)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customHeight="1" outlineLevel="4" spans="1:95">
      <c r="A271" s="126" t="s">
        <v>2821</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customHeight="1" outlineLevel="3" spans="1:95">
      <c r="A272" s="118"/>
      <c r="B272" s="119" t="s">
        <v>799</v>
      </c>
      <c r="C272" s="120" t="s">
        <v>1218</v>
      </c>
      <c r="D272" s="118" t="s">
        <v>1219</v>
      </c>
      <c r="E272" s="119"/>
      <c r="F272" s="119"/>
      <c r="G272" s="119"/>
      <c r="H272" s="121">
        <f>X272+AA272+AD272+AG272+AJ272+AM272+AP272+AS272+AV272+AY272+BB272+BE272</f>
        <v>0</v>
      </c>
      <c r="I272" s="121">
        <f>Y272+AB272+AE272+AH272+AK272+AN272+AQ272+AT272+AW272+AZ272+BC272+BF272</f>
        <v>0</v>
      </c>
      <c r="J272" s="121">
        <f t="shared" si="3131"/>
        <v>0</v>
      </c>
      <c r="K272" s="121"/>
      <c r="L272" s="149"/>
      <c r="M272" s="149"/>
      <c r="N272" s="121"/>
      <c r="O272" s="121"/>
      <c r="P272" s="121"/>
      <c r="Q272" s="121"/>
      <c r="R272" s="121"/>
      <c r="S272" s="121"/>
      <c r="T272" s="121"/>
      <c r="U272" s="121"/>
      <c r="V272" s="121"/>
      <c r="W272" s="121"/>
      <c r="X272" s="121">
        <f>VLOOKUP($C272,'1 预算编制表单'!$C:$BJ,27,FALSE)</f>
        <v>0</v>
      </c>
      <c r="Y272" s="121">
        <f>X272-Z272</f>
        <v>0</v>
      </c>
      <c r="Z272" s="121">
        <f>SUM(Z273:Z277)</f>
        <v>0</v>
      </c>
      <c r="AA272" s="121">
        <f>VLOOKUP($C272,'1 预算编制表单'!$C:$BJ,30,FALSE)</f>
        <v>0</v>
      </c>
      <c r="AB272" s="121">
        <f>AA272-AC272</f>
        <v>0</v>
      </c>
      <c r="AC272" s="121">
        <f>SUM(AC273:AC277)</f>
        <v>0</v>
      </c>
      <c r="AD272" s="121">
        <f>VLOOKUP($C272,'1 预算编制表单'!$C:$BJ,33,FALSE)</f>
        <v>0</v>
      </c>
      <c r="AE272" s="121">
        <f>AD272-AF272</f>
        <v>0</v>
      </c>
      <c r="AF272" s="121">
        <f>SUM(AF273:AF277)</f>
        <v>0</v>
      </c>
      <c r="AG272" s="121">
        <f>VLOOKUP($C272,'1 预算编制表单'!$C:$BJ,36,FALSE)</f>
        <v>0</v>
      </c>
      <c r="AH272" s="121">
        <f>AG272-AI272</f>
        <v>0</v>
      </c>
      <c r="AI272" s="121">
        <f>SUM(AI273:AI277)</f>
        <v>0</v>
      </c>
      <c r="AJ272" s="121">
        <f>VLOOKUP($C272,'1 预算编制表单'!$C:$BJ,39,FALSE)</f>
        <v>0</v>
      </c>
      <c r="AK272" s="121">
        <f>AJ272-AL272</f>
        <v>0</v>
      </c>
      <c r="AL272" s="121">
        <f>SUM(AL273:AL277)</f>
        <v>0</v>
      </c>
      <c r="AM272" s="121">
        <f>VLOOKUP($C272,'1 预算编制表单'!$C:$BJ,42,FALSE)</f>
        <v>0</v>
      </c>
      <c r="AN272" s="121">
        <f>AM272-AO272</f>
        <v>0</v>
      </c>
      <c r="AO272" s="121">
        <f>SUM(AO273:AO277)</f>
        <v>0</v>
      </c>
      <c r="AP272" s="121">
        <f>VLOOKUP($C272,'1 预算编制表单'!$C:$BJ,45,FALSE)</f>
        <v>0</v>
      </c>
      <c r="AQ272" s="121">
        <f>AP272-AR272</f>
        <v>0</v>
      </c>
      <c r="AR272" s="121">
        <f>SUM(AR273:AR277)</f>
        <v>0</v>
      </c>
      <c r="AS272" s="121">
        <f>VLOOKUP($C272,'1 预算编制表单'!$C:$BJ,48,FALSE)</f>
        <v>0</v>
      </c>
      <c r="AT272" s="121">
        <f>AS272-AU272</f>
        <v>0</v>
      </c>
      <c r="AU272" s="121">
        <f>SUM(AU273:AU277)</f>
        <v>0</v>
      </c>
      <c r="AV272" s="121">
        <f>VLOOKUP($C272,'1 预算编制表单'!$C:$BJ,51,FALSE)</f>
        <v>0</v>
      </c>
      <c r="AW272" s="121">
        <f>AV272-AX272</f>
        <v>0</v>
      </c>
      <c r="AX272" s="121">
        <f>SUM(AX273:AX277)</f>
        <v>0</v>
      </c>
      <c r="AY272" s="121">
        <f>VLOOKUP($C272,'1 预算编制表单'!$C:$BJ,54,FALSE)</f>
        <v>0</v>
      </c>
      <c r="AZ272" s="121">
        <f>AY272-BA272</f>
        <v>0</v>
      </c>
      <c r="BA272" s="121">
        <f>SUM(BA273:BA277)</f>
        <v>0</v>
      </c>
      <c r="BB272" s="121">
        <f>VLOOKUP($C272,'1 预算编制表单'!$C:$BJ,57,FALSE)</f>
        <v>0</v>
      </c>
      <c r="BC272" s="121">
        <f>BB272-BD272</f>
        <v>0</v>
      </c>
      <c r="BD272" s="121">
        <f>SUM(BD273:BD277)</f>
        <v>0</v>
      </c>
      <c r="BE272" s="121">
        <f>VLOOKUP($C272,'1 预算编制表单'!$C:$BJ,60,FALSE)</f>
        <v>0</v>
      </c>
      <c r="BF272" s="121">
        <f>BE272-BG272</f>
        <v>0</v>
      </c>
      <c r="BG272" s="121">
        <f>SUM(BG273:BG277)</f>
        <v>0</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customHeight="1" outlineLevel="4" spans="1:95">
      <c r="A273" s="122"/>
      <c r="B273" s="123"/>
      <c r="C273" s="124"/>
      <c r="D273" s="122"/>
      <c r="E273" s="123"/>
      <c r="F273" s="123"/>
      <c r="G273" s="123"/>
      <c r="H273" s="125"/>
      <c r="I273" s="125"/>
      <c r="J273" s="125">
        <f t="shared" si="3131"/>
        <v>0</v>
      </c>
      <c r="K273" s="125">
        <v>1</v>
      </c>
      <c r="L273" s="150"/>
      <c r="M273" s="151">
        <f>IFERROR(VLOOKUP($L273,'2-2 引出数据_合同数据仓库'!$B$2:$BP$1000,3,FALSE),0)</f>
        <v>0</v>
      </c>
      <c r="N273" s="125"/>
      <c r="O273" s="151">
        <f>IFERROR(VLOOKUP((LEFT(VLOOKUP($L273,'2-2 引出数据_合同数据仓库'!$B$2:$BP$1000,64,FALSE),15)&amp;(RIGHT(VLOOKUP($L273,'2-2 引出数据_合同数据仓库'!$B$2:$BP$1000,64,FALSE),4)+1)),'2-2 引出数据_合同数据仓库'!$B$2:$BP$1000,3,FALSE),0)</f>
        <v>0</v>
      </c>
      <c r="P273" s="125"/>
      <c r="Q273" s="125">
        <f>IFERROR(VLOOKUP($L273,'2-2 引出数据_合同数据仓库'!$B$2:$BP$1000,28,FALSE),0)</f>
        <v>0</v>
      </c>
      <c r="R273" s="125">
        <f>IFERROR(VLOOKUP($L273,'2-2 引出数据_合同数据仓库'!$B$2:$BP$1000,29,FALSE),0)</f>
        <v>0</v>
      </c>
      <c r="S273" s="125">
        <f>IFERROR(VLOOKUP($L273,'2-2 引出数据_合同数据仓库'!$B$2:$BP$1000,4,FALSE),0)</f>
        <v>0</v>
      </c>
      <c r="T273" s="125"/>
      <c r="U273" s="125">
        <f>IFERROR(VLOOKUP($L273,'2-2 引出数据_合同数据仓库'!$B$2:$BP$1000,15,FALSE),0)</f>
        <v>0</v>
      </c>
      <c r="V273" s="125">
        <f t="shared" ref="V273:V276" si="3205">U273/(S273-R273+1)*365</f>
        <v>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0</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0</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0</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0</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0</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0</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0</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0</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0</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0</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0</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0</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引出数据_合同数据仓库'!$B$2:$BP$1000,3,FALSE),0)</f>
        <v>0</v>
      </c>
      <c r="N274" s="125"/>
      <c r="O274" s="151">
        <f>IFERROR(VLOOKUP((LEFT(VLOOKUP($L274,'2-2 引出数据_合同数据仓库'!$B$2:$BP$1000,64,FALSE),15)&amp;(RIGHT(VLOOKUP($L274,'2-2 引出数据_合同数据仓库'!$B$2:$BP$1000,64,FALSE),4)+1)),'2-2 引出数据_合同数据仓库'!$B$2:$BP$1000,3,FALSE),0)</f>
        <v>0</v>
      </c>
      <c r="P274" s="125"/>
      <c r="Q274" s="125">
        <f>IFERROR(VLOOKUP($L274,'2-2 引出数据_合同数据仓库'!$B$2:$BP$1000,28,FALSE),0)</f>
        <v>0</v>
      </c>
      <c r="R274" s="125">
        <f>IFERROR(VLOOKUP($L274,'2-2 引出数据_合同数据仓库'!$B$2:$BP$1000,29,FALSE),0)</f>
        <v>0</v>
      </c>
      <c r="S274" s="125">
        <f>IFERROR(VLOOKUP($L274,'2-2 引出数据_合同数据仓库'!$B$2:$BP$1000,4,FALSE),0)</f>
        <v>0</v>
      </c>
      <c r="T274" s="125"/>
      <c r="U274" s="125">
        <f>IFERROR(VLOOKUP($L274,'2-2 引出数据_合同数据仓库'!$B$2:$BP$1000,15,FALSE),0)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引出数据_合同数据仓库'!$B$2:$BP$1000,3,FALSE),0)</f>
        <v>0</v>
      </c>
      <c r="N275" s="125"/>
      <c r="O275" s="151">
        <f>IFERROR(VLOOKUP((LEFT(VLOOKUP($L275,'2-2 引出数据_合同数据仓库'!$B$2:$BP$1000,64,FALSE),15)&amp;(RIGHT(VLOOKUP($L275,'2-2 引出数据_合同数据仓库'!$B$2:$BP$1000,64,FALSE),4)+1)),'2-2 引出数据_合同数据仓库'!$B$2:$BP$1000,3,FALSE),0)</f>
        <v>0</v>
      </c>
      <c r="P275" s="125"/>
      <c r="Q275" s="125">
        <f>IFERROR(VLOOKUP($L275,'2-2 引出数据_合同数据仓库'!$B$2:$BP$1000,28,FALSE),0)</f>
        <v>0</v>
      </c>
      <c r="R275" s="125">
        <f>IFERROR(VLOOKUP($L275,'2-2 引出数据_合同数据仓库'!$B$2:$BP$1000,29,FALSE),0)</f>
        <v>0</v>
      </c>
      <c r="S275" s="125">
        <f>IFERROR(VLOOKUP($L275,'2-2 引出数据_合同数据仓库'!$B$2:$BP$1000,4,FALSE),0)</f>
        <v>0</v>
      </c>
      <c r="T275" s="125"/>
      <c r="U275" s="125">
        <f>IFERROR(VLOOKUP($L275,'2-2 引出数据_合同数据仓库'!$B$2:$BP$1000,15,FALSE),0)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引出数据_合同数据仓库'!$B$2:$BP$1000,3,FALSE),0)</f>
        <v>0</v>
      </c>
      <c r="N276" s="125"/>
      <c r="O276" s="151">
        <f>IFERROR(VLOOKUP((LEFT(VLOOKUP($L276,'2-2 引出数据_合同数据仓库'!$B$2:$BP$1000,64,FALSE),15)&amp;(RIGHT(VLOOKUP($L276,'2-2 引出数据_合同数据仓库'!$B$2:$BP$1000,64,FALSE),4)+1)),'2-2 引出数据_合同数据仓库'!$B$2:$BP$1000,3,FALSE),0)</f>
        <v>0</v>
      </c>
      <c r="P276" s="125"/>
      <c r="Q276" s="125">
        <f>IFERROR(VLOOKUP($L276,'2-2 引出数据_合同数据仓库'!$B$2:$BP$1000,28,FALSE),0)</f>
        <v>0</v>
      </c>
      <c r="R276" s="125">
        <f>IFERROR(VLOOKUP($L276,'2-2 引出数据_合同数据仓库'!$B$2:$BP$1000,29,FALSE),0)</f>
        <v>0</v>
      </c>
      <c r="S276" s="125">
        <f>IFERROR(VLOOKUP($L276,'2-2 引出数据_合同数据仓库'!$B$2:$BP$1000,4,FALSE),0)</f>
        <v>0</v>
      </c>
      <c r="T276" s="125"/>
      <c r="U276" s="125">
        <f>IFERROR(VLOOKUP($L276,'2-2 引出数据_合同数据仓库'!$B$2:$BP$1000,15,FALSE),0)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customHeight="1" outlineLevel="4" spans="1:95">
      <c r="A277" s="126" t="s">
        <v>2821</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customHeight="1" outlineLevel="2" spans="1:95">
      <c r="A278" s="47"/>
      <c r="B278" s="115" t="s">
        <v>794</v>
      </c>
      <c r="C278" s="116" t="s">
        <v>42</v>
      </c>
      <c r="D278" s="47" t="s">
        <v>43</v>
      </c>
      <c r="E278" s="115"/>
      <c r="F278" s="115"/>
      <c r="G278" s="115"/>
      <c r="H278" s="117">
        <f>X278+AA278+AD278+AG278+AJ278+AM278+AP278+AS278+AV278+AY278+BB278+BE278</f>
        <v>0</v>
      </c>
      <c r="I278" s="117">
        <f>Y278+AB278+AE278+AH278+AK278+AN278+AQ278+AT278+AW278+AZ278+BC278+BF278</f>
        <v>0</v>
      </c>
      <c r="J278" s="117">
        <f t="shared" si="3131"/>
        <v>0</v>
      </c>
      <c r="K278" s="117"/>
      <c r="L278" s="148"/>
      <c r="M278" s="148"/>
      <c r="N278" s="117"/>
      <c r="O278" s="117"/>
      <c r="P278" s="117"/>
      <c r="Q278" s="117"/>
      <c r="R278" s="117"/>
      <c r="S278" s="117"/>
      <c r="T278" s="117"/>
      <c r="U278" s="117"/>
      <c r="V278" s="117"/>
      <c r="W278" s="117"/>
      <c r="X278" s="117">
        <f>VLOOKUP($C278,'1 预算编制表单'!$C:$BJ,27,FALSE)</f>
        <v>0</v>
      </c>
      <c r="Y278" s="117">
        <f>X278-Z278</f>
        <v>0</v>
      </c>
      <c r="Z278" s="117">
        <f>Z279+Z285+Z291+Z297+Z303+Z309+Z315+Z321+Z327+Z333</f>
        <v>0</v>
      </c>
      <c r="AA278" s="117">
        <f>VLOOKUP($C278,'1 预算编制表单'!$C:$BJ,30,FALSE)</f>
        <v>0</v>
      </c>
      <c r="AB278" s="117">
        <f>AA278-AC278</f>
        <v>0</v>
      </c>
      <c r="AC278" s="117">
        <f>AC279+AC285+AC291+AC297+AC303+AC309+AC315+AC321+AC327+AC333</f>
        <v>0</v>
      </c>
      <c r="AD278" s="117">
        <f>VLOOKUP($C278,'1 预算编制表单'!$C:$BJ,33,FALSE)</f>
        <v>0</v>
      </c>
      <c r="AE278" s="117">
        <f>AD278-AF278</f>
        <v>0</v>
      </c>
      <c r="AF278" s="117">
        <f>AF279+AF285+AF291+AF297+AF303+AF309+AF315+AF321+AF327+AF333</f>
        <v>0</v>
      </c>
      <c r="AG278" s="117">
        <f>VLOOKUP($C278,'1 预算编制表单'!$C:$BJ,36,FALSE)</f>
        <v>0</v>
      </c>
      <c r="AH278" s="117">
        <f>AG278-AI278</f>
        <v>0</v>
      </c>
      <c r="AI278" s="117">
        <f>AI279+AI285+AI291+AI297+AI303+AI309+AI315+AI321+AI327+AI333</f>
        <v>0</v>
      </c>
      <c r="AJ278" s="117">
        <f>VLOOKUP($C278,'1 预算编制表单'!$C:$BJ,39,FALSE)</f>
        <v>0</v>
      </c>
      <c r="AK278" s="117">
        <f>AJ278-AL278</f>
        <v>0</v>
      </c>
      <c r="AL278" s="117">
        <f>AL279+AL285+AL291+AL297+AL303+AL309+AL315+AL321+AL327+AL333</f>
        <v>0</v>
      </c>
      <c r="AM278" s="117">
        <f>VLOOKUP($C278,'1 预算编制表单'!$C:$BJ,42,FALSE)</f>
        <v>0</v>
      </c>
      <c r="AN278" s="117">
        <f>AM278-AO278</f>
        <v>0</v>
      </c>
      <c r="AO278" s="117">
        <f>AO279+AO285+AO291+AO297+AO303+AO309+AO315+AO321+AO327+AO333</f>
        <v>0</v>
      </c>
      <c r="AP278" s="117">
        <f>VLOOKUP($C278,'1 预算编制表单'!$C:$BJ,45,FALSE)</f>
        <v>0</v>
      </c>
      <c r="AQ278" s="117">
        <f>AP278-AR278</f>
        <v>0</v>
      </c>
      <c r="AR278" s="117">
        <f>AR279+AR285+AR291+AR297+AR303+AR309+AR315+AR321+AR327+AR333</f>
        <v>0</v>
      </c>
      <c r="AS278" s="117">
        <f>VLOOKUP($C278,'1 预算编制表单'!$C:$BJ,48,FALSE)</f>
        <v>0</v>
      </c>
      <c r="AT278" s="117">
        <f>AS278-AU278</f>
        <v>0</v>
      </c>
      <c r="AU278" s="117">
        <f>AU279+AU285+AU291+AU297+AU303+AU309+AU315+AU321+AU327+AU333</f>
        <v>0</v>
      </c>
      <c r="AV278" s="117">
        <f>VLOOKUP($C278,'1 预算编制表单'!$C:$BJ,51,FALSE)</f>
        <v>0</v>
      </c>
      <c r="AW278" s="117">
        <f>AV278-AX278</f>
        <v>0</v>
      </c>
      <c r="AX278" s="117">
        <f>AX279+AX285+AX291+AX297+AX303+AX309+AX315+AX321+AX327+AX333</f>
        <v>0</v>
      </c>
      <c r="AY278" s="117">
        <f>VLOOKUP($C278,'1 预算编制表单'!$C:$BJ,54,FALSE)</f>
        <v>0</v>
      </c>
      <c r="AZ278" s="117">
        <f>AY278-BA278</f>
        <v>0</v>
      </c>
      <c r="BA278" s="117">
        <f>BA279+BA285+BA291+BA297+BA303+BA309+BA315+BA321+BA327+BA333</f>
        <v>0</v>
      </c>
      <c r="BB278" s="117">
        <f>VLOOKUP($C278,'1 预算编制表单'!$C:$BJ,57,FALSE)</f>
        <v>0</v>
      </c>
      <c r="BC278" s="117">
        <f>BB278-BD278</f>
        <v>0</v>
      </c>
      <c r="BD278" s="117">
        <f>BD279+BD285+BD291+BD297+BD303+BD309+BD315+BD321+BD327+BD333</f>
        <v>0</v>
      </c>
      <c r="BE278" s="117">
        <f>VLOOKUP($C278,'1 预算编制表单'!$C:$BJ,60,FALSE)</f>
        <v>0</v>
      </c>
      <c r="BF278" s="117">
        <f>BE278-BG278</f>
        <v>0</v>
      </c>
      <c r="BG278" s="117">
        <f>BG279+BG285+BG291+BG297+BG303+BG309+BG315+BG321+BG327+BG333</f>
        <v>0</v>
      </c>
      <c r="BH278" s="117">
        <f>VLOOKUP($C278,'1 预算编制表单'!$C:$BJ,27,FALSE)</f>
        <v>0</v>
      </c>
      <c r="BI278" s="117">
        <f>BH278-BJ278</f>
        <v>0</v>
      </c>
      <c r="BJ278" s="117">
        <f>BJ279+BJ285+BJ291+BJ297+BJ303+BJ309+BJ315+BJ321+BJ327+BJ333</f>
        <v>0</v>
      </c>
      <c r="BK278" s="117">
        <f>VLOOKUP($C278,'1 预算编制表单'!$C:$BJ,30,FALSE)</f>
        <v>0</v>
      </c>
      <c r="BL278" s="117">
        <f>BK278-BM278</f>
        <v>0</v>
      </c>
      <c r="BM278" s="117">
        <f>BM279+BM285+BM291+BM297+BM303+BM309+BM315+BM321+BM327+BM333</f>
        <v>0</v>
      </c>
      <c r="BN278" s="117">
        <f>VLOOKUP($C278,'1 预算编制表单'!$C:$BJ,33,FALSE)</f>
        <v>0</v>
      </c>
      <c r="BO278" s="117">
        <f>BN278-BP278</f>
        <v>0</v>
      </c>
      <c r="BP278" s="117">
        <f>BP279+BP285+BP291+BP297+BP303+BP309+BP315+BP321+BP327+BP333</f>
        <v>0</v>
      </c>
      <c r="BQ278" s="117">
        <f>VLOOKUP($C278,'1 预算编制表单'!$C:$BJ,36,FALSE)</f>
        <v>0</v>
      </c>
      <c r="BR278" s="117">
        <f>BQ278-BS278</f>
        <v>0</v>
      </c>
      <c r="BS278" s="117">
        <f>BS279+BS285+BS291+BS297+BS303+BS309+BS315+BS321+BS327+BS333</f>
        <v>0</v>
      </c>
      <c r="BT278" s="117">
        <f>VLOOKUP($C278,'1 预算编制表单'!$C:$BJ,39,FALSE)</f>
        <v>0</v>
      </c>
      <c r="BU278" s="117">
        <f>BT278-BV278</f>
        <v>0</v>
      </c>
      <c r="BV278" s="117">
        <f>BV279+BV285+BV291+BV297+BV303+BV309+BV315+BV321+BV327+BV333</f>
        <v>0</v>
      </c>
      <c r="BW278" s="117">
        <f>VLOOKUP($C278,'1 预算编制表单'!$C:$BJ,42,FALSE)</f>
        <v>0</v>
      </c>
      <c r="BX278" s="117">
        <f>BW278-BY278</f>
        <v>0</v>
      </c>
      <c r="BY278" s="117">
        <f>BY279+BY285+BY291+BY297+BY303+BY309+BY315+BY321+BY327+BY333</f>
        <v>0</v>
      </c>
      <c r="BZ278" s="117">
        <f>VLOOKUP($C278,'1 预算编制表单'!$C:$BJ,45,FALSE)</f>
        <v>0</v>
      </c>
      <c r="CA278" s="117">
        <f>BZ278-CB278</f>
        <v>0</v>
      </c>
      <c r="CB278" s="117">
        <f>CB279+CB285+CB291+CB297+CB303+CB309+CB315+CB321+CB327+CB333</f>
        <v>0</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customHeight="1" outlineLevel="3" spans="1:95">
      <c r="A279" s="118"/>
      <c r="B279" s="119" t="s">
        <v>799</v>
      </c>
      <c r="C279" s="120" t="s">
        <v>1245</v>
      </c>
      <c r="D279" s="118" t="s">
        <v>1246</v>
      </c>
      <c r="E279" s="119" t="s">
        <v>1247</v>
      </c>
      <c r="F279" s="119"/>
      <c r="G279" s="119" t="s">
        <v>943</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引出数据_合同数据仓库'!$B$2:$BP$1000,3,FALSE),0)</f>
        <v>0</v>
      </c>
      <c r="N280" s="125"/>
      <c r="O280" s="151">
        <f>IFERROR(VLOOKUP((LEFT(VLOOKUP($L280,'2-2 引出数据_合同数据仓库'!$B$2:$BP$1000,64,FALSE),15)&amp;(RIGHT(VLOOKUP($L280,'2-2 引出数据_合同数据仓库'!$B$2:$BP$1000,64,FALSE),4)+1)),'2-2 引出数据_合同数据仓库'!$B$2:$BP$1000,3,FALSE),0)</f>
        <v>0</v>
      </c>
      <c r="P280" s="125"/>
      <c r="Q280" s="125">
        <f>IFERROR(VLOOKUP($L280,'2-2 引出数据_合同数据仓库'!$B$2:$BP$1000,28,FALSE),0)</f>
        <v>0</v>
      </c>
      <c r="R280" s="125">
        <f>IFERROR(VLOOKUP($L280,'2-2 引出数据_合同数据仓库'!$B$2:$BP$1000,29,FALSE),0)</f>
        <v>0</v>
      </c>
      <c r="S280" s="125">
        <f>IFERROR(VLOOKUP($L280,'2-2 引出数据_合同数据仓库'!$B$2:$BP$1000,4,FALSE),0)</f>
        <v>0</v>
      </c>
      <c r="T280" s="125"/>
      <c r="U280" s="125">
        <f>IFERROR(VLOOKUP($L280,'2-2 引出数据_合同数据仓库'!$B$2:$BP$1000,15,FALSE),0)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引出数据_合同数据仓库'!$B$2:$BP$1000,3,FALSE),0)</f>
        <v>0</v>
      </c>
      <c r="N281" s="125"/>
      <c r="O281" s="151">
        <f>IFERROR(VLOOKUP((LEFT(VLOOKUP($L281,'2-2 引出数据_合同数据仓库'!$B$2:$BP$1000,64,FALSE),15)&amp;(RIGHT(VLOOKUP($L281,'2-2 引出数据_合同数据仓库'!$B$2:$BP$1000,64,FALSE),4)+1)),'2-2 引出数据_合同数据仓库'!$B$2:$BP$1000,3,FALSE),0)</f>
        <v>0</v>
      </c>
      <c r="P281" s="125"/>
      <c r="Q281" s="125">
        <f>IFERROR(VLOOKUP($L281,'2-2 引出数据_合同数据仓库'!$B$2:$BP$1000,28,FALSE),0)</f>
        <v>0</v>
      </c>
      <c r="R281" s="125">
        <f>IFERROR(VLOOKUP($L281,'2-2 引出数据_合同数据仓库'!$B$2:$BP$1000,29,FALSE),0)</f>
        <v>0</v>
      </c>
      <c r="S281" s="125">
        <f>IFERROR(VLOOKUP($L281,'2-2 引出数据_合同数据仓库'!$B$2:$BP$1000,4,FALSE),0)</f>
        <v>0</v>
      </c>
      <c r="T281" s="125"/>
      <c r="U281" s="125">
        <f>IFERROR(VLOOKUP($L281,'2-2 引出数据_合同数据仓库'!$B$2:$BP$1000,15,FALSE),0)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引出数据_合同数据仓库'!$B$2:$BP$1000,3,FALSE),0)</f>
        <v>0</v>
      </c>
      <c r="N282" s="125"/>
      <c r="O282" s="151">
        <f>IFERROR(VLOOKUP((LEFT(VLOOKUP($L282,'2-2 引出数据_合同数据仓库'!$B$2:$BP$1000,64,FALSE),15)&amp;(RIGHT(VLOOKUP($L282,'2-2 引出数据_合同数据仓库'!$B$2:$BP$1000,64,FALSE),4)+1)),'2-2 引出数据_合同数据仓库'!$B$2:$BP$1000,3,FALSE),0)</f>
        <v>0</v>
      </c>
      <c r="P282" s="125"/>
      <c r="Q282" s="125">
        <f>IFERROR(VLOOKUP($L282,'2-2 引出数据_合同数据仓库'!$B$2:$BP$1000,28,FALSE),0)</f>
        <v>0</v>
      </c>
      <c r="R282" s="125">
        <f>IFERROR(VLOOKUP($L282,'2-2 引出数据_合同数据仓库'!$B$2:$BP$1000,29,FALSE),0)</f>
        <v>0</v>
      </c>
      <c r="S282" s="125">
        <f>IFERROR(VLOOKUP($L282,'2-2 引出数据_合同数据仓库'!$B$2:$BP$1000,4,FALSE),0)</f>
        <v>0</v>
      </c>
      <c r="T282" s="125"/>
      <c r="U282" s="125">
        <f>IFERROR(VLOOKUP($L282,'2-2 引出数据_合同数据仓库'!$B$2:$BP$1000,15,FALSE),0)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引出数据_合同数据仓库'!$B$2:$BP$1000,3,FALSE),0)</f>
        <v>0</v>
      </c>
      <c r="N283" s="125"/>
      <c r="O283" s="151">
        <f>IFERROR(VLOOKUP((LEFT(VLOOKUP($L283,'2-2 引出数据_合同数据仓库'!$B$2:$BP$1000,64,FALSE),15)&amp;(RIGHT(VLOOKUP($L283,'2-2 引出数据_合同数据仓库'!$B$2:$BP$1000,64,FALSE),4)+1)),'2-2 引出数据_合同数据仓库'!$B$2:$BP$1000,3,FALSE),0)</f>
        <v>0</v>
      </c>
      <c r="P283" s="125"/>
      <c r="Q283" s="125">
        <f>IFERROR(VLOOKUP($L283,'2-2 引出数据_合同数据仓库'!$B$2:$BP$1000,28,FALSE),0)</f>
        <v>0</v>
      </c>
      <c r="R283" s="125">
        <f>IFERROR(VLOOKUP($L283,'2-2 引出数据_合同数据仓库'!$B$2:$BP$1000,29,FALSE),0)</f>
        <v>0</v>
      </c>
      <c r="S283" s="125">
        <f>IFERROR(VLOOKUP($L283,'2-2 引出数据_合同数据仓库'!$B$2:$BP$1000,4,FALSE),0)</f>
        <v>0</v>
      </c>
      <c r="T283" s="125"/>
      <c r="U283" s="125">
        <f>IFERROR(VLOOKUP($L283,'2-2 引出数据_合同数据仓库'!$B$2:$BP$1000,15,FALSE),0)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customHeight="1" outlineLevel="4" spans="1:95">
      <c r="A284" s="126" t="s">
        <v>2821</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customHeight="1" outlineLevel="3" spans="1:95">
      <c r="A285" s="118"/>
      <c r="B285" s="119" t="s">
        <v>799</v>
      </c>
      <c r="C285" s="120" t="s">
        <v>1248</v>
      </c>
      <c r="D285" s="118" t="s">
        <v>1249</v>
      </c>
      <c r="E285" s="119" t="s">
        <v>1250</v>
      </c>
      <c r="F285" s="119"/>
      <c r="G285" s="119" t="s">
        <v>943</v>
      </c>
      <c r="H285" s="121">
        <f>X285+AA285+AD285+AG285+AJ285+AM285+AP285+AS285+AV285+AY285+BB285+BE285</f>
        <v>0</v>
      </c>
      <c r="I285" s="121">
        <f>Y285+AB285+AE285+AH285+AK285+AN285+AQ285+AT285+AW285+AZ285+BC285+BF285</f>
        <v>0</v>
      </c>
      <c r="J285" s="121">
        <f t="shared" si="3131"/>
        <v>0</v>
      </c>
      <c r="K285" s="121"/>
      <c r="L285" s="149"/>
      <c r="M285" s="149"/>
      <c r="N285" s="121"/>
      <c r="O285" s="121"/>
      <c r="P285" s="121"/>
      <c r="Q285" s="121"/>
      <c r="R285" s="121"/>
      <c r="S285" s="121"/>
      <c r="T285" s="121"/>
      <c r="U285" s="121"/>
      <c r="V285" s="121"/>
      <c r="W285" s="121"/>
      <c r="X285" s="121">
        <f>VLOOKUP($C285,'1 预算编制表单'!$C:$BJ,27,FALSE)</f>
        <v>0</v>
      </c>
      <c r="Y285" s="121">
        <f>X285-Z285</f>
        <v>0</v>
      </c>
      <c r="Z285" s="121">
        <f>SUM(Z286:Z290)</f>
        <v>0</v>
      </c>
      <c r="AA285" s="121">
        <f>VLOOKUP($C285,'1 预算编制表单'!$C:$BJ,30,FALSE)</f>
        <v>0</v>
      </c>
      <c r="AB285" s="121">
        <f>AA285-AC285</f>
        <v>0</v>
      </c>
      <c r="AC285" s="121">
        <f>SUM(AC286:AC290)</f>
        <v>0</v>
      </c>
      <c r="AD285" s="121">
        <f>VLOOKUP($C285,'1 预算编制表单'!$C:$BJ,33,FALSE)</f>
        <v>0</v>
      </c>
      <c r="AE285" s="121">
        <f>AD285-AF285</f>
        <v>0</v>
      </c>
      <c r="AF285" s="121">
        <f>SUM(AF286:AF290)</f>
        <v>0</v>
      </c>
      <c r="AG285" s="121">
        <f>VLOOKUP($C285,'1 预算编制表单'!$C:$BJ,36,FALSE)</f>
        <v>0</v>
      </c>
      <c r="AH285" s="121">
        <f>AG285-AI285</f>
        <v>0</v>
      </c>
      <c r="AI285" s="121">
        <f>SUM(AI286:AI290)</f>
        <v>0</v>
      </c>
      <c r="AJ285" s="121">
        <f>VLOOKUP($C285,'1 预算编制表单'!$C:$BJ,39,FALSE)</f>
        <v>0</v>
      </c>
      <c r="AK285" s="121">
        <f>AJ285-AL285</f>
        <v>0</v>
      </c>
      <c r="AL285" s="121">
        <f>SUM(AL286:AL290)</f>
        <v>0</v>
      </c>
      <c r="AM285" s="121">
        <f>VLOOKUP($C285,'1 预算编制表单'!$C:$BJ,42,FALSE)</f>
        <v>0</v>
      </c>
      <c r="AN285" s="121">
        <f>AM285-AO285</f>
        <v>0</v>
      </c>
      <c r="AO285" s="121">
        <f>SUM(AO286:AO290)</f>
        <v>0</v>
      </c>
      <c r="AP285" s="121">
        <f>VLOOKUP($C285,'1 预算编制表单'!$C:$BJ,45,FALSE)</f>
        <v>0</v>
      </c>
      <c r="AQ285" s="121">
        <f>AP285-AR285</f>
        <v>0</v>
      </c>
      <c r="AR285" s="121">
        <f>SUM(AR286:AR290)</f>
        <v>0</v>
      </c>
      <c r="AS285" s="121">
        <f>VLOOKUP($C285,'1 预算编制表单'!$C:$BJ,48,FALSE)</f>
        <v>0</v>
      </c>
      <c r="AT285" s="121">
        <f>AS285-AU285</f>
        <v>0</v>
      </c>
      <c r="AU285" s="121">
        <f>SUM(AU286:AU290)</f>
        <v>0</v>
      </c>
      <c r="AV285" s="121">
        <f>VLOOKUP($C285,'1 预算编制表单'!$C:$BJ,51,FALSE)</f>
        <v>0</v>
      </c>
      <c r="AW285" s="121">
        <f>AV285-AX285</f>
        <v>0</v>
      </c>
      <c r="AX285" s="121">
        <f>SUM(AX286:AX290)</f>
        <v>0</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customHeight="1" outlineLevel="4" spans="1:95">
      <c r="A286" s="122"/>
      <c r="B286" s="123"/>
      <c r="C286" s="124"/>
      <c r="D286" s="122"/>
      <c r="E286" s="123"/>
      <c r="F286" s="123"/>
      <c r="G286" s="123"/>
      <c r="H286" s="125"/>
      <c r="I286" s="125"/>
      <c r="J286" s="125">
        <f t="shared" si="3131"/>
        <v>0</v>
      </c>
      <c r="K286" s="125">
        <v>1</v>
      </c>
      <c r="L286" s="150"/>
      <c r="M286" s="151">
        <f>IFERROR(VLOOKUP($L286,'2-2 引出数据_合同数据仓库'!$B$2:$BP$1000,3,FALSE),0)</f>
        <v>0</v>
      </c>
      <c r="N286" s="125"/>
      <c r="O286" s="151">
        <f>IFERROR(VLOOKUP((LEFT(VLOOKUP($L286,'2-2 引出数据_合同数据仓库'!$B$2:$BP$1000,64,FALSE),15)&amp;(RIGHT(VLOOKUP($L286,'2-2 引出数据_合同数据仓库'!$B$2:$BP$1000,64,FALSE),4)+1)),'2-2 引出数据_合同数据仓库'!$B$2:$BP$1000,3,FALSE),0)</f>
        <v>0</v>
      </c>
      <c r="P286" s="125"/>
      <c r="Q286" s="125">
        <f>IFERROR(VLOOKUP($L286,'2-2 引出数据_合同数据仓库'!$B$2:$BP$1000,28,FALSE),0)</f>
        <v>0</v>
      </c>
      <c r="R286" s="125">
        <f>IFERROR(VLOOKUP($L286,'2-2 引出数据_合同数据仓库'!$B$2:$BP$1000,29,FALSE),0)</f>
        <v>0</v>
      </c>
      <c r="S286" s="125">
        <f>IFERROR(VLOOKUP($L286,'2-2 引出数据_合同数据仓库'!$B$2:$BP$1000,4,FALSE),0)</f>
        <v>0</v>
      </c>
      <c r="T286" s="125"/>
      <c r="U286" s="125">
        <f>IFERROR(VLOOKUP($L286,'2-2 引出数据_合同数据仓库'!$B$2:$BP$1000,15,FALSE),0)</f>
        <v>0</v>
      </c>
      <c r="V286" s="125">
        <f t="shared" ref="V286:V289" si="3349">U286/(S286-R286+1)*365</f>
        <v>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0</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0</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0</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0</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0</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0</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0</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0</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0</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引出数据_合同数据仓库'!$B$2:$BP$1000,3,FALSE),0)</f>
        <v>0</v>
      </c>
      <c r="N287" s="125"/>
      <c r="O287" s="151">
        <f>IFERROR(VLOOKUP((LEFT(VLOOKUP($L287,'2-2 引出数据_合同数据仓库'!$B$2:$BP$1000,64,FALSE),15)&amp;(RIGHT(VLOOKUP($L287,'2-2 引出数据_合同数据仓库'!$B$2:$BP$1000,64,FALSE),4)+1)),'2-2 引出数据_合同数据仓库'!$B$2:$BP$1000,3,FALSE),0)</f>
        <v>0</v>
      </c>
      <c r="P287" s="125"/>
      <c r="Q287" s="125">
        <f>IFERROR(VLOOKUP($L287,'2-2 引出数据_合同数据仓库'!$B$2:$BP$1000,28,FALSE),0)</f>
        <v>0</v>
      </c>
      <c r="R287" s="125">
        <f>IFERROR(VLOOKUP($L287,'2-2 引出数据_合同数据仓库'!$B$2:$BP$1000,29,FALSE),0)</f>
        <v>0</v>
      </c>
      <c r="S287" s="125">
        <f>IFERROR(VLOOKUP($L287,'2-2 引出数据_合同数据仓库'!$B$2:$BP$1000,4,FALSE),0)</f>
        <v>0</v>
      </c>
      <c r="T287" s="125"/>
      <c r="U287" s="125">
        <f>IFERROR(VLOOKUP($L287,'2-2 引出数据_合同数据仓库'!$B$2:$BP$1000,15,FALSE),0)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引出数据_合同数据仓库'!$B$2:$BP$1000,3,FALSE),0)</f>
        <v>0</v>
      </c>
      <c r="N288" s="125"/>
      <c r="O288" s="151">
        <f>IFERROR(VLOOKUP((LEFT(VLOOKUP($L288,'2-2 引出数据_合同数据仓库'!$B$2:$BP$1000,64,FALSE),15)&amp;(RIGHT(VLOOKUP($L288,'2-2 引出数据_合同数据仓库'!$B$2:$BP$1000,64,FALSE),4)+1)),'2-2 引出数据_合同数据仓库'!$B$2:$BP$1000,3,FALSE),0)</f>
        <v>0</v>
      </c>
      <c r="P288" s="125"/>
      <c r="Q288" s="125">
        <f>IFERROR(VLOOKUP($L288,'2-2 引出数据_合同数据仓库'!$B$2:$BP$1000,28,FALSE),0)</f>
        <v>0</v>
      </c>
      <c r="R288" s="125">
        <f>IFERROR(VLOOKUP($L288,'2-2 引出数据_合同数据仓库'!$B$2:$BP$1000,29,FALSE),0)</f>
        <v>0</v>
      </c>
      <c r="S288" s="125">
        <f>IFERROR(VLOOKUP($L288,'2-2 引出数据_合同数据仓库'!$B$2:$BP$1000,4,FALSE),0)</f>
        <v>0</v>
      </c>
      <c r="T288" s="125"/>
      <c r="U288" s="125">
        <f>IFERROR(VLOOKUP($L288,'2-2 引出数据_合同数据仓库'!$B$2:$BP$1000,15,FALSE),0)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引出数据_合同数据仓库'!$B$2:$BP$1000,3,FALSE),0)</f>
        <v>0</v>
      </c>
      <c r="N289" s="125"/>
      <c r="O289" s="151">
        <f>IFERROR(VLOOKUP((LEFT(VLOOKUP($L289,'2-2 引出数据_合同数据仓库'!$B$2:$BP$1000,64,FALSE),15)&amp;(RIGHT(VLOOKUP($L289,'2-2 引出数据_合同数据仓库'!$B$2:$BP$1000,64,FALSE),4)+1)),'2-2 引出数据_合同数据仓库'!$B$2:$BP$1000,3,FALSE),0)</f>
        <v>0</v>
      </c>
      <c r="P289" s="125"/>
      <c r="Q289" s="125">
        <f>IFERROR(VLOOKUP($L289,'2-2 引出数据_合同数据仓库'!$B$2:$BP$1000,28,FALSE),0)</f>
        <v>0</v>
      </c>
      <c r="R289" s="125">
        <f>IFERROR(VLOOKUP($L289,'2-2 引出数据_合同数据仓库'!$B$2:$BP$1000,29,FALSE),0)</f>
        <v>0</v>
      </c>
      <c r="S289" s="125">
        <f>IFERROR(VLOOKUP($L289,'2-2 引出数据_合同数据仓库'!$B$2:$BP$1000,4,FALSE),0)</f>
        <v>0</v>
      </c>
      <c r="T289" s="125"/>
      <c r="U289" s="125">
        <f>IFERROR(VLOOKUP($L289,'2-2 引出数据_合同数据仓库'!$B$2:$BP$1000,15,FALSE),0)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customHeight="1" outlineLevel="4" spans="1:95">
      <c r="A290" s="126" t="s">
        <v>2821</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customHeight="1" outlineLevel="3" spans="1:95">
      <c r="A291" s="118"/>
      <c r="B291" s="119" t="s">
        <v>799</v>
      </c>
      <c r="C291" s="120" t="s">
        <v>1251</v>
      </c>
      <c r="D291" s="118" t="s">
        <v>1252</v>
      </c>
      <c r="E291" s="119"/>
      <c r="F291" s="119"/>
      <c r="G291" s="119" t="s">
        <v>943</v>
      </c>
      <c r="H291" s="121">
        <f>X291+AA291+AD291+AG291+AJ291+AM291+AP291+AS291+AV291+AY291+BB291+BE291</f>
        <v>0</v>
      </c>
      <c r="I291" s="121">
        <f>Y291+AB291+AE291+AH291+AK291+AN291+AQ291+AT291+AW291+AZ291+BC291+BF291</f>
        <v>0</v>
      </c>
      <c r="J291" s="121">
        <f t="shared" si="3131"/>
        <v>0</v>
      </c>
      <c r="K291" s="121"/>
      <c r="L291" s="149"/>
      <c r="M291" s="149"/>
      <c r="N291" s="121"/>
      <c r="O291" s="121"/>
      <c r="P291" s="121"/>
      <c r="Q291" s="121"/>
      <c r="R291" s="121"/>
      <c r="S291" s="121"/>
      <c r="T291" s="121"/>
      <c r="U291" s="121"/>
      <c r="V291" s="121"/>
      <c r="W291" s="121"/>
      <c r="X291" s="121">
        <f>VLOOKUP($C291,'1 预算编制表单'!$C:$BJ,27,FALSE)</f>
        <v>0</v>
      </c>
      <c r="Y291" s="121">
        <f>X291-Z291</f>
        <v>0</v>
      </c>
      <c r="Z291" s="121">
        <f>SUM(Z292:Z296)</f>
        <v>0</v>
      </c>
      <c r="AA291" s="121">
        <f>VLOOKUP($C291,'1 预算编制表单'!$C:$BJ,30,FALSE)</f>
        <v>0</v>
      </c>
      <c r="AB291" s="121">
        <f>AA291-AC291</f>
        <v>0</v>
      </c>
      <c r="AC291" s="121">
        <f>SUM(AC292:AC296)</f>
        <v>0</v>
      </c>
      <c r="AD291" s="121">
        <f>VLOOKUP($C291,'1 预算编制表单'!$C:$BJ,33,FALSE)</f>
        <v>0</v>
      </c>
      <c r="AE291" s="121">
        <f>AD291-AF291</f>
        <v>0</v>
      </c>
      <c r="AF291" s="121">
        <f>SUM(AF292:AF296)</f>
        <v>0</v>
      </c>
      <c r="AG291" s="121">
        <f>VLOOKUP($C291,'1 预算编制表单'!$C:$BJ,36,FALSE)</f>
        <v>0</v>
      </c>
      <c r="AH291" s="121">
        <f>AG291-AI291</f>
        <v>0</v>
      </c>
      <c r="AI291" s="121">
        <f>SUM(AI292:AI296)</f>
        <v>0</v>
      </c>
      <c r="AJ291" s="121">
        <f>VLOOKUP($C291,'1 预算编制表单'!$C:$BJ,39,FALSE)</f>
        <v>0</v>
      </c>
      <c r="AK291" s="121">
        <f>AJ291-AL291</f>
        <v>0</v>
      </c>
      <c r="AL291" s="121">
        <f>SUM(AL292:AL296)</f>
        <v>0</v>
      </c>
      <c r="AM291" s="121">
        <f>VLOOKUP($C291,'1 预算编制表单'!$C:$BJ,42,FALSE)</f>
        <v>0</v>
      </c>
      <c r="AN291" s="121">
        <f>AM291-AO291</f>
        <v>0</v>
      </c>
      <c r="AO291" s="121">
        <f>SUM(AO292:AO296)</f>
        <v>0</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customHeight="1" outlineLevel="4" spans="1:95">
      <c r="A292" s="122"/>
      <c r="B292" s="123"/>
      <c r="C292" s="124"/>
      <c r="D292" s="122"/>
      <c r="E292" s="123"/>
      <c r="F292" s="123"/>
      <c r="G292" s="123"/>
      <c r="H292" s="125"/>
      <c r="I292" s="125"/>
      <c r="J292" s="125">
        <f t="shared" si="3131"/>
        <v>0</v>
      </c>
      <c r="K292" s="125">
        <v>1</v>
      </c>
      <c r="L292" s="150"/>
      <c r="M292" s="151">
        <f>IFERROR(VLOOKUP($L292,'2-2 引出数据_合同数据仓库'!$B$2:$BP$1000,3,FALSE),0)</f>
        <v>0</v>
      </c>
      <c r="N292" s="125"/>
      <c r="O292" s="151">
        <f>IFERROR(VLOOKUP((LEFT(VLOOKUP($L292,'2-2 引出数据_合同数据仓库'!$B$2:$BP$1000,64,FALSE),15)&amp;(RIGHT(VLOOKUP($L292,'2-2 引出数据_合同数据仓库'!$B$2:$BP$1000,64,FALSE),4)+1)),'2-2 引出数据_合同数据仓库'!$B$2:$BP$1000,3,FALSE),0)</f>
        <v>0</v>
      </c>
      <c r="P292" s="125"/>
      <c r="Q292" s="125">
        <f>IFERROR(VLOOKUP($L292,'2-2 引出数据_合同数据仓库'!$B$2:$BP$1000,28,FALSE),0)</f>
        <v>0</v>
      </c>
      <c r="R292" s="125">
        <f>IFERROR(VLOOKUP($L292,'2-2 引出数据_合同数据仓库'!$B$2:$BP$1000,29,FALSE),0)</f>
        <v>0</v>
      </c>
      <c r="S292" s="125">
        <f>IFERROR(VLOOKUP($L292,'2-2 引出数据_合同数据仓库'!$B$2:$BP$1000,4,FALSE),0)</f>
        <v>0</v>
      </c>
      <c r="T292" s="125"/>
      <c r="U292" s="125">
        <f>IFERROR(VLOOKUP($L292,'2-2 引出数据_合同数据仓库'!$B$2:$BP$1000,15,FALSE),0)</f>
        <v>0</v>
      </c>
      <c r="V292" s="125">
        <f t="shared" ref="V292:V295" si="3421">U292/(S292-R292+1)*365</f>
        <v>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0</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0</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0</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0</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0</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0</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引出数据_合同数据仓库'!$B$2:$BP$1000,3,FALSE),0)</f>
        <v>0</v>
      </c>
      <c r="N293" s="125"/>
      <c r="O293" s="151">
        <f>IFERROR(VLOOKUP((LEFT(VLOOKUP($L293,'2-2 引出数据_合同数据仓库'!$B$2:$BP$1000,64,FALSE),15)&amp;(RIGHT(VLOOKUP($L293,'2-2 引出数据_合同数据仓库'!$B$2:$BP$1000,64,FALSE),4)+1)),'2-2 引出数据_合同数据仓库'!$B$2:$BP$1000,3,FALSE),0)</f>
        <v>0</v>
      </c>
      <c r="P293" s="125"/>
      <c r="Q293" s="125">
        <f>IFERROR(VLOOKUP($L293,'2-2 引出数据_合同数据仓库'!$B$2:$BP$1000,28,FALSE),0)</f>
        <v>0</v>
      </c>
      <c r="R293" s="125">
        <f>IFERROR(VLOOKUP($L293,'2-2 引出数据_合同数据仓库'!$B$2:$BP$1000,29,FALSE),0)</f>
        <v>0</v>
      </c>
      <c r="S293" s="125">
        <f>IFERROR(VLOOKUP($L293,'2-2 引出数据_合同数据仓库'!$B$2:$BP$1000,4,FALSE),0)</f>
        <v>0</v>
      </c>
      <c r="T293" s="125"/>
      <c r="U293" s="125">
        <f>IFERROR(VLOOKUP($L293,'2-2 引出数据_合同数据仓库'!$B$2:$BP$1000,15,FALSE),0)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引出数据_合同数据仓库'!$B$2:$BP$1000,3,FALSE),0)</f>
        <v>0</v>
      </c>
      <c r="N294" s="125"/>
      <c r="O294" s="151">
        <f>IFERROR(VLOOKUP((LEFT(VLOOKUP($L294,'2-2 引出数据_合同数据仓库'!$B$2:$BP$1000,64,FALSE),15)&amp;(RIGHT(VLOOKUP($L294,'2-2 引出数据_合同数据仓库'!$B$2:$BP$1000,64,FALSE),4)+1)),'2-2 引出数据_合同数据仓库'!$B$2:$BP$1000,3,FALSE),0)</f>
        <v>0</v>
      </c>
      <c r="P294" s="125"/>
      <c r="Q294" s="125">
        <f>IFERROR(VLOOKUP($L294,'2-2 引出数据_合同数据仓库'!$B$2:$BP$1000,28,FALSE),0)</f>
        <v>0</v>
      </c>
      <c r="R294" s="125">
        <f>IFERROR(VLOOKUP($L294,'2-2 引出数据_合同数据仓库'!$B$2:$BP$1000,29,FALSE),0)</f>
        <v>0</v>
      </c>
      <c r="S294" s="125">
        <f>IFERROR(VLOOKUP($L294,'2-2 引出数据_合同数据仓库'!$B$2:$BP$1000,4,FALSE),0)</f>
        <v>0</v>
      </c>
      <c r="T294" s="125"/>
      <c r="U294" s="125">
        <f>IFERROR(VLOOKUP($L294,'2-2 引出数据_合同数据仓库'!$B$2:$BP$1000,15,FALSE),0)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引出数据_合同数据仓库'!$B$2:$BP$1000,3,FALSE),0)</f>
        <v>0</v>
      </c>
      <c r="N295" s="125"/>
      <c r="O295" s="151">
        <f>IFERROR(VLOOKUP((LEFT(VLOOKUP($L295,'2-2 引出数据_合同数据仓库'!$B$2:$BP$1000,64,FALSE),15)&amp;(RIGHT(VLOOKUP($L295,'2-2 引出数据_合同数据仓库'!$B$2:$BP$1000,64,FALSE),4)+1)),'2-2 引出数据_合同数据仓库'!$B$2:$BP$1000,3,FALSE),0)</f>
        <v>0</v>
      </c>
      <c r="P295" s="125"/>
      <c r="Q295" s="125">
        <f>IFERROR(VLOOKUP($L295,'2-2 引出数据_合同数据仓库'!$B$2:$BP$1000,28,FALSE),0)</f>
        <v>0</v>
      </c>
      <c r="R295" s="125">
        <f>IFERROR(VLOOKUP($L295,'2-2 引出数据_合同数据仓库'!$B$2:$BP$1000,29,FALSE),0)</f>
        <v>0</v>
      </c>
      <c r="S295" s="125">
        <f>IFERROR(VLOOKUP($L295,'2-2 引出数据_合同数据仓库'!$B$2:$BP$1000,4,FALSE),0)</f>
        <v>0</v>
      </c>
      <c r="T295" s="125"/>
      <c r="U295" s="125">
        <f>IFERROR(VLOOKUP($L295,'2-2 引出数据_合同数据仓库'!$B$2:$BP$1000,15,FALSE),0)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customHeight="1" outlineLevel="4" spans="1:95">
      <c r="A296" s="126" t="s">
        <v>2821</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customHeight="1" outlineLevel="3" spans="1:95">
      <c r="A297" s="118"/>
      <c r="B297" s="119" t="s">
        <v>799</v>
      </c>
      <c r="C297" s="120" t="s">
        <v>1253</v>
      </c>
      <c r="D297" s="118" t="s">
        <v>1254</v>
      </c>
      <c r="E297" s="119" t="s">
        <v>1255</v>
      </c>
      <c r="F297" s="119"/>
      <c r="G297" s="119" t="s">
        <v>943</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引出数据_合同数据仓库'!$B$2:$BP$1000,3,FALSE),0)</f>
        <v>0</v>
      </c>
      <c r="N298" s="125"/>
      <c r="O298" s="151">
        <f>IFERROR(VLOOKUP((LEFT(VLOOKUP($L298,'2-2 引出数据_合同数据仓库'!$B$2:$BP$1000,64,FALSE),15)&amp;(RIGHT(VLOOKUP($L298,'2-2 引出数据_合同数据仓库'!$B$2:$BP$1000,64,FALSE),4)+1)),'2-2 引出数据_合同数据仓库'!$B$2:$BP$1000,3,FALSE),0)</f>
        <v>0</v>
      </c>
      <c r="P298" s="125"/>
      <c r="Q298" s="125">
        <f>IFERROR(VLOOKUP($L298,'2-2 引出数据_合同数据仓库'!$B$2:$BP$1000,28,FALSE),0)</f>
        <v>0</v>
      </c>
      <c r="R298" s="125">
        <f>IFERROR(VLOOKUP($L298,'2-2 引出数据_合同数据仓库'!$B$2:$BP$1000,29,FALSE),0)</f>
        <v>0</v>
      </c>
      <c r="S298" s="125">
        <f>IFERROR(VLOOKUP($L298,'2-2 引出数据_合同数据仓库'!$B$2:$BP$1000,4,FALSE),0)</f>
        <v>0</v>
      </c>
      <c r="T298" s="125"/>
      <c r="U298" s="125">
        <f>IFERROR(VLOOKUP($L298,'2-2 引出数据_合同数据仓库'!$B$2:$BP$1000,15,FALSE),0)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引出数据_合同数据仓库'!$B$2:$BP$1000,3,FALSE),0)</f>
        <v>0</v>
      </c>
      <c r="N299" s="125"/>
      <c r="O299" s="151">
        <f>IFERROR(VLOOKUP((LEFT(VLOOKUP($L299,'2-2 引出数据_合同数据仓库'!$B$2:$BP$1000,64,FALSE),15)&amp;(RIGHT(VLOOKUP($L299,'2-2 引出数据_合同数据仓库'!$B$2:$BP$1000,64,FALSE),4)+1)),'2-2 引出数据_合同数据仓库'!$B$2:$BP$1000,3,FALSE),0)</f>
        <v>0</v>
      </c>
      <c r="P299" s="125"/>
      <c r="Q299" s="125">
        <f>IFERROR(VLOOKUP($L299,'2-2 引出数据_合同数据仓库'!$B$2:$BP$1000,28,FALSE),0)</f>
        <v>0</v>
      </c>
      <c r="R299" s="125">
        <f>IFERROR(VLOOKUP($L299,'2-2 引出数据_合同数据仓库'!$B$2:$BP$1000,29,FALSE),0)</f>
        <v>0</v>
      </c>
      <c r="S299" s="125">
        <f>IFERROR(VLOOKUP($L299,'2-2 引出数据_合同数据仓库'!$B$2:$BP$1000,4,FALSE),0)</f>
        <v>0</v>
      </c>
      <c r="T299" s="125"/>
      <c r="U299" s="125">
        <f>IFERROR(VLOOKUP($L299,'2-2 引出数据_合同数据仓库'!$B$2:$BP$1000,15,FALSE),0)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引出数据_合同数据仓库'!$B$2:$BP$1000,3,FALSE),0)</f>
        <v>0</v>
      </c>
      <c r="N300" s="125"/>
      <c r="O300" s="151">
        <f>IFERROR(VLOOKUP((LEFT(VLOOKUP($L300,'2-2 引出数据_合同数据仓库'!$B$2:$BP$1000,64,FALSE),15)&amp;(RIGHT(VLOOKUP($L300,'2-2 引出数据_合同数据仓库'!$B$2:$BP$1000,64,FALSE),4)+1)),'2-2 引出数据_合同数据仓库'!$B$2:$BP$1000,3,FALSE),0)</f>
        <v>0</v>
      </c>
      <c r="P300" s="125"/>
      <c r="Q300" s="125">
        <f>IFERROR(VLOOKUP($L300,'2-2 引出数据_合同数据仓库'!$B$2:$BP$1000,28,FALSE),0)</f>
        <v>0</v>
      </c>
      <c r="R300" s="125">
        <f>IFERROR(VLOOKUP($L300,'2-2 引出数据_合同数据仓库'!$B$2:$BP$1000,29,FALSE),0)</f>
        <v>0</v>
      </c>
      <c r="S300" s="125">
        <f>IFERROR(VLOOKUP($L300,'2-2 引出数据_合同数据仓库'!$B$2:$BP$1000,4,FALSE),0)</f>
        <v>0</v>
      </c>
      <c r="T300" s="125"/>
      <c r="U300" s="125">
        <f>IFERROR(VLOOKUP($L300,'2-2 引出数据_合同数据仓库'!$B$2:$BP$1000,15,FALSE),0)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引出数据_合同数据仓库'!$B$2:$BP$1000,3,FALSE),0)</f>
        <v>0</v>
      </c>
      <c r="N301" s="125"/>
      <c r="O301" s="151">
        <f>IFERROR(VLOOKUP((LEFT(VLOOKUP($L301,'2-2 引出数据_合同数据仓库'!$B$2:$BP$1000,64,FALSE),15)&amp;(RIGHT(VLOOKUP($L301,'2-2 引出数据_合同数据仓库'!$B$2:$BP$1000,64,FALSE),4)+1)),'2-2 引出数据_合同数据仓库'!$B$2:$BP$1000,3,FALSE),0)</f>
        <v>0</v>
      </c>
      <c r="P301" s="125"/>
      <c r="Q301" s="125">
        <f>IFERROR(VLOOKUP($L301,'2-2 引出数据_合同数据仓库'!$B$2:$BP$1000,28,FALSE),0)</f>
        <v>0</v>
      </c>
      <c r="R301" s="125">
        <f>IFERROR(VLOOKUP($L301,'2-2 引出数据_合同数据仓库'!$B$2:$BP$1000,29,FALSE),0)</f>
        <v>0</v>
      </c>
      <c r="S301" s="125">
        <f>IFERROR(VLOOKUP($L301,'2-2 引出数据_合同数据仓库'!$B$2:$BP$1000,4,FALSE),0)</f>
        <v>0</v>
      </c>
      <c r="T301" s="125"/>
      <c r="U301" s="125">
        <f>IFERROR(VLOOKUP($L301,'2-2 引出数据_合同数据仓库'!$B$2:$BP$1000,15,FALSE),0)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customHeight="1" outlineLevel="4" spans="1:95">
      <c r="A302" s="126" t="s">
        <v>2821</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customHeight="1" outlineLevel="3" spans="1:95">
      <c r="A303" s="118"/>
      <c r="B303" s="119" t="s">
        <v>799</v>
      </c>
      <c r="C303" s="120" t="s">
        <v>1256</v>
      </c>
      <c r="D303" s="118" t="s">
        <v>1257</v>
      </c>
      <c r="E303" s="119" t="s">
        <v>1258</v>
      </c>
      <c r="F303" s="119"/>
      <c r="G303" s="119" t="s">
        <v>943</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引出数据_合同数据仓库'!$B$2:$BP$1000,3,FALSE),0)</f>
        <v>0</v>
      </c>
      <c r="N304" s="125"/>
      <c r="O304" s="151">
        <f>IFERROR(VLOOKUP((LEFT(VLOOKUP($L304,'2-2 引出数据_合同数据仓库'!$B$2:$BP$1000,64,FALSE),15)&amp;(RIGHT(VLOOKUP($L304,'2-2 引出数据_合同数据仓库'!$B$2:$BP$1000,64,FALSE),4)+1)),'2-2 引出数据_合同数据仓库'!$B$2:$BP$1000,3,FALSE),0)</f>
        <v>0</v>
      </c>
      <c r="P304" s="125"/>
      <c r="Q304" s="125">
        <f>IFERROR(VLOOKUP($L304,'2-2 引出数据_合同数据仓库'!$B$2:$BP$1000,28,FALSE),0)</f>
        <v>0</v>
      </c>
      <c r="R304" s="125">
        <f>IFERROR(VLOOKUP($L304,'2-2 引出数据_合同数据仓库'!$B$2:$BP$1000,29,FALSE),0)</f>
        <v>0</v>
      </c>
      <c r="S304" s="125">
        <f>IFERROR(VLOOKUP($L304,'2-2 引出数据_合同数据仓库'!$B$2:$BP$1000,4,FALSE),0)</f>
        <v>0</v>
      </c>
      <c r="T304" s="125"/>
      <c r="U304" s="125">
        <f>IFERROR(VLOOKUP($L304,'2-2 引出数据_合同数据仓库'!$B$2:$BP$1000,15,FALSE),0)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引出数据_合同数据仓库'!$B$2:$BP$1000,3,FALSE),0)</f>
        <v>0</v>
      </c>
      <c r="N305" s="125"/>
      <c r="O305" s="151">
        <f>IFERROR(VLOOKUP((LEFT(VLOOKUP($L305,'2-2 引出数据_合同数据仓库'!$B$2:$BP$1000,64,FALSE),15)&amp;(RIGHT(VLOOKUP($L305,'2-2 引出数据_合同数据仓库'!$B$2:$BP$1000,64,FALSE),4)+1)),'2-2 引出数据_合同数据仓库'!$B$2:$BP$1000,3,FALSE),0)</f>
        <v>0</v>
      </c>
      <c r="P305" s="125"/>
      <c r="Q305" s="125">
        <f>IFERROR(VLOOKUP($L305,'2-2 引出数据_合同数据仓库'!$B$2:$BP$1000,28,FALSE),0)</f>
        <v>0</v>
      </c>
      <c r="R305" s="125">
        <f>IFERROR(VLOOKUP($L305,'2-2 引出数据_合同数据仓库'!$B$2:$BP$1000,29,FALSE),0)</f>
        <v>0</v>
      </c>
      <c r="S305" s="125">
        <f>IFERROR(VLOOKUP($L305,'2-2 引出数据_合同数据仓库'!$B$2:$BP$1000,4,FALSE),0)</f>
        <v>0</v>
      </c>
      <c r="T305" s="125"/>
      <c r="U305" s="125">
        <f>IFERROR(VLOOKUP($L305,'2-2 引出数据_合同数据仓库'!$B$2:$BP$1000,15,FALSE),0)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引出数据_合同数据仓库'!$B$2:$BP$1000,3,FALSE),0)</f>
        <v>0</v>
      </c>
      <c r="N306" s="125"/>
      <c r="O306" s="151">
        <f>IFERROR(VLOOKUP((LEFT(VLOOKUP($L306,'2-2 引出数据_合同数据仓库'!$B$2:$BP$1000,64,FALSE),15)&amp;(RIGHT(VLOOKUP($L306,'2-2 引出数据_合同数据仓库'!$B$2:$BP$1000,64,FALSE),4)+1)),'2-2 引出数据_合同数据仓库'!$B$2:$BP$1000,3,FALSE),0)</f>
        <v>0</v>
      </c>
      <c r="P306" s="125"/>
      <c r="Q306" s="125">
        <f>IFERROR(VLOOKUP($L306,'2-2 引出数据_合同数据仓库'!$B$2:$BP$1000,28,FALSE),0)</f>
        <v>0</v>
      </c>
      <c r="R306" s="125">
        <f>IFERROR(VLOOKUP($L306,'2-2 引出数据_合同数据仓库'!$B$2:$BP$1000,29,FALSE),0)</f>
        <v>0</v>
      </c>
      <c r="S306" s="125">
        <f>IFERROR(VLOOKUP($L306,'2-2 引出数据_合同数据仓库'!$B$2:$BP$1000,4,FALSE),0)</f>
        <v>0</v>
      </c>
      <c r="T306" s="125"/>
      <c r="U306" s="125">
        <f>IFERROR(VLOOKUP($L306,'2-2 引出数据_合同数据仓库'!$B$2:$BP$1000,15,FALSE),0)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引出数据_合同数据仓库'!$B$2:$BP$1000,3,FALSE),0)</f>
        <v>0</v>
      </c>
      <c r="N307" s="125"/>
      <c r="O307" s="151">
        <f>IFERROR(VLOOKUP((LEFT(VLOOKUP($L307,'2-2 引出数据_合同数据仓库'!$B$2:$BP$1000,64,FALSE),15)&amp;(RIGHT(VLOOKUP($L307,'2-2 引出数据_合同数据仓库'!$B$2:$BP$1000,64,FALSE),4)+1)),'2-2 引出数据_合同数据仓库'!$B$2:$BP$1000,3,FALSE),0)</f>
        <v>0</v>
      </c>
      <c r="P307" s="125"/>
      <c r="Q307" s="125">
        <f>IFERROR(VLOOKUP($L307,'2-2 引出数据_合同数据仓库'!$B$2:$BP$1000,28,FALSE),0)</f>
        <v>0</v>
      </c>
      <c r="R307" s="125">
        <f>IFERROR(VLOOKUP($L307,'2-2 引出数据_合同数据仓库'!$B$2:$BP$1000,29,FALSE),0)</f>
        <v>0</v>
      </c>
      <c r="S307" s="125">
        <f>IFERROR(VLOOKUP($L307,'2-2 引出数据_合同数据仓库'!$B$2:$BP$1000,4,FALSE),0)</f>
        <v>0</v>
      </c>
      <c r="T307" s="125"/>
      <c r="U307" s="125">
        <f>IFERROR(VLOOKUP($L307,'2-2 引出数据_合同数据仓库'!$B$2:$BP$1000,15,FALSE),0)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customHeight="1" outlineLevel="4" spans="1:95">
      <c r="A308" s="126" t="s">
        <v>2821</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customHeight="1" outlineLevel="3" spans="1:95">
      <c r="A309" s="118"/>
      <c r="B309" s="119" t="s">
        <v>799</v>
      </c>
      <c r="C309" s="120" t="s">
        <v>1259</v>
      </c>
      <c r="D309" s="118" t="s">
        <v>1260</v>
      </c>
      <c r="E309" s="119" t="s">
        <v>1261</v>
      </c>
      <c r="F309" s="119"/>
      <c r="G309" s="119" t="s">
        <v>943</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引出数据_合同数据仓库'!$B$2:$BP$1000,3,FALSE),0)</f>
        <v>0</v>
      </c>
      <c r="N310" s="125"/>
      <c r="O310" s="151">
        <f>IFERROR(VLOOKUP((LEFT(VLOOKUP($L310,'2-2 引出数据_合同数据仓库'!$B$2:$BP$1000,64,FALSE),15)&amp;(RIGHT(VLOOKUP($L310,'2-2 引出数据_合同数据仓库'!$B$2:$BP$1000,64,FALSE),4)+1)),'2-2 引出数据_合同数据仓库'!$B$2:$BP$1000,3,FALSE),0)</f>
        <v>0</v>
      </c>
      <c r="P310" s="125"/>
      <c r="Q310" s="125">
        <f>IFERROR(VLOOKUP($L310,'2-2 引出数据_合同数据仓库'!$B$2:$BP$1000,28,FALSE),0)</f>
        <v>0</v>
      </c>
      <c r="R310" s="125">
        <f>IFERROR(VLOOKUP($L310,'2-2 引出数据_合同数据仓库'!$B$2:$BP$1000,29,FALSE),0)</f>
        <v>0</v>
      </c>
      <c r="S310" s="125">
        <f>IFERROR(VLOOKUP($L310,'2-2 引出数据_合同数据仓库'!$B$2:$BP$1000,4,FALSE),0)</f>
        <v>0</v>
      </c>
      <c r="T310" s="125"/>
      <c r="U310" s="125">
        <f>IFERROR(VLOOKUP($L310,'2-2 引出数据_合同数据仓库'!$B$2:$BP$1000,15,FALSE),0)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引出数据_合同数据仓库'!$B$2:$BP$1000,3,FALSE),0)</f>
        <v>0</v>
      </c>
      <c r="N311" s="125"/>
      <c r="O311" s="151">
        <f>IFERROR(VLOOKUP((LEFT(VLOOKUP($L311,'2-2 引出数据_合同数据仓库'!$B$2:$BP$1000,64,FALSE),15)&amp;(RIGHT(VLOOKUP($L311,'2-2 引出数据_合同数据仓库'!$B$2:$BP$1000,64,FALSE),4)+1)),'2-2 引出数据_合同数据仓库'!$B$2:$BP$1000,3,FALSE),0)</f>
        <v>0</v>
      </c>
      <c r="P311" s="125"/>
      <c r="Q311" s="125">
        <f>IFERROR(VLOOKUP($L311,'2-2 引出数据_合同数据仓库'!$B$2:$BP$1000,28,FALSE),0)</f>
        <v>0</v>
      </c>
      <c r="R311" s="125">
        <f>IFERROR(VLOOKUP($L311,'2-2 引出数据_合同数据仓库'!$B$2:$BP$1000,29,FALSE),0)</f>
        <v>0</v>
      </c>
      <c r="S311" s="125">
        <f>IFERROR(VLOOKUP($L311,'2-2 引出数据_合同数据仓库'!$B$2:$BP$1000,4,FALSE),0)</f>
        <v>0</v>
      </c>
      <c r="T311" s="125"/>
      <c r="U311" s="125">
        <f>IFERROR(VLOOKUP($L311,'2-2 引出数据_合同数据仓库'!$B$2:$BP$1000,15,FALSE),0)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引出数据_合同数据仓库'!$B$2:$BP$1000,3,FALSE),0)</f>
        <v>0</v>
      </c>
      <c r="N312" s="125"/>
      <c r="O312" s="151">
        <f>IFERROR(VLOOKUP((LEFT(VLOOKUP($L312,'2-2 引出数据_合同数据仓库'!$B$2:$BP$1000,64,FALSE),15)&amp;(RIGHT(VLOOKUP($L312,'2-2 引出数据_合同数据仓库'!$B$2:$BP$1000,64,FALSE),4)+1)),'2-2 引出数据_合同数据仓库'!$B$2:$BP$1000,3,FALSE),0)</f>
        <v>0</v>
      </c>
      <c r="P312" s="125"/>
      <c r="Q312" s="125">
        <f>IFERROR(VLOOKUP($L312,'2-2 引出数据_合同数据仓库'!$B$2:$BP$1000,28,FALSE),0)</f>
        <v>0</v>
      </c>
      <c r="R312" s="125">
        <f>IFERROR(VLOOKUP($L312,'2-2 引出数据_合同数据仓库'!$B$2:$BP$1000,29,FALSE),0)</f>
        <v>0</v>
      </c>
      <c r="S312" s="125">
        <f>IFERROR(VLOOKUP($L312,'2-2 引出数据_合同数据仓库'!$B$2:$BP$1000,4,FALSE),0)</f>
        <v>0</v>
      </c>
      <c r="T312" s="125"/>
      <c r="U312" s="125">
        <f>IFERROR(VLOOKUP($L312,'2-2 引出数据_合同数据仓库'!$B$2:$BP$1000,15,FALSE),0)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引出数据_合同数据仓库'!$B$2:$BP$1000,3,FALSE),0)</f>
        <v>0</v>
      </c>
      <c r="N313" s="125"/>
      <c r="O313" s="151">
        <f>IFERROR(VLOOKUP((LEFT(VLOOKUP($L313,'2-2 引出数据_合同数据仓库'!$B$2:$BP$1000,64,FALSE),15)&amp;(RIGHT(VLOOKUP($L313,'2-2 引出数据_合同数据仓库'!$B$2:$BP$1000,64,FALSE),4)+1)),'2-2 引出数据_合同数据仓库'!$B$2:$BP$1000,3,FALSE),0)</f>
        <v>0</v>
      </c>
      <c r="P313" s="125"/>
      <c r="Q313" s="125">
        <f>IFERROR(VLOOKUP($L313,'2-2 引出数据_合同数据仓库'!$B$2:$BP$1000,28,FALSE),0)</f>
        <v>0</v>
      </c>
      <c r="R313" s="125">
        <f>IFERROR(VLOOKUP($L313,'2-2 引出数据_合同数据仓库'!$B$2:$BP$1000,29,FALSE),0)</f>
        <v>0</v>
      </c>
      <c r="S313" s="125">
        <f>IFERROR(VLOOKUP($L313,'2-2 引出数据_合同数据仓库'!$B$2:$BP$1000,4,FALSE),0)</f>
        <v>0</v>
      </c>
      <c r="T313" s="125"/>
      <c r="U313" s="125">
        <f>IFERROR(VLOOKUP($L313,'2-2 引出数据_合同数据仓库'!$B$2:$BP$1000,15,FALSE),0)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customHeight="1" outlineLevel="4" spans="1:95">
      <c r="A314" s="126" t="s">
        <v>2821</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customHeight="1" outlineLevel="3" spans="1:95">
      <c r="A315" s="118"/>
      <c r="B315" s="119" t="s">
        <v>799</v>
      </c>
      <c r="C315" s="120" t="s">
        <v>1262</v>
      </c>
      <c r="D315" s="118" t="s">
        <v>1263</v>
      </c>
      <c r="E315" s="119" t="s">
        <v>1264</v>
      </c>
      <c r="F315" s="119"/>
      <c r="G315" s="119" t="s">
        <v>943</v>
      </c>
      <c r="H315" s="121">
        <f>X315+AA315+AD315+AG315+AJ315+AM315+AP315+AS315+AV315+AY315+BB315+BE315</f>
        <v>0</v>
      </c>
      <c r="I315" s="121">
        <f>Y315+AB315+AE315+AH315+AK315+AN315+AQ315+AT315+AW315+AZ315+BC315+BF315</f>
        <v>0</v>
      </c>
      <c r="J315" s="121">
        <f t="shared" si="3131"/>
        <v>0</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0</v>
      </c>
      <c r="AR315" s="121">
        <f>SUM(AR316:AR320)</f>
        <v>0</v>
      </c>
      <c r="AS315" s="121">
        <f>VLOOKUP($C315,'1 预算编制表单'!$C:$BJ,48,FALSE)</f>
        <v>0</v>
      </c>
      <c r="AT315" s="121">
        <f>AS315-AU315</f>
        <v>0</v>
      </c>
      <c r="AU315" s="121">
        <f>SUM(AU316:AU320)</f>
        <v>0</v>
      </c>
      <c r="AV315" s="121">
        <f>VLOOKUP($C315,'1 预算编制表单'!$C:$BJ,51,FALSE)</f>
        <v>0</v>
      </c>
      <c r="AW315" s="121">
        <f>AV315-AX315</f>
        <v>0</v>
      </c>
      <c r="AX315" s="121">
        <f>SUM(AX316:AX320)</f>
        <v>0</v>
      </c>
      <c r="AY315" s="121">
        <f>VLOOKUP($C315,'1 预算编制表单'!$C:$BJ,54,FALSE)</f>
        <v>0</v>
      </c>
      <c r="AZ315" s="121">
        <f>AY315-BA315</f>
        <v>0</v>
      </c>
      <c r="BA315" s="121">
        <f>SUM(BA316:BA320)</f>
        <v>0</v>
      </c>
      <c r="BB315" s="121">
        <f>VLOOKUP($C315,'1 预算编制表单'!$C:$BJ,57,FALSE)</f>
        <v>0</v>
      </c>
      <c r="BC315" s="121">
        <f>BB315-BD315</f>
        <v>0</v>
      </c>
      <c r="BD315" s="121">
        <f>SUM(BD316:BD320)</f>
        <v>0</v>
      </c>
      <c r="BE315" s="121">
        <f>VLOOKUP($C315,'1 预算编制表单'!$C:$BJ,60,FALSE)</f>
        <v>0</v>
      </c>
      <c r="BF315" s="121">
        <f>BE315-BG315</f>
        <v>0</v>
      </c>
      <c r="BG315" s="121">
        <f>SUM(BG316:BG320)</f>
        <v>0</v>
      </c>
      <c r="BH315" s="121">
        <f>VLOOKUP($C315,'1 预算编制表单'!$C:$BJ,27,FALSE)</f>
        <v>0</v>
      </c>
      <c r="BI315" s="121">
        <f>BH315-BJ315</f>
        <v>0</v>
      </c>
      <c r="BJ315" s="121">
        <f>SUM(BJ316:BJ320)</f>
        <v>0</v>
      </c>
      <c r="BK315" s="121">
        <f>VLOOKUP($C315,'1 预算编制表单'!$C:$BJ,30,FALSE)</f>
        <v>0</v>
      </c>
      <c r="BL315" s="121">
        <f>BK315-BM315</f>
        <v>0</v>
      </c>
      <c r="BM315" s="121">
        <f>SUM(BM316:BM320)</f>
        <v>0</v>
      </c>
      <c r="BN315" s="121">
        <f>VLOOKUP($C315,'1 预算编制表单'!$C:$BJ,33,FALSE)</f>
        <v>0</v>
      </c>
      <c r="BO315" s="121">
        <f>BN315-BP315</f>
        <v>0</v>
      </c>
      <c r="BP315" s="121">
        <f>SUM(BP316:BP320)</f>
        <v>0</v>
      </c>
      <c r="BQ315" s="121">
        <f>VLOOKUP($C315,'1 预算编制表单'!$C:$BJ,36,FALSE)</f>
        <v>0</v>
      </c>
      <c r="BR315" s="121">
        <f>BQ315-BS315</f>
        <v>0</v>
      </c>
      <c r="BS315" s="121">
        <f>SUM(BS316:BS320)</f>
        <v>0</v>
      </c>
      <c r="BT315" s="121">
        <f>VLOOKUP($C315,'1 预算编制表单'!$C:$BJ,39,FALSE)</f>
        <v>0</v>
      </c>
      <c r="BU315" s="121">
        <f>BT315-BV315</f>
        <v>0</v>
      </c>
      <c r="BV315" s="121">
        <f>SUM(BV316:BV320)</f>
        <v>0</v>
      </c>
      <c r="BW315" s="121">
        <f>VLOOKUP($C315,'1 预算编制表单'!$C:$BJ,42,FALSE)</f>
        <v>0</v>
      </c>
      <c r="BX315" s="121">
        <f>BW315-BY315</f>
        <v>0</v>
      </c>
      <c r="BY315" s="121">
        <f>SUM(BY316:BY320)</f>
        <v>0</v>
      </c>
      <c r="BZ315" s="121">
        <f>VLOOKUP($C315,'1 预算编制表单'!$C:$BJ,45,FALSE)</f>
        <v>0</v>
      </c>
      <c r="CA315" s="121">
        <f>BZ315-CB315</f>
        <v>0</v>
      </c>
      <c r="CB315" s="121">
        <f>SUM(CB316:CB320)</f>
        <v>0</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customHeight="1" outlineLevel="4" spans="1:95">
      <c r="A316" s="122"/>
      <c r="B316" s="123"/>
      <c r="C316" s="124"/>
      <c r="D316" s="122"/>
      <c r="E316" s="123"/>
      <c r="F316" s="123"/>
      <c r="G316" s="123"/>
      <c r="H316" s="125"/>
      <c r="I316" s="125"/>
      <c r="J316" s="125">
        <f t="shared" si="3131"/>
        <v>0</v>
      </c>
      <c r="K316" s="125">
        <v>1</v>
      </c>
      <c r="L316" s="150"/>
      <c r="M316" s="151">
        <f>IFERROR(VLOOKUP($L316,'2-2 引出数据_合同数据仓库'!$B$2:$BP$1000,3,FALSE),0)</f>
        <v>0</v>
      </c>
      <c r="N316" s="125"/>
      <c r="O316" s="151">
        <f>IFERROR(VLOOKUP((LEFT(VLOOKUP($L316,'2-2 引出数据_合同数据仓库'!$B$2:$BP$1000,64,FALSE),15)&amp;(RIGHT(VLOOKUP($L316,'2-2 引出数据_合同数据仓库'!$B$2:$BP$1000,64,FALSE),4)+1)),'2-2 引出数据_合同数据仓库'!$B$2:$BP$1000,3,FALSE),0)</f>
        <v>0</v>
      </c>
      <c r="P316" s="125"/>
      <c r="Q316" s="125">
        <f>IFERROR(VLOOKUP($L316,'2-2 引出数据_合同数据仓库'!$B$2:$BP$1000,28,FALSE),0)</f>
        <v>0</v>
      </c>
      <c r="R316" s="125">
        <f>IFERROR(VLOOKUP($L316,'2-2 引出数据_合同数据仓库'!$B$2:$BP$1000,29,FALSE),0)</f>
        <v>0</v>
      </c>
      <c r="S316" s="125">
        <f>IFERROR(VLOOKUP($L316,'2-2 引出数据_合同数据仓库'!$B$2:$BP$1000,4,FALSE),0)</f>
        <v>0</v>
      </c>
      <c r="T316" s="125"/>
      <c r="U316" s="125">
        <f>IFERROR(VLOOKUP($L316,'2-2 引出数据_合同数据仓库'!$B$2:$BP$1000,15,FALSE),0)</f>
        <v>0</v>
      </c>
      <c r="V316" s="125">
        <f t="shared" ref="V316:V319" si="3709">U316/(S316-R316+1)*365</f>
        <v>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0</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0</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0</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0</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0</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0</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0</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0</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0</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0</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0</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0</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0</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引出数据_合同数据仓库'!$B$2:$BP$1000,3,FALSE),0)</f>
        <v>0</v>
      </c>
      <c r="N317" s="125"/>
      <c r="O317" s="151">
        <f>IFERROR(VLOOKUP((LEFT(VLOOKUP($L317,'2-2 引出数据_合同数据仓库'!$B$2:$BP$1000,64,FALSE),15)&amp;(RIGHT(VLOOKUP($L317,'2-2 引出数据_合同数据仓库'!$B$2:$BP$1000,64,FALSE),4)+1)),'2-2 引出数据_合同数据仓库'!$B$2:$BP$1000,3,FALSE),0)</f>
        <v>0</v>
      </c>
      <c r="P317" s="125"/>
      <c r="Q317" s="125">
        <f>IFERROR(VLOOKUP($L317,'2-2 引出数据_合同数据仓库'!$B$2:$BP$1000,28,FALSE),0)</f>
        <v>0</v>
      </c>
      <c r="R317" s="125">
        <f>IFERROR(VLOOKUP($L317,'2-2 引出数据_合同数据仓库'!$B$2:$BP$1000,29,FALSE),0)</f>
        <v>0</v>
      </c>
      <c r="S317" s="125">
        <f>IFERROR(VLOOKUP($L317,'2-2 引出数据_合同数据仓库'!$B$2:$BP$1000,4,FALSE),0)</f>
        <v>0</v>
      </c>
      <c r="T317" s="125"/>
      <c r="U317" s="125">
        <f>IFERROR(VLOOKUP($L317,'2-2 引出数据_合同数据仓库'!$B$2:$BP$1000,15,FALSE),0)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引出数据_合同数据仓库'!$B$2:$BP$1000,3,FALSE),0)</f>
        <v>0</v>
      </c>
      <c r="N318" s="125"/>
      <c r="O318" s="151">
        <f>IFERROR(VLOOKUP((LEFT(VLOOKUP($L318,'2-2 引出数据_合同数据仓库'!$B$2:$BP$1000,64,FALSE),15)&amp;(RIGHT(VLOOKUP($L318,'2-2 引出数据_合同数据仓库'!$B$2:$BP$1000,64,FALSE),4)+1)),'2-2 引出数据_合同数据仓库'!$B$2:$BP$1000,3,FALSE),0)</f>
        <v>0</v>
      </c>
      <c r="P318" s="125"/>
      <c r="Q318" s="125">
        <f>IFERROR(VLOOKUP($L318,'2-2 引出数据_合同数据仓库'!$B$2:$BP$1000,28,FALSE),0)</f>
        <v>0</v>
      </c>
      <c r="R318" s="125">
        <f>IFERROR(VLOOKUP($L318,'2-2 引出数据_合同数据仓库'!$B$2:$BP$1000,29,FALSE),0)</f>
        <v>0</v>
      </c>
      <c r="S318" s="125">
        <f>IFERROR(VLOOKUP($L318,'2-2 引出数据_合同数据仓库'!$B$2:$BP$1000,4,FALSE),0)</f>
        <v>0</v>
      </c>
      <c r="T318" s="125"/>
      <c r="U318" s="125">
        <f>IFERROR(VLOOKUP($L318,'2-2 引出数据_合同数据仓库'!$B$2:$BP$1000,15,FALSE),0)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引出数据_合同数据仓库'!$B$2:$BP$1000,3,FALSE),0)</f>
        <v>0</v>
      </c>
      <c r="N319" s="125"/>
      <c r="O319" s="151">
        <f>IFERROR(VLOOKUP((LEFT(VLOOKUP($L319,'2-2 引出数据_合同数据仓库'!$B$2:$BP$1000,64,FALSE),15)&amp;(RIGHT(VLOOKUP($L319,'2-2 引出数据_合同数据仓库'!$B$2:$BP$1000,64,FALSE),4)+1)),'2-2 引出数据_合同数据仓库'!$B$2:$BP$1000,3,FALSE),0)</f>
        <v>0</v>
      </c>
      <c r="P319" s="125"/>
      <c r="Q319" s="125">
        <f>IFERROR(VLOOKUP($L319,'2-2 引出数据_合同数据仓库'!$B$2:$BP$1000,28,FALSE),0)</f>
        <v>0</v>
      </c>
      <c r="R319" s="125">
        <f>IFERROR(VLOOKUP($L319,'2-2 引出数据_合同数据仓库'!$B$2:$BP$1000,29,FALSE),0)</f>
        <v>0</v>
      </c>
      <c r="S319" s="125">
        <f>IFERROR(VLOOKUP($L319,'2-2 引出数据_合同数据仓库'!$B$2:$BP$1000,4,FALSE),0)</f>
        <v>0</v>
      </c>
      <c r="T319" s="125"/>
      <c r="U319" s="125">
        <f>IFERROR(VLOOKUP($L319,'2-2 引出数据_合同数据仓库'!$B$2:$BP$1000,15,FALSE),0)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customHeight="1" outlineLevel="4" spans="1:95">
      <c r="A320" s="126" t="s">
        <v>2821</v>
      </c>
      <c r="B320" s="127"/>
      <c r="C320" s="127"/>
      <c r="D320" s="127"/>
      <c r="E320" s="127"/>
      <c r="F320" s="127"/>
      <c r="G320" s="128"/>
      <c r="H320" s="129"/>
      <c r="I320" s="129"/>
      <c r="J320" s="129"/>
      <c r="K320" s="129"/>
      <c r="L320" s="152"/>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customHeight="1" outlineLevel="3" spans="1:95">
      <c r="A321" s="118"/>
      <c r="B321" s="119" t="s">
        <v>799</v>
      </c>
      <c r="C321" s="120" t="s">
        <v>1265</v>
      </c>
      <c r="D321" s="118" t="s">
        <v>1266</v>
      </c>
      <c r="E321" s="119" t="s">
        <v>1264</v>
      </c>
      <c r="F321" s="119"/>
      <c r="G321" s="119" t="s">
        <v>943</v>
      </c>
      <c r="H321" s="121">
        <f>X321+AA321+AD321+AG321+AJ321+AM321+AP321+AS321+AV321+AY321+BB321+BE321</f>
        <v>0</v>
      </c>
      <c r="I321" s="121">
        <f>Y321+AB321+AE321+AH321+AK321+AN321+AQ321+AT321+AW321+AZ321+BC321+BF321</f>
        <v>0</v>
      </c>
      <c r="J321" s="121">
        <f t="shared" si="3131"/>
        <v>0</v>
      </c>
      <c r="K321" s="121"/>
      <c r="L321" s="149"/>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引出数据_合同数据仓库'!$B$2:$BP$1000,3,FALSE),0)</f>
        <v>0</v>
      </c>
      <c r="N322" s="125"/>
      <c r="O322" s="151">
        <f>IFERROR(VLOOKUP((LEFT(VLOOKUP($L322,'2-2 引出数据_合同数据仓库'!$B$2:$BP$1000,64,FALSE),15)&amp;(RIGHT(VLOOKUP($L322,'2-2 引出数据_合同数据仓库'!$B$2:$BP$1000,64,FALSE),4)+1)),'2-2 引出数据_合同数据仓库'!$B$2:$BP$1000,3,FALSE),0)</f>
        <v>0</v>
      </c>
      <c r="P322" s="125"/>
      <c r="Q322" s="125">
        <f>IFERROR(VLOOKUP($L322,'2-2 引出数据_合同数据仓库'!$B$2:$BP$1000,28,FALSE),0)</f>
        <v>0</v>
      </c>
      <c r="R322" s="125">
        <f>IFERROR(VLOOKUP($L322,'2-2 引出数据_合同数据仓库'!$B$2:$BP$1000,29,FALSE),0)</f>
        <v>0</v>
      </c>
      <c r="S322" s="125">
        <f>IFERROR(VLOOKUP($L322,'2-2 引出数据_合同数据仓库'!$B$2:$BP$1000,4,FALSE),0)</f>
        <v>0</v>
      </c>
      <c r="T322" s="125"/>
      <c r="U322" s="125">
        <f>IFERROR(VLOOKUP($L322,'2-2 引出数据_合同数据仓库'!$B$2:$BP$1000,15,FALSE),0)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引出数据_合同数据仓库'!$B$2:$BP$1000,3,FALSE),0)</f>
        <v>0</v>
      </c>
      <c r="N323" s="125"/>
      <c r="O323" s="151">
        <f>IFERROR(VLOOKUP((LEFT(VLOOKUP($L323,'2-2 引出数据_合同数据仓库'!$B$2:$BP$1000,64,FALSE),15)&amp;(RIGHT(VLOOKUP($L323,'2-2 引出数据_合同数据仓库'!$B$2:$BP$1000,64,FALSE),4)+1)),'2-2 引出数据_合同数据仓库'!$B$2:$BP$1000,3,FALSE),0)</f>
        <v>0</v>
      </c>
      <c r="P323" s="125"/>
      <c r="Q323" s="125">
        <f>IFERROR(VLOOKUP($L323,'2-2 引出数据_合同数据仓库'!$B$2:$BP$1000,28,FALSE),0)</f>
        <v>0</v>
      </c>
      <c r="R323" s="125">
        <f>IFERROR(VLOOKUP($L323,'2-2 引出数据_合同数据仓库'!$B$2:$BP$1000,29,FALSE),0)</f>
        <v>0</v>
      </c>
      <c r="S323" s="125">
        <f>IFERROR(VLOOKUP($L323,'2-2 引出数据_合同数据仓库'!$B$2:$BP$1000,4,FALSE),0)</f>
        <v>0</v>
      </c>
      <c r="T323" s="125"/>
      <c r="U323" s="125">
        <f>IFERROR(VLOOKUP($L323,'2-2 引出数据_合同数据仓库'!$B$2:$BP$1000,15,FALSE),0)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引出数据_合同数据仓库'!$B$2:$BP$1000,3,FALSE),0)</f>
        <v>0</v>
      </c>
      <c r="N324" s="125"/>
      <c r="O324" s="151">
        <f>IFERROR(VLOOKUP((LEFT(VLOOKUP($L324,'2-2 引出数据_合同数据仓库'!$B$2:$BP$1000,64,FALSE),15)&amp;(RIGHT(VLOOKUP($L324,'2-2 引出数据_合同数据仓库'!$B$2:$BP$1000,64,FALSE),4)+1)),'2-2 引出数据_合同数据仓库'!$B$2:$BP$1000,3,FALSE),0)</f>
        <v>0</v>
      </c>
      <c r="P324" s="125"/>
      <c r="Q324" s="125">
        <f>IFERROR(VLOOKUP($L324,'2-2 引出数据_合同数据仓库'!$B$2:$BP$1000,28,FALSE),0)</f>
        <v>0</v>
      </c>
      <c r="R324" s="125">
        <f>IFERROR(VLOOKUP($L324,'2-2 引出数据_合同数据仓库'!$B$2:$BP$1000,29,FALSE),0)</f>
        <v>0</v>
      </c>
      <c r="S324" s="125">
        <f>IFERROR(VLOOKUP($L324,'2-2 引出数据_合同数据仓库'!$B$2:$BP$1000,4,FALSE),0)</f>
        <v>0</v>
      </c>
      <c r="T324" s="125"/>
      <c r="U324" s="125">
        <f>IFERROR(VLOOKUP($L324,'2-2 引出数据_合同数据仓库'!$B$2:$BP$1000,15,FALSE),0)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引出数据_合同数据仓库'!$B$2:$BP$1000,3,FALSE),0)</f>
        <v>0</v>
      </c>
      <c r="N325" s="125"/>
      <c r="O325" s="151">
        <f>IFERROR(VLOOKUP((LEFT(VLOOKUP($L325,'2-2 引出数据_合同数据仓库'!$B$2:$BP$1000,64,FALSE),15)&amp;(RIGHT(VLOOKUP($L325,'2-2 引出数据_合同数据仓库'!$B$2:$BP$1000,64,FALSE),4)+1)),'2-2 引出数据_合同数据仓库'!$B$2:$BP$1000,3,FALSE),0)</f>
        <v>0</v>
      </c>
      <c r="P325" s="125"/>
      <c r="Q325" s="125">
        <f>IFERROR(VLOOKUP($L325,'2-2 引出数据_合同数据仓库'!$B$2:$BP$1000,28,FALSE),0)</f>
        <v>0</v>
      </c>
      <c r="R325" s="125">
        <f>IFERROR(VLOOKUP($L325,'2-2 引出数据_合同数据仓库'!$B$2:$BP$1000,29,FALSE),0)</f>
        <v>0</v>
      </c>
      <c r="S325" s="125">
        <f>IFERROR(VLOOKUP($L325,'2-2 引出数据_合同数据仓库'!$B$2:$BP$1000,4,FALSE),0)</f>
        <v>0</v>
      </c>
      <c r="T325" s="125"/>
      <c r="U325" s="125">
        <f>IFERROR(VLOOKUP($L325,'2-2 引出数据_合同数据仓库'!$B$2:$BP$1000,15,FALSE),0)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customHeight="1" outlineLevel="4" spans="1:95">
      <c r="A326" s="126" t="s">
        <v>2821</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customHeight="1" outlineLevel="3" spans="1:95">
      <c r="A327" s="118"/>
      <c r="B327" s="119" t="s">
        <v>799</v>
      </c>
      <c r="C327" s="120" t="s">
        <v>1267</v>
      </c>
      <c r="D327" s="118" t="s">
        <v>1268</v>
      </c>
      <c r="E327" s="119" t="s">
        <v>1269</v>
      </c>
      <c r="F327" s="119"/>
      <c r="G327" s="119" t="s">
        <v>943</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引出数据_合同数据仓库'!$B$2:$BP$1000,3,FALSE),0)</f>
        <v>0</v>
      </c>
      <c r="N328" s="125"/>
      <c r="O328" s="151">
        <f>IFERROR(VLOOKUP((LEFT(VLOOKUP($L328,'2-2 引出数据_合同数据仓库'!$B$2:$BP$1000,64,FALSE),15)&amp;(RIGHT(VLOOKUP($L328,'2-2 引出数据_合同数据仓库'!$B$2:$BP$1000,64,FALSE),4)+1)),'2-2 引出数据_合同数据仓库'!$B$2:$BP$1000,3,FALSE),0)</f>
        <v>0</v>
      </c>
      <c r="P328" s="125"/>
      <c r="Q328" s="125">
        <f>IFERROR(VLOOKUP($L328,'2-2 引出数据_合同数据仓库'!$B$2:$BP$1000,28,FALSE),0)</f>
        <v>0</v>
      </c>
      <c r="R328" s="125">
        <f>IFERROR(VLOOKUP($L328,'2-2 引出数据_合同数据仓库'!$B$2:$BP$1000,29,FALSE),0)</f>
        <v>0</v>
      </c>
      <c r="S328" s="125">
        <f>IFERROR(VLOOKUP($L328,'2-2 引出数据_合同数据仓库'!$B$2:$BP$1000,4,FALSE),0)</f>
        <v>0</v>
      </c>
      <c r="T328" s="125"/>
      <c r="U328" s="125">
        <f>IFERROR(VLOOKUP($L328,'2-2 引出数据_合同数据仓库'!$B$2:$BP$1000,15,FALSE),0)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引出数据_合同数据仓库'!$B$2:$BP$1000,3,FALSE),0)</f>
        <v>0</v>
      </c>
      <c r="N329" s="125"/>
      <c r="O329" s="151">
        <f>IFERROR(VLOOKUP((LEFT(VLOOKUP($L329,'2-2 引出数据_合同数据仓库'!$B$2:$BP$1000,64,FALSE),15)&amp;(RIGHT(VLOOKUP($L329,'2-2 引出数据_合同数据仓库'!$B$2:$BP$1000,64,FALSE),4)+1)),'2-2 引出数据_合同数据仓库'!$B$2:$BP$1000,3,FALSE),0)</f>
        <v>0</v>
      </c>
      <c r="P329" s="125"/>
      <c r="Q329" s="125">
        <f>IFERROR(VLOOKUP($L329,'2-2 引出数据_合同数据仓库'!$B$2:$BP$1000,28,FALSE),0)</f>
        <v>0</v>
      </c>
      <c r="R329" s="125">
        <f>IFERROR(VLOOKUP($L329,'2-2 引出数据_合同数据仓库'!$B$2:$BP$1000,29,FALSE),0)</f>
        <v>0</v>
      </c>
      <c r="S329" s="125">
        <f>IFERROR(VLOOKUP($L329,'2-2 引出数据_合同数据仓库'!$B$2:$BP$1000,4,FALSE),0)</f>
        <v>0</v>
      </c>
      <c r="T329" s="125"/>
      <c r="U329" s="125">
        <f>IFERROR(VLOOKUP($L329,'2-2 引出数据_合同数据仓库'!$B$2:$BP$1000,15,FALSE),0)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引出数据_合同数据仓库'!$B$2:$BP$1000,3,FALSE),0)</f>
        <v>0</v>
      </c>
      <c r="N330" s="125"/>
      <c r="O330" s="151">
        <f>IFERROR(VLOOKUP((LEFT(VLOOKUP($L330,'2-2 引出数据_合同数据仓库'!$B$2:$BP$1000,64,FALSE),15)&amp;(RIGHT(VLOOKUP($L330,'2-2 引出数据_合同数据仓库'!$B$2:$BP$1000,64,FALSE),4)+1)),'2-2 引出数据_合同数据仓库'!$B$2:$BP$1000,3,FALSE),0)</f>
        <v>0</v>
      </c>
      <c r="P330" s="125"/>
      <c r="Q330" s="125">
        <f>IFERROR(VLOOKUP($L330,'2-2 引出数据_合同数据仓库'!$B$2:$BP$1000,28,FALSE),0)</f>
        <v>0</v>
      </c>
      <c r="R330" s="125">
        <f>IFERROR(VLOOKUP($L330,'2-2 引出数据_合同数据仓库'!$B$2:$BP$1000,29,FALSE),0)</f>
        <v>0</v>
      </c>
      <c r="S330" s="125">
        <f>IFERROR(VLOOKUP($L330,'2-2 引出数据_合同数据仓库'!$B$2:$BP$1000,4,FALSE),0)</f>
        <v>0</v>
      </c>
      <c r="T330" s="125"/>
      <c r="U330" s="125">
        <f>IFERROR(VLOOKUP($L330,'2-2 引出数据_合同数据仓库'!$B$2:$BP$1000,15,FALSE),0)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引出数据_合同数据仓库'!$B$2:$BP$1000,3,FALSE),0)</f>
        <v>0</v>
      </c>
      <c r="N331" s="125"/>
      <c r="O331" s="151">
        <f>IFERROR(VLOOKUP((LEFT(VLOOKUP($L331,'2-2 引出数据_合同数据仓库'!$B$2:$BP$1000,64,FALSE),15)&amp;(RIGHT(VLOOKUP($L331,'2-2 引出数据_合同数据仓库'!$B$2:$BP$1000,64,FALSE),4)+1)),'2-2 引出数据_合同数据仓库'!$B$2:$BP$1000,3,FALSE),0)</f>
        <v>0</v>
      </c>
      <c r="P331" s="125"/>
      <c r="Q331" s="125">
        <f>IFERROR(VLOOKUP($L331,'2-2 引出数据_合同数据仓库'!$B$2:$BP$1000,28,FALSE),0)</f>
        <v>0</v>
      </c>
      <c r="R331" s="125">
        <f>IFERROR(VLOOKUP($L331,'2-2 引出数据_合同数据仓库'!$B$2:$BP$1000,29,FALSE),0)</f>
        <v>0</v>
      </c>
      <c r="S331" s="125">
        <f>IFERROR(VLOOKUP($L331,'2-2 引出数据_合同数据仓库'!$B$2:$BP$1000,4,FALSE),0)</f>
        <v>0</v>
      </c>
      <c r="T331" s="125"/>
      <c r="U331" s="125">
        <f>IFERROR(VLOOKUP($L331,'2-2 引出数据_合同数据仓库'!$B$2:$BP$1000,15,FALSE),0)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customHeight="1" outlineLevel="4" spans="1:95">
      <c r="A332" s="126" t="s">
        <v>2821</v>
      </c>
      <c r="B332" s="127"/>
      <c r="C332" s="127"/>
      <c r="D332" s="127"/>
      <c r="E332" s="127"/>
      <c r="F332" s="127"/>
      <c r="G332" s="128"/>
      <c r="H332" s="129"/>
      <c r="I332" s="129"/>
      <c r="J332" s="129"/>
      <c r="K332" s="129"/>
      <c r="L332" s="152"/>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customHeight="1" outlineLevel="3" spans="1:95">
      <c r="A333" s="118"/>
      <c r="B333" s="119" t="s">
        <v>799</v>
      </c>
      <c r="C333" s="120" t="s">
        <v>1270</v>
      </c>
      <c r="D333" s="118" t="s">
        <v>1271</v>
      </c>
      <c r="E333" s="119"/>
      <c r="F333" s="119"/>
      <c r="G333" s="119"/>
      <c r="H333" s="121">
        <f>X333+AA333+AD333+AG333+AJ333+AM333+AP333+AS333+AV333+AY333+BB333+BE333</f>
        <v>0</v>
      </c>
      <c r="I333" s="121">
        <f>Y333+AB333+AE333+AH333+AK333+AN333+AQ333+AT333+AW333+AZ333+BC333+BF333</f>
        <v>0</v>
      </c>
      <c r="J333" s="121">
        <f t="shared" si="3853"/>
        <v>0</v>
      </c>
      <c r="K333" s="121"/>
      <c r="L333" s="149"/>
      <c r="M333" s="149"/>
      <c r="N333" s="121"/>
      <c r="O333" s="121"/>
      <c r="P333" s="121"/>
      <c r="Q333" s="121"/>
      <c r="R333" s="121"/>
      <c r="S333" s="121"/>
      <c r="T333" s="121"/>
      <c r="U333" s="121"/>
      <c r="V333" s="121"/>
      <c r="W333" s="121"/>
      <c r="X333" s="121">
        <f>VLOOKUP($C333,'1 预算编制表单'!$C:$BJ,27,FALSE)</f>
        <v>0</v>
      </c>
      <c r="Y333" s="121">
        <f>X333-Z333</f>
        <v>0</v>
      </c>
      <c r="Z333" s="121">
        <f>SUM(Z334:Z338)</f>
        <v>0</v>
      </c>
      <c r="AA333" s="121">
        <f>VLOOKUP($C333,'1 预算编制表单'!$C:$BJ,30,FALSE)</f>
        <v>0</v>
      </c>
      <c r="AB333" s="121">
        <f>AA333-AC333</f>
        <v>0</v>
      </c>
      <c r="AC333" s="121">
        <f>SUM(AC334:AC338)</f>
        <v>0</v>
      </c>
      <c r="AD333" s="121">
        <f>VLOOKUP($C333,'1 预算编制表单'!$C:$BJ,33,FALSE)</f>
        <v>0</v>
      </c>
      <c r="AE333" s="121">
        <f>AD333-AF333</f>
        <v>0</v>
      </c>
      <c r="AF333" s="121">
        <f>SUM(AF334:AF338)</f>
        <v>0</v>
      </c>
      <c r="AG333" s="121">
        <f>VLOOKUP($C333,'1 预算编制表单'!$C:$BJ,36,FALSE)</f>
        <v>0</v>
      </c>
      <c r="AH333" s="121">
        <f>AG333-AI333</f>
        <v>0</v>
      </c>
      <c r="AI333" s="121">
        <f>SUM(AI334:AI338)</f>
        <v>0</v>
      </c>
      <c r="AJ333" s="121">
        <f>VLOOKUP($C333,'1 预算编制表单'!$C:$BJ,39,FALSE)</f>
        <v>0</v>
      </c>
      <c r="AK333" s="121">
        <f>AJ333-AL333</f>
        <v>0</v>
      </c>
      <c r="AL333" s="121">
        <f>SUM(AL334:AL338)</f>
        <v>0</v>
      </c>
      <c r="AM333" s="121">
        <f>VLOOKUP($C333,'1 预算编制表单'!$C:$BJ,42,FALSE)</f>
        <v>0</v>
      </c>
      <c r="AN333" s="121">
        <f>AM333-AO333</f>
        <v>0</v>
      </c>
      <c r="AO333" s="121">
        <f>SUM(AO334:AO338)</f>
        <v>0</v>
      </c>
      <c r="AP333" s="121">
        <f>VLOOKUP($C333,'1 预算编制表单'!$C:$BJ,45,FALSE)</f>
        <v>0</v>
      </c>
      <c r="AQ333" s="121">
        <f>AP333-AR333</f>
        <v>0</v>
      </c>
      <c r="AR333" s="121">
        <f>SUM(AR334:AR338)</f>
        <v>0</v>
      </c>
      <c r="AS333" s="121">
        <f>VLOOKUP($C333,'1 预算编制表单'!$C:$BJ,48,FALSE)</f>
        <v>0</v>
      </c>
      <c r="AT333" s="121">
        <f>AS333-AU333</f>
        <v>0</v>
      </c>
      <c r="AU333" s="121">
        <f>SUM(AU334:AU338)</f>
        <v>0</v>
      </c>
      <c r="AV333" s="121">
        <f>VLOOKUP($C333,'1 预算编制表单'!$C:$BJ,51,FALSE)</f>
        <v>0</v>
      </c>
      <c r="AW333" s="121">
        <f>AV333-AX333</f>
        <v>0</v>
      </c>
      <c r="AX333" s="121">
        <f>SUM(AX334:AX338)</f>
        <v>0</v>
      </c>
      <c r="AY333" s="121">
        <f>VLOOKUP($C333,'1 预算编制表单'!$C:$BJ,54,FALSE)</f>
        <v>0</v>
      </c>
      <c r="AZ333" s="121">
        <f>AY333-BA333</f>
        <v>0</v>
      </c>
      <c r="BA333" s="121">
        <f>SUM(BA334:BA338)</f>
        <v>0</v>
      </c>
      <c r="BB333" s="121">
        <f>VLOOKUP($C333,'1 预算编制表单'!$C:$BJ,57,FALSE)</f>
        <v>0</v>
      </c>
      <c r="BC333" s="121">
        <f>BB333-BD333</f>
        <v>0</v>
      </c>
      <c r="BD333" s="121">
        <f>SUM(BD334:BD338)</f>
        <v>0</v>
      </c>
      <c r="BE333" s="121">
        <f>VLOOKUP($C333,'1 预算编制表单'!$C:$BJ,60,FALSE)</f>
        <v>0</v>
      </c>
      <c r="BF333" s="121">
        <f>BE333-BG333</f>
        <v>0</v>
      </c>
      <c r="BG333" s="121">
        <f>SUM(BG334:BG338)</f>
        <v>0</v>
      </c>
      <c r="BH333" s="121">
        <f>VLOOKUP($C333,'1 预算编制表单'!$C:$BJ,27,FALSE)</f>
        <v>0</v>
      </c>
      <c r="BI333" s="121">
        <f>BH333-BJ333</f>
        <v>0</v>
      </c>
      <c r="BJ333" s="121">
        <f>SUM(BJ334:BJ338)</f>
        <v>0</v>
      </c>
      <c r="BK333" s="121">
        <f>VLOOKUP($C333,'1 预算编制表单'!$C:$BJ,30,FALSE)</f>
        <v>0</v>
      </c>
      <c r="BL333" s="121">
        <f>BK333-BM333</f>
        <v>0</v>
      </c>
      <c r="BM333" s="121">
        <f>SUM(BM334:BM338)</f>
        <v>0</v>
      </c>
      <c r="BN333" s="121">
        <f>VLOOKUP($C333,'1 预算编制表单'!$C:$BJ,33,FALSE)</f>
        <v>0</v>
      </c>
      <c r="BO333" s="121">
        <f>BN333-BP333</f>
        <v>0</v>
      </c>
      <c r="BP333" s="121">
        <f>SUM(BP334:BP338)</f>
        <v>0</v>
      </c>
      <c r="BQ333" s="121">
        <f>VLOOKUP($C333,'1 预算编制表单'!$C:$BJ,36,FALSE)</f>
        <v>0</v>
      </c>
      <c r="BR333" s="121">
        <f>BQ333-BS333</f>
        <v>0</v>
      </c>
      <c r="BS333" s="121">
        <f>SUM(BS334:BS338)</f>
        <v>0</v>
      </c>
      <c r="BT333" s="121">
        <f>VLOOKUP($C333,'1 预算编制表单'!$C:$BJ,39,FALSE)</f>
        <v>0</v>
      </c>
      <c r="BU333" s="121">
        <f>BT333-BV333</f>
        <v>0</v>
      </c>
      <c r="BV333" s="121">
        <f>SUM(BV334:BV338)</f>
        <v>0</v>
      </c>
      <c r="BW333" s="121">
        <f>VLOOKUP($C333,'1 预算编制表单'!$C:$BJ,42,FALSE)</f>
        <v>0</v>
      </c>
      <c r="BX333" s="121">
        <f>BW333-BY333</f>
        <v>0</v>
      </c>
      <c r="BY333" s="121">
        <f>SUM(BY334:BY338)</f>
        <v>0</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customHeight="1" outlineLevel="4" spans="1:95">
      <c r="A334" s="122"/>
      <c r="B334" s="123"/>
      <c r="C334" s="124"/>
      <c r="D334" s="122"/>
      <c r="E334" s="123"/>
      <c r="F334" s="123"/>
      <c r="G334" s="123"/>
      <c r="H334" s="125"/>
      <c r="I334" s="125"/>
      <c r="J334" s="125">
        <f t="shared" si="3853"/>
        <v>0</v>
      </c>
      <c r="K334" s="125">
        <v>1</v>
      </c>
      <c r="L334" s="150"/>
      <c r="M334" s="151">
        <f>IFERROR(VLOOKUP($L334,'2-2 引出数据_合同数据仓库'!$B$2:$BP$1000,3,FALSE),0)</f>
        <v>0</v>
      </c>
      <c r="N334" s="125"/>
      <c r="O334" s="151">
        <f>IFERROR(VLOOKUP((LEFT(VLOOKUP($L334,'2-2 引出数据_合同数据仓库'!$B$2:$BP$1000,64,FALSE),15)&amp;(RIGHT(VLOOKUP($L334,'2-2 引出数据_合同数据仓库'!$B$2:$BP$1000,64,FALSE),4)+1)),'2-2 引出数据_合同数据仓库'!$B$2:$BP$1000,3,FALSE),0)</f>
        <v>0</v>
      </c>
      <c r="P334" s="125"/>
      <c r="Q334" s="125">
        <f>IFERROR(VLOOKUP($L334,'2-2 引出数据_合同数据仓库'!$B$2:$BP$1000,28,FALSE),0)</f>
        <v>0</v>
      </c>
      <c r="R334" s="125">
        <f>IFERROR(VLOOKUP($L334,'2-2 引出数据_合同数据仓库'!$B$2:$BP$1000,29,FALSE),0)</f>
        <v>0</v>
      </c>
      <c r="S334" s="125">
        <f>IFERROR(VLOOKUP($L334,'2-2 引出数据_合同数据仓库'!$B$2:$BP$1000,4,FALSE),0)</f>
        <v>0</v>
      </c>
      <c r="T334" s="125"/>
      <c r="U334" s="125">
        <f>IFERROR(VLOOKUP($L334,'2-2 引出数据_合同数据仓库'!$B$2:$BP$1000,15,FALSE),0)</f>
        <v>0</v>
      </c>
      <c r="V334" s="125">
        <f t="shared" ref="V334:V337" si="3926">U334/(S334-R334+1)*365</f>
        <v>0</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0</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0</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0</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0</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0</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0</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0</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0</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0</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0</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0</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0</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0</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0</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0</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0</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0</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0</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customHeight="1" outlineLevel="4" spans="1:95">
      <c r="A335" s="122"/>
      <c r="B335" s="123"/>
      <c r="C335" s="124"/>
      <c r="D335" s="122"/>
      <c r="E335" s="123"/>
      <c r="F335" s="123"/>
      <c r="G335" s="123"/>
      <c r="H335" s="125"/>
      <c r="I335" s="125"/>
      <c r="J335" s="125">
        <f t="shared" si="3853"/>
        <v>0</v>
      </c>
      <c r="K335" s="125">
        <f t="shared" ref="K335:K337" si="3997">K334+1</f>
        <v>2</v>
      </c>
      <c r="L335" s="150"/>
      <c r="M335" s="151">
        <f>IFERROR(VLOOKUP($L335,'2-2 引出数据_合同数据仓库'!$B$2:$BP$1000,3,FALSE),0)</f>
        <v>0</v>
      </c>
      <c r="N335" s="125"/>
      <c r="O335" s="151">
        <f>IFERROR(VLOOKUP((LEFT(VLOOKUP($L335,'2-2 引出数据_合同数据仓库'!$B$2:$BP$1000,64,FALSE),15)&amp;(RIGHT(VLOOKUP($L335,'2-2 引出数据_合同数据仓库'!$B$2:$BP$1000,64,FALSE),4)+1)),'2-2 引出数据_合同数据仓库'!$B$2:$BP$1000,3,FALSE),0)</f>
        <v>0</v>
      </c>
      <c r="P335" s="125"/>
      <c r="Q335" s="125">
        <f>IFERROR(VLOOKUP($L335,'2-2 引出数据_合同数据仓库'!$B$2:$BP$1000,28,FALSE),0)</f>
        <v>0</v>
      </c>
      <c r="R335" s="125">
        <f>IFERROR(VLOOKUP($L335,'2-2 引出数据_合同数据仓库'!$B$2:$BP$1000,29,FALSE),0)</f>
        <v>0</v>
      </c>
      <c r="S335" s="125">
        <f>IFERROR(VLOOKUP($L335,'2-2 引出数据_合同数据仓库'!$B$2:$BP$1000,4,FALSE),0)</f>
        <v>0</v>
      </c>
      <c r="T335" s="125"/>
      <c r="U335" s="125">
        <f>IFERROR(VLOOKUP($L335,'2-2 引出数据_合同数据仓库'!$B$2:$BP$1000,15,FALSE),0)</f>
        <v>0</v>
      </c>
      <c r="V335" s="125">
        <f t="shared" si="3926"/>
        <v>0</v>
      </c>
      <c r="W335" s="125"/>
      <c r="X335" s="157">
        <v>45658</v>
      </c>
      <c r="Y335" s="157">
        <f t="shared" si="3927"/>
        <v>45688</v>
      </c>
      <c r="Z335" s="161">
        <f t="shared" si="3928"/>
        <v>0</v>
      </c>
      <c r="AA335" s="157">
        <f t="shared" si="3929"/>
        <v>45689</v>
      </c>
      <c r="AB335" s="157">
        <f t="shared" si="3930"/>
        <v>45716</v>
      </c>
      <c r="AC335" s="161">
        <f t="shared" si="3931"/>
        <v>0</v>
      </c>
      <c r="AD335" s="157">
        <f t="shared" si="3932"/>
        <v>45717</v>
      </c>
      <c r="AE335" s="157">
        <f t="shared" si="3933"/>
        <v>45747</v>
      </c>
      <c r="AF335" s="161">
        <f t="shared" si="3934"/>
        <v>0</v>
      </c>
      <c r="AG335" s="157">
        <f t="shared" si="3935"/>
        <v>45748</v>
      </c>
      <c r="AH335" s="157">
        <f t="shared" si="3936"/>
        <v>45777</v>
      </c>
      <c r="AI335" s="161">
        <f t="shared" si="3937"/>
        <v>0</v>
      </c>
      <c r="AJ335" s="157">
        <f t="shared" si="3938"/>
        <v>45778</v>
      </c>
      <c r="AK335" s="157">
        <f t="shared" si="3939"/>
        <v>45808</v>
      </c>
      <c r="AL335" s="161">
        <f t="shared" si="3940"/>
        <v>0</v>
      </c>
      <c r="AM335" s="157">
        <f t="shared" si="3941"/>
        <v>45809</v>
      </c>
      <c r="AN335" s="157">
        <f t="shared" si="3942"/>
        <v>45838</v>
      </c>
      <c r="AO335" s="161">
        <f t="shared" si="3943"/>
        <v>0</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引出数据_合同数据仓库'!$B$2:$BP$1000,3,FALSE),0)</f>
        <v>0</v>
      </c>
      <c r="N336" s="125"/>
      <c r="O336" s="151">
        <f>IFERROR(VLOOKUP((LEFT(VLOOKUP($L336,'2-2 引出数据_合同数据仓库'!$B$2:$BP$1000,64,FALSE),15)&amp;(RIGHT(VLOOKUP($L336,'2-2 引出数据_合同数据仓库'!$B$2:$BP$1000,64,FALSE),4)+1)),'2-2 引出数据_合同数据仓库'!$B$2:$BP$1000,3,FALSE),0)</f>
        <v>0</v>
      </c>
      <c r="P336" s="125"/>
      <c r="Q336" s="125">
        <f>IFERROR(VLOOKUP($L336,'2-2 引出数据_合同数据仓库'!$B$2:$BP$1000,28,FALSE),0)</f>
        <v>0</v>
      </c>
      <c r="R336" s="125">
        <f>IFERROR(VLOOKUP($L336,'2-2 引出数据_合同数据仓库'!$B$2:$BP$1000,29,FALSE),0)</f>
        <v>0</v>
      </c>
      <c r="S336" s="125">
        <f>IFERROR(VLOOKUP($L336,'2-2 引出数据_合同数据仓库'!$B$2:$BP$1000,4,FALSE),0)</f>
        <v>0</v>
      </c>
      <c r="T336" s="125"/>
      <c r="U336" s="125">
        <f>IFERROR(VLOOKUP($L336,'2-2 引出数据_合同数据仓库'!$B$2:$BP$1000,15,FALSE),0)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引出数据_合同数据仓库'!$B$2:$BP$1000,3,FALSE),0)</f>
        <v>0</v>
      </c>
      <c r="N337" s="125"/>
      <c r="O337" s="151">
        <f>IFERROR(VLOOKUP((LEFT(VLOOKUP($L337,'2-2 引出数据_合同数据仓库'!$B$2:$BP$1000,64,FALSE),15)&amp;(RIGHT(VLOOKUP($L337,'2-2 引出数据_合同数据仓库'!$B$2:$BP$1000,64,FALSE),4)+1)),'2-2 引出数据_合同数据仓库'!$B$2:$BP$1000,3,FALSE),0)</f>
        <v>0</v>
      </c>
      <c r="P337" s="125"/>
      <c r="Q337" s="125">
        <f>IFERROR(VLOOKUP($L337,'2-2 引出数据_合同数据仓库'!$B$2:$BP$1000,28,FALSE),0)</f>
        <v>0</v>
      </c>
      <c r="R337" s="125">
        <f>IFERROR(VLOOKUP($L337,'2-2 引出数据_合同数据仓库'!$B$2:$BP$1000,29,FALSE),0)</f>
        <v>0</v>
      </c>
      <c r="S337" s="125">
        <f>IFERROR(VLOOKUP($L337,'2-2 引出数据_合同数据仓库'!$B$2:$BP$1000,4,FALSE),0)</f>
        <v>0</v>
      </c>
      <c r="T337" s="125"/>
      <c r="U337" s="125">
        <f>IFERROR(VLOOKUP($L337,'2-2 引出数据_合同数据仓库'!$B$2:$BP$1000,15,FALSE),0)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customHeight="1" outlineLevel="4" spans="1:95">
      <c r="A338" s="126" t="s">
        <v>2821</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customHeight="1" outlineLevel="2" spans="1:95">
      <c r="A339" s="47"/>
      <c r="B339" s="115" t="s">
        <v>794</v>
      </c>
      <c r="C339" s="116" t="s">
        <v>1287</v>
      </c>
      <c r="D339" s="47" t="s">
        <v>1288</v>
      </c>
      <c r="E339" s="115" t="s">
        <v>1289</v>
      </c>
      <c r="F339" s="115"/>
      <c r="G339" s="115" t="s">
        <v>943</v>
      </c>
      <c r="H339" s="117">
        <f>X339+AA339+AD339+AG339+AJ339+AM339+AP339+AS339+AV339+AY339+BB339+BE339</f>
        <v>484946.385204559</v>
      </c>
      <c r="I339" s="117">
        <f>Y339+AB339+AE339+AH339+AK339+AN339+AQ339+AT339+AW339+AZ339+BC339+BF339</f>
        <v>76102.7687662022</v>
      </c>
      <c r="J339" s="117">
        <f t="shared" si="3853"/>
        <v>408843.616438356</v>
      </c>
      <c r="K339" s="117"/>
      <c r="L339" s="148"/>
      <c r="M339" s="148"/>
      <c r="N339" s="117"/>
      <c r="O339" s="117"/>
      <c r="P339" s="117"/>
      <c r="Q339" s="117"/>
      <c r="R339" s="117"/>
      <c r="S339" s="117"/>
      <c r="T339" s="117"/>
      <c r="U339" s="117"/>
      <c r="V339" s="117"/>
      <c r="W339" s="117"/>
      <c r="X339" s="117">
        <f>VLOOKUP($C339,'1 预算编制表单'!$C:$BJ,27,FALSE)</f>
        <v>283936.951242294</v>
      </c>
      <c r="Y339" s="117">
        <f>X339-Z339</f>
        <v>233756.649872431</v>
      </c>
      <c r="Z339" s="117">
        <f>Z340+Z346+Z355+Z361+Z367+Z373+Z379+Z385+Z391</f>
        <v>50180.301369863</v>
      </c>
      <c r="AA339" s="117">
        <f>VLOOKUP($C339,'1 预算编制表单'!$C:$BJ,30,FALSE)</f>
        <v>18273.5849056604</v>
      </c>
      <c r="AB339" s="117">
        <f>AA339-AC339</f>
        <v>-32740.8808477642</v>
      </c>
      <c r="AC339" s="117">
        <f>AC340+AC346+AC355+AC361+AC367+AC373+AC379+AC385+AC391</f>
        <v>51014.4657534246</v>
      </c>
      <c r="AD339" s="117">
        <f>VLOOKUP($C339,'1 预算编制表单'!$C:$BJ,33,FALSE)</f>
        <v>18273.5849056604</v>
      </c>
      <c r="AE339" s="117">
        <f>AD339-AF339</f>
        <v>-38206.7164642026</v>
      </c>
      <c r="AF339" s="117">
        <f>AF340+AF346+AF355+AF361+AF367+AF373+AF379+AF385+AF391</f>
        <v>56480.301369863</v>
      </c>
      <c r="AG339" s="117">
        <f>VLOOKUP($C339,'1 预算编制表单'!$C:$BJ,36,FALSE)</f>
        <v>18273.5849056604</v>
      </c>
      <c r="AH339" s="117">
        <f>AG339-AI339</f>
        <v>-22884.7712587232</v>
      </c>
      <c r="AI339" s="117">
        <f>AI340+AI346+AI355+AI361+AI367+AI373+AI379+AI385+AI391</f>
        <v>41158.3561643836</v>
      </c>
      <c r="AJ339" s="117">
        <f>VLOOKUP($C339,'1 预算编制表单'!$C:$BJ,39,FALSE)</f>
        <v>18273.5849056604</v>
      </c>
      <c r="AK339" s="117">
        <f>AJ339-AL339</f>
        <v>-24256.7164642026</v>
      </c>
      <c r="AL339" s="117">
        <f>AL340+AL346+AL355+AL361+AL367+AL373+AL379+AL385+AL391</f>
        <v>42530.301369863</v>
      </c>
      <c r="AM339" s="117">
        <f>VLOOKUP($C339,'1 预算编制表单'!$C:$BJ,42,FALSE)</f>
        <v>18273.5849056604</v>
      </c>
      <c r="AN339" s="117">
        <f>AM339-AO339</f>
        <v>-22884.7712587232</v>
      </c>
      <c r="AO339" s="117">
        <f>AO340+AO346+AO355+AO361+AO367+AO373+AO379+AO385+AO391</f>
        <v>41158.3561643836</v>
      </c>
      <c r="AP339" s="117">
        <f>VLOOKUP($C339,'1 预算编制表单'!$C:$BJ,45,FALSE)</f>
        <v>18273.5849056604</v>
      </c>
      <c r="AQ339" s="117">
        <f>AP339-AR339</f>
        <v>-24256.7164642026</v>
      </c>
      <c r="AR339" s="117">
        <f>AR340+AR346+AR355+AR361+AR367+AR373+AR379+AR385+AR391</f>
        <v>42530.301369863</v>
      </c>
      <c r="AS339" s="117">
        <f>VLOOKUP($C339,'1 预算编制表单'!$C:$BJ,48,FALSE)</f>
        <v>18273.5849056604</v>
      </c>
      <c r="AT339" s="117">
        <f>AS339-AU339</f>
        <v>-24256.7164642026</v>
      </c>
      <c r="AU339" s="117">
        <f>AU340+AU346+AU355+AU361+AU367+AU373+AU379+AU385+AU391</f>
        <v>42530.301369863</v>
      </c>
      <c r="AV339" s="117">
        <f>VLOOKUP($C339,'1 预算编制表单'!$C:$BJ,51,FALSE)</f>
        <v>18273.5849056604</v>
      </c>
      <c r="AW339" s="117">
        <f>AV339-AX339</f>
        <v>-12695.6205737917</v>
      </c>
      <c r="AX339" s="117">
        <f>AX340+AX346+AX355+AX361+AX367+AX373+AX379+AX385+AX391</f>
        <v>30969.2054794521</v>
      </c>
      <c r="AY339" s="117">
        <f>VLOOKUP($C339,'1 预算编制表单'!$C:$BJ,54,FALSE)</f>
        <v>18273.5849056604</v>
      </c>
      <c r="AZ339" s="117">
        <f>AY339-BA339</f>
        <v>7981.8588782631</v>
      </c>
      <c r="BA339" s="117">
        <f>BA340+BA346+BA355+BA361+BA367+BA373+BA379+BA385+BA391</f>
        <v>10291.7260273973</v>
      </c>
      <c r="BB339" s="117">
        <f>VLOOKUP($C339,'1 预算编制表单'!$C:$BJ,57,FALSE)</f>
        <v>18273.5849056604</v>
      </c>
      <c r="BC339" s="117">
        <f>BB339-BD339</f>
        <v>18273.5849056604</v>
      </c>
      <c r="BD339" s="117">
        <f>BD340+BD346+BD355+BD361+BD367+BD373+BD379+BD385+BD391</f>
        <v>0</v>
      </c>
      <c r="BE339" s="117">
        <f>VLOOKUP($C339,'1 预算编制表单'!$C:$BJ,60,FALSE)</f>
        <v>18273.5849056604</v>
      </c>
      <c r="BF339" s="117">
        <f>BE339-BG339</f>
        <v>18273.5849056604</v>
      </c>
      <c r="BG339" s="117">
        <f>BG340+BG346+BG355+BG361+BG367+BG373+BG379+BG385+BG391</f>
        <v>0</v>
      </c>
      <c r="BH339" s="117">
        <f>VLOOKUP($C339,'1 预算编制表单'!$C:$BJ,27,FALSE)</f>
        <v>283936.951242294</v>
      </c>
      <c r="BI339" s="117">
        <f>BH339-BJ339</f>
        <v>283936.951242294</v>
      </c>
      <c r="BJ339" s="117">
        <f>BJ340+BJ346+BJ355+BJ361+BJ367+BJ373+BJ379+BJ385+BJ391</f>
        <v>0</v>
      </c>
      <c r="BK339" s="117">
        <f>VLOOKUP($C339,'1 预算编制表单'!$C:$BJ,30,FALSE)</f>
        <v>18273.5849056604</v>
      </c>
      <c r="BL339" s="117">
        <f>BK339-BM339</f>
        <v>18273.5849056604</v>
      </c>
      <c r="BM339" s="117">
        <f>BM340+BM346+BM355+BM361+BM367+BM373+BM379+BM385+BM391</f>
        <v>0</v>
      </c>
      <c r="BN339" s="117">
        <f>VLOOKUP($C339,'1 预算编制表单'!$C:$BJ,33,FALSE)</f>
        <v>18273.5849056604</v>
      </c>
      <c r="BO339" s="117">
        <f>BN339-BP339</f>
        <v>18273.5849056604</v>
      </c>
      <c r="BP339" s="117">
        <f>BP340+BP346+BP355+BP361+BP367+BP373+BP379+BP385+BP391</f>
        <v>0</v>
      </c>
      <c r="BQ339" s="117">
        <f>VLOOKUP($C339,'1 预算编制表单'!$C:$BJ,36,FALSE)</f>
        <v>18273.5849056604</v>
      </c>
      <c r="BR339" s="117">
        <f>BQ339-BS339</f>
        <v>18273.5849056604</v>
      </c>
      <c r="BS339" s="117">
        <f>BS340+BS346+BS355+BS361+BS367+BS373+BS379+BS385+BS391</f>
        <v>0</v>
      </c>
      <c r="BT339" s="117">
        <f>VLOOKUP($C339,'1 预算编制表单'!$C:$BJ,39,FALSE)</f>
        <v>18273.5849056604</v>
      </c>
      <c r="BU339" s="117">
        <f>BT339-BV339</f>
        <v>18273.5849056604</v>
      </c>
      <c r="BV339" s="117">
        <f>BV340+BV346+BV355+BV361+BV367+BV373+BV379+BV385+BV391</f>
        <v>0</v>
      </c>
      <c r="BW339" s="117">
        <f>VLOOKUP($C339,'1 预算编制表单'!$C:$BJ,42,FALSE)</f>
        <v>18273.5849056604</v>
      </c>
      <c r="BX339" s="117">
        <f>BW339-BY339</f>
        <v>18273.5849056604</v>
      </c>
      <c r="BY339" s="117">
        <f>BY340+BY346+BY355+BY361+BY367+BY373+BY379+BY385+BY391</f>
        <v>0</v>
      </c>
      <c r="BZ339" s="117">
        <f>VLOOKUP($C339,'1 预算编制表单'!$C:$BJ,45,FALSE)</f>
        <v>18273.5849056604</v>
      </c>
      <c r="CA339" s="117">
        <f>BZ339-CB339</f>
        <v>18273.5849056604</v>
      </c>
      <c r="CB339" s="117">
        <f>CB340+CB346+CB355+CB361+CB367+CB373+CB379+CB385+CB391</f>
        <v>0</v>
      </c>
      <c r="CC339" s="117">
        <f>VLOOKUP($C339,'1 预算编制表单'!$C:$BJ,48,FALSE)</f>
        <v>18273.5849056604</v>
      </c>
      <c r="CD339" s="117">
        <f>CC339-CE339</f>
        <v>18273.5849056604</v>
      </c>
      <c r="CE339" s="117">
        <f>CE340+CE346+CE355+CE361+CE367+CE373+CE379+CE385+CE391</f>
        <v>0</v>
      </c>
      <c r="CF339" s="117">
        <f>VLOOKUP($C339,'1 预算编制表单'!$C:$BJ,51,FALSE)</f>
        <v>18273.5849056604</v>
      </c>
      <c r="CG339" s="117">
        <f>CF339-CH339</f>
        <v>18273.5849056604</v>
      </c>
      <c r="CH339" s="117">
        <f>CH340+CH346+CH355+CH361+CH367+CH373+CH379+CH385+CH391</f>
        <v>0</v>
      </c>
      <c r="CI339" s="117">
        <f>VLOOKUP($C339,'1 预算编制表单'!$C:$BJ,54,FALSE)</f>
        <v>18273.5849056604</v>
      </c>
      <c r="CJ339" s="117">
        <f>CI339-CK339</f>
        <v>18273.5849056604</v>
      </c>
      <c r="CK339" s="117">
        <f>CK340+CK346+CK355+CK361+CK367+CK373+CK379+CK385+CK391</f>
        <v>0</v>
      </c>
      <c r="CL339" s="117">
        <f>VLOOKUP($C339,'1 预算编制表单'!$C:$BJ,57,FALSE)</f>
        <v>18273.5849056604</v>
      </c>
      <c r="CM339" s="117">
        <f>CL339-CN339</f>
        <v>18273.5849056604</v>
      </c>
      <c r="CN339" s="117">
        <f>CN340+CN346+CN355+CN361+CN367+CN373+CN379+CN385+CN391</f>
        <v>0</v>
      </c>
      <c r="CO339" s="117">
        <f>VLOOKUP($C339,'1 预算编制表单'!$C:$BJ,60,FALSE)</f>
        <v>18273.5849056604</v>
      </c>
      <c r="CP339" s="117">
        <f>CO339-CQ339</f>
        <v>18273.5849056604</v>
      </c>
      <c r="CQ339" s="117">
        <f>CQ340+CQ346+CQ355+CQ361+CQ367+CQ373+CQ379+CQ385+CQ391</f>
        <v>0</v>
      </c>
    </row>
    <row r="340" ht="24" customHeight="1" outlineLevel="3" spans="1:95">
      <c r="A340" s="118"/>
      <c r="B340" s="119" t="s">
        <v>799</v>
      </c>
      <c r="C340" s="120" t="s">
        <v>28</v>
      </c>
      <c r="D340" s="118" t="s">
        <v>29</v>
      </c>
      <c r="E340" s="119" t="s">
        <v>1290</v>
      </c>
      <c r="F340" s="119"/>
      <c r="G340" s="119" t="s">
        <v>943</v>
      </c>
      <c r="H340" s="121">
        <f>X340+AA340+AD340+AG340+AJ340+AM340+AP340+AS340+AV340+AY340+BB340+BE340</f>
        <v>219283.018867925</v>
      </c>
      <c r="I340" s="121">
        <f>Y340+AB340+AE340+AH340+AK340+AN340+AQ340+AT340+AW340+AZ340+BC340+BF340</f>
        <v>55619.7859912124</v>
      </c>
      <c r="J340" s="121">
        <f t="shared" si="3853"/>
        <v>163663.232876712</v>
      </c>
      <c r="K340" s="121"/>
      <c r="L340" s="149"/>
      <c r="M340" s="149"/>
      <c r="N340" s="121"/>
      <c r="O340" s="121"/>
      <c r="P340" s="121"/>
      <c r="Q340" s="121"/>
      <c r="R340" s="121"/>
      <c r="S340" s="121"/>
      <c r="T340" s="121"/>
      <c r="U340" s="121"/>
      <c r="V340" s="121"/>
      <c r="W340" s="121"/>
      <c r="X340" s="121">
        <f>VLOOKUP($C340,'1 预算编制表单'!$C:$BJ,27,FALSE)</f>
        <v>18273.5849056604</v>
      </c>
      <c r="Y340" s="121">
        <f>X340-Z340</f>
        <v>-1467.8945463944</v>
      </c>
      <c r="Z340" s="121">
        <f>SUM(Z341:Z345)</f>
        <v>19741.4794520548</v>
      </c>
      <c r="AA340" s="121">
        <f>VLOOKUP($C340,'1 预算编制表单'!$C:$BJ,30,FALSE)</f>
        <v>18273.5849056604</v>
      </c>
      <c r="AB340" s="121">
        <f>AA340-AC340</f>
        <v>442.571207030298</v>
      </c>
      <c r="AC340" s="121">
        <f>SUM(AC341:AC345)</f>
        <v>17831.0136986301</v>
      </c>
      <c r="AD340" s="121">
        <f>VLOOKUP($C340,'1 预算编制表单'!$C:$BJ,33,FALSE)</f>
        <v>18273.5849056604</v>
      </c>
      <c r="AE340" s="121">
        <f>AD340-AF340</f>
        <v>-1467.8945463944</v>
      </c>
      <c r="AF340" s="121">
        <f>SUM(AF341:AF345)</f>
        <v>19741.4794520548</v>
      </c>
      <c r="AG340" s="121">
        <f>VLOOKUP($C340,'1 预算编制表单'!$C:$BJ,36,FALSE)</f>
        <v>18273.5849056604</v>
      </c>
      <c r="AH340" s="121">
        <f>AG340-AI340</f>
        <v>-831.0726285862</v>
      </c>
      <c r="AI340" s="121">
        <f>SUM(AI341:AI345)</f>
        <v>19104.6575342466</v>
      </c>
      <c r="AJ340" s="121">
        <f>VLOOKUP($C340,'1 预算编制表单'!$C:$BJ,39,FALSE)</f>
        <v>18273.5849056604</v>
      </c>
      <c r="AK340" s="121">
        <f>AJ340-AL340</f>
        <v>-1467.8945463944</v>
      </c>
      <c r="AL340" s="121">
        <f>SUM(AL341:AL345)</f>
        <v>19741.4794520548</v>
      </c>
      <c r="AM340" s="121">
        <f>VLOOKUP($C340,'1 预算编制表单'!$C:$BJ,42,FALSE)</f>
        <v>18273.5849056604</v>
      </c>
      <c r="AN340" s="121">
        <f>AM340-AO340</f>
        <v>-831.0726285862</v>
      </c>
      <c r="AO340" s="121">
        <f>SUM(AO341:AO345)</f>
        <v>19104.6575342466</v>
      </c>
      <c r="AP340" s="121">
        <f>VLOOKUP($C340,'1 预算编制表单'!$C:$BJ,45,FALSE)</f>
        <v>18273.5849056604</v>
      </c>
      <c r="AQ340" s="121">
        <f>AP340-AR340</f>
        <v>-1467.8945463944</v>
      </c>
      <c r="AR340" s="121">
        <f>SUM(AR341:AR345)</f>
        <v>19741.4794520548</v>
      </c>
      <c r="AS340" s="121">
        <f>VLOOKUP($C340,'1 预算编制表单'!$C:$BJ,48,FALSE)</f>
        <v>18273.5849056604</v>
      </c>
      <c r="AT340" s="121">
        <f>AS340-AU340</f>
        <v>-1467.8945463944</v>
      </c>
      <c r="AU340" s="121">
        <f>SUM(AU341:AU345)</f>
        <v>19741.4794520548</v>
      </c>
      <c r="AV340" s="121">
        <f>VLOOKUP($C340,'1 预算编制表单'!$C:$BJ,51,FALSE)</f>
        <v>18273.5849056604</v>
      </c>
      <c r="AW340" s="121">
        <f>AV340-AX340</f>
        <v>9358.07805634533</v>
      </c>
      <c r="AX340" s="121">
        <f>SUM(AX341:AX345)</f>
        <v>8915.50684931507</v>
      </c>
      <c r="AY340" s="121">
        <f>VLOOKUP($C340,'1 预算编制表单'!$C:$BJ,54,FALSE)</f>
        <v>18273.5849056604</v>
      </c>
      <c r="AZ340" s="121">
        <f>AY340-BA340</f>
        <v>18273.5849056604</v>
      </c>
      <c r="BA340" s="121">
        <f>SUM(BA341:BA345)</f>
        <v>0</v>
      </c>
      <c r="BB340" s="121">
        <f>VLOOKUP($C340,'1 预算编制表单'!$C:$BJ,57,FALSE)</f>
        <v>18273.5849056604</v>
      </c>
      <c r="BC340" s="121">
        <f>BB340-BD340</f>
        <v>18273.5849056604</v>
      </c>
      <c r="BD340" s="121">
        <f>SUM(BD341:BD345)</f>
        <v>0</v>
      </c>
      <c r="BE340" s="121">
        <f>VLOOKUP($C340,'1 预算编制表单'!$C:$BJ,60,FALSE)</f>
        <v>18273.5849056604</v>
      </c>
      <c r="BF340" s="121">
        <f>BE340-BG340</f>
        <v>18273.5849056604</v>
      </c>
      <c r="BG340" s="121">
        <f>SUM(BG341:BG345)</f>
        <v>0</v>
      </c>
      <c r="BH340" s="121">
        <f>VLOOKUP($C340,'1 预算编制表单'!$C:$BJ,27,FALSE)</f>
        <v>18273.5849056604</v>
      </c>
      <c r="BI340" s="121">
        <f>BH340-BJ340</f>
        <v>18273.5849056604</v>
      </c>
      <c r="BJ340" s="121">
        <f>SUM(BJ341:BJ345)</f>
        <v>0</v>
      </c>
      <c r="BK340" s="121">
        <f>VLOOKUP($C340,'1 预算编制表单'!$C:$BJ,30,FALSE)</f>
        <v>18273.5849056604</v>
      </c>
      <c r="BL340" s="121">
        <f>BK340-BM340</f>
        <v>18273.5849056604</v>
      </c>
      <c r="BM340" s="121">
        <f>SUM(BM341:BM345)</f>
        <v>0</v>
      </c>
      <c r="BN340" s="121">
        <f>VLOOKUP($C340,'1 预算编制表单'!$C:$BJ,33,FALSE)</f>
        <v>18273.5849056604</v>
      </c>
      <c r="BO340" s="121">
        <f>BN340-BP340</f>
        <v>18273.5849056604</v>
      </c>
      <c r="BP340" s="121">
        <f>SUM(BP341:BP345)</f>
        <v>0</v>
      </c>
      <c r="BQ340" s="121">
        <f>VLOOKUP($C340,'1 预算编制表单'!$C:$BJ,36,FALSE)</f>
        <v>18273.5849056604</v>
      </c>
      <c r="BR340" s="121">
        <f>BQ340-BS340</f>
        <v>18273.5849056604</v>
      </c>
      <c r="BS340" s="121">
        <f>SUM(BS341:BS345)</f>
        <v>0</v>
      </c>
      <c r="BT340" s="121">
        <f>VLOOKUP($C340,'1 预算编制表单'!$C:$BJ,39,FALSE)</f>
        <v>18273.5849056604</v>
      </c>
      <c r="BU340" s="121">
        <f>BT340-BV340</f>
        <v>18273.5849056604</v>
      </c>
      <c r="BV340" s="121">
        <f>SUM(BV341:BV345)</f>
        <v>0</v>
      </c>
      <c r="BW340" s="121">
        <f>VLOOKUP($C340,'1 预算编制表单'!$C:$BJ,42,FALSE)</f>
        <v>18273.5849056604</v>
      </c>
      <c r="BX340" s="121">
        <f>BW340-BY340</f>
        <v>18273.5849056604</v>
      </c>
      <c r="BY340" s="121">
        <f>SUM(BY341:BY345)</f>
        <v>0</v>
      </c>
      <c r="BZ340" s="121">
        <f>VLOOKUP($C340,'1 预算编制表单'!$C:$BJ,45,FALSE)</f>
        <v>18273.5849056604</v>
      </c>
      <c r="CA340" s="121">
        <f>BZ340-CB340</f>
        <v>18273.5849056604</v>
      </c>
      <c r="CB340" s="121">
        <f>SUM(CB341:CB345)</f>
        <v>0</v>
      </c>
      <c r="CC340" s="121">
        <f>VLOOKUP($C340,'1 预算编制表单'!$C:$BJ,48,FALSE)</f>
        <v>18273.5849056604</v>
      </c>
      <c r="CD340" s="121">
        <f>CC340-CE340</f>
        <v>18273.5849056604</v>
      </c>
      <c r="CE340" s="121">
        <f>SUM(CE341:CE345)</f>
        <v>0</v>
      </c>
      <c r="CF340" s="121">
        <f>VLOOKUP($C340,'1 预算编制表单'!$C:$BJ,51,FALSE)</f>
        <v>18273.5849056604</v>
      </c>
      <c r="CG340" s="121">
        <f>CF340-CH340</f>
        <v>18273.5849056604</v>
      </c>
      <c r="CH340" s="121">
        <f>SUM(CH341:CH345)</f>
        <v>0</v>
      </c>
      <c r="CI340" s="121">
        <f>VLOOKUP($C340,'1 预算编制表单'!$C:$BJ,54,FALSE)</f>
        <v>18273.5849056604</v>
      </c>
      <c r="CJ340" s="121">
        <f>CI340-CK340</f>
        <v>18273.5849056604</v>
      </c>
      <c r="CK340" s="121">
        <f>SUM(CK341:CK345)</f>
        <v>0</v>
      </c>
      <c r="CL340" s="121">
        <f>VLOOKUP($C340,'1 预算编制表单'!$C:$BJ,57,FALSE)</f>
        <v>18273.5849056604</v>
      </c>
      <c r="CM340" s="121">
        <f>CL340-CN340</f>
        <v>18273.5849056604</v>
      </c>
      <c r="CN340" s="121">
        <f>SUM(CN341:CN345)</f>
        <v>0</v>
      </c>
      <c r="CO340" s="121">
        <f>VLOOKUP($C340,'1 预算编制表单'!$C:$BJ,60,FALSE)</f>
        <v>18273.5849056604</v>
      </c>
      <c r="CP340" s="121">
        <f>CO340-CQ340</f>
        <v>18273.5849056604</v>
      </c>
      <c r="CQ340" s="121">
        <f>SUM(CQ341:CQ345)</f>
        <v>0</v>
      </c>
    </row>
    <row r="341" s="83" customFormat="1" ht="24" customHeight="1" outlineLevel="4" spans="1:95">
      <c r="A341" s="122"/>
      <c r="B341" s="123"/>
      <c r="C341" s="124"/>
      <c r="D341" s="122"/>
      <c r="E341" s="123"/>
      <c r="F341" s="123"/>
      <c r="G341" s="123"/>
      <c r="H341" s="125"/>
      <c r="I341" s="125"/>
      <c r="J341" s="125">
        <f t="shared" si="3853"/>
        <v>163663.232876712</v>
      </c>
      <c r="K341" s="125">
        <v>1</v>
      </c>
      <c r="L341" s="150" t="s">
        <v>2829</v>
      </c>
      <c r="M341" s="151" t="str">
        <f>IFERROR(VLOOKUP($L341,'2-2 引出数据_合同数据仓库'!$B$2:$BP$1000,3,FALSE),0)</f>
        <v>深圳市南山分局项目外包消杀合同</v>
      </c>
      <c r="N341" s="125"/>
      <c r="O341" s="151">
        <f>IFERROR(VLOOKUP((LEFT(VLOOKUP($L341,'2-2 引出数据_合同数据仓库'!$B$2:$BP$1000,64,FALSE),15)&amp;(RIGHT(VLOOKUP($L341,'2-2 引出数据_合同数据仓库'!$B$2:$BP$1000,64,FALSE),4)+1)),'2-2 引出数据_合同数据仓库'!$B$2:$BP$1000,3,FALSE),0)</f>
        <v>0</v>
      </c>
      <c r="P341" s="125"/>
      <c r="Q341" s="125" t="str">
        <f>IFERROR(VLOOKUP($L341,'2-2 引出数据_合同数据仓库'!$B$2:$BP$1000,28,FALSE),0)</f>
        <v>2024-09-15</v>
      </c>
      <c r="R341" s="125" t="str">
        <f>IFERROR(VLOOKUP($L341,'2-2 引出数据_合同数据仓库'!$B$2:$BP$1000,29,FALSE),0)</f>
        <v>2024-09-15</v>
      </c>
      <c r="S341" s="125" t="str">
        <f>IFERROR(VLOOKUP($L341,'2-2 引出数据_合同数据仓库'!$B$2:$BP$1000,4,FALSE),0)</f>
        <v>2025-09-14</v>
      </c>
      <c r="T341" s="125"/>
      <c r="U341" s="125">
        <f>IFERROR(VLOOKUP($L341,'2-2 引出数据_合同数据仓库'!$B$2:$BP$1000,15,FALSE),0)</f>
        <v>232440</v>
      </c>
      <c r="V341" s="125">
        <f t="shared" ref="V341:V344" si="3998">U341/(S341-R341+1)*365</f>
        <v>232440</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19741.4794520548</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17831.0136986301</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19741.4794520548</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19104.6575342466</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19741.4794520548</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19104.6575342466</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19741.4794520548</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19741.4794520548</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8915.50684931507</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0</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0</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0</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0</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0</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customHeight="1" outlineLevel="4" spans="1:95">
      <c r="A342" s="122"/>
      <c r="B342" s="123"/>
      <c r="C342" s="124"/>
      <c r="D342" s="122"/>
      <c r="E342" s="123"/>
      <c r="F342" s="123"/>
      <c r="G342" s="123"/>
      <c r="H342" s="125"/>
      <c r="I342" s="125"/>
      <c r="J342" s="125">
        <f t="shared" si="3853"/>
        <v>0</v>
      </c>
      <c r="K342" s="125">
        <f t="shared" ref="K342:K344" si="4069">K341+1</f>
        <v>2</v>
      </c>
      <c r="L342" s="150"/>
      <c r="M342" s="151">
        <f>IFERROR(VLOOKUP($L342,'2-2 引出数据_合同数据仓库'!$B$2:$BP$1000,3,FALSE),0)</f>
        <v>0</v>
      </c>
      <c r="N342" s="125"/>
      <c r="O342" s="151">
        <f>IFERROR(VLOOKUP((LEFT(VLOOKUP($L342,'2-2 引出数据_合同数据仓库'!$B$2:$BP$1000,64,FALSE),15)&amp;(RIGHT(VLOOKUP($L342,'2-2 引出数据_合同数据仓库'!$B$2:$BP$1000,64,FALSE),4)+1)),'2-2 引出数据_合同数据仓库'!$B$2:$BP$1000,3,FALSE),0)</f>
        <v>0</v>
      </c>
      <c r="P342" s="125"/>
      <c r="Q342" s="125">
        <f>IFERROR(VLOOKUP($L342,'2-2 引出数据_合同数据仓库'!$B$2:$BP$1000,28,FALSE),0)</f>
        <v>0</v>
      </c>
      <c r="R342" s="125">
        <f>IFERROR(VLOOKUP($L342,'2-2 引出数据_合同数据仓库'!$B$2:$BP$1000,29,FALSE),0)</f>
        <v>0</v>
      </c>
      <c r="S342" s="125">
        <f>IFERROR(VLOOKUP($L342,'2-2 引出数据_合同数据仓库'!$B$2:$BP$1000,4,FALSE),0)</f>
        <v>0</v>
      </c>
      <c r="T342" s="125"/>
      <c r="U342" s="125">
        <f>IFERROR(VLOOKUP($L342,'2-2 引出数据_合同数据仓库'!$B$2:$BP$1000,15,FALSE),0)</f>
        <v>0</v>
      </c>
      <c r="V342" s="125">
        <f t="shared" si="3998"/>
        <v>0</v>
      </c>
      <c r="W342" s="125"/>
      <c r="X342" s="157">
        <v>45658</v>
      </c>
      <c r="Y342" s="157">
        <f t="shared" si="3999"/>
        <v>45688</v>
      </c>
      <c r="Z342" s="161">
        <f t="shared" si="4000"/>
        <v>0</v>
      </c>
      <c r="AA342" s="157">
        <f t="shared" si="4001"/>
        <v>45689</v>
      </c>
      <c r="AB342" s="157">
        <f t="shared" si="4002"/>
        <v>45716</v>
      </c>
      <c r="AC342" s="161">
        <f t="shared" si="4003"/>
        <v>0</v>
      </c>
      <c r="AD342" s="157">
        <f t="shared" si="4004"/>
        <v>45717</v>
      </c>
      <c r="AE342" s="157">
        <f t="shared" si="4005"/>
        <v>45747</v>
      </c>
      <c r="AF342" s="161">
        <f t="shared" si="4006"/>
        <v>0</v>
      </c>
      <c r="AG342" s="157">
        <f t="shared" si="4007"/>
        <v>45748</v>
      </c>
      <c r="AH342" s="157">
        <f t="shared" si="4008"/>
        <v>45777</v>
      </c>
      <c r="AI342" s="161">
        <f t="shared" si="4009"/>
        <v>0</v>
      </c>
      <c r="AJ342" s="157">
        <f t="shared" si="4010"/>
        <v>45778</v>
      </c>
      <c r="AK342" s="157">
        <f t="shared" si="4011"/>
        <v>45808</v>
      </c>
      <c r="AL342" s="161">
        <f t="shared" si="4012"/>
        <v>0</v>
      </c>
      <c r="AM342" s="157">
        <f t="shared" si="4013"/>
        <v>45809</v>
      </c>
      <c r="AN342" s="157">
        <f t="shared" si="4014"/>
        <v>45838</v>
      </c>
      <c r="AO342" s="161">
        <f t="shared" si="4015"/>
        <v>0</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customHeight="1" outlineLevel="4" spans="1:95">
      <c r="A343" s="122"/>
      <c r="B343" s="123"/>
      <c r="C343" s="124"/>
      <c r="D343" s="122"/>
      <c r="E343" s="123"/>
      <c r="F343" s="123"/>
      <c r="G343" s="123"/>
      <c r="H343" s="125"/>
      <c r="I343" s="125"/>
      <c r="J343" s="125">
        <f t="shared" si="3853"/>
        <v>0</v>
      </c>
      <c r="K343" s="125">
        <f t="shared" si="4069"/>
        <v>3</v>
      </c>
      <c r="L343" s="150"/>
      <c r="M343" s="151">
        <f>IFERROR(VLOOKUP($L343,'2-2 引出数据_合同数据仓库'!$B$2:$BP$1000,3,FALSE),0)</f>
        <v>0</v>
      </c>
      <c r="N343" s="125"/>
      <c r="O343" s="151">
        <f>IFERROR(VLOOKUP((LEFT(VLOOKUP($L343,'2-2 引出数据_合同数据仓库'!$B$2:$BP$1000,64,FALSE),15)&amp;(RIGHT(VLOOKUP($L343,'2-2 引出数据_合同数据仓库'!$B$2:$BP$1000,64,FALSE),4)+1)),'2-2 引出数据_合同数据仓库'!$B$2:$BP$1000,3,FALSE),0)</f>
        <v>0</v>
      </c>
      <c r="P343" s="125"/>
      <c r="Q343" s="125">
        <f>IFERROR(VLOOKUP($L343,'2-2 引出数据_合同数据仓库'!$B$2:$BP$1000,28,FALSE),0)</f>
        <v>0</v>
      </c>
      <c r="R343" s="125">
        <f>IFERROR(VLOOKUP($L343,'2-2 引出数据_合同数据仓库'!$B$2:$BP$1000,29,FALSE),0)</f>
        <v>0</v>
      </c>
      <c r="S343" s="125">
        <f>IFERROR(VLOOKUP($L343,'2-2 引出数据_合同数据仓库'!$B$2:$BP$1000,4,FALSE),0)</f>
        <v>0</v>
      </c>
      <c r="T343" s="125"/>
      <c r="U343" s="125">
        <f>IFERROR(VLOOKUP($L343,'2-2 引出数据_合同数据仓库'!$B$2:$BP$1000,15,FALSE),0)</f>
        <v>0</v>
      </c>
      <c r="V343" s="125">
        <f t="shared" si="3998"/>
        <v>0</v>
      </c>
      <c r="W343" s="125"/>
      <c r="X343" s="157">
        <v>45658</v>
      </c>
      <c r="Y343" s="157">
        <f t="shared" si="3999"/>
        <v>45688</v>
      </c>
      <c r="Z343" s="161">
        <f t="shared" si="4000"/>
        <v>0</v>
      </c>
      <c r="AA343" s="157">
        <f t="shared" si="4001"/>
        <v>45689</v>
      </c>
      <c r="AB343" s="157">
        <f t="shared" si="4002"/>
        <v>45716</v>
      </c>
      <c r="AC343" s="161">
        <f t="shared" si="4003"/>
        <v>0</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customHeight="1" outlineLevel="4" spans="1:95">
      <c r="A344" s="122"/>
      <c r="B344" s="123"/>
      <c r="C344" s="124"/>
      <c r="D344" s="122"/>
      <c r="E344" s="123"/>
      <c r="F344" s="123"/>
      <c r="G344" s="123"/>
      <c r="H344" s="125"/>
      <c r="I344" s="125"/>
      <c r="J344" s="125">
        <f t="shared" si="3853"/>
        <v>0</v>
      </c>
      <c r="K344" s="125">
        <f t="shared" si="4069"/>
        <v>4</v>
      </c>
      <c r="L344" s="150"/>
      <c r="M344" s="151">
        <f>IFERROR(VLOOKUP($L344,'2-2 引出数据_合同数据仓库'!$B$2:$BP$1000,3,FALSE),0)</f>
        <v>0</v>
      </c>
      <c r="N344" s="125"/>
      <c r="O344" s="151">
        <f>IFERROR(VLOOKUP((LEFT(VLOOKUP($L344,'2-2 引出数据_合同数据仓库'!$B$2:$BP$1000,64,FALSE),15)&amp;(RIGHT(VLOOKUP($L344,'2-2 引出数据_合同数据仓库'!$B$2:$BP$1000,64,FALSE),4)+1)),'2-2 引出数据_合同数据仓库'!$B$2:$BP$1000,3,FALSE),0)</f>
        <v>0</v>
      </c>
      <c r="P344" s="125"/>
      <c r="Q344" s="125">
        <f>IFERROR(VLOOKUP($L344,'2-2 引出数据_合同数据仓库'!$B$2:$BP$1000,28,FALSE),0)</f>
        <v>0</v>
      </c>
      <c r="R344" s="125">
        <f>IFERROR(VLOOKUP($L344,'2-2 引出数据_合同数据仓库'!$B$2:$BP$1000,29,FALSE),0)</f>
        <v>0</v>
      </c>
      <c r="S344" s="125">
        <f>IFERROR(VLOOKUP($L344,'2-2 引出数据_合同数据仓库'!$B$2:$BP$1000,4,FALSE),0)</f>
        <v>0</v>
      </c>
      <c r="T344" s="125"/>
      <c r="U344" s="125">
        <f>IFERROR(VLOOKUP($L344,'2-2 引出数据_合同数据仓库'!$B$2:$BP$1000,15,FALSE),0)</f>
        <v>0</v>
      </c>
      <c r="V344" s="125">
        <f t="shared" si="3998"/>
        <v>0</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customHeight="1" outlineLevel="4" spans="1:95">
      <c r="A345" s="126" t="s">
        <v>2821</v>
      </c>
      <c r="B345" s="127"/>
      <c r="C345" s="127"/>
      <c r="D345" s="127"/>
      <c r="E345" s="127"/>
      <c r="F345" s="127"/>
      <c r="G345" s="128"/>
      <c r="H345" s="129"/>
      <c r="I345" s="129"/>
      <c r="J345" s="129"/>
      <c r="K345" s="129"/>
      <c r="L345" s="152"/>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customHeight="1" outlineLevel="3" spans="1:95">
      <c r="A346" s="118"/>
      <c r="B346" s="119" t="s">
        <v>799</v>
      </c>
      <c r="C346" s="120" t="s">
        <v>1293</v>
      </c>
      <c r="D346" s="118" t="s">
        <v>1294</v>
      </c>
      <c r="E346" s="119"/>
      <c r="F346" s="119"/>
      <c r="G346" s="119"/>
      <c r="H346" s="121">
        <f>X346+AA346+AD346+AG346+AJ346+AM346+AP346+AS346+AV346+AY346+BB346+BE346</f>
        <v>265663.366336634</v>
      </c>
      <c r="I346" s="121">
        <f>Y346+AB346+AE346+AH346+AK346+AN346+AQ346+AT346+AW346+AZ346+BC346+BF346</f>
        <v>54682.9827749902</v>
      </c>
      <c r="J346" s="121">
        <f t="shared" si="3853"/>
        <v>210980.383561644</v>
      </c>
      <c r="K346" s="121"/>
      <c r="L346" s="149"/>
      <c r="M346" s="149"/>
      <c r="N346" s="121"/>
      <c r="O346" s="121"/>
      <c r="P346" s="121"/>
      <c r="Q346" s="121"/>
      <c r="R346" s="121"/>
      <c r="S346" s="121"/>
      <c r="T346" s="121"/>
      <c r="U346" s="121"/>
      <c r="V346" s="121"/>
      <c r="W346" s="121"/>
      <c r="X346" s="121">
        <f>VLOOKUP($C346,'1 预算编制表单'!$C:$BJ,27,FALSE)</f>
        <v>265663.366336634</v>
      </c>
      <c r="Y346" s="121">
        <f>X346-Z346</f>
        <v>242874.544418826</v>
      </c>
      <c r="Z346" s="121">
        <f>SUM(Z347:Z354)</f>
        <v>22788.8219178082</v>
      </c>
      <c r="AA346" s="121">
        <f>VLOOKUP($C346,'1 预算编制表单'!$C:$BJ,30,FALSE)</f>
        <v>0</v>
      </c>
      <c r="AB346" s="121">
        <f>AA346-AC346</f>
        <v>-20583.4520547945</v>
      </c>
      <c r="AC346" s="121">
        <f>SUM(AC347:AC354)</f>
        <v>20583.4520547945</v>
      </c>
      <c r="AD346" s="121">
        <f>VLOOKUP($C346,'1 预算编制表单'!$C:$BJ,33,FALSE)</f>
        <v>0</v>
      </c>
      <c r="AE346" s="121">
        <f>AD346-AF346</f>
        <v>-22788.8219178082</v>
      </c>
      <c r="AF346" s="121">
        <f>SUM(AF347:AF354)</f>
        <v>22788.8219178082</v>
      </c>
      <c r="AG346" s="121">
        <f>VLOOKUP($C346,'1 预算编制表单'!$C:$BJ,36,FALSE)</f>
        <v>0</v>
      </c>
      <c r="AH346" s="121">
        <f>AG346-AI346</f>
        <v>-22053.698630137</v>
      </c>
      <c r="AI346" s="121">
        <f>SUM(AI347:AI354)</f>
        <v>22053.698630137</v>
      </c>
      <c r="AJ346" s="121">
        <f>VLOOKUP($C346,'1 预算编制表单'!$C:$BJ,39,FALSE)</f>
        <v>0</v>
      </c>
      <c r="AK346" s="121">
        <f>AJ346-AL346</f>
        <v>-22788.8219178082</v>
      </c>
      <c r="AL346" s="121">
        <f>SUM(AL347:AL354)</f>
        <v>22788.8219178082</v>
      </c>
      <c r="AM346" s="121">
        <f>VLOOKUP($C346,'1 预算编制表单'!$C:$BJ,42,FALSE)</f>
        <v>0</v>
      </c>
      <c r="AN346" s="121">
        <f>AM346-AO346</f>
        <v>-22053.698630137</v>
      </c>
      <c r="AO346" s="121">
        <f>SUM(AO347:AO354)</f>
        <v>22053.698630137</v>
      </c>
      <c r="AP346" s="121">
        <f>VLOOKUP($C346,'1 预算编制表单'!$C:$BJ,45,FALSE)</f>
        <v>0</v>
      </c>
      <c r="AQ346" s="121">
        <f>AP346-AR346</f>
        <v>-22788.8219178082</v>
      </c>
      <c r="AR346" s="121">
        <f>SUM(AR347:AR354)</f>
        <v>22788.8219178082</v>
      </c>
      <c r="AS346" s="121">
        <f>VLOOKUP($C346,'1 预算编制表单'!$C:$BJ,48,FALSE)</f>
        <v>0</v>
      </c>
      <c r="AT346" s="121">
        <f>AS346-AU346</f>
        <v>-22788.8219178082</v>
      </c>
      <c r="AU346" s="121">
        <f>SUM(AU347:AU354)</f>
        <v>22788.8219178082</v>
      </c>
      <c r="AV346" s="121">
        <f>VLOOKUP($C346,'1 预算编制表单'!$C:$BJ,51,FALSE)</f>
        <v>0</v>
      </c>
      <c r="AW346" s="121">
        <f>AV346-AX346</f>
        <v>-22053.698630137</v>
      </c>
      <c r="AX346" s="121">
        <f>SUM(AX347:AX354)</f>
        <v>22053.698630137</v>
      </c>
      <c r="AY346" s="121">
        <f>VLOOKUP($C346,'1 预算编制表单'!$C:$BJ,54,FALSE)</f>
        <v>0</v>
      </c>
      <c r="AZ346" s="121">
        <f>AY346-BA346</f>
        <v>-10291.7260273973</v>
      </c>
      <c r="BA346" s="121">
        <f>SUM(BA347:BA354)</f>
        <v>10291.7260273973</v>
      </c>
      <c r="BB346" s="121">
        <f>VLOOKUP($C346,'1 预算编制表单'!$C:$BJ,57,FALSE)</f>
        <v>0</v>
      </c>
      <c r="BC346" s="121">
        <f>BB346-BD346</f>
        <v>0</v>
      </c>
      <c r="BD346" s="121">
        <f>SUM(BD347:BD354)</f>
        <v>0</v>
      </c>
      <c r="BE346" s="121">
        <f>VLOOKUP($C346,'1 预算编制表单'!$C:$BJ,60,FALSE)</f>
        <v>0</v>
      </c>
      <c r="BF346" s="121">
        <f>BE346-BG346</f>
        <v>0</v>
      </c>
      <c r="BG346" s="121">
        <f>SUM(BG347:BG354)</f>
        <v>0</v>
      </c>
      <c r="BH346" s="121">
        <f>VLOOKUP($C346,'1 预算编制表单'!$C:$BJ,27,FALSE)</f>
        <v>265663.366336634</v>
      </c>
      <c r="BI346" s="121">
        <f>BH346-BJ346</f>
        <v>265663.366336634</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customHeight="1" outlineLevel="4" spans="1:95">
      <c r="A347" s="122"/>
      <c r="B347" s="123"/>
      <c r="C347" s="124" t="s">
        <v>56</v>
      </c>
      <c r="D347" s="122" t="s">
        <v>2830</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customHeight="1" outlineLevel="4" spans="1:95">
      <c r="A348" s="122"/>
      <c r="B348" s="123"/>
      <c r="C348" s="124"/>
      <c r="D348" s="122"/>
      <c r="E348" s="123"/>
      <c r="F348" s="123"/>
      <c r="G348" s="123"/>
      <c r="H348" s="125"/>
      <c r="I348" s="125"/>
      <c r="J348" s="125">
        <f t="shared" si="3853"/>
        <v>210980.383561644</v>
      </c>
      <c r="K348" s="125">
        <f t="shared" ref="K348:K349" si="4070">K347+1</f>
        <v>1</v>
      </c>
      <c r="L348" s="150" t="s">
        <v>2831</v>
      </c>
      <c r="M348" s="151" t="str">
        <f>IFERROR(VLOOKUP($L348,'2-2 引出数据_合同数据仓库'!$B$2:$BP$1000,3,FALSE),0)</f>
        <v>南山分局项目生活垃圾清运合同</v>
      </c>
      <c r="N348" s="125"/>
      <c r="O348" s="151">
        <f>IFERROR(VLOOKUP((LEFT(VLOOKUP($L348,'2-2 引出数据_合同数据仓库'!$B$2:$BP$1000,64,FALSE),15)&amp;(RIGHT(VLOOKUP($L348,'2-2 引出数据_合同数据仓库'!$B$2:$BP$1000,64,FALSE),4)+1)),'2-2 引出数据_合同数据仓库'!$B$2:$BP$1000,3,FALSE),0)</f>
        <v>0</v>
      </c>
      <c r="P348" s="125"/>
      <c r="Q348" s="125" t="str">
        <f>IFERROR(VLOOKUP($L348,'2-2 引出数据_合同数据仓库'!$B$2:$BP$1000,28,FALSE),0)</f>
        <v>2024-10-10</v>
      </c>
      <c r="R348" s="125" t="str">
        <f>IFERROR(VLOOKUP($L348,'2-2 引出数据_合同数据仓库'!$B$2:$BP$1000,29,FALSE),0)</f>
        <v>2024-10-15</v>
      </c>
      <c r="S348" s="125" t="str">
        <f>IFERROR(VLOOKUP($L348,'2-2 引出数据_合同数据仓库'!$B$2:$BP$1000,4,FALSE),0)</f>
        <v>2025-10-14</v>
      </c>
      <c r="T348" s="125"/>
      <c r="U348" s="125">
        <f>IFERROR(VLOOKUP($L348,'2-2 引出数据_合同数据仓库'!$B$2:$BP$1000,15,FALSE),0)</f>
        <v>268320</v>
      </c>
      <c r="V348" s="125">
        <f t="shared" ref="V348:V353" si="4071">U348/(S348-R348+1)*365</f>
        <v>268320</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22788.8219178082</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20583.4520547945</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22788.8219178082</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22053.698630137</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22788.8219178082</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22053.698630137</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22788.8219178082</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22788.8219178082</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22053.698630137</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10291.7260273973</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0</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0</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customHeight="1" outlineLevel="4" spans="1:95">
      <c r="A349" s="122"/>
      <c r="B349" s="123"/>
      <c r="C349" s="124"/>
      <c r="D349" s="122"/>
      <c r="E349" s="123"/>
      <c r="F349" s="123"/>
      <c r="G349" s="123"/>
      <c r="H349" s="125"/>
      <c r="I349" s="125"/>
      <c r="J349" s="125">
        <f t="shared" si="3853"/>
        <v>0</v>
      </c>
      <c r="K349" s="125">
        <f t="shared" si="4070"/>
        <v>2</v>
      </c>
      <c r="L349" s="150"/>
      <c r="M349" s="151">
        <f>IFERROR(VLOOKUP($L349,'2-2 引出数据_合同数据仓库'!$B$2:$BP$1000,3,FALSE),0)</f>
        <v>0</v>
      </c>
      <c r="N349" s="125"/>
      <c r="O349" s="151">
        <f>IFERROR(VLOOKUP((LEFT(VLOOKUP($L349,'2-2 引出数据_合同数据仓库'!$B$2:$BP$1000,64,FALSE),15)&amp;(RIGHT(VLOOKUP($L349,'2-2 引出数据_合同数据仓库'!$B$2:$BP$1000,64,FALSE),4)+1)),'2-2 引出数据_合同数据仓库'!$B$2:$BP$1000,3,FALSE),0)</f>
        <v>0</v>
      </c>
      <c r="P349" s="125"/>
      <c r="Q349" s="125">
        <f>IFERROR(VLOOKUP($L349,'2-2 引出数据_合同数据仓库'!$B$2:$BP$1000,28,FALSE),0)</f>
        <v>0</v>
      </c>
      <c r="R349" s="125">
        <f>IFERROR(VLOOKUP($L349,'2-2 引出数据_合同数据仓库'!$B$2:$BP$1000,29,FALSE),0)</f>
        <v>0</v>
      </c>
      <c r="S349" s="125">
        <f>IFERROR(VLOOKUP($L349,'2-2 引出数据_合同数据仓库'!$B$2:$BP$1000,4,FALSE),0)</f>
        <v>0</v>
      </c>
      <c r="T349" s="125"/>
      <c r="U349" s="125">
        <f>IFERROR(VLOOKUP($L349,'2-2 引出数据_合同数据仓库'!$B$2:$BP$1000,15,FALSE),0)</f>
        <v>0</v>
      </c>
      <c r="V349" s="125">
        <f t="shared" si="4071"/>
        <v>0</v>
      </c>
      <c r="W349" s="125"/>
      <c r="X349" s="157">
        <v>45658</v>
      </c>
      <c r="Y349" s="157">
        <f t="shared" si="4072"/>
        <v>45688</v>
      </c>
      <c r="Z349" s="161">
        <f t="shared" si="4073"/>
        <v>0</v>
      </c>
      <c r="AA349" s="157">
        <f t="shared" si="4074"/>
        <v>45689</v>
      </c>
      <c r="AB349" s="157">
        <f t="shared" si="4075"/>
        <v>45716</v>
      </c>
      <c r="AC349" s="161">
        <f t="shared" si="4076"/>
        <v>0</v>
      </c>
      <c r="AD349" s="157">
        <f t="shared" si="4077"/>
        <v>45717</v>
      </c>
      <c r="AE349" s="157">
        <f t="shared" si="4078"/>
        <v>45747</v>
      </c>
      <c r="AF349" s="161">
        <f t="shared" si="4079"/>
        <v>0</v>
      </c>
      <c r="AG349" s="157">
        <f t="shared" si="4080"/>
        <v>45748</v>
      </c>
      <c r="AH349" s="157">
        <f t="shared" si="4081"/>
        <v>45777</v>
      </c>
      <c r="AI349" s="161">
        <f t="shared" si="4082"/>
        <v>0</v>
      </c>
      <c r="AJ349" s="157">
        <f t="shared" si="4083"/>
        <v>45778</v>
      </c>
      <c r="AK349" s="157">
        <f t="shared" si="4084"/>
        <v>45808</v>
      </c>
      <c r="AL349" s="161">
        <f t="shared" si="4085"/>
        <v>0</v>
      </c>
      <c r="AM349" s="157">
        <f t="shared" si="4086"/>
        <v>45809</v>
      </c>
      <c r="AN349" s="157">
        <f t="shared" si="4087"/>
        <v>45838</v>
      </c>
      <c r="AO349" s="161">
        <f t="shared" si="4088"/>
        <v>0</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引出数据_合同数据仓库'!$B$2:$BP$1000,3,FALSE),0)</f>
        <v>0</v>
      </c>
      <c r="N350" s="125"/>
      <c r="O350" s="151">
        <f>IFERROR(VLOOKUP((LEFT(VLOOKUP($L350,'2-2 引出数据_合同数据仓库'!$B$2:$BP$1000,64,FALSE),15)&amp;(RIGHT(VLOOKUP($L350,'2-2 引出数据_合同数据仓库'!$B$2:$BP$1000,64,FALSE),4)+1)),'2-2 引出数据_合同数据仓库'!$B$2:$BP$1000,3,FALSE),0)</f>
        <v>0</v>
      </c>
      <c r="P350" s="125"/>
      <c r="Q350" s="125">
        <f>IFERROR(VLOOKUP($L350,'2-2 引出数据_合同数据仓库'!$B$2:$BP$1000,28,FALSE),0)</f>
        <v>0</v>
      </c>
      <c r="R350" s="125">
        <f>IFERROR(VLOOKUP($L350,'2-2 引出数据_合同数据仓库'!$B$2:$BP$1000,29,FALSE),0)</f>
        <v>0</v>
      </c>
      <c r="S350" s="125">
        <f>IFERROR(VLOOKUP($L350,'2-2 引出数据_合同数据仓库'!$B$2:$BP$1000,4,FALSE),0)</f>
        <v>0</v>
      </c>
      <c r="T350" s="125"/>
      <c r="U350" s="125">
        <f>IFERROR(VLOOKUP($L350,'2-2 引出数据_合同数据仓库'!$B$2:$BP$1000,15,FALSE),0)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引出数据_合同数据仓库'!$B$2:$BP$1000,3,FALSE),0)</f>
        <v>0</v>
      </c>
      <c r="N351" s="125"/>
      <c r="O351" s="151">
        <f>IFERROR(VLOOKUP((LEFT(VLOOKUP($L351,'2-2 引出数据_合同数据仓库'!$B$2:$BP$1000,64,FALSE),15)&amp;(RIGHT(VLOOKUP($L351,'2-2 引出数据_合同数据仓库'!$B$2:$BP$1000,64,FALSE),4)+1)),'2-2 引出数据_合同数据仓库'!$B$2:$BP$1000,3,FALSE),0)</f>
        <v>0</v>
      </c>
      <c r="P351" s="125"/>
      <c r="Q351" s="125">
        <f>IFERROR(VLOOKUP($L351,'2-2 引出数据_合同数据仓库'!$B$2:$BP$1000,28,FALSE),0)</f>
        <v>0</v>
      </c>
      <c r="R351" s="125">
        <f>IFERROR(VLOOKUP($L351,'2-2 引出数据_合同数据仓库'!$B$2:$BP$1000,29,FALSE),0)</f>
        <v>0</v>
      </c>
      <c r="S351" s="125">
        <f>IFERROR(VLOOKUP($L351,'2-2 引出数据_合同数据仓库'!$B$2:$BP$1000,4,FALSE),0)</f>
        <v>0</v>
      </c>
      <c r="T351" s="125"/>
      <c r="U351" s="125">
        <f>IFERROR(VLOOKUP($L351,'2-2 引出数据_合同数据仓库'!$B$2:$BP$1000,15,FALSE),0)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引出数据_合同数据仓库'!$B$2:$BP$1000,3,FALSE),0)</f>
        <v>0</v>
      </c>
      <c r="N352" s="125"/>
      <c r="O352" s="151">
        <f>IFERROR(VLOOKUP((LEFT(VLOOKUP($L352,'2-2 引出数据_合同数据仓库'!$B$2:$BP$1000,64,FALSE),15)&amp;(RIGHT(VLOOKUP($L352,'2-2 引出数据_合同数据仓库'!$B$2:$BP$1000,64,FALSE),4)+1)),'2-2 引出数据_合同数据仓库'!$B$2:$BP$1000,3,FALSE),0)</f>
        <v>0</v>
      </c>
      <c r="P352" s="125"/>
      <c r="Q352" s="125">
        <f>IFERROR(VLOOKUP($L352,'2-2 引出数据_合同数据仓库'!$B$2:$BP$1000,28,FALSE),0)</f>
        <v>0</v>
      </c>
      <c r="R352" s="125">
        <f>IFERROR(VLOOKUP($L352,'2-2 引出数据_合同数据仓库'!$B$2:$BP$1000,29,FALSE),0)</f>
        <v>0</v>
      </c>
      <c r="S352" s="125">
        <f>IFERROR(VLOOKUP($L352,'2-2 引出数据_合同数据仓库'!$B$2:$BP$1000,4,FALSE),0)</f>
        <v>0</v>
      </c>
      <c r="T352" s="125"/>
      <c r="U352" s="125">
        <f>IFERROR(VLOOKUP($L352,'2-2 引出数据_合同数据仓库'!$B$2:$BP$1000,15,FALSE),0)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引出数据_合同数据仓库'!$B$2:$BP$1000,3,FALSE),0)</f>
        <v>0</v>
      </c>
      <c r="N353" s="125"/>
      <c r="O353" s="151">
        <f>IFERROR(VLOOKUP((LEFT(VLOOKUP($L353,'2-2 引出数据_合同数据仓库'!$B$2:$BP$1000,64,FALSE),15)&amp;(RIGHT(VLOOKUP($L353,'2-2 引出数据_合同数据仓库'!$B$2:$BP$1000,64,FALSE),4)+1)),'2-2 引出数据_合同数据仓库'!$B$2:$BP$1000,3,FALSE),0)</f>
        <v>0</v>
      </c>
      <c r="P353" s="125"/>
      <c r="Q353" s="125">
        <f>IFERROR(VLOOKUP($L353,'2-2 引出数据_合同数据仓库'!$B$2:$BP$1000,28,FALSE),0)</f>
        <v>0</v>
      </c>
      <c r="R353" s="125">
        <f>IFERROR(VLOOKUP($L353,'2-2 引出数据_合同数据仓库'!$B$2:$BP$1000,29,FALSE),0)</f>
        <v>0</v>
      </c>
      <c r="S353" s="125">
        <f>IFERROR(VLOOKUP($L353,'2-2 引出数据_合同数据仓库'!$B$2:$BP$1000,4,FALSE),0)</f>
        <v>0</v>
      </c>
      <c r="T353" s="125"/>
      <c r="U353" s="125">
        <f>IFERROR(VLOOKUP($L353,'2-2 引出数据_合同数据仓库'!$B$2:$BP$1000,15,FALSE),0)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customHeight="1" outlineLevel="4" spans="1:95">
      <c r="A354" s="126" t="s">
        <v>2821</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customHeight="1" outlineLevel="3" spans="1:95">
      <c r="A355" s="118"/>
      <c r="B355" s="119" t="s">
        <v>799</v>
      </c>
      <c r="C355" s="120" t="s">
        <v>1312</v>
      </c>
      <c r="D355" s="118" t="s">
        <v>1313</v>
      </c>
      <c r="E355" s="119"/>
      <c r="F355" s="119"/>
      <c r="G355" s="119" t="s">
        <v>943</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引出数据_合同数据仓库'!$B$2:$BP$1000,3,FALSE),0)</f>
        <v>0</v>
      </c>
      <c r="N356" s="125"/>
      <c r="O356" s="151">
        <f>IFERROR(VLOOKUP((LEFT(VLOOKUP($L356,'2-2 引出数据_合同数据仓库'!$B$2:$BP$1000,64,FALSE),15)&amp;(RIGHT(VLOOKUP($L356,'2-2 引出数据_合同数据仓库'!$B$2:$BP$1000,64,FALSE),4)+1)),'2-2 引出数据_合同数据仓库'!$B$2:$BP$1000,3,FALSE),0)</f>
        <v>0</v>
      </c>
      <c r="P356" s="125"/>
      <c r="Q356" s="125">
        <f>IFERROR(VLOOKUP($L356,'2-2 引出数据_合同数据仓库'!$B$2:$BP$1000,28,FALSE),0)</f>
        <v>0</v>
      </c>
      <c r="R356" s="125">
        <f>IFERROR(VLOOKUP($L356,'2-2 引出数据_合同数据仓库'!$B$2:$BP$1000,29,FALSE),0)</f>
        <v>0</v>
      </c>
      <c r="S356" s="125">
        <f>IFERROR(VLOOKUP($L356,'2-2 引出数据_合同数据仓库'!$B$2:$BP$1000,4,FALSE),0)</f>
        <v>0</v>
      </c>
      <c r="T356" s="125"/>
      <c r="U356" s="125">
        <f>IFERROR(VLOOKUP($L356,'2-2 引出数据_合同数据仓库'!$B$2:$BP$1000,15,FALSE),0)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引出数据_合同数据仓库'!$B$2:$BP$1000,3,FALSE),0)</f>
        <v>0</v>
      </c>
      <c r="N357" s="125"/>
      <c r="O357" s="151">
        <f>IFERROR(VLOOKUP((LEFT(VLOOKUP($L357,'2-2 引出数据_合同数据仓库'!$B$2:$BP$1000,64,FALSE),15)&amp;(RIGHT(VLOOKUP($L357,'2-2 引出数据_合同数据仓库'!$B$2:$BP$1000,64,FALSE),4)+1)),'2-2 引出数据_合同数据仓库'!$B$2:$BP$1000,3,FALSE),0)</f>
        <v>0</v>
      </c>
      <c r="P357" s="125"/>
      <c r="Q357" s="125">
        <f>IFERROR(VLOOKUP($L357,'2-2 引出数据_合同数据仓库'!$B$2:$BP$1000,28,FALSE),0)</f>
        <v>0</v>
      </c>
      <c r="R357" s="125">
        <f>IFERROR(VLOOKUP($L357,'2-2 引出数据_合同数据仓库'!$B$2:$BP$1000,29,FALSE),0)</f>
        <v>0</v>
      </c>
      <c r="S357" s="125">
        <f>IFERROR(VLOOKUP($L357,'2-2 引出数据_合同数据仓库'!$B$2:$BP$1000,4,FALSE),0)</f>
        <v>0</v>
      </c>
      <c r="T357" s="125"/>
      <c r="U357" s="125">
        <f>IFERROR(VLOOKUP($L357,'2-2 引出数据_合同数据仓库'!$B$2:$BP$1000,15,FALSE),0)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引出数据_合同数据仓库'!$B$2:$BP$1000,3,FALSE),0)</f>
        <v>0</v>
      </c>
      <c r="N358" s="125"/>
      <c r="O358" s="151">
        <f>IFERROR(VLOOKUP((LEFT(VLOOKUP($L358,'2-2 引出数据_合同数据仓库'!$B$2:$BP$1000,64,FALSE),15)&amp;(RIGHT(VLOOKUP($L358,'2-2 引出数据_合同数据仓库'!$B$2:$BP$1000,64,FALSE),4)+1)),'2-2 引出数据_合同数据仓库'!$B$2:$BP$1000,3,FALSE),0)</f>
        <v>0</v>
      </c>
      <c r="P358" s="125"/>
      <c r="Q358" s="125">
        <f>IFERROR(VLOOKUP($L358,'2-2 引出数据_合同数据仓库'!$B$2:$BP$1000,28,FALSE),0)</f>
        <v>0</v>
      </c>
      <c r="R358" s="125">
        <f>IFERROR(VLOOKUP($L358,'2-2 引出数据_合同数据仓库'!$B$2:$BP$1000,29,FALSE),0)</f>
        <v>0</v>
      </c>
      <c r="S358" s="125">
        <f>IFERROR(VLOOKUP($L358,'2-2 引出数据_合同数据仓库'!$B$2:$BP$1000,4,FALSE),0)</f>
        <v>0</v>
      </c>
      <c r="T358" s="125"/>
      <c r="U358" s="125">
        <f>IFERROR(VLOOKUP($L358,'2-2 引出数据_合同数据仓库'!$B$2:$BP$1000,15,FALSE),0)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引出数据_合同数据仓库'!$B$2:$BP$1000,3,FALSE),0)</f>
        <v>0</v>
      </c>
      <c r="N359" s="125"/>
      <c r="O359" s="151">
        <f>IFERROR(VLOOKUP((LEFT(VLOOKUP($L359,'2-2 引出数据_合同数据仓库'!$B$2:$BP$1000,64,FALSE),15)&amp;(RIGHT(VLOOKUP($L359,'2-2 引出数据_合同数据仓库'!$B$2:$BP$1000,64,FALSE),4)+1)),'2-2 引出数据_合同数据仓库'!$B$2:$BP$1000,3,FALSE),0)</f>
        <v>0</v>
      </c>
      <c r="P359" s="125"/>
      <c r="Q359" s="125">
        <f>IFERROR(VLOOKUP($L359,'2-2 引出数据_合同数据仓库'!$B$2:$BP$1000,28,FALSE),0)</f>
        <v>0</v>
      </c>
      <c r="R359" s="125">
        <f>IFERROR(VLOOKUP($L359,'2-2 引出数据_合同数据仓库'!$B$2:$BP$1000,29,FALSE),0)</f>
        <v>0</v>
      </c>
      <c r="S359" s="125">
        <f>IFERROR(VLOOKUP($L359,'2-2 引出数据_合同数据仓库'!$B$2:$BP$1000,4,FALSE),0)</f>
        <v>0</v>
      </c>
      <c r="T359" s="125"/>
      <c r="U359" s="125">
        <f>IFERROR(VLOOKUP($L359,'2-2 引出数据_合同数据仓库'!$B$2:$BP$1000,15,FALSE),0)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customHeight="1" outlineLevel="4" spans="1:95">
      <c r="A360" s="126" t="s">
        <v>2821</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customHeight="1" outlineLevel="3" spans="1:95">
      <c r="A361" s="118"/>
      <c r="B361" s="119" t="s">
        <v>799</v>
      </c>
      <c r="C361" s="120" t="s">
        <v>1314</v>
      </c>
      <c r="D361" s="118" t="s">
        <v>1315</v>
      </c>
      <c r="E361" s="119"/>
      <c r="F361" s="119"/>
      <c r="G361" s="119"/>
      <c r="H361" s="121">
        <f>X361+AA361+AD361+AG361+AJ361+AM361+AP361+AS361+AV361+AY361+BB361+BE361</f>
        <v>0</v>
      </c>
      <c r="I361" s="121">
        <f>Y361+AB361+AE361+AH361+AK361+AN361+AQ361+AT361+AW361+AZ361+BC361+BF361</f>
        <v>0</v>
      </c>
      <c r="J361" s="121">
        <f t="shared" si="3853"/>
        <v>0</v>
      </c>
      <c r="K361" s="121"/>
      <c r="L361" s="149"/>
      <c r="M361" s="149"/>
      <c r="N361" s="121"/>
      <c r="O361" s="121"/>
      <c r="P361" s="121"/>
      <c r="Q361" s="121"/>
      <c r="R361" s="121"/>
      <c r="S361" s="121"/>
      <c r="T361" s="121"/>
      <c r="U361" s="121"/>
      <c r="V361" s="121"/>
      <c r="W361" s="121"/>
      <c r="X361" s="121">
        <f>VLOOKUP($C361,'1 预算编制表单'!$C:$BJ,27,FALSE)</f>
        <v>0</v>
      </c>
      <c r="Y361" s="121">
        <f>X361-Z361</f>
        <v>0</v>
      </c>
      <c r="Z361" s="121">
        <f>SUM(Z362:Z366)</f>
        <v>0</v>
      </c>
      <c r="AA361" s="121">
        <f>VLOOKUP($C361,'1 预算编制表单'!$C:$BJ,30,FALSE)</f>
        <v>0</v>
      </c>
      <c r="AB361" s="121">
        <f>AA361-AC361</f>
        <v>0</v>
      </c>
      <c r="AC361" s="121">
        <f>SUM(AC362:AC366)</f>
        <v>0</v>
      </c>
      <c r="AD361" s="121">
        <f>VLOOKUP($C361,'1 预算编制表单'!$C:$BJ,33,FALSE)</f>
        <v>0</v>
      </c>
      <c r="AE361" s="121">
        <f>AD361-AF361</f>
        <v>0</v>
      </c>
      <c r="AF361" s="121">
        <f>SUM(AF362:AF366)</f>
        <v>0</v>
      </c>
      <c r="AG361" s="121">
        <f>VLOOKUP($C361,'1 预算编制表单'!$C:$BJ,36,FALSE)</f>
        <v>0</v>
      </c>
      <c r="AH361" s="121">
        <f>AG361-AI361</f>
        <v>0</v>
      </c>
      <c r="AI361" s="121">
        <f>SUM(AI362:AI366)</f>
        <v>0</v>
      </c>
      <c r="AJ361" s="121">
        <f>VLOOKUP($C361,'1 预算编制表单'!$C:$BJ,39,FALSE)</f>
        <v>0</v>
      </c>
      <c r="AK361" s="121">
        <f>AJ361-AL361</f>
        <v>0</v>
      </c>
      <c r="AL361" s="121">
        <f>SUM(AL362:AL366)</f>
        <v>0</v>
      </c>
      <c r="AM361" s="121">
        <f>VLOOKUP($C361,'1 预算编制表单'!$C:$BJ,42,FALSE)</f>
        <v>0</v>
      </c>
      <c r="AN361" s="121">
        <f>AM361-AO361</f>
        <v>0</v>
      </c>
      <c r="AO361" s="121">
        <f>SUM(AO362:AO366)</f>
        <v>0</v>
      </c>
      <c r="AP361" s="121">
        <f>VLOOKUP($C361,'1 预算编制表单'!$C:$BJ,45,FALSE)</f>
        <v>0</v>
      </c>
      <c r="AQ361" s="121">
        <f>AP361-AR361</f>
        <v>0</v>
      </c>
      <c r="AR361" s="121">
        <f>SUM(AR362:AR366)</f>
        <v>0</v>
      </c>
      <c r="AS361" s="121">
        <f>VLOOKUP($C361,'1 预算编制表单'!$C:$BJ,48,FALSE)</f>
        <v>0</v>
      </c>
      <c r="AT361" s="121">
        <f>AS361-AU361</f>
        <v>0</v>
      </c>
      <c r="AU361" s="121">
        <f>SUM(AU362:AU366)</f>
        <v>0</v>
      </c>
      <c r="AV361" s="121">
        <f>VLOOKUP($C361,'1 预算编制表单'!$C:$BJ,51,FALSE)</f>
        <v>0</v>
      </c>
      <c r="AW361" s="121">
        <f>AV361-AX361</f>
        <v>0</v>
      </c>
      <c r="AX361" s="121">
        <f>SUM(AX362:AX366)</f>
        <v>0</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customHeight="1" outlineLevel="4" spans="1:95">
      <c r="A362" s="122"/>
      <c r="B362" s="123"/>
      <c r="C362" s="124"/>
      <c r="D362" s="122"/>
      <c r="E362" s="123"/>
      <c r="F362" s="123"/>
      <c r="G362" s="123"/>
      <c r="H362" s="125"/>
      <c r="I362" s="125"/>
      <c r="J362" s="125">
        <f t="shared" si="3853"/>
        <v>0</v>
      </c>
      <c r="K362" s="125">
        <v>1</v>
      </c>
      <c r="L362" s="150"/>
      <c r="M362" s="151">
        <f>IFERROR(VLOOKUP($L362,'2-2 引出数据_合同数据仓库'!$B$2:$BP$1000,3,FALSE),0)</f>
        <v>0</v>
      </c>
      <c r="N362" s="125"/>
      <c r="O362" s="151">
        <f>IFERROR(VLOOKUP((LEFT(VLOOKUP($L362,'2-2 引出数据_合同数据仓库'!$B$2:$BP$1000,64,FALSE),15)&amp;(RIGHT(VLOOKUP($L362,'2-2 引出数据_合同数据仓库'!$B$2:$BP$1000,64,FALSE),4)+1)),'2-2 引出数据_合同数据仓库'!$B$2:$BP$1000,3,FALSE),0)</f>
        <v>0</v>
      </c>
      <c r="P362" s="125"/>
      <c r="Q362" s="125">
        <f>IFERROR(VLOOKUP($L362,'2-2 引出数据_合同数据仓库'!$B$2:$BP$1000,28,FALSE),0)</f>
        <v>0</v>
      </c>
      <c r="R362" s="125">
        <f>IFERROR(VLOOKUP($L362,'2-2 引出数据_合同数据仓库'!$B$2:$BP$1000,29,FALSE),0)</f>
        <v>0</v>
      </c>
      <c r="S362" s="125">
        <f>IFERROR(VLOOKUP($L362,'2-2 引出数据_合同数据仓库'!$B$2:$BP$1000,4,FALSE),0)</f>
        <v>0</v>
      </c>
      <c r="T362" s="125"/>
      <c r="U362" s="125">
        <f>IFERROR(VLOOKUP($L362,'2-2 引出数据_合同数据仓库'!$B$2:$BP$1000,15,FALSE),0)</f>
        <v>0</v>
      </c>
      <c r="V362" s="125">
        <f t="shared" ref="V362:V365" si="4286">U362/(S362-R362+1)*365</f>
        <v>0</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0</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0</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0</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0</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0</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0</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0</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0</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0</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customHeight="1" outlineLevel="4" spans="1:95">
      <c r="A363" s="122"/>
      <c r="B363" s="123"/>
      <c r="C363" s="124"/>
      <c r="D363" s="122"/>
      <c r="E363" s="123"/>
      <c r="F363" s="123"/>
      <c r="G363" s="123"/>
      <c r="H363" s="125"/>
      <c r="I363" s="125"/>
      <c r="J363" s="125">
        <f t="shared" si="3853"/>
        <v>0</v>
      </c>
      <c r="K363" s="125">
        <f t="shared" ref="K363:K365" si="4357">K362+1</f>
        <v>2</v>
      </c>
      <c r="L363" s="150"/>
      <c r="M363" s="151">
        <f>IFERROR(VLOOKUP($L363,'2-2 引出数据_合同数据仓库'!$B$2:$BP$1000,3,FALSE),0)</f>
        <v>0</v>
      </c>
      <c r="N363" s="125"/>
      <c r="O363" s="151">
        <f>IFERROR(VLOOKUP((LEFT(VLOOKUP($L363,'2-2 引出数据_合同数据仓库'!$B$2:$BP$1000,64,FALSE),15)&amp;(RIGHT(VLOOKUP($L363,'2-2 引出数据_合同数据仓库'!$B$2:$BP$1000,64,FALSE),4)+1)),'2-2 引出数据_合同数据仓库'!$B$2:$BP$1000,3,FALSE),0)</f>
        <v>0</v>
      </c>
      <c r="P363" s="125"/>
      <c r="Q363" s="125">
        <f>IFERROR(VLOOKUP($L363,'2-2 引出数据_合同数据仓库'!$B$2:$BP$1000,28,FALSE),0)</f>
        <v>0</v>
      </c>
      <c r="R363" s="125">
        <f>IFERROR(VLOOKUP($L363,'2-2 引出数据_合同数据仓库'!$B$2:$BP$1000,29,FALSE),0)</f>
        <v>0</v>
      </c>
      <c r="S363" s="125">
        <f>IFERROR(VLOOKUP($L363,'2-2 引出数据_合同数据仓库'!$B$2:$BP$1000,4,FALSE),0)</f>
        <v>0</v>
      </c>
      <c r="T363" s="125"/>
      <c r="U363" s="125">
        <f>IFERROR(VLOOKUP($L363,'2-2 引出数据_合同数据仓库'!$B$2:$BP$1000,15,FALSE),0)</f>
        <v>0</v>
      </c>
      <c r="V363" s="125">
        <f t="shared" si="4286"/>
        <v>0</v>
      </c>
      <c r="W363" s="125"/>
      <c r="X363" s="157">
        <v>45658</v>
      </c>
      <c r="Y363" s="157">
        <f t="shared" si="4287"/>
        <v>45688</v>
      </c>
      <c r="Z363" s="161">
        <f t="shared" si="4288"/>
        <v>0</v>
      </c>
      <c r="AA363" s="157">
        <f t="shared" si="4289"/>
        <v>45689</v>
      </c>
      <c r="AB363" s="157">
        <f t="shared" si="4290"/>
        <v>45716</v>
      </c>
      <c r="AC363" s="161">
        <f t="shared" si="4291"/>
        <v>0</v>
      </c>
      <c r="AD363" s="157">
        <f t="shared" si="4292"/>
        <v>45717</v>
      </c>
      <c r="AE363" s="157">
        <f t="shared" si="4293"/>
        <v>45747</v>
      </c>
      <c r="AF363" s="161">
        <f t="shared" si="4294"/>
        <v>0</v>
      </c>
      <c r="AG363" s="157">
        <f t="shared" si="4295"/>
        <v>45748</v>
      </c>
      <c r="AH363" s="157">
        <f t="shared" si="4296"/>
        <v>45777</v>
      </c>
      <c r="AI363" s="161">
        <f t="shared" si="4297"/>
        <v>0</v>
      </c>
      <c r="AJ363" s="157">
        <f t="shared" si="4298"/>
        <v>45778</v>
      </c>
      <c r="AK363" s="157">
        <f t="shared" si="4299"/>
        <v>45808</v>
      </c>
      <c r="AL363" s="161">
        <f t="shared" si="4300"/>
        <v>0</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引出数据_合同数据仓库'!$B$2:$BP$1000,3,FALSE),0)</f>
        <v>0</v>
      </c>
      <c r="N364" s="125"/>
      <c r="O364" s="151">
        <f>IFERROR(VLOOKUP((LEFT(VLOOKUP($L364,'2-2 引出数据_合同数据仓库'!$B$2:$BP$1000,64,FALSE),15)&amp;(RIGHT(VLOOKUP($L364,'2-2 引出数据_合同数据仓库'!$B$2:$BP$1000,64,FALSE),4)+1)),'2-2 引出数据_合同数据仓库'!$B$2:$BP$1000,3,FALSE),0)</f>
        <v>0</v>
      </c>
      <c r="P364" s="125"/>
      <c r="Q364" s="125">
        <f>IFERROR(VLOOKUP($L364,'2-2 引出数据_合同数据仓库'!$B$2:$BP$1000,28,FALSE),0)</f>
        <v>0</v>
      </c>
      <c r="R364" s="125">
        <f>IFERROR(VLOOKUP($L364,'2-2 引出数据_合同数据仓库'!$B$2:$BP$1000,29,FALSE),0)</f>
        <v>0</v>
      </c>
      <c r="S364" s="125">
        <f>IFERROR(VLOOKUP($L364,'2-2 引出数据_合同数据仓库'!$B$2:$BP$1000,4,FALSE),0)</f>
        <v>0</v>
      </c>
      <c r="T364" s="125"/>
      <c r="U364" s="125">
        <f>IFERROR(VLOOKUP($L364,'2-2 引出数据_合同数据仓库'!$B$2:$BP$1000,15,FALSE),0)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引出数据_合同数据仓库'!$B$2:$BP$1000,3,FALSE),0)</f>
        <v>0</v>
      </c>
      <c r="N365" s="125"/>
      <c r="O365" s="151">
        <f>IFERROR(VLOOKUP((LEFT(VLOOKUP($L365,'2-2 引出数据_合同数据仓库'!$B$2:$BP$1000,64,FALSE),15)&amp;(RIGHT(VLOOKUP($L365,'2-2 引出数据_合同数据仓库'!$B$2:$BP$1000,64,FALSE),4)+1)),'2-2 引出数据_合同数据仓库'!$B$2:$BP$1000,3,FALSE),0)</f>
        <v>0</v>
      </c>
      <c r="P365" s="125"/>
      <c r="Q365" s="125">
        <f>IFERROR(VLOOKUP($L365,'2-2 引出数据_合同数据仓库'!$B$2:$BP$1000,28,FALSE),0)</f>
        <v>0</v>
      </c>
      <c r="R365" s="125">
        <f>IFERROR(VLOOKUP($L365,'2-2 引出数据_合同数据仓库'!$B$2:$BP$1000,29,FALSE),0)</f>
        <v>0</v>
      </c>
      <c r="S365" s="125">
        <f>IFERROR(VLOOKUP($L365,'2-2 引出数据_合同数据仓库'!$B$2:$BP$1000,4,FALSE),0)</f>
        <v>0</v>
      </c>
      <c r="T365" s="125"/>
      <c r="U365" s="125">
        <f>IFERROR(VLOOKUP($L365,'2-2 引出数据_合同数据仓库'!$B$2:$BP$1000,15,FALSE),0)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customHeight="1" outlineLevel="4" spans="1:95">
      <c r="A366" s="126" t="s">
        <v>2821</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customHeight="1" outlineLevel="3" spans="1:95">
      <c r="A367" s="118"/>
      <c r="B367" s="119" t="s">
        <v>799</v>
      </c>
      <c r="C367" s="120" t="s">
        <v>1341</v>
      </c>
      <c r="D367" s="118" t="s">
        <v>1342</v>
      </c>
      <c r="E367" s="119" t="s">
        <v>1343</v>
      </c>
      <c r="F367" s="119"/>
      <c r="G367" s="119"/>
      <c r="H367" s="121">
        <f>X367+AA367+AD367+AG367+AJ367+AM367+AP367+AS367+AV367+AY367+BB367+BE367</f>
        <v>0</v>
      </c>
      <c r="I367" s="121">
        <f>Y367+AB367+AE367+AH367+AK367+AN367+AQ367+AT367+AW367+AZ367+BC367+BF367</f>
        <v>0</v>
      </c>
      <c r="J367" s="121">
        <f t="shared" si="3853"/>
        <v>0</v>
      </c>
      <c r="K367" s="121"/>
      <c r="L367" s="149"/>
      <c r="M367" s="149"/>
      <c r="N367" s="121"/>
      <c r="O367" s="121"/>
      <c r="P367" s="121"/>
      <c r="Q367" s="121"/>
      <c r="R367" s="121"/>
      <c r="S367" s="121"/>
      <c r="T367" s="121"/>
      <c r="U367" s="121"/>
      <c r="V367" s="121"/>
      <c r="W367" s="121"/>
      <c r="X367" s="121">
        <f>VLOOKUP($C367,'1 预算编制表单'!$C:$BJ,27,FALSE)</f>
        <v>0</v>
      </c>
      <c r="Y367" s="121">
        <f>X367-Z367</f>
        <v>0</v>
      </c>
      <c r="Z367" s="121">
        <f>SUM(Z368:Z372)</f>
        <v>0</v>
      </c>
      <c r="AA367" s="121">
        <f>VLOOKUP($C367,'1 预算编制表单'!$C:$BJ,30,FALSE)</f>
        <v>0</v>
      </c>
      <c r="AB367" s="121">
        <f>AA367-AC367</f>
        <v>0</v>
      </c>
      <c r="AC367" s="121">
        <f>SUM(AC368:AC372)</f>
        <v>0</v>
      </c>
      <c r="AD367" s="121">
        <f>VLOOKUP($C367,'1 预算编制表单'!$C:$BJ,33,FALSE)</f>
        <v>0</v>
      </c>
      <c r="AE367" s="121">
        <f>AD367-AF367</f>
        <v>0</v>
      </c>
      <c r="AF367" s="121">
        <f>SUM(AF368:AF372)</f>
        <v>0</v>
      </c>
      <c r="AG367" s="121">
        <f>VLOOKUP($C367,'1 预算编制表单'!$C:$BJ,36,FALSE)</f>
        <v>0</v>
      </c>
      <c r="AH367" s="121">
        <f>AG367-AI367</f>
        <v>0</v>
      </c>
      <c r="AI367" s="121">
        <f>SUM(AI368:AI372)</f>
        <v>0</v>
      </c>
      <c r="AJ367" s="121">
        <f>VLOOKUP($C367,'1 预算编制表单'!$C:$BJ,39,FALSE)</f>
        <v>0</v>
      </c>
      <c r="AK367" s="121">
        <f>AJ367-AL367</f>
        <v>0</v>
      </c>
      <c r="AL367" s="121">
        <f>SUM(AL368:AL372)</f>
        <v>0</v>
      </c>
      <c r="AM367" s="121">
        <f>VLOOKUP($C367,'1 预算编制表单'!$C:$BJ,42,FALSE)</f>
        <v>0</v>
      </c>
      <c r="AN367" s="121">
        <f>AM367-AO367</f>
        <v>0</v>
      </c>
      <c r="AO367" s="121">
        <f>SUM(AO368:AO372)</f>
        <v>0</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customHeight="1" outlineLevel="4" spans="1:95">
      <c r="A368" s="122"/>
      <c r="B368" s="123"/>
      <c r="C368" s="124"/>
      <c r="D368" s="122"/>
      <c r="E368" s="123"/>
      <c r="F368" s="123"/>
      <c r="G368" s="123"/>
      <c r="H368" s="125"/>
      <c r="I368" s="125"/>
      <c r="J368" s="125">
        <f t="shared" si="3853"/>
        <v>0</v>
      </c>
      <c r="K368" s="125">
        <v>1</v>
      </c>
      <c r="L368" s="150"/>
      <c r="M368" s="151">
        <f>IFERROR(VLOOKUP($L368,'2-2 引出数据_合同数据仓库'!$B$2:$BP$1000,3,FALSE),0)</f>
        <v>0</v>
      </c>
      <c r="N368" s="125"/>
      <c r="O368" s="151">
        <f>IFERROR(VLOOKUP((LEFT(VLOOKUP($L368,'2-2 引出数据_合同数据仓库'!$B$2:$BP$1000,64,FALSE),15)&amp;(RIGHT(VLOOKUP($L368,'2-2 引出数据_合同数据仓库'!$B$2:$BP$1000,64,FALSE),4)+1)),'2-2 引出数据_合同数据仓库'!$B$2:$BP$1000,3,FALSE),0)</f>
        <v>0</v>
      </c>
      <c r="P368" s="125"/>
      <c r="Q368" s="125">
        <f>IFERROR(VLOOKUP($L368,'2-2 引出数据_合同数据仓库'!$B$2:$BP$1000,28,FALSE),0)</f>
        <v>0</v>
      </c>
      <c r="R368" s="125">
        <f>IFERROR(VLOOKUP($L368,'2-2 引出数据_合同数据仓库'!$B$2:$BP$1000,29,FALSE),0)</f>
        <v>0</v>
      </c>
      <c r="S368" s="125">
        <f>IFERROR(VLOOKUP($L368,'2-2 引出数据_合同数据仓库'!$B$2:$BP$1000,4,FALSE),0)</f>
        <v>0</v>
      </c>
      <c r="T368" s="125"/>
      <c r="U368" s="125">
        <f>IFERROR(VLOOKUP($L368,'2-2 引出数据_合同数据仓库'!$B$2:$BP$1000,15,FALSE),0)</f>
        <v>0</v>
      </c>
      <c r="V368" s="125">
        <f t="shared" ref="V368:V371" si="4358">U368/(S368-R368+1)*365</f>
        <v>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0</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0</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0</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0</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0</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0</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引出数据_合同数据仓库'!$B$2:$BP$1000,3,FALSE),0)</f>
        <v>0</v>
      </c>
      <c r="N369" s="125"/>
      <c r="O369" s="151">
        <f>IFERROR(VLOOKUP((LEFT(VLOOKUP($L369,'2-2 引出数据_合同数据仓库'!$B$2:$BP$1000,64,FALSE),15)&amp;(RIGHT(VLOOKUP($L369,'2-2 引出数据_合同数据仓库'!$B$2:$BP$1000,64,FALSE),4)+1)),'2-2 引出数据_合同数据仓库'!$B$2:$BP$1000,3,FALSE),0)</f>
        <v>0</v>
      </c>
      <c r="P369" s="125"/>
      <c r="Q369" s="125">
        <f>IFERROR(VLOOKUP($L369,'2-2 引出数据_合同数据仓库'!$B$2:$BP$1000,28,FALSE),0)</f>
        <v>0</v>
      </c>
      <c r="R369" s="125">
        <f>IFERROR(VLOOKUP($L369,'2-2 引出数据_合同数据仓库'!$B$2:$BP$1000,29,FALSE),0)</f>
        <v>0</v>
      </c>
      <c r="S369" s="125">
        <f>IFERROR(VLOOKUP($L369,'2-2 引出数据_合同数据仓库'!$B$2:$BP$1000,4,FALSE),0)</f>
        <v>0</v>
      </c>
      <c r="T369" s="125"/>
      <c r="U369" s="125">
        <f>IFERROR(VLOOKUP($L369,'2-2 引出数据_合同数据仓库'!$B$2:$BP$1000,15,FALSE),0)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引出数据_合同数据仓库'!$B$2:$BP$1000,3,FALSE),0)</f>
        <v>0</v>
      </c>
      <c r="N370" s="125"/>
      <c r="O370" s="151">
        <f>IFERROR(VLOOKUP((LEFT(VLOOKUP($L370,'2-2 引出数据_合同数据仓库'!$B$2:$BP$1000,64,FALSE),15)&amp;(RIGHT(VLOOKUP($L370,'2-2 引出数据_合同数据仓库'!$B$2:$BP$1000,64,FALSE),4)+1)),'2-2 引出数据_合同数据仓库'!$B$2:$BP$1000,3,FALSE),0)</f>
        <v>0</v>
      </c>
      <c r="P370" s="125"/>
      <c r="Q370" s="125">
        <f>IFERROR(VLOOKUP($L370,'2-2 引出数据_合同数据仓库'!$B$2:$BP$1000,28,FALSE),0)</f>
        <v>0</v>
      </c>
      <c r="R370" s="125">
        <f>IFERROR(VLOOKUP($L370,'2-2 引出数据_合同数据仓库'!$B$2:$BP$1000,29,FALSE),0)</f>
        <v>0</v>
      </c>
      <c r="S370" s="125">
        <f>IFERROR(VLOOKUP($L370,'2-2 引出数据_合同数据仓库'!$B$2:$BP$1000,4,FALSE),0)</f>
        <v>0</v>
      </c>
      <c r="T370" s="125"/>
      <c r="U370" s="125">
        <f>IFERROR(VLOOKUP($L370,'2-2 引出数据_合同数据仓库'!$B$2:$BP$1000,15,FALSE),0)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引出数据_合同数据仓库'!$B$2:$BP$1000,3,FALSE),0)</f>
        <v>0</v>
      </c>
      <c r="N371" s="125"/>
      <c r="O371" s="151">
        <f>IFERROR(VLOOKUP((LEFT(VLOOKUP($L371,'2-2 引出数据_合同数据仓库'!$B$2:$BP$1000,64,FALSE),15)&amp;(RIGHT(VLOOKUP($L371,'2-2 引出数据_合同数据仓库'!$B$2:$BP$1000,64,FALSE),4)+1)),'2-2 引出数据_合同数据仓库'!$B$2:$BP$1000,3,FALSE),0)</f>
        <v>0</v>
      </c>
      <c r="P371" s="125"/>
      <c r="Q371" s="125">
        <f>IFERROR(VLOOKUP($L371,'2-2 引出数据_合同数据仓库'!$B$2:$BP$1000,28,FALSE),0)</f>
        <v>0</v>
      </c>
      <c r="R371" s="125">
        <f>IFERROR(VLOOKUP($L371,'2-2 引出数据_合同数据仓库'!$B$2:$BP$1000,29,FALSE),0)</f>
        <v>0</v>
      </c>
      <c r="S371" s="125">
        <f>IFERROR(VLOOKUP($L371,'2-2 引出数据_合同数据仓库'!$B$2:$BP$1000,4,FALSE),0)</f>
        <v>0</v>
      </c>
      <c r="T371" s="125"/>
      <c r="U371" s="125">
        <f>IFERROR(VLOOKUP($L371,'2-2 引出数据_合同数据仓库'!$B$2:$BP$1000,15,FALSE),0)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customHeight="1" outlineLevel="4" spans="1:95">
      <c r="A372" s="126" t="s">
        <v>2821</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customHeight="1" outlineLevel="3" spans="1:95">
      <c r="A373" s="118"/>
      <c r="B373" s="119" t="s">
        <v>799</v>
      </c>
      <c r="C373" s="120" t="s">
        <v>1356</v>
      </c>
      <c r="D373" s="118" t="s">
        <v>1357</v>
      </c>
      <c r="E373" s="119" t="s">
        <v>1358</v>
      </c>
      <c r="F373" s="119"/>
      <c r="G373" s="119" t="s">
        <v>943</v>
      </c>
      <c r="H373" s="121">
        <f>X373+AA373+AD373+AG373+AJ373+AM373+AP373+AS373+AV373+AY373+BB373+BE373</f>
        <v>0</v>
      </c>
      <c r="I373" s="121">
        <f>Y373+AB373+AE373+AH373+AK373+AN373+AQ373+AT373+AW373+AZ373+BC373+BF373</f>
        <v>0</v>
      </c>
      <c r="J373" s="121">
        <f t="shared" si="3853"/>
        <v>0</v>
      </c>
      <c r="K373" s="121"/>
      <c r="L373" s="149"/>
      <c r="M373" s="149"/>
      <c r="N373" s="121"/>
      <c r="O373" s="121"/>
      <c r="P373" s="121"/>
      <c r="Q373" s="121"/>
      <c r="R373" s="121"/>
      <c r="S373" s="121"/>
      <c r="T373" s="121"/>
      <c r="U373" s="121"/>
      <c r="V373" s="121"/>
      <c r="W373" s="121"/>
      <c r="X373" s="121">
        <f>VLOOKUP($C373,'1 预算编制表单'!$C:$BJ,27,FALSE)</f>
        <v>0</v>
      </c>
      <c r="Y373" s="121">
        <f>X373-Z373</f>
        <v>0</v>
      </c>
      <c r="Z373" s="121">
        <f>SUM(Z374:Z378)</f>
        <v>0</v>
      </c>
      <c r="AA373" s="121">
        <f>VLOOKUP($C373,'1 预算编制表单'!$C:$BJ,30,FALSE)</f>
        <v>0</v>
      </c>
      <c r="AB373" s="121">
        <f>AA373-AC373</f>
        <v>0</v>
      </c>
      <c r="AC373" s="121">
        <f>SUM(AC374:AC378)</f>
        <v>0</v>
      </c>
      <c r="AD373" s="121">
        <f>VLOOKUP($C373,'1 预算编制表单'!$C:$BJ,33,FALSE)</f>
        <v>0</v>
      </c>
      <c r="AE373" s="121">
        <f>AD373-AF373</f>
        <v>0</v>
      </c>
      <c r="AF373" s="121">
        <f>SUM(AF374:AF378)</f>
        <v>0</v>
      </c>
      <c r="AG373" s="121">
        <f>VLOOKUP($C373,'1 预算编制表单'!$C:$BJ,36,FALSE)</f>
        <v>0</v>
      </c>
      <c r="AH373" s="121">
        <f>AG373-AI373</f>
        <v>0</v>
      </c>
      <c r="AI373" s="121">
        <f>SUM(AI374:AI378)</f>
        <v>0</v>
      </c>
      <c r="AJ373" s="121">
        <f>VLOOKUP($C373,'1 预算编制表单'!$C:$BJ,39,FALSE)</f>
        <v>0</v>
      </c>
      <c r="AK373" s="121">
        <f>AJ373-AL373</f>
        <v>0</v>
      </c>
      <c r="AL373" s="121">
        <f>SUM(AL374:AL378)</f>
        <v>0</v>
      </c>
      <c r="AM373" s="121">
        <f>VLOOKUP($C373,'1 预算编制表单'!$C:$BJ,42,FALSE)</f>
        <v>0</v>
      </c>
      <c r="AN373" s="121">
        <f>AM373-AO373</f>
        <v>0</v>
      </c>
      <c r="AO373" s="121">
        <f>SUM(AO374:AO378)</f>
        <v>0</v>
      </c>
      <c r="AP373" s="121">
        <f>VLOOKUP($C373,'1 预算编制表单'!$C:$BJ,45,FALSE)</f>
        <v>0</v>
      </c>
      <c r="AQ373" s="121">
        <f>AP373-AR373</f>
        <v>0</v>
      </c>
      <c r="AR373" s="121">
        <f>SUM(AR374:AR378)</f>
        <v>0</v>
      </c>
      <c r="AS373" s="121">
        <f>VLOOKUP($C373,'1 预算编制表单'!$C:$BJ,48,FALSE)</f>
        <v>0</v>
      </c>
      <c r="AT373" s="121">
        <f>AS373-AU373</f>
        <v>0</v>
      </c>
      <c r="AU373" s="121">
        <f>SUM(AU374:AU378)</f>
        <v>0</v>
      </c>
      <c r="AV373" s="121">
        <f>VLOOKUP($C373,'1 预算编制表单'!$C:$BJ,51,FALSE)</f>
        <v>0</v>
      </c>
      <c r="AW373" s="121">
        <f>AV373-AX373</f>
        <v>0</v>
      </c>
      <c r="AX373" s="121">
        <f>SUM(AX374:AX378)</f>
        <v>0</v>
      </c>
      <c r="AY373" s="121">
        <f>VLOOKUP($C373,'1 预算编制表单'!$C:$BJ,54,FALSE)</f>
        <v>0</v>
      </c>
      <c r="AZ373" s="121">
        <f>AY373-BA373</f>
        <v>0</v>
      </c>
      <c r="BA373" s="121">
        <f>SUM(BA374:BA378)</f>
        <v>0</v>
      </c>
      <c r="BB373" s="121">
        <f>VLOOKUP($C373,'1 预算编制表单'!$C:$BJ,57,FALSE)</f>
        <v>0</v>
      </c>
      <c r="BC373" s="121">
        <f>BB373-BD373</f>
        <v>0</v>
      </c>
      <c r="BD373" s="121">
        <f>SUM(BD374:BD378)</f>
        <v>0</v>
      </c>
      <c r="BE373" s="121">
        <f>VLOOKUP($C373,'1 预算编制表单'!$C:$BJ,60,FALSE)</f>
        <v>0</v>
      </c>
      <c r="BF373" s="121">
        <f>BE373-BG373</f>
        <v>0</v>
      </c>
      <c r="BG373" s="121">
        <f>SUM(BG374:BG378)</f>
        <v>0</v>
      </c>
      <c r="BH373" s="121">
        <f>VLOOKUP($C373,'1 预算编制表单'!$C:$BJ,27,FALSE)</f>
        <v>0</v>
      </c>
      <c r="BI373" s="121">
        <f>BH373-BJ373</f>
        <v>0</v>
      </c>
      <c r="BJ373" s="121">
        <f>SUM(BJ374:BJ378)</f>
        <v>0</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customHeight="1" outlineLevel="4" spans="1:95">
      <c r="A374" s="122"/>
      <c r="B374" s="123"/>
      <c r="C374" s="124"/>
      <c r="D374" s="122"/>
      <c r="E374" s="123"/>
      <c r="F374" s="123"/>
      <c r="G374" s="123"/>
      <c r="H374" s="125"/>
      <c r="I374" s="125"/>
      <c r="J374" s="125">
        <f t="shared" si="3853"/>
        <v>0</v>
      </c>
      <c r="K374" s="125">
        <v>1</v>
      </c>
      <c r="L374" s="150"/>
      <c r="M374" s="151">
        <f>IFERROR(VLOOKUP($L374,'2-2 引出数据_合同数据仓库'!$B$2:$BP$1000,3,FALSE),0)</f>
        <v>0</v>
      </c>
      <c r="N374" s="125"/>
      <c r="O374" s="151">
        <f>IFERROR(VLOOKUP((LEFT(VLOOKUP($L374,'2-2 引出数据_合同数据仓库'!$B$2:$BP$1000,64,FALSE),15)&amp;(RIGHT(VLOOKUP($L374,'2-2 引出数据_合同数据仓库'!$B$2:$BP$1000,64,FALSE),4)+1)),'2-2 引出数据_合同数据仓库'!$B$2:$BP$1000,3,FALSE),0)</f>
        <v>0</v>
      </c>
      <c r="P374" s="125"/>
      <c r="Q374" s="125">
        <f>IFERROR(VLOOKUP($L374,'2-2 引出数据_合同数据仓库'!$B$2:$BP$1000,28,FALSE),0)</f>
        <v>0</v>
      </c>
      <c r="R374" s="125">
        <f>IFERROR(VLOOKUP($L374,'2-2 引出数据_合同数据仓库'!$B$2:$BP$1000,29,FALSE),0)</f>
        <v>0</v>
      </c>
      <c r="S374" s="125">
        <f>IFERROR(VLOOKUP($L374,'2-2 引出数据_合同数据仓库'!$B$2:$BP$1000,4,FALSE),0)</f>
        <v>0</v>
      </c>
      <c r="T374" s="125"/>
      <c r="U374" s="125">
        <f>IFERROR(VLOOKUP($L374,'2-2 引出数据_合同数据仓库'!$B$2:$BP$1000,15,FALSE),0)</f>
        <v>0</v>
      </c>
      <c r="V374" s="125">
        <f t="shared" ref="V374:V377" si="4430">U374/(S374-R374+1)*365</f>
        <v>0</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0</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0</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0</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0</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0</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0</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0</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0</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0</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0</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0</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0</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0</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customHeight="1" outlineLevel="4" spans="1:95">
      <c r="A375" s="122"/>
      <c r="B375" s="123"/>
      <c r="C375" s="124"/>
      <c r="D375" s="122"/>
      <c r="E375" s="123"/>
      <c r="F375" s="123"/>
      <c r="G375" s="123"/>
      <c r="H375" s="125"/>
      <c r="I375" s="125"/>
      <c r="J375" s="125">
        <f t="shared" si="3853"/>
        <v>0</v>
      </c>
      <c r="K375" s="125">
        <f t="shared" ref="K375:K377" si="4501">K374+1</f>
        <v>2</v>
      </c>
      <c r="L375" s="150"/>
      <c r="M375" s="151">
        <f>IFERROR(VLOOKUP($L375,'2-2 引出数据_合同数据仓库'!$B$2:$BP$1000,3,FALSE),0)</f>
        <v>0</v>
      </c>
      <c r="N375" s="125"/>
      <c r="O375" s="151">
        <f>IFERROR(VLOOKUP((LEFT(VLOOKUP($L375,'2-2 引出数据_合同数据仓库'!$B$2:$BP$1000,64,FALSE),15)&amp;(RIGHT(VLOOKUP($L375,'2-2 引出数据_合同数据仓库'!$B$2:$BP$1000,64,FALSE),4)+1)),'2-2 引出数据_合同数据仓库'!$B$2:$BP$1000,3,FALSE),0)</f>
        <v>0</v>
      </c>
      <c r="P375" s="125"/>
      <c r="Q375" s="125">
        <f>IFERROR(VLOOKUP($L375,'2-2 引出数据_合同数据仓库'!$B$2:$BP$1000,28,FALSE),0)</f>
        <v>0</v>
      </c>
      <c r="R375" s="125">
        <f>IFERROR(VLOOKUP($L375,'2-2 引出数据_合同数据仓库'!$B$2:$BP$1000,29,FALSE),0)</f>
        <v>0</v>
      </c>
      <c r="S375" s="125">
        <f>IFERROR(VLOOKUP($L375,'2-2 引出数据_合同数据仓库'!$B$2:$BP$1000,4,FALSE),0)</f>
        <v>0</v>
      </c>
      <c r="T375" s="125"/>
      <c r="U375" s="125">
        <f>IFERROR(VLOOKUP($L375,'2-2 引出数据_合同数据仓库'!$B$2:$BP$1000,15,FALSE),0)</f>
        <v>0</v>
      </c>
      <c r="V375" s="125">
        <f t="shared" si="4430"/>
        <v>0</v>
      </c>
      <c r="W375" s="125"/>
      <c r="X375" s="157">
        <v>45658</v>
      </c>
      <c r="Y375" s="157">
        <f t="shared" si="4431"/>
        <v>45688</v>
      </c>
      <c r="Z375" s="161">
        <f t="shared" si="4432"/>
        <v>0</v>
      </c>
      <c r="AA375" s="157">
        <f t="shared" si="4433"/>
        <v>45689</v>
      </c>
      <c r="AB375" s="157">
        <f t="shared" si="4434"/>
        <v>45716</v>
      </c>
      <c r="AC375" s="161">
        <f t="shared" si="4435"/>
        <v>0</v>
      </c>
      <c r="AD375" s="157">
        <f t="shared" si="4436"/>
        <v>45717</v>
      </c>
      <c r="AE375" s="157">
        <f t="shared" si="4437"/>
        <v>45747</v>
      </c>
      <c r="AF375" s="161">
        <f t="shared" si="4438"/>
        <v>0</v>
      </c>
      <c r="AG375" s="157">
        <f t="shared" si="4439"/>
        <v>45748</v>
      </c>
      <c r="AH375" s="157">
        <f t="shared" si="4440"/>
        <v>45777</v>
      </c>
      <c r="AI375" s="161">
        <f t="shared" si="4441"/>
        <v>0</v>
      </c>
      <c r="AJ375" s="157">
        <f t="shared" si="4442"/>
        <v>45778</v>
      </c>
      <c r="AK375" s="157">
        <f t="shared" si="4443"/>
        <v>45808</v>
      </c>
      <c r="AL375" s="161">
        <f t="shared" si="4444"/>
        <v>0</v>
      </c>
      <c r="AM375" s="157">
        <f t="shared" si="4445"/>
        <v>45809</v>
      </c>
      <c r="AN375" s="157">
        <f t="shared" si="4446"/>
        <v>45838</v>
      </c>
      <c r="AO375" s="161">
        <f t="shared" si="4447"/>
        <v>0</v>
      </c>
      <c r="AP375" s="157">
        <f t="shared" si="4448"/>
        <v>45839</v>
      </c>
      <c r="AQ375" s="157">
        <f t="shared" si="4449"/>
        <v>45869</v>
      </c>
      <c r="AR375" s="161">
        <f t="shared" si="4450"/>
        <v>0</v>
      </c>
      <c r="AS375" s="157">
        <f t="shared" si="4451"/>
        <v>45870</v>
      </c>
      <c r="AT375" s="157">
        <f t="shared" si="4452"/>
        <v>45900</v>
      </c>
      <c r="AU375" s="161">
        <f t="shared" si="4453"/>
        <v>0</v>
      </c>
      <c r="AV375" s="157">
        <f t="shared" si="4454"/>
        <v>45901</v>
      </c>
      <c r="AW375" s="157">
        <f t="shared" si="4455"/>
        <v>45930</v>
      </c>
      <c r="AX375" s="161">
        <f t="shared" si="4456"/>
        <v>0</v>
      </c>
      <c r="AY375" s="157">
        <f t="shared" si="4457"/>
        <v>45931</v>
      </c>
      <c r="AZ375" s="157">
        <f t="shared" si="4458"/>
        <v>45961</v>
      </c>
      <c r="BA375" s="161">
        <f t="shared" si="4459"/>
        <v>0</v>
      </c>
      <c r="BB375" s="157">
        <f t="shared" si="4460"/>
        <v>45962</v>
      </c>
      <c r="BC375" s="157">
        <f t="shared" si="4461"/>
        <v>45991</v>
      </c>
      <c r="BD375" s="161">
        <f t="shared" si="4462"/>
        <v>0</v>
      </c>
      <c r="BE375" s="157">
        <f t="shared" si="4463"/>
        <v>45992</v>
      </c>
      <c r="BF375" s="157">
        <f t="shared" si="4464"/>
        <v>46022</v>
      </c>
      <c r="BG375" s="161">
        <f t="shared" si="4465"/>
        <v>0</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customHeight="1" outlineLevel="4" spans="1:95">
      <c r="A376" s="122"/>
      <c r="B376" s="123"/>
      <c r="C376" s="124"/>
      <c r="D376" s="122"/>
      <c r="E376" s="123"/>
      <c r="F376" s="123"/>
      <c r="G376" s="123"/>
      <c r="H376" s="125"/>
      <c r="I376" s="125"/>
      <c r="J376" s="125">
        <f t="shared" si="3853"/>
        <v>0</v>
      </c>
      <c r="K376" s="125">
        <f t="shared" si="4501"/>
        <v>3</v>
      </c>
      <c r="L376" s="150"/>
      <c r="M376" s="151">
        <f>IFERROR(VLOOKUP($L376,'2-2 引出数据_合同数据仓库'!$B$2:$BP$1000,3,FALSE),0)</f>
        <v>0</v>
      </c>
      <c r="N376" s="125"/>
      <c r="O376" s="151">
        <f>IFERROR(VLOOKUP((LEFT(VLOOKUP($L376,'2-2 引出数据_合同数据仓库'!$B$2:$BP$1000,64,FALSE),15)&amp;(RIGHT(VLOOKUP($L376,'2-2 引出数据_合同数据仓库'!$B$2:$BP$1000,64,FALSE),4)+1)),'2-2 引出数据_合同数据仓库'!$B$2:$BP$1000,3,FALSE),0)</f>
        <v>0</v>
      </c>
      <c r="P376" s="125"/>
      <c r="Q376" s="125">
        <f>IFERROR(VLOOKUP($L376,'2-2 引出数据_合同数据仓库'!$B$2:$BP$1000,28,FALSE),0)</f>
        <v>0</v>
      </c>
      <c r="R376" s="125">
        <f>IFERROR(VLOOKUP($L376,'2-2 引出数据_合同数据仓库'!$B$2:$BP$1000,29,FALSE),0)</f>
        <v>0</v>
      </c>
      <c r="S376" s="125">
        <f>IFERROR(VLOOKUP($L376,'2-2 引出数据_合同数据仓库'!$B$2:$BP$1000,4,FALSE),0)</f>
        <v>0</v>
      </c>
      <c r="T376" s="125"/>
      <c r="U376" s="125">
        <f>IFERROR(VLOOKUP($L376,'2-2 引出数据_合同数据仓库'!$B$2:$BP$1000,15,FALSE),0)</f>
        <v>0</v>
      </c>
      <c r="V376" s="125">
        <f t="shared" si="4430"/>
        <v>0</v>
      </c>
      <c r="W376" s="125"/>
      <c r="X376" s="157">
        <v>45658</v>
      </c>
      <c r="Y376" s="157">
        <f t="shared" si="4431"/>
        <v>45688</v>
      </c>
      <c r="Z376" s="161">
        <f t="shared" si="4432"/>
        <v>0</v>
      </c>
      <c r="AA376" s="157">
        <f t="shared" si="4433"/>
        <v>45689</v>
      </c>
      <c r="AB376" s="157">
        <f t="shared" si="4434"/>
        <v>45716</v>
      </c>
      <c r="AC376" s="161">
        <f t="shared" si="4435"/>
        <v>0</v>
      </c>
      <c r="AD376" s="157">
        <f t="shared" si="4436"/>
        <v>45717</v>
      </c>
      <c r="AE376" s="157">
        <f t="shared" si="4437"/>
        <v>45747</v>
      </c>
      <c r="AF376" s="161">
        <f t="shared" si="4438"/>
        <v>0</v>
      </c>
      <c r="AG376" s="157">
        <f t="shared" si="4439"/>
        <v>45748</v>
      </c>
      <c r="AH376" s="157">
        <f t="shared" si="4440"/>
        <v>45777</v>
      </c>
      <c r="AI376" s="161">
        <f t="shared" si="4441"/>
        <v>0</v>
      </c>
      <c r="AJ376" s="157">
        <f t="shared" si="4442"/>
        <v>45778</v>
      </c>
      <c r="AK376" s="157">
        <f t="shared" si="4443"/>
        <v>45808</v>
      </c>
      <c r="AL376" s="161">
        <f t="shared" si="4444"/>
        <v>0</v>
      </c>
      <c r="AM376" s="157">
        <f t="shared" si="4445"/>
        <v>45809</v>
      </c>
      <c r="AN376" s="157">
        <f t="shared" si="4446"/>
        <v>45838</v>
      </c>
      <c r="AO376" s="161">
        <f t="shared" si="4447"/>
        <v>0</v>
      </c>
      <c r="AP376" s="157">
        <f t="shared" si="4448"/>
        <v>45839</v>
      </c>
      <c r="AQ376" s="157">
        <f t="shared" si="4449"/>
        <v>45869</v>
      </c>
      <c r="AR376" s="161">
        <f t="shared" si="4450"/>
        <v>0</v>
      </c>
      <c r="AS376" s="157">
        <f t="shared" si="4451"/>
        <v>45870</v>
      </c>
      <c r="AT376" s="157">
        <f t="shared" si="4452"/>
        <v>45900</v>
      </c>
      <c r="AU376" s="161">
        <f t="shared" si="4453"/>
        <v>0</v>
      </c>
      <c r="AV376" s="157">
        <f t="shared" si="4454"/>
        <v>45901</v>
      </c>
      <c r="AW376" s="157">
        <f t="shared" si="4455"/>
        <v>45930</v>
      </c>
      <c r="AX376" s="161">
        <f t="shared" si="4456"/>
        <v>0</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引出数据_合同数据仓库'!$B$2:$BP$1000,3,FALSE),0)</f>
        <v>0</v>
      </c>
      <c r="N377" s="125"/>
      <c r="O377" s="151">
        <f>IFERROR(VLOOKUP((LEFT(VLOOKUP($L377,'2-2 引出数据_合同数据仓库'!$B$2:$BP$1000,64,FALSE),15)&amp;(RIGHT(VLOOKUP($L377,'2-2 引出数据_合同数据仓库'!$B$2:$BP$1000,64,FALSE),4)+1)),'2-2 引出数据_合同数据仓库'!$B$2:$BP$1000,3,FALSE),0)</f>
        <v>0</v>
      </c>
      <c r="P377" s="125"/>
      <c r="Q377" s="125">
        <f>IFERROR(VLOOKUP($L377,'2-2 引出数据_合同数据仓库'!$B$2:$BP$1000,28,FALSE),0)</f>
        <v>0</v>
      </c>
      <c r="R377" s="125">
        <f>IFERROR(VLOOKUP($L377,'2-2 引出数据_合同数据仓库'!$B$2:$BP$1000,29,FALSE),0)</f>
        <v>0</v>
      </c>
      <c r="S377" s="125">
        <f>IFERROR(VLOOKUP($L377,'2-2 引出数据_合同数据仓库'!$B$2:$BP$1000,4,FALSE),0)</f>
        <v>0</v>
      </c>
      <c r="T377" s="125"/>
      <c r="U377" s="125">
        <f>IFERROR(VLOOKUP($L377,'2-2 引出数据_合同数据仓库'!$B$2:$BP$1000,15,FALSE),0)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customHeight="1" outlineLevel="4" spans="1:95">
      <c r="A378" s="126" t="s">
        <v>2821</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customHeight="1" outlineLevel="3" spans="1:95">
      <c r="A379" s="118"/>
      <c r="B379" s="119" t="s">
        <v>799</v>
      </c>
      <c r="C379" s="120" t="s">
        <v>1359</v>
      </c>
      <c r="D379" s="118" t="s">
        <v>1360</v>
      </c>
      <c r="E379" s="119" t="s">
        <v>1361</v>
      </c>
      <c r="F379" s="119"/>
      <c r="G379" s="119" t="s">
        <v>943</v>
      </c>
      <c r="H379" s="121">
        <f>X379+AA379+AD379+AG379+AJ379+AM379+AP379+AS379+AV379+AY379+BB379+BE379</f>
        <v>0</v>
      </c>
      <c r="I379" s="121">
        <f>Y379+AB379+AE379+AH379+AK379+AN379+AQ379+AT379+AW379+AZ379+BC379+BF379</f>
        <v>-34200</v>
      </c>
      <c r="J379" s="121">
        <f t="shared" si="3853"/>
        <v>34200</v>
      </c>
      <c r="K379" s="121"/>
      <c r="L379" s="149"/>
      <c r="M379" s="149"/>
      <c r="N379" s="121"/>
      <c r="O379" s="121"/>
      <c r="P379" s="121"/>
      <c r="Q379" s="121"/>
      <c r="R379" s="121"/>
      <c r="S379" s="121"/>
      <c r="T379" s="121"/>
      <c r="U379" s="121"/>
      <c r="V379" s="121"/>
      <c r="W379" s="121"/>
      <c r="X379" s="121">
        <f>VLOOKUP($C379,'1 预算编制表单'!$C:$BJ,27,FALSE)</f>
        <v>0</v>
      </c>
      <c r="Y379" s="121">
        <f>X379-Z379</f>
        <v>-7650</v>
      </c>
      <c r="Z379" s="121">
        <f>SUM(Z380:Z384)</f>
        <v>7650</v>
      </c>
      <c r="AA379" s="121">
        <f>VLOOKUP($C379,'1 预算编制表单'!$C:$BJ,30,FALSE)</f>
        <v>0</v>
      </c>
      <c r="AB379" s="121">
        <f>AA379-AC379</f>
        <v>-12600</v>
      </c>
      <c r="AC379" s="121">
        <f>SUM(AC380:AC384)</f>
        <v>12600</v>
      </c>
      <c r="AD379" s="121">
        <f>VLOOKUP($C379,'1 预算编制表单'!$C:$BJ,33,FALSE)</f>
        <v>0</v>
      </c>
      <c r="AE379" s="121">
        <f>AD379-AF379</f>
        <v>-13950</v>
      </c>
      <c r="AF379" s="121">
        <f>SUM(AF380:AF384)</f>
        <v>13950</v>
      </c>
      <c r="AG379" s="121">
        <f>VLOOKUP($C379,'1 预算编制表单'!$C:$BJ,36,FALSE)</f>
        <v>0</v>
      </c>
      <c r="AH379" s="121">
        <f>AG379-AI379</f>
        <v>0</v>
      </c>
      <c r="AI379" s="121">
        <f>SUM(AI380:AI384)</f>
        <v>0</v>
      </c>
      <c r="AJ379" s="121">
        <f>VLOOKUP($C379,'1 预算编制表单'!$C:$BJ,39,FALSE)</f>
        <v>0</v>
      </c>
      <c r="AK379" s="121">
        <f>AJ379-AL379</f>
        <v>0</v>
      </c>
      <c r="AL379" s="121">
        <f>SUM(AL380:AL384)</f>
        <v>0</v>
      </c>
      <c r="AM379" s="121">
        <f>VLOOKUP($C379,'1 预算编制表单'!$C:$BJ,42,FALSE)</f>
        <v>0</v>
      </c>
      <c r="AN379" s="121">
        <f>AM379-AO379</f>
        <v>0</v>
      </c>
      <c r="AO379" s="121">
        <f>SUM(AO380:AO384)</f>
        <v>0</v>
      </c>
      <c r="AP379" s="121">
        <f>VLOOKUP($C379,'1 预算编制表单'!$C:$BJ,45,FALSE)</f>
        <v>0</v>
      </c>
      <c r="AQ379" s="121">
        <f>AP379-AR379</f>
        <v>0</v>
      </c>
      <c r="AR379" s="121">
        <f>SUM(AR380:AR384)</f>
        <v>0</v>
      </c>
      <c r="AS379" s="121">
        <f>VLOOKUP($C379,'1 预算编制表单'!$C:$BJ,48,FALSE)</f>
        <v>0</v>
      </c>
      <c r="AT379" s="121">
        <f>AS379-AU379</f>
        <v>0</v>
      </c>
      <c r="AU379" s="121">
        <f>SUM(AU380:AU384)</f>
        <v>0</v>
      </c>
      <c r="AV379" s="121">
        <f>VLOOKUP($C379,'1 预算编制表单'!$C:$BJ,51,FALSE)</f>
        <v>0</v>
      </c>
      <c r="AW379" s="121">
        <f>AV379-AX379</f>
        <v>0</v>
      </c>
      <c r="AX379" s="121">
        <f>SUM(AX380:AX384)</f>
        <v>0</v>
      </c>
      <c r="AY379" s="121">
        <f>VLOOKUP($C379,'1 预算编制表单'!$C:$BJ,54,FALSE)</f>
        <v>0</v>
      </c>
      <c r="AZ379" s="121">
        <f>AY379-BA379</f>
        <v>0</v>
      </c>
      <c r="BA379" s="121">
        <f>SUM(BA380:BA384)</f>
        <v>0</v>
      </c>
      <c r="BB379" s="121">
        <f>VLOOKUP($C379,'1 预算编制表单'!$C:$BJ,57,FALSE)</f>
        <v>0</v>
      </c>
      <c r="BC379" s="121">
        <f>BB379-BD379</f>
        <v>0</v>
      </c>
      <c r="BD379" s="121">
        <f>SUM(BD380:BD384)</f>
        <v>0</v>
      </c>
      <c r="BE379" s="121">
        <f>VLOOKUP($C379,'1 预算编制表单'!$C:$BJ,60,FALSE)</f>
        <v>0</v>
      </c>
      <c r="BF379" s="121">
        <f>BE379-BG379</f>
        <v>0</v>
      </c>
      <c r="BG379" s="121">
        <f>SUM(BG380:BG384)</f>
        <v>0</v>
      </c>
      <c r="BH379" s="121">
        <f>VLOOKUP($C379,'1 预算编制表单'!$C:$BJ,27,FALSE)</f>
        <v>0</v>
      </c>
      <c r="BI379" s="121">
        <f>BH379-BJ379</f>
        <v>0</v>
      </c>
      <c r="BJ379" s="121">
        <f>SUM(BJ380:BJ384)</f>
        <v>0</v>
      </c>
      <c r="BK379" s="121">
        <f>VLOOKUP($C379,'1 预算编制表单'!$C:$BJ,30,FALSE)</f>
        <v>0</v>
      </c>
      <c r="BL379" s="121">
        <f>BK379-BM379</f>
        <v>0</v>
      </c>
      <c r="BM379" s="121">
        <f>SUM(BM380:BM384)</f>
        <v>0</v>
      </c>
      <c r="BN379" s="121">
        <f>VLOOKUP($C379,'1 预算编制表单'!$C:$BJ,33,FALSE)</f>
        <v>0</v>
      </c>
      <c r="BO379" s="121">
        <f>BN379-BP379</f>
        <v>0</v>
      </c>
      <c r="BP379" s="121">
        <f>SUM(BP380:BP384)</f>
        <v>0</v>
      </c>
      <c r="BQ379" s="121">
        <f>VLOOKUP($C379,'1 预算编制表单'!$C:$BJ,36,FALSE)</f>
        <v>0</v>
      </c>
      <c r="BR379" s="121">
        <f>BQ379-BS379</f>
        <v>0</v>
      </c>
      <c r="BS379" s="121">
        <f>SUM(BS380:BS384)</f>
        <v>0</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customHeight="1" outlineLevel="4" spans="1:95">
      <c r="A380" s="122"/>
      <c r="B380" s="123"/>
      <c r="C380" s="124"/>
      <c r="D380" s="122"/>
      <c r="E380" s="123"/>
      <c r="F380" s="123"/>
      <c r="G380" s="123"/>
      <c r="H380" s="125"/>
      <c r="I380" s="125"/>
      <c r="J380" s="125">
        <f t="shared" si="3853"/>
        <v>34200</v>
      </c>
      <c r="K380" s="125">
        <v>1</v>
      </c>
      <c r="L380" s="150" t="s">
        <v>2832</v>
      </c>
      <c r="M380" s="151" t="str">
        <f>IFERROR(VLOOKUP($L380,'2-2 引出数据_合同数据仓库'!$B$2:$BP$1000,3,FALSE),0)</f>
        <v>深圳非住城服三片区南山分局项目外墙清洗服务采购品类合同2025年1月15日-2025年3月31日</v>
      </c>
      <c r="N380" s="125"/>
      <c r="O380" s="151">
        <f>IFERROR(VLOOKUP((LEFT(VLOOKUP($L380,'2-2 引出数据_合同数据仓库'!$B$2:$BP$1000,64,FALSE),15)&amp;(RIGHT(VLOOKUP($L380,'2-2 引出数据_合同数据仓库'!$B$2:$BP$1000,64,FALSE),4)+1)),'2-2 引出数据_合同数据仓库'!$B$2:$BP$1000,3,FALSE),0)</f>
        <v>0</v>
      </c>
      <c r="P380" s="125"/>
      <c r="Q380" s="125" t="str">
        <f>IFERROR(VLOOKUP($L380,'2-2 引出数据_合同数据仓库'!$B$2:$BP$1000,28,FALSE),0)</f>
        <v>2025-02-19</v>
      </c>
      <c r="R380" s="125" t="str">
        <f>IFERROR(VLOOKUP($L380,'2-2 引出数据_合同数据仓库'!$B$2:$BP$1000,29,FALSE),0)</f>
        <v>2025-01-15</v>
      </c>
      <c r="S380" s="125" t="str">
        <f>IFERROR(VLOOKUP($L380,'2-2 引出数据_合同数据仓库'!$B$2:$BP$1000,4,FALSE),0)</f>
        <v>2025-03-31</v>
      </c>
      <c r="T380" s="125"/>
      <c r="U380" s="125">
        <f>IFERROR(VLOOKUP($L380,'2-2 引出数据_合同数据仓库'!$B$2:$BP$1000,15,FALSE),0)</f>
        <v>34200</v>
      </c>
      <c r="V380" s="125">
        <f t="shared" ref="V380:V383" si="4502">U380/(S380-R380+1)*365</f>
        <v>164250</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7650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12600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13950</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0</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0</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0</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0</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0</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0</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0</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0</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0</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0</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0</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0</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0</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customHeight="1" outlineLevel="4" spans="1:95">
      <c r="A381" s="122"/>
      <c r="B381" s="123"/>
      <c r="C381" s="124"/>
      <c r="D381" s="122"/>
      <c r="E381" s="123"/>
      <c r="F381" s="123"/>
      <c r="G381" s="123"/>
      <c r="H381" s="125"/>
      <c r="I381" s="125"/>
      <c r="J381" s="125">
        <f t="shared" si="3853"/>
        <v>0</v>
      </c>
      <c r="K381" s="125">
        <f t="shared" ref="K381:K383" si="4573">K380+1</f>
        <v>2</v>
      </c>
      <c r="L381" s="150"/>
      <c r="M381" s="151">
        <f>IFERROR(VLOOKUP($L381,'2-2 引出数据_合同数据仓库'!$B$2:$BP$1000,3,FALSE),0)</f>
        <v>0</v>
      </c>
      <c r="N381" s="125"/>
      <c r="O381" s="151">
        <f>IFERROR(VLOOKUP((LEFT(VLOOKUP($L381,'2-2 引出数据_合同数据仓库'!$B$2:$BP$1000,64,FALSE),15)&amp;(RIGHT(VLOOKUP($L381,'2-2 引出数据_合同数据仓库'!$B$2:$BP$1000,64,FALSE),4)+1)),'2-2 引出数据_合同数据仓库'!$B$2:$BP$1000,3,FALSE),0)</f>
        <v>0</v>
      </c>
      <c r="P381" s="125"/>
      <c r="Q381" s="125">
        <f>IFERROR(VLOOKUP($L381,'2-2 引出数据_合同数据仓库'!$B$2:$BP$1000,28,FALSE),0)</f>
        <v>0</v>
      </c>
      <c r="R381" s="125">
        <f>IFERROR(VLOOKUP($L381,'2-2 引出数据_合同数据仓库'!$B$2:$BP$1000,29,FALSE),0)</f>
        <v>0</v>
      </c>
      <c r="S381" s="125">
        <f>IFERROR(VLOOKUP($L381,'2-2 引出数据_合同数据仓库'!$B$2:$BP$1000,4,FALSE),0)</f>
        <v>0</v>
      </c>
      <c r="T381" s="125"/>
      <c r="U381" s="125">
        <f>IFERROR(VLOOKUP($L381,'2-2 引出数据_合同数据仓库'!$B$2:$BP$1000,15,FALSE),0)</f>
        <v>0</v>
      </c>
      <c r="V381" s="125">
        <f t="shared" si="4502"/>
        <v>0</v>
      </c>
      <c r="W381" s="125"/>
      <c r="X381" s="157">
        <v>45658</v>
      </c>
      <c r="Y381" s="157">
        <f t="shared" si="4503"/>
        <v>45688</v>
      </c>
      <c r="Z381" s="161">
        <f t="shared" si="4504"/>
        <v>0</v>
      </c>
      <c r="AA381" s="157">
        <f t="shared" si="4505"/>
        <v>45689</v>
      </c>
      <c r="AB381" s="157">
        <f t="shared" si="4506"/>
        <v>45716</v>
      </c>
      <c r="AC381" s="161">
        <f t="shared" si="4507"/>
        <v>0</v>
      </c>
      <c r="AD381" s="157">
        <f t="shared" si="4508"/>
        <v>45717</v>
      </c>
      <c r="AE381" s="157">
        <f t="shared" si="4509"/>
        <v>45747</v>
      </c>
      <c r="AF381" s="161">
        <f t="shared" si="4510"/>
        <v>0</v>
      </c>
      <c r="AG381" s="157">
        <f t="shared" si="4511"/>
        <v>45748</v>
      </c>
      <c r="AH381" s="157">
        <f t="shared" si="4512"/>
        <v>45777</v>
      </c>
      <c r="AI381" s="161">
        <f t="shared" si="4513"/>
        <v>0</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引出数据_合同数据仓库'!$B$2:$BP$1000,3,FALSE),0)</f>
        <v>0</v>
      </c>
      <c r="N382" s="125"/>
      <c r="O382" s="151">
        <f>IFERROR(VLOOKUP((LEFT(VLOOKUP($L382,'2-2 引出数据_合同数据仓库'!$B$2:$BP$1000,64,FALSE),15)&amp;(RIGHT(VLOOKUP($L382,'2-2 引出数据_合同数据仓库'!$B$2:$BP$1000,64,FALSE),4)+1)),'2-2 引出数据_合同数据仓库'!$B$2:$BP$1000,3,FALSE),0)</f>
        <v>0</v>
      </c>
      <c r="P382" s="125"/>
      <c r="Q382" s="125">
        <f>IFERROR(VLOOKUP($L382,'2-2 引出数据_合同数据仓库'!$B$2:$BP$1000,28,FALSE),0)</f>
        <v>0</v>
      </c>
      <c r="R382" s="125">
        <f>IFERROR(VLOOKUP($L382,'2-2 引出数据_合同数据仓库'!$B$2:$BP$1000,29,FALSE),0)</f>
        <v>0</v>
      </c>
      <c r="S382" s="125">
        <f>IFERROR(VLOOKUP($L382,'2-2 引出数据_合同数据仓库'!$B$2:$BP$1000,4,FALSE),0)</f>
        <v>0</v>
      </c>
      <c r="T382" s="125"/>
      <c r="U382" s="125">
        <f>IFERROR(VLOOKUP($L382,'2-2 引出数据_合同数据仓库'!$B$2:$BP$1000,15,FALSE),0)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引出数据_合同数据仓库'!$B$2:$BP$1000,3,FALSE),0)</f>
        <v>0</v>
      </c>
      <c r="N383" s="125"/>
      <c r="O383" s="151">
        <f>IFERROR(VLOOKUP((LEFT(VLOOKUP($L383,'2-2 引出数据_合同数据仓库'!$B$2:$BP$1000,64,FALSE),15)&amp;(RIGHT(VLOOKUP($L383,'2-2 引出数据_合同数据仓库'!$B$2:$BP$1000,64,FALSE),4)+1)),'2-2 引出数据_合同数据仓库'!$B$2:$BP$1000,3,FALSE),0)</f>
        <v>0</v>
      </c>
      <c r="P383" s="125"/>
      <c r="Q383" s="125">
        <f>IFERROR(VLOOKUP($L383,'2-2 引出数据_合同数据仓库'!$B$2:$BP$1000,28,FALSE),0)</f>
        <v>0</v>
      </c>
      <c r="R383" s="125">
        <f>IFERROR(VLOOKUP($L383,'2-2 引出数据_合同数据仓库'!$B$2:$BP$1000,29,FALSE),0)</f>
        <v>0</v>
      </c>
      <c r="S383" s="125">
        <f>IFERROR(VLOOKUP($L383,'2-2 引出数据_合同数据仓库'!$B$2:$BP$1000,4,FALSE),0)</f>
        <v>0</v>
      </c>
      <c r="T383" s="125"/>
      <c r="U383" s="125">
        <f>IFERROR(VLOOKUP($L383,'2-2 引出数据_合同数据仓库'!$B$2:$BP$1000,15,FALSE),0)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customHeight="1" outlineLevel="4" spans="1:95">
      <c r="A384" s="126" t="s">
        <v>2821</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customHeight="1" outlineLevel="3" spans="1:95">
      <c r="A385" s="118"/>
      <c r="B385" s="119" t="s">
        <v>799</v>
      </c>
      <c r="C385" s="120" t="s">
        <v>1363</v>
      </c>
      <c r="D385" s="118" t="s">
        <v>1364</v>
      </c>
      <c r="E385" s="119" t="s">
        <v>1365</v>
      </c>
      <c r="F385" s="119"/>
      <c r="G385" s="119" t="s">
        <v>943</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引出数据_合同数据仓库'!$B$2:$BP$1000,3,FALSE),0)</f>
        <v>0</v>
      </c>
      <c r="N386" s="125"/>
      <c r="O386" s="151">
        <f>IFERROR(VLOOKUP((LEFT(VLOOKUP($L386,'2-2 引出数据_合同数据仓库'!$B$2:$BP$1000,64,FALSE),15)&amp;(RIGHT(VLOOKUP($L386,'2-2 引出数据_合同数据仓库'!$B$2:$BP$1000,64,FALSE),4)+1)),'2-2 引出数据_合同数据仓库'!$B$2:$BP$1000,3,FALSE),0)</f>
        <v>0</v>
      </c>
      <c r="P386" s="125"/>
      <c r="Q386" s="125">
        <f>IFERROR(VLOOKUP($L386,'2-2 引出数据_合同数据仓库'!$B$2:$BP$1000,28,FALSE),0)</f>
        <v>0</v>
      </c>
      <c r="R386" s="125">
        <f>IFERROR(VLOOKUP($L386,'2-2 引出数据_合同数据仓库'!$B$2:$BP$1000,29,FALSE),0)</f>
        <v>0</v>
      </c>
      <c r="S386" s="125">
        <f>IFERROR(VLOOKUP($L386,'2-2 引出数据_合同数据仓库'!$B$2:$BP$1000,4,FALSE),0)</f>
        <v>0</v>
      </c>
      <c r="T386" s="125"/>
      <c r="U386" s="125">
        <f>IFERROR(VLOOKUP($L386,'2-2 引出数据_合同数据仓库'!$B$2:$BP$1000,15,FALSE),0)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引出数据_合同数据仓库'!$B$2:$BP$1000,3,FALSE),0)</f>
        <v>0</v>
      </c>
      <c r="N387" s="125"/>
      <c r="O387" s="151">
        <f>IFERROR(VLOOKUP((LEFT(VLOOKUP($L387,'2-2 引出数据_合同数据仓库'!$B$2:$BP$1000,64,FALSE),15)&amp;(RIGHT(VLOOKUP($L387,'2-2 引出数据_合同数据仓库'!$B$2:$BP$1000,64,FALSE),4)+1)),'2-2 引出数据_合同数据仓库'!$B$2:$BP$1000,3,FALSE),0)</f>
        <v>0</v>
      </c>
      <c r="P387" s="125"/>
      <c r="Q387" s="125">
        <f>IFERROR(VLOOKUP($L387,'2-2 引出数据_合同数据仓库'!$B$2:$BP$1000,28,FALSE),0)</f>
        <v>0</v>
      </c>
      <c r="R387" s="125">
        <f>IFERROR(VLOOKUP($L387,'2-2 引出数据_合同数据仓库'!$B$2:$BP$1000,29,FALSE),0)</f>
        <v>0</v>
      </c>
      <c r="S387" s="125">
        <f>IFERROR(VLOOKUP($L387,'2-2 引出数据_合同数据仓库'!$B$2:$BP$1000,4,FALSE),0)</f>
        <v>0</v>
      </c>
      <c r="T387" s="125"/>
      <c r="U387" s="125">
        <f>IFERROR(VLOOKUP($L387,'2-2 引出数据_合同数据仓库'!$B$2:$BP$1000,15,FALSE),0)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引出数据_合同数据仓库'!$B$2:$BP$1000,3,FALSE),0)</f>
        <v>0</v>
      </c>
      <c r="N388" s="125"/>
      <c r="O388" s="151">
        <f>IFERROR(VLOOKUP((LEFT(VLOOKUP($L388,'2-2 引出数据_合同数据仓库'!$B$2:$BP$1000,64,FALSE),15)&amp;(RIGHT(VLOOKUP($L388,'2-2 引出数据_合同数据仓库'!$B$2:$BP$1000,64,FALSE),4)+1)),'2-2 引出数据_合同数据仓库'!$B$2:$BP$1000,3,FALSE),0)</f>
        <v>0</v>
      </c>
      <c r="P388" s="125"/>
      <c r="Q388" s="125">
        <f>IFERROR(VLOOKUP($L388,'2-2 引出数据_合同数据仓库'!$B$2:$BP$1000,28,FALSE),0)</f>
        <v>0</v>
      </c>
      <c r="R388" s="125">
        <f>IFERROR(VLOOKUP($L388,'2-2 引出数据_合同数据仓库'!$B$2:$BP$1000,29,FALSE),0)</f>
        <v>0</v>
      </c>
      <c r="S388" s="125">
        <f>IFERROR(VLOOKUP($L388,'2-2 引出数据_合同数据仓库'!$B$2:$BP$1000,4,FALSE),0)</f>
        <v>0</v>
      </c>
      <c r="T388" s="125"/>
      <c r="U388" s="125">
        <f>IFERROR(VLOOKUP($L388,'2-2 引出数据_合同数据仓库'!$B$2:$BP$1000,15,FALSE),0)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引出数据_合同数据仓库'!$B$2:$BP$1000,3,FALSE),0)</f>
        <v>0</v>
      </c>
      <c r="N389" s="125"/>
      <c r="O389" s="151">
        <f>IFERROR(VLOOKUP((LEFT(VLOOKUP($L389,'2-2 引出数据_合同数据仓库'!$B$2:$BP$1000,64,FALSE),15)&amp;(RIGHT(VLOOKUP($L389,'2-2 引出数据_合同数据仓库'!$B$2:$BP$1000,64,FALSE),4)+1)),'2-2 引出数据_合同数据仓库'!$B$2:$BP$1000,3,FALSE),0)</f>
        <v>0</v>
      </c>
      <c r="P389" s="125"/>
      <c r="Q389" s="125">
        <f>IFERROR(VLOOKUP($L389,'2-2 引出数据_合同数据仓库'!$B$2:$BP$1000,28,FALSE),0)</f>
        <v>0</v>
      </c>
      <c r="R389" s="125">
        <f>IFERROR(VLOOKUP($L389,'2-2 引出数据_合同数据仓库'!$B$2:$BP$1000,29,FALSE),0)</f>
        <v>0</v>
      </c>
      <c r="S389" s="125">
        <f>IFERROR(VLOOKUP($L389,'2-2 引出数据_合同数据仓库'!$B$2:$BP$1000,4,FALSE),0)</f>
        <v>0</v>
      </c>
      <c r="T389" s="125"/>
      <c r="U389" s="125">
        <f>IFERROR(VLOOKUP($L389,'2-2 引出数据_合同数据仓库'!$B$2:$BP$1000,15,FALSE),0)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customHeight="1" outlineLevel="4" spans="1:95">
      <c r="A390" s="126" t="s">
        <v>2821</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customHeight="1" outlineLevel="3" spans="1:95">
      <c r="A391" s="118"/>
      <c r="B391" s="119" t="s">
        <v>799</v>
      </c>
      <c r="C391" s="120" t="s">
        <v>1367</v>
      </c>
      <c r="D391" s="118" t="s">
        <v>1368</v>
      </c>
      <c r="E391" s="119" t="s">
        <v>1369</v>
      </c>
      <c r="F391" s="119"/>
      <c r="G391" s="119" t="s">
        <v>943</v>
      </c>
      <c r="H391" s="121">
        <f>X391+AA391+AD391+AG391+AJ391+AM391+AP391+AS391+AV391+AY391+BB391+BE391</f>
        <v>0</v>
      </c>
      <c r="I391" s="121">
        <f>Y391+AB391+AE391+AH391+AK391+AN391+AQ391+AT391+AW391+AZ391+BC391+BF391</f>
        <v>0</v>
      </c>
      <c r="J391" s="121">
        <f t="shared" si="3853"/>
        <v>0</v>
      </c>
      <c r="K391" s="121"/>
      <c r="L391" s="149"/>
      <c r="M391" s="149"/>
      <c r="N391" s="121"/>
      <c r="O391" s="121"/>
      <c r="P391" s="121"/>
      <c r="Q391" s="121"/>
      <c r="R391" s="121"/>
      <c r="S391" s="121"/>
      <c r="T391" s="121"/>
      <c r="U391" s="121"/>
      <c r="V391" s="121"/>
      <c r="W391" s="121"/>
      <c r="X391" s="121">
        <f>VLOOKUP($C391,'1 预算编制表单'!$C:$BJ,27,FALSE)</f>
        <v>0</v>
      </c>
      <c r="Y391" s="121">
        <f>X391-Z391</f>
        <v>0</v>
      </c>
      <c r="Z391" s="121">
        <f>SUM(Z392:Z396)</f>
        <v>0</v>
      </c>
      <c r="AA391" s="121">
        <f>VLOOKUP($C391,'1 预算编制表单'!$C:$BJ,30,FALSE)</f>
        <v>0</v>
      </c>
      <c r="AB391" s="121">
        <f>AA391-AC391</f>
        <v>0</v>
      </c>
      <c r="AC391" s="121">
        <f>SUM(AC392:AC396)</f>
        <v>0</v>
      </c>
      <c r="AD391" s="121">
        <f>VLOOKUP($C391,'1 预算编制表单'!$C:$BJ,33,FALSE)</f>
        <v>0</v>
      </c>
      <c r="AE391" s="121">
        <f>AD391-AF391</f>
        <v>0</v>
      </c>
      <c r="AF391" s="121">
        <f>SUM(AF392:AF396)</f>
        <v>0</v>
      </c>
      <c r="AG391" s="121">
        <f>VLOOKUP($C391,'1 预算编制表单'!$C:$BJ,36,FALSE)</f>
        <v>0</v>
      </c>
      <c r="AH391" s="121">
        <f>AG391-AI391</f>
        <v>0</v>
      </c>
      <c r="AI391" s="121">
        <f>SUM(AI392:AI396)</f>
        <v>0</v>
      </c>
      <c r="AJ391" s="121">
        <f>VLOOKUP($C391,'1 预算编制表单'!$C:$BJ,39,FALSE)</f>
        <v>0</v>
      </c>
      <c r="AK391" s="121">
        <f>AJ391-AL391</f>
        <v>0</v>
      </c>
      <c r="AL391" s="121">
        <f>SUM(AL392:AL396)</f>
        <v>0</v>
      </c>
      <c r="AM391" s="121">
        <f>VLOOKUP($C391,'1 预算编制表单'!$C:$BJ,42,FALSE)</f>
        <v>0</v>
      </c>
      <c r="AN391" s="121">
        <f>AM391-AO391</f>
        <v>0</v>
      </c>
      <c r="AO391" s="121">
        <f>SUM(AO392:AO396)</f>
        <v>0</v>
      </c>
      <c r="AP391" s="121">
        <f>VLOOKUP($C391,'1 预算编制表单'!$C:$BJ,45,FALSE)</f>
        <v>0</v>
      </c>
      <c r="AQ391" s="121">
        <f>AP391-AR391</f>
        <v>0</v>
      </c>
      <c r="AR391" s="121">
        <f>SUM(AR392:AR396)</f>
        <v>0</v>
      </c>
      <c r="AS391" s="121">
        <f>VLOOKUP($C391,'1 预算编制表单'!$C:$BJ,48,FALSE)</f>
        <v>0</v>
      </c>
      <c r="AT391" s="121">
        <f>AS391-AU391</f>
        <v>0</v>
      </c>
      <c r="AU391" s="121">
        <f>SUM(AU392:AU396)</f>
        <v>0</v>
      </c>
      <c r="AV391" s="121">
        <f>VLOOKUP($C391,'1 预算编制表单'!$C:$BJ,51,FALSE)</f>
        <v>0</v>
      </c>
      <c r="AW391" s="121">
        <f>AV391-AX391</f>
        <v>0</v>
      </c>
      <c r="AX391" s="121">
        <f>SUM(AX392:AX396)</f>
        <v>0</v>
      </c>
      <c r="AY391" s="121">
        <f>VLOOKUP($C391,'1 预算编制表单'!$C:$BJ,54,FALSE)</f>
        <v>0</v>
      </c>
      <c r="AZ391" s="121">
        <f>AY391-BA391</f>
        <v>0</v>
      </c>
      <c r="BA391" s="121">
        <f>SUM(BA392:BA396)</f>
        <v>0</v>
      </c>
      <c r="BB391" s="121">
        <f>VLOOKUP($C391,'1 预算编制表单'!$C:$BJ,57,FALSE)</f>
        <v>0</v>
      </c>
      <c r="BC391" s="121">
        <f>BB391-BD391</f>
        <v>0</v>
      </c>
      <c r="BD391" s="121">
        <f>SUM(BD392:BD396)</f>
        <v>0</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customHeight="1" outlineLevel="4" spans="1:95">
      <c r="A392" s="122"/>
      <c r="B392" s="123"/>
      <c r="C392" s="124"/>
      <c r="D392" s="122"/>
      <c r="E392" s="123"/>
      <c r="F392" s="123"/>
      <c r="G392" s="123"/>
      <c r="H392" s="125"/>
      <c r="I392" s="125"/>
      <c r="J392" s="125">
        <f t="shared" ref="J392:J434" si="4646">Z392+AC392+AF392+AI392+AL392+AO392+AR392+AU392+AX392+BA392+BD392+BG392</f>
        <v>0</v>
      </c>
      <c r="K392" s="125">
        <v>1</v>
      </c>
      <c r="L392" s="150"/>
      <c r="M392" s="151">
        <f>IFERROR(VLOOKUP($L392,'2-2 引出数据_合同数据仓库'!$B$2:$BP$1000,3,FALSE),0)</f>
        <v>0</v>
      </c>
      <c r="N392" s="125"/>
      <c r="O392" s="151">
        <f>IFERROR(VLOOKUP((LEFT(VLOOKUP($L392,'2-2 引出数据_合同数据仓库'!$B$2:$BP$1000,64,FALSE),15)&amp;(RIGHT(VLOOKUP($L392,'2-2 引出数据_合同数据仓库'!$B$2:$BP$1000,64,FALSE),4)+1)),'2-2 引出数据_合同数据仓库'!$B$2:$BP$1000,3,FALSE),0)</f>
        <v>0</v>
      </c>
      <c r="P392" s="125"/>
      <c r="Q392" s="125">
        <f>IFERROR(VLOOKUP($L392,'2-2 引出数据_合同数据仓库'!$B$2:$BP$1000,28,FALSE),0)</f>
        <v>0</v>
      </c>
      <c r="R392" s="125">
        <f>IFERROR(VLOOKUP($L392,'2-2 引出数据_合同数据仓库'!$B$2:$BP$1000,29,FALSE),0)</f>
        <v>0</v>
      </c>
      <c r="S392" s="125">
        <f>IFERROR(VLOOKUP($L392,'2-2 引出数据_合同数据仓库'!$B$2:$BP$1000,4,FALSE),0)</f>
        <v>0</v>
      </c>
      <c r="T392" s="125"/>
      <c r="U392" s="125">
        <f>IFERROR(VLOOKUP($L392,'2-2 引出数据_合同数据仓库'!$B$2:$BP$1000,15,FALSE),0)</f>
        <v>0</v>
      </c>
      <c r="V392" s="125">
        <f t="shared" ref="V392:V395" si="4647">U392/(S392-R392+1)*365</f>
        <v>0</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0</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0</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0</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0</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0</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0</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0</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0</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0</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0</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0</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引出数据_合同数据仓库'!$B$2:$BP$1000,3,FALSE),0)</f>
        <v>0</v>
      </c>
      <c r="N393" s="125"/>
      <c r="O393" s="151">
        <f>IFERROR(VLOOKUP((LEFT(VLOOKUP($L393,'2-2 引出数据_合同数据仓库'!$B$2:$BP$1000,64,FALSE),15)&amp;(RIGHT(VLOOKUP($L393,'2-2 引出数据_合同数据仓库'!$B$2:$BP$1000,64,FALSE),4)+1)),'2-2 引出数据_合同数据仓库'!$B$2:$BP$1000,3,FALSE),0)</f>
        <v>0</v>
      </c>
      <c r="P393" s="125"/>
      <c r="Q393" s="125">
        <f>IFERROR(VLOOKUP($L393,'2-2 引出数据_合同数据仓库'!$B$2:$BP$1000,28,FALSE),0)</f>
        <v>0</v>
      </c>
      <c r="R393" s="125">
        <f>IFERROR(VLOOKUP($L393,'2-2 引出数据_合同数据仓库'!$B$2:$BP$1000,29,FALSE),0)</f>
        <v>0</v>
      </c>
      <c r="S393" s="125">
        <f>IFERROR(VLOOKUP($L393,'2-2 引出数据_合同数据仓库'!$B$2:$BP$1000,4,FALSE),0)</f>
        <v>0</v>
      </c>
      <c r="T393" s="125"/>
      <c r="U393" s="125">
        <f>IFERROR(VLOOKUP($L393,'2-2 引出数据_合同数据仓库'!$B$2:$BP$1000,15,FALSE),0)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引出数据_合同数据仓库'!$B$2:$BP$1000,3,FALSE),0)</f>
        <v>0</v>
      </c>
      <c r="N394" s="125"/>
      <c r="O394" s="151">
        <f>IFERROR(VLOOKUP((LEFT(VLOOKUP($L394,'2-2 引出数据_合同数据仓库'!$B$2:$BP$1000,64,FALSE),15)&amp;(RIGHT(VLOOKUP($L394,'2-2 引出数据_合同数据仓库'!$B$2:$BP$1000,64,FALSE),4)+1)),'2-2 引出数据_合同数据仓库'!$B$2:$BP$1000,3,FALSE),0)</f>
        <v>0</v>
      </c>
      <c r="P394" s="125"/>
      <c r="Q394" s="125">
        <f>IFERROR(VLOOKUP($L394,'2-2 引出数据_合同数据仓库'!$B$2:$BP$1000,28,FALSE),0)</f>
        <v>0</v>
      </c>
      <c r="R394" s="125">
        <f>IFERROR(VLOOKUP($L394,'2-2 引出数据_合同数据仓库'!$B$2:$BP$1000,29,FALSE),0)</f>
        <v>0</v>
      </c>
      <c r="S394" s="125">
        <f>IFERROR(VLOOKUP($L394,'2-2 引出数据_合同数据仓库'!$B$2:$BP$1000,4,FALSE),0)</f>
        <v>0</v>
      </c>
      <c r="T394" s="125"/>
      <c r="U394" s="125">
        <f>IFERROR(VLOOKUP($L394,'2-2 引出数据_合同数据仓库'!$B$2:$BP$1000,15,FALSE),0)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引出数据_合同数据仓库'!$B$2:$BP$1000,3,FALSE),0)</f>
        <v>0</v>
      </c>
      <c r="N395" s="125"/>
      <c r="O395" s="151">
        <f>IFERROR(VLOOKUP((LEFT(VLOOKUP($L395,'2-2 引出数据_合同数据仓库'!$B$2:$BP$1000,64,FALSE),15)&amp;(RIGHT(VLOOKUP($L395,'2-2 引出数据_合同数据仓库'!$B$2:$BP$1000,64,FALSE),4)+1)),'2-2 引出数据_合同数据仓库'!$B$2:$BP$1000,3,FALSE),0)</f>
        <v>0</v>
      </c>
      <c r="P395" s="125"/>
      <c r="Q395" s="125">
        <f>IFERROR(VLOOKUP($L395,'2-2 引出数据_合同数据仓库'!$B$2:$BP$1000,28,FALSE),0)</f>
        <v>0</v>
      </c>
      <c r="R395" s="125">
        <f>IFERROR(VLOOKUP($L395,'2-2 引出数据_合同数据仓库'!$B$2:$BP$1000,29,FALSE),0)</f>
        <v>0</v>
      </c>
      <c r="S395" s="125">
        <f>IFERROR(VLOOKUP($L395,'2-2 引出数据_合同数据仓库'!$B$2:$BP$1000,4,FALSE),0)</f>
        <v>0</v>
      </c>
      <c r="T395" s="125"/>
      <c r="U395" s="125">
        <f>IFERROR(VLOOKUP($L395,'2-2 引出数据_合同数据仓库'!$B$2:$BP$1000,15,FALSE),0)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customHeight="1" outlineLevel="4" spans="1:95">
      <c r="A396" s="126" t="s">
        <v>2821</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customHeight="1" outlineLevel="2" spans="1:95">
      <c r="A397" s="47"/>
      <c r="B397" s="115" t="s">
        <v>799</v>
      </c>
      <c r="C397" s="116" t="s">
        <v>1371</v>
      </c>
      <c r="D397" s="47" t="s">
        <v>1372</v>
      </c>
      <c r="E397" s="115"/>
      <c r="F397" s="115"/>
      <c r="G397" s="115"/>
      <c r="H397" s="117">
        <f>X397+AA397+AD397+AG397+AJ397+AM397+AP397+AS397+AV397+AY397+BB397+BE397</f>
        <v>19992</v>
      </c>
      <c r="I397" s="117">
        <f>Y397+AB397+AE397+AH397+AK397+AN397+AQ397+AT397+AW397+AZ397+BC397+BF397</f>
        <v>19992</v>
      </c>
      <c r="J397" s="117">
        <f t="shared" si="4646"/>
        <v>0</v>
      </c>
      <c r="K397" s="117"/>
      <c r="L397" s="148"/>
      <c r="M397" s="148"/>
      <c r="N397" s="117"/>
      <c r="O397" s="117"/>
      <c r="P397" s="117"/>
      <c r="Q397" s="117"/>
      <c r="R397" s="117"/>
      <c r="S397" s="117"/>
      <c r="T397" s="117"/>
      <c r="U397" s="117"/>
      <c r="V397" s="117"/>
      <c r="W397" s="117"/>
      <c r="X397" s="117">
        <f>VLOOKUP($C397,'1 预算编制表单'!$C:$BJ,27,FALSE)</f>
        <v>19992</v>
      </c>
      <c r="Y397" s="117">
        <f>X397-Z397</f>
        <v>19992</v>
      </c>
      <c r="Z397" s="117">
        <f>SUM(Z398:Z402)</f>
        <v>0</v>
      </c>
      <c r="AA397" s="117">
        <f>VLOOKUP($C397,'1 预算编制表单'!$C:$BJ,30,FALSE)</f>
        <v>0</v>
      </c>
      <c r="AB397" s="117">
        <f>AA397-AC397</f>
        <v>0</v>
      </c>
      <c r="AC397" s="117">
        <f>SUM(AC398:AC402)</f>
        <v>0</v>
      </c>
      <c r="AD397" s="117">
        <f>VLOOKUP($C397,'1 预算编制表单'!$C:$BJ,33,FALSE)</f>
        <v>0</v>
      </c>
      <c r="AE397" s="117">
        <f>AD397-AF397</f>
        <v>0</v>
      </c>
      <c r="AF397" s="117">
        <f>SUM(AF398:AF402)</f>
        <v>0</v>
      </c>
      <c r="AG397" s="117">
        <f>VLOOKUP($C397,'1 预算编制表单'!$C:$BJ,36,FALSE)</f>
        <v>0</v>
      </c>
      <c r="AH397" s="117">
        <f>AG397-AI397</f>
        <v>0</v>
      </c>
      <c r="AI397" s="117">
        <f>SUM(AI398:AI402)</f>
        <v>0</v>
      </c>
      <c r="AJ397" s="117">
        <f>VLOOKUP($C397,'1 预算编制表单'!$C:$BJ,39,FALSE)</f>
        <v>0</v>
      </c>
      <c r="AK397" s="117">
        <f>AJ397-AL397</f>
        <v>0</v>
      </c>
      <c r="AL397" s="117">
        <f>SUM(AL398:AL402)</f>
        <v>0</v>
      </c>
      <c r="AM397" s="117">
        <f>VLOOKUP($C397,'1 预算编制表单'!$C:$BJ,42,FALSE)</f>
        <v>0</v>
      </c>
      <c r="AN397" s="117">
        <f>AM397-AO397</f>
        <v>0</v>
      </c>
      <c r="AO397" s="117">
        <f>SUM(AO398:AO402)</f>
        <v>0</v>
      </c>
      <c r="AP397" s="117">
        <f>VLOOKUP($C397,'1 预算编制表单'!$C:$BJ,45,FALSE)</f>
        <v>0</v>
      </c>
      <c r="AQ397" s="117">
        <f>AP397-AR397</f>
        <v>0</v>
      </c>
      <c r="AR397" s="117">
        <f>SUM(AR398:AR402)</f>
        <v>0</v>
      </c>
      <c r="AS397" s="117">
        <f>VLOOKUP($C397,'1 预算编制表单'!$C:$BJ,48,FALSE)</f>
        <v>0</v>
      </c>
      <c r="AT397" s="117">
        <f>AS397-AU397</f>
        <v>0</v>
      </c>
      <c r="AU397" s="117">
        <f>SUM(AU398:AU402)</f>
        <v>0</v>
      </c>
      <c r="AV397" s="117">
        <f>VLOOKUP($C397,'1 预算编制表单'!$C:$BJ,51,FALSE)</f>
        <v>0</v>
      </c>
      <c r="AW397" s="117">
        <f>AV397-AX397</f>
        <v>0</v>
      </c>
      <c r="AX397" s="117">
        <f>SUM(AX398:AX402)</f>
        <v>0</v>
      </c>
      <c r="AY397" s="117">
        <f>VLOOKUP($C397,'1 预算编制表单'!$C:$BJ,54,FALSE)</f>
        <v>0</v>
      </c>
      <c r="AZ397" s="117">
        <f>AY397-BA397</f>
        <v>0</v>
      </c>
      <c r="BA397" s="117">
        <f>SUM(BA398:BA402)</f>
        <v>0</v>
      </c>
      <c r="BB397" s="117">
        <f>VLOOKUP($C397,'1 预算编制表单'!$C:$BJ,57,FALSE)</f>
        <v>0</v>
      </c>
      <c r="BC397" s="117">
        <f>BB397-BD397</f>
        <v>0</v>
      </c>
      <c r="BD397" s="117">
        <f>SUM(BD398:BD402)</f>
        <v>0</v>
      </c>
      <c r="BE397" s="117">
        <f>VLOOKUP($C397,'1 预算编制表单'!$C:$BJ,60,FALSE)</f>
        <v>0</v>
      </c>
      <c r="BF397" s="117">
        <f>BE397-BG397</f>
        <v>0</v>
      </c>
      <c r="BG397" s="117">
        <f>SUM(BG398:BG402)</f>
        <v>0</v>
      </c>
      <c r="BH397" s="117">
        <f>VLOOKUP($C397,'1 预算编制表单'!$C:$BJ,27,FALSE)</f>
        <v>19992</v>
      </c>
      <c r="BI397" s="117">
        <f>BH397-BJ397</f>
        <v>19992</v>
      </c>
      <c r="BJ397" s="117">
        <f>SUM(BJ398:BJ402)</f>
        <v>0</v>
      </c>
      <c r="BK397" s="117">
        <f>VLOOKUP($C397,'1 预算编制表单'!$C:$BJ,30,FALSE)</f>
        <v>0</v>
      </c>
      <c r="BL397" s="117">
        <f>BK397-BM397</f>
        <v>0</v>
      </c>
      <c r="BM397" s="117">
        <f>SUM(BM398:BM402)</f>
        <v>0</v>
      </c>
      <c r="BN397" s="117">
        <f>VLOOKUP($C397,'1 预算编制表单'!$C:$BJ,33,FALSE)</f>
        <v>0</v>
      </c>
      <c r="BO397" s="117">
        <f>BN397-BP397</f>
        <v>0</v>
      </c>
      <c r="BP397" s="117">
        <f>SUM(BP398:BP402)</f>
        <v>0</v>
      </c>
      <c r="BQ397" s="117">
        <f>VLOOKUP($C397,'1 预算编制表单'!$C:$BJ,36,FALSE)</f>
        <v>0</v>
      </c>
      <c r="BR397" s="117">
        <f>BQ397-BS397</f>
        <v>0</v>
      </c>
      <c r="BS397" s="117">
        <f>SUM(BS398:BS402)</f>
        <v>0</v>
      </c>
      <c r="BT397" s="117">
        <f>VLOOKUP($C397,'1 预算编制表单'!$C:$BJ,39,FALSE)</f>
        <v>0</v>
      </c>
      <c r="BU397" s="117">
        <f>BT397-BV397</f>
        <v>0</v>
      </c>
      <c r="BV397" s="117">
        <f>SUM(BV398:BV402)</f>
        <v>0</v>
      </c>
      <c r="BW397" s="117">
        <f>VLOOKUP($C397,'1 预算编制表单'!$C:$BJ,42,FALSE)</f>
        <v>0</v>
      </c>
      <c r="BX397" s="117">
        <f>BW397-BY397</f>
        <v>0</v>
      </c>
      <c r="BY397" s="117">
        <f>SUM(BY398:BY402)</f>
        <v>0</v>
      </c>
      <c r="BZ397" s="117">
        <f>VLOOKUP($C397,'1 预算编制表单'!$C:$BJ,45,FALSE)</f>
        <v>0</v>
      </c>
      <c r="CA397" s="117">
        <f>BZ397-CB397</f>
        <v>0</v>
      </c>
      <c r="CB397" s="117">
        <f>SUM(CB398:CB402)</f>
        <v>0</v>
      </c>
      <c r="CC397" s="117">
        <f>VLOOKUP($C397,'1 预算编制表单'!$C:$BJ,48,FALSE)</f>
        <v>0</v>
      </c>
      <c r="CD397" s="117">
        <f>CC397-CE397</f>
        <v>0</v>
      </c>
      <c r="CE397" s="117">
        <f>SUM(CE398:CE402)</f>
        <v>0</v>
      </c>
      <c r="CF397" s="117">
        <f>VLOOKUP($C397,'1 预算编制表单'!$C:$BJ,51,FALSE)</f>
        <v>0</v>
      </c>
      <c r="CG397" s="117">
        <f>CF397-CH397</f>
        <v>0</v>
      </c>
      <c r="CH397" s="117">
        <f>SUM(CH398:CH402)</f>
        <v>0</v>
      </c>
      <c r="CI397" s="117">
        <f>VLOOKUP($C397,'1 预算编制表单'!$C:$BJ,54,FALSE)</f>
        <v>0</v>
      </c>
      <c r="CJ397" s="117">
        <f>CI397-CK397</f>
        <v>0</v>
      </c>
      <c r="CK397" s="117">
        <f>SUM(CK398:CK402)</f>
        <v>0</v>
      </c>
      <c r="CL397" s="117">
        <f>VLOOKUP($C397,'1 预算编制表单'!$C:$BJ,57,FALSE)</f>
        <v>0</v>
      </c>
      <c r="CM397" s="117">
        <f>CL397-CN397</f>
        <v>0</v>
      </c>
      <c r="CN397" s="117">
        <f>SUM(CN398:CN402)</f>
        <v>0</v>
      </c>
      <c r="CO397" s="117">
        <f>VLOOKUP($C397,'1 预算编制表单'!$C:$BJ,60,FALSE)</f>
        <v>0</v>
      </c>
      <c r="CP397" s="117">
        <f>CO397-CQ397</f>
        <v>0</v>
      </c>
      <c r="CQ397" s="117">
        <f>SUM(CQ398:CQ402)</f>
        <v>0</v>
      </c>
    </row>
    <row r="398" s="83" customFormat="1" ht="24" customHeight="1" outlineLevel="3" spans="1:95">
      <c r="A398" s="122"/>
      <c r="B398" s="123"/>
      <c r="C398" s="124" t="s">
        <v>1373</v>
      </c>
      <c r="D398" s="122" t="s">
        <v>2833</v>
      </c>
      <c r="E398" s="123"/>
      <c r="F398" s="123"/>
      <c r="G398" s="123"/>
      <c r="H398" s="125"/>
      <c r="I398" s="125"/>
      <c r="J398" s="125">
        <f t="shared" si="4646"/>
        <v>0</v>
      </c>
      <c r="K398" s="125">
        <v>1</v>
      </c>
      <c r="L398" s="155"/>
      <c r="M398" s="151">
        <f>IFERROR(VLOOKUP($L398,'2-2 引出数据_合同数据仓库'!$B$2:$BP$1000,3,FALSE),0)</f>
        <v>0</v>
      </c>
      <c r="N398" s="125"/>
      <c r="O398" s="151">
        <f>IFERROR(VLOOKUP((LEFT(VLOOKUP($L398,'2-2 引出数据_合同数据仓库'!$B$2:$BP$1000,64,FALSE),15)&amp;(RIGHT(VLOOKUP($L398,'2-2 引出数据_合同数据仓库'!$B$2:$BP$1000,64,FALSE),4)+1)),'2-2 引出数据_合同数据仓库'!$B$2:$BP$1000,3,FALSE),0)</f>
        <v>0</v>
      </c>
      <c r="P398" s="125"/>
      <c r="Q398" s="125">
        <f>IFERROR(VLOOKUP($L398,'2-2 引出数据_合同数据仓库'!$B$2:$BP$1000,28,FALSE),0)</f>
        <v>0</v>
      </c>
      <c r="R398" s="125">
        <f>IFERROR(VLOOKUP($L398,'2-2 引出数据_合同数据仓库'!$B$2:$BP$1000,29,FALSE),0)</f>
        <v>0</v>
      </c>
      <c r="S398" s="125">
        <f>IFERROR(VLOOKUP($L398,'2-2 引出数据_合同数据仓库'!$B$2:$BP$1000,4,FALSE),0)</f>
        <v>0</v>
      </c>
      <c r="T398" s="125"/>
      <c r="U398" s="125">
        <f>IFERROR(VLOOKUP($L398,'2-2 引出数据_合同数据仓库'!$B$2:$BP$1000,15,FALSE),0)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0</v>
      </c>
      <c r="AG398" s="158"/>
      <c r="AH398" s="158"/>
      <c r="AI398" s="134">
        <f>报销单计算表!E15</f>
        <v>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引出数据_合同数据仓库'!$B$2:$BP$1000,3,FALSE),0)</f>
        <v>0</v>
      </c>
      <c r="N399" s="125"/>
      <c r="O399" s="151">
        <f>IFERROR(VLOOKUP((LEFT(VLOOKUP($L399,'2-2 引出数据_合同数据仓库'!$B$2:$BP$1000,64,FALSE),15)&amp;(RIGHT(VLOOKUP($L399,'2-2 引出数据_合同数据仓库'!$B$2:$BP$1000,64,FALSE),4)+1)),'2-2 引出数据_合同数据仓库'!$B$2:$BP$1000,3,FALSE),0)</f>
        <v>0</v>
      </c>
      <c r="P399" s="125"/>
      <c r="Q399" s="125">
        <f>IFERROR(VLOOKUP($L399,'2-2 引出数据_合同数据仓库'!$B$2:$BP$1000,28,FALSE),0)</f>
        <v>0</v>
      </c>
      <c r="R399" s="125">
        <f>IFERROR(VLOOKUP($L399,'2-2 引出数据_合同数据仓库'!$B$2:$BP$1000,29,FALSE),0)</f>
        <v>0</v>
      </c>
      <c r="S399" s="125">
        <f>IFERROR(VLOOKUP($L399,'2-2 引出数据_合同数据仓库'!$B$2:$BP$1000,4,FALSE),0)</f>
        <v>0</v>
      </c>
      <c r="T399" s="125"/>
      <c r="U399" s="125">
        <f>IFERROR(VLOOKUP($L399,'2-2 引出数据_合同数据仓库'!$B$2:$BP$1000,15,FALSE),0)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引出数据_合同数据仓库'!$B$2:$BP$1000,3,FALSE),0)</f>
        <v>0</v>
      </c>
      <c r="N400" s="125"/>
      <c r="O400" s="151">
        <f>IFERROR(VLOOKUP((LEFT(VLOOKUP($L400,'2-2 引出数据_合同数据仓库'!$B$2:$BP$1000,64,FALSE),15)&amp;(RIGHT(VLOOKUP($L400,'2-2 引出数据_合同数据仓库'!$B$2:$BP$1000,64,FALSE),4)+1)),'2-2 引出数据_合同数据仓库'!$B$2:$BP$1000,3,FALSE),0)</f>
        <v>0</v>
      </c>
      <c r="P400" s="125"/>
      <c r="Q400" s="125">
        <f>IFERROR(VLOOKUP($L400,'2-2 引出数据_合同数据仓库'!$B$2:$BP$1000,28,FALSE),0)</f>
        <v>0</v>
      </c>
      <c r="R400" s="125">
        <f>IFERROR(VLOOKUP($L400,'2-2 引出数据_合同数据仓库'!$B$2:$BP$1000,29,FALSE),0)</f>
        <v>0</v>
      </c>
      <c r="S400" s="125">
        <f>IFERROR(VLOOKUP($L400,'2-2 引出数据_合同数据仓库'!$B$2:$BP$1000,4,FALSE),0)</f>
        <v>0</v>
      </c>
      <c r="T400" s="125"/>
      <c r="U400" s="125">
        <f>IFERROR(VLOOKUP($L400,'2-2 引出数据_合同数据仓库'!$B$2:$BP$1000,15,FALSE),0)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customHeight="1" outlineLevel="3" spans="1:95">
      <c r="A401" s="122"/>
      <c r="B401" s="123"/>
      <c r="C401" s="124"/>
      <c r="D401" s="122"/>
      <c r="E401" s="123"/>
      <c r="F401" s="123"/>
      <c r="G401" s="123"/>
      <c r="H401" s="125"/>
      <c r="I401" s="125"/>
      <c r="J401" s="125">
        <f t="shared" si="4646"/>
        <v>0</v>
      </c>
      <c r="K401" s="125">
        <f t="shared" si="4720"/>
        <v>4</v>
      </c>
      <c r="L401" s="150"/>
      <c r="M401" s="151">
        <f>IFERROR(VLOOKUP($L401,'2-2 引出数据_合同数据仓库'!$B$2:$BP$1000,3,FALSE),0)</f>
        <v>0</v>
      </c>
      <c r="N401" s="125"/>
      <c r="O401" s="151">
        <f>IFERROR(VLOOKUP((LEFT(VLOOKUP($L401,'2-2 引出数据_合同数据仓库'!$B$2:$BP$1000,64,FALSE),15)&amp;(RIGHT(VLOOKUP($L401,'2-2 引出数据_合同数据仓库'!$B$2:$BP$1000,64,FALSE),4)+1)),'2-2 引出数据_合同数据仓库'!$B$2:$BP$1000,3,FALSE),0)</f>
        <v>0</v>
      </c>
      <c r="P401" s="125"/>
      <c r="Q401" s="125">
        <f>IFERROR(VLOOKUP($L401,'2-2 引出数据_合同数据仓库'!$B$2:$BP$1000,28,FALSE),0)</f>
        <v>0</v>
      </c>
      <c r="R401" s="125">
        <f>IFERROR(VLOOKUP($L401,'2-2 引出数据_合同数据仓库'!$B$2:$BP$1000,29,FALSE),0)</f>
        <v>0</v>
      </c>
      <c r="S401" s="125">
        <f>IFERROR(VLOOKUP($L401,'2-2 引出数据_合同数据仓库'!$B$2:$BP$1000,4,FALSE),0)</f>
        <v>0</v>
      </c>
      <c r="T401" s="125"/>
      <c r="U401" s="125">
        <f>IFERROR(VLOOKUP($L401,'2-2 引出数据_合同数据仓库'!$B$2:$BP$1000,15,FALSE),0)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customHeight="1" outlineLevel="4" spans="1:95">
      <c r="A402" s="126" t="s">
        <v>2821</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customHeight="1" outlineLevel="2" spans="1:95">
      <c r="A403" s="47"/>
      <c r="B403" s="115" t="s">
        <v>794</v>
      </c>
      <c r="C403" s="116" t="s">
        <v>1407</v>
      </c>
      <c r="D403" s="47" t="s">
        <v>1408</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customHeight="1" outlineLevel="3" spans="1:95">
      <c r="A404" s="118"/>
      <c r="B404" s="119" t="s">
        <v>799</v>
      </c>
      <c r="C404" s="120" t="s">
        <v>1409</v>
      </c>
      <c r="D404" s="118" t="s">
        <v>1410</v>
      </c>
      <c r="E404" s="119" t="s">
        <v>1411</v>
      </c>
      <c r="F404" s="119"/>
      <c r="G404" s="119" t="s">
        <v>943</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customHeight="1" outlineLevel="4" spans="1:95">
      <c r="A405" s="122"/>
      <c r="B405" s="123"/>
      <c r="C405" s="124" t="s">
        <v>1413</v>
      </c>
      <c r="D405" s="122" t="s">
        <v>2834</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引出数据_合同数据仓库'!$B$2:$BP$1000,3,FALSE),0)</f>
        <v>0</v>
      </c>
      <c r="N406" s="125"/>
      <c r="O406" s="151">
        <f>IFERROR(VLOOKUP((LEFT(VLOOKUP($L406,'2-2 引出数据_合同数据仓库'!$B$2:$BP$1000,64,FALSE),15)&amp;(RIGHT(VLOOKUP($L406,'2-2 引出数据_合同数据仓库'!$B$2:$BP$1000,64,FALSE),4)+1)),'2-2 引出数据_合同数据仓库'!$B$2:$BP$1000,3,FALSE),0)</f>
        <v>0</v>
      </c>
      <c r="P406" s="125"/>
      <c r="Q406" s="125">
        <f>IFERROR(VLOOKUP($L406,'2-2 引出数据_合同数据仓库'!$B$2:$BP$1000,28,FALSE),0)</f>
        <v>0</v>
      </c>
      <c r="R406" s="125">
        <f>IFERROR(VLOOKUP($L406,'2-2 引出数据_合同数据仓库'!$B$2:$BP$1000,29,FALSE),0)</f>
        <v>0</v>
      </c>
      <c r="S406" s="125">
        <f>IFERROR(VLOOKUP($L406,'2-2 引出数据_合同数据仓库'!$B$2:$BP$1000,4,FALSE),0)</f>
        <v>0</v>
      </c>
      <c r="T406" s="125"/>
      <c r="U406" s="125">
        <f>IFERROR(VLOOKUP($L406,'2-2 引出数据_合同数据仓库'!$B$2:$BP$1000,15,FALSE),0)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引出数据_合同数据仓库'!$B$2:$BP$1000,3,FALSE),0)</f>
        <v>0</v>
      </c>
      <c r="N407" s="125"/>
      <c r="O407" s="151">
        <f>IFERROR(VLOOKUP((LEFT(VLOOKUP($L407,'2-2 引出数据_合同数据仓库'!$B$2:$BP$1000,64,FALSE),15)&amp;(RIGHT(VLOOKUP($L407,'2-2 引出数据_合同数据仓库'!$B$2:$BP$1000,64,FALSE),4)+1)),'2-2 引出数据_合同数据仓库'!$B$2:$BP$1000,3,FALSE),0)</f>
        <v>0</v>
      </c>
      <c r="P407" s="125"/>
      <c r="Q407" s="125">
        <f>IFERROR(VLOOKUP($L407,'2-2 引出数据_合同数据仓库'!$B$2:$BP$1000,28,FALSE),0)</f>
        <v>0</v>
      </c>
      <c r="R407" s="125">
        <f>IFERROR(VLOOKUP($L407,'2-2 引出数据_合同数据仓库'!$B$2:$BP$1000,29,FALSE),0)</f>
        <v>0</v>
      </c>
      <c r="S407" s="125">
        <f>IFERROR(VLOOKUP($L407,'2-2 引出数据_合同数据仓库'!$B$2:$BP$1000,4,FALSE),0)</f>
        <v>0</v>
      </c>
      <c r="T407" s="125"/>
      <c r="U407" s="125">
        <f>IFERROR(VLOOKUP($L407,'2-2 引出数据_合同数据仓库'!$B$2:$BP$1000,15,FALSE),0)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引出数据_合同数据仓库'!$B$2:$BP$1000,3,FALSE),0)</f>
        <v>0</v>
      </c>
      <c r="N408" s="125"/>
      <c r="O408" s="151">
        <f>IFERROR(VLOOKUP((LEFT(VLOOKUP($L408,'2-2 引出数据_合同数据仓库'!$B$2:$BP$1000,64,FALSE),15)&amp;(RIGHT(VLOOKUP($L408,'2-2 引出数据_合同数据仓库'!$B$2:$BP$1000,64,FALSE),4)+1)),'2-2 引出数据_合同数据仓库'!$B$2:$BP$1000,3,FALSE),0)</f>
        <v>0</v>
      </c>
      <c r="P408" s="125"/>
      <c r="Q408" s="125">
        <f>IFERROR(VLOOKUP($L408,'2-2 引出数据_合同数据仓库'!$B$2:$BP$1000,28,FALSE),0)</f>
        <v>0</v>
      </c>
      <c r="R408" s="125">
        <f>IFERROR(VLOOKUP($L408,'2-2 引出数据_合同数据仓库'!$B$2:$BP$1000,29,FALSE),0)</f>
        <v>0</v>
      </c>
      <c r="S408" s="125">
        <f>IFERROR(VLOOKUP($L408,'2-2 引出数据_合同数据仓库'!$B$2:$BP$1000,4,FALSE),0)</f>
        <v>0</v>
      </c>
      <c r="T408" s="125"/>
      <c r="U408" s="125">
        <f>IFERROR(VLOOKUP($L408,'2-2 引出数据_合同数据仓库'!$B$2:$BP$1000,15,FALSE),0)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customHeight="1" outlineLevel="4" spans="1:95">
      <c r="A409" s="126" t="s">
        <v>2821</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customHeight="1" outlineLevel="3" spans="1:95">
      <c r="A410" s="118"/>
      <c r="B410" s="119" t="s">
        <v>799</v>
      </c>
      <c r="C410" s="120" t="s">
        <v>1413</v>
      </c>
      <c r="D410" s="118" t="s">
        <v>1414</v>
      </c>
      <c r="E410" s="119" t="s">
        <v>1415</v>
      </c>
      <c r="F410" s="119"/>
      <c r="G410" s="119" t="s">
        <v>943</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customHeight="1" outlineLevel="4" spans="1:95">
      <c r="A411" s="122"/>
      <c r="B411" s="123"/>
      <c r="C411" s="124" t="s">
        <v>2835</v>
      </c>
      <c r="D411" s="122" t="s">
        <v>2836</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引出数据_合同数据仓库'!$B$2:$BP$1000,3,FALSE),0)</f>
        <v>0</v>
      </c>
      <c r="N412" s="125"/>
      <c r="O412" s="151">
        <f>IFERROR(VLOOKUP((LEFT(VLOOKUP($L412,'2-2 引出数据_合同数据仓库'!$B$2:$BP$1000,64,FALSE),15)&amp;(RIGHT(VLOOKUP($L412,'2-2 引出数据_合同数据仓库'!$B$2:$BP$1000,64,FALSE),4)+1)),'2-2 引出数据_合同数据仓库'!$B$2:$BP$1000,3,FALSE),0)</f>
        <v>0</v>
      </c>
      <c r="P412" s="125"/>
      <c r="Q412" s="125">
        <f>IFERROR(VLOOKUP($L412,'2-2 引出数据_合同数据仓库'!$B$2:$BP$1000,28,FALSE),0)</f>
        <v>0</v>
      </c>
      <c r="R412" s="125">
        <f>IFERROR(VLOOKUP($L412,'2-2 引出数据_合同数据仓库'!$B$2:$BP$1000,29,FALSE),0)</f>
        <v>0</v>
      </c>
      <c r="S412" s="125">
        <f>IFERROR(VLOOKUP($L412,'2-2 引出数据_合同数据仓库'!$B$2:$BP$1000,4,FALSE),0)</f>
        <v>0</v>
      </c>
      <c r="T412" s="125"/>
      <c r="U412" s="125">
        <f>IFERROR(VLOOKUP($L412,'2-2 引出数据_合同数据仓库'!$B$2:$BP$1000,15,FALSE),0)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引出数据_合同数据仓库'!$B$2:$BP$1000,3,FALSE),0)</f>
        <v>0</v>
      </c>
      <c r="N413" s="125"/>
      <c r="O413" s="151">
        <f>IFERROR(VLOOKUP((LEFT(VLOOKUP($L413,'2-2 引出数据_合同数据仓库'!$B$2:$BP$1000,64,FALSE),15)&amp;(RIGHT(VLOOKUP($L413,'2-2 引出数据_合同数据仓库'!$B$2:$BP$1000,64,FALSE),4)+1)),'2-2 引出数据_合同数据仓库'!$B$2:$BP$1000,3,FALSE),0)</f>
        <v>0</v>
      </c>
      <c r="P413" s="125"/>
      <c r="Q413" s="125">
        <f>IFERROR(VLOOKUP($L413,'2-2 引出数据_合同数据仓库'!$B$2:$BP$1000,28,FALSE),0)</f>
        <v>0</v>
      </c>
      <c r="R413" s="125">
        <f>IFERROR(VLOOKUP($L413,'2-2 引出数据_合同数据仓库'!$B$2:$BP$1000,29,FALSE),0)</f>
        <v>0</v>
      </c>
      <c r="S413" s="125">
        <f>IFERROR(VLOOKUP($L413,'2-2 引出数据_合同数据仓库'!$B$2:$BP$1000,4,FALSE),0)</f>
        <v>0</v>
      </c>
      <c r="T413" s="125"/>
      <c r="U413" s="125">
        <f>IFERROR(VLOOKUP($L413,'2-2 引出数据_合同数据仓库'!$B$2:$BP$1000,15,FALSE),0)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引出数据_合同数据仓库'!$B$2:$BP$1000,3,FALSE),0)</f>
        <v>0</v>
      </c>
      <c r="N414" s="125"/>
      <c r="O414" s="151">
        <f>IFERROR(VLOOKUP((LEFT(VLOOKUP($L414,'2-2 引出数据_合同数据仓库'!$B$2:$BP$1000,64,FALSE),15)&amp;(RIGHT(VLOOKUP($L414,'2-2 引出数据_合同数据仓库'!$B$2:$BP$1000,64,FALSE),4)+1)),'2-2 引出数据_合同数据仓库'!$B$2:$BP$1000,3,FALSE),0)</f>
        <v>0</v>
      </c>
      <c r="P414" s="125"/>
      <c r="Q414" s="125">
        <f>IFERROR(VLOOKUP($L414,'2-2 引出数据_合同数据仓库'!$B$2:$BP$1000,28,FALSE),0)</f>
        <v>0</v>
      </c>
      <c r="R414" s="125">
        <f>IFERROR(VLOOKUP($L414,'2-2 引出数据_合同数据仓库'!$B$2:$BP$1000,29,FALSE),0)</f>
        <v>0</v>
      </c>
      <c r="S414" s="125">
        <f>IFERROR(VLOOKUP($L414,'2-2 引出数据_合同数据仓库'!$B$2:$BP$1000,4,FALSE),0)</f>
        <v>0</v>
      </c>
      <c r="T414" s="125"/>
      <c r="U414" s="125">
        <f>IFERROR(VLOOKUP($L414,'2-2 引出数据_合同数据仓库'!$B$2:$BP$1000,15,FALSE),0)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customHeight="1" outlineLevel="4" spans="1:95">
      <c r="A415" s="126" t="s">
        <v>2821</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customHeight="1" outlineLevel="3" spans="1:95">
      <c r="A416" s="118"/>
      <c r="B416" s="119" t="s">
        <v>799</v>
      </c>
      <c r="C416" s="120" t="s">
        <v>1418</v>
      </c>
      <c r="D416" s="118" t="s">
        <v>1419</v>
      </c>
      <c r="E416" s="119" t="s">
        <v>1420</v>
      </c>
      <c r="F416" s="119"/>
      <c r="G416" s="119" t="s">
        <v>943</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引出数据_合同数据仓库'!$B$2:$BP$1000,3,FALSE),0)</f>
        <v>0</v>
      </c>
      <c r="N417" s="125"/>
      <c r="O417" s="151">
        <f>IFERROR(VLOOKUP((LEFT(VLOOKUP($L417,'2-2 引出数据_合同数据仓库'!$B$2:$BP$1000,64,FALSE),15)&amp;(RIGHT(VLOOKUP($L417,'2-2 引出数据_合同数据仓库'!$B$2:$BP$1000,64,FALSE),4)+1)),'2-2 引出数据_合同数据仓库'!$B$2:$BP$1000,3,FALSE),0)</f>
        <v>0</v>
      </c>
      <c r="P417" s="125"/>
      <c r="Q417" s="125">
        <f>IFERROR(VLOOKUP($L417,'2-2 引出数据_合同数据仓库'!$B$2:$BP$1000,28,FALSE),0)</f>
        <v>0</v>
      </c>
      <c r="R417" s="125">
        <f>IFERROR(VLOOKUP($L417,'2-2 引出数据_合同数据仓库'!$B$2:$BP$1000,29,FALSE),0)</f>
        <v>0</v>
      </c>
      <c r="S417" s="125">
        <f>IFERROR(VLOOKUP($L417,'2-2 引出数据_合同数据仓库'!$B$2:$BP$1000,4,FALSE),0)</f>
        <v>0</v>
      </c>
      <c r="T417" s="125"/>
      <c r="U417" s="125">
        <f>IFERROR(VLOOKUP($L417,'2-2 引出数据_合同数据仓库'!$B$2:$BP$1000,15,FALSE),0)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引出数据_合同数据仓库'!$B$2:$BP$1000,3,FALSE),0)</f>
        <v>0</v>
      </c>
      <c r="N418" s="125"/>
      <c r="O418" s="151">
        <f>IFERROR(VLOOKUP((LEFT(VLOOKUP($L418,'2-2 引出数据_合同数据仓库'!$B$2:$BP$1000,64,FALSE),15)&amp;(RIGHT(VLOOKUP($L418,'2-2 引出数据_合同数据仓库'!$B$2:$BP$1000,64,FALSE),4)+1)),'2-2 引出数据_合同数据仓库'!$B$2:$BP$1000,3,FALSE),0)</f>
        <v>0</v>
      </c>
      <c r="P418" s="125"/>
      <c r="Q418" s="125">
        <f>IFERROR(VLOOKUP($L418,'2-2 引出数据_合同数据仓库'!$B$2:$BP$1000,28,FALSE),0)</f>
        <v>0</v>
      </c>
      <c r="R418" s="125">
        <f>IFERROR(VLOOKUP($L418,'2-2 引出数据_合同数据仓库'!$B$2:$BP$1000,29,FALSE),0)</f>
        <v>0</v>
      </c>
      <c r="S418" s="125">
        <f>IFERROR(VLOOKUP($L418,'2-2 引出数据_合同数据仓库'!$B$2:$BP$1000,4,FALSE),0)</f>
        <v>0</v>
      </c>
      <c r="T418" s="125"/>
      <c r="U418" s="125">
        <f>IFERROR(VLOOKUP($L418,'2-2 引出数据_合同数据仓库'!$B$2:$BP$1000,15,FALSE),0)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引出数据_合同数据仓库'!$B$2:$BP$1000,3,FALSE),0)</f>
        <v>0</v>
      </c>
      <c r="N419" s="125"/>
      <c r="O419" s="151">
        <f>IFERROR(VLOOKUP((LEFT(VLOOKUP($L419,'2-2 引出数据_合同数据仓库'!$B$2:$BP$1000,64,FALSE),15)&amp;(RIGHT(VLOOKUP($L419,'2-2 引出数据_合同数据仓库'!$B$2:$BP$1000,64,FALSE),4)+1)),'2-2 引出数据_合同数据仓库'!$B$2:$BP$1000,3,FALSE),0)</f>
        <v>0</v>
      </c>
      <c r="P419" s="125"/>
      <c r="Q419" s="125">
        <f>IFERROR(VLOOKUP($L419,'2-2 引出数据_合同数据仓库'!$B$2:$BP$1000,28,FALSE),0)</f>
        <v>0</v>
      </c>
      <c r="R419" s="125">
        <f>IFERROR(VLOOKUP($L419,'2-2 引出数据_合同数据仓库'!$B$2:$BP$1000,29,FALSE),0)</f>
        <v>0</v>
      </c>
      <c r="S419" s="125">
        <f>IFERROR(VLOOKUP($L419,'2-2 引出数据_合同数据仓库'!$B$2:$BP$1000,4,FALSE),0)</f>
        <v>0</v>
      </c>
      <c r="T419" s="125"/>
      <c r="U419" s="125">
        <f>IFERROR(VLOOKUP($L419,'2-2 引出数据_合同数据仓库'!$B$2:$BP$1000,15,FALSE),0)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引出数据_合同数据仓库'!$B$2:$BP$1000,3,FALSE),0)</f>
        <v>0</v>
      </c>
      <c r="N420" s="125"/>
      <c r="O420" s="151">
        <f>IFERROR(VLOOKUP((LEFT(VLOOKUP($L420,'2-2 引出数据_合同数据仓库'!$B$2:$BP$1000,64,FALSE),15)&amp;(RIGHT(VLOOKUP($L420,'2-2 引出数据_合同数据仓库'!$B$2:$BP$1000,64,FALSE),4)+1)),'2-2 引出数据_合同数据仓库'!$B$2:$BP$1000,3,FALSE),0)</f>
        <v>0</v>
      </c>
      <c r="P420" s="125"/>
      <c r="Q420" s="125">
        <f>IFERROR(VLOOKUP($L420,'2-2 引出数据_合同数据仓库'!$B$2:$BP$1000,28,FALSE),0)</f>
        <v>0</v>
      </c>
      <c r="R420" s="125">
        <f>IFERROR(VLOOKUP($L420,'2-2 引出数据_合同数据仓库'!$B$2:$BP$1000,29,FALSE),0)</f>
        <v>0</v>
      </c>
      <c r="S420" s="125">
        <f>IFERROR(VLOOKUP($L420,'2-2 引出数据_合同数据仓库'!$B$2:$BP$1000,4,FALSE),0)</f>
        <v>0</v>
      </c>
      <c r="T420" s="125"/>
      <c r="U420" s="125">
        <f>IFERROR(VLOOKUP($L420,'2-2 引出数据_合同数据仓库'!$B$2:$BP$1000,15,FALSE),0)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customHeight="1" outlineLevel="4" spans="1:95">
      <c r="A421" s="126" t="s">
        <v>2821</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customHeight="1" outlineLevel="2" spans="1:95">
      <c r="A422" s="47"/>
      <c r="B422" s="115" t="s">
        <v>799</v>
      </c>
      <c r="C422" s="116" t="s">
        <v>1422</v>
      </c>
      <c r="D422" s="47" t="s">
        <v>1423</v>
      </c>
      <c r="E422" s="115" t="s">
        <v>1289</v>
      </c>
      <c r="F422" s="115"/>
      <c r="G422" s="115" t="s">
        <v>1424</v>
      </c>
      <c r="H422" s="117">
        <f>X422+AA422+AD422+AG422+AJ422+AM422+AP422+AS422+AV422+AY422+BB422+BE422</f>
        <v>0</v>
      </c>
      <c r="I422" s="117">
        <f>Y422+AB422+AE422+AH422+AK422+AN422+AQ422+AT422+AW422+AZ422+BC422+BF422</f>
        <v>0</v>
      </c>
      <c r="J422" s="117">
        <f t="shared" si="4646"/>
        <v>0</v>
      </c>
      <c r="K422" s="117"/>
      <c r="L422" s="148"/>
      <c r="M422" s="148"/>
      <c r="N422" s="117"/>
      <c r="O422" s="117"/>
      <c r="P422" s="117"/>
      <c r="Q422" s="117"/>
      <c r="R422" s="117"/>
      <c r="S422" s="117"/>
      <c r="T422" s="117"/>
      <c r="U422" s="117"/>
      <c r="V422" s="117"/>
      <c r="W422" s="117"/>
      <c r="X422" s="117">
        <f>VLOOKUP($C422,'1 预算编制表单'!$C:$BJ,27,FALSE)</f>
        <v>0</v>
      </c>
      <c r="Y422" s="117">
        <f>X422-Z422</f>
        <v>0</v>
      </c>
      <c r="Z422" s="117">
        <f>SUM(Z423:Z427)</f>
        <v>0</v>
      </c>
      <c r="AA422" s="117">
        <f>VLOOKUP($C422,'1 预算编制表单'!$C:$BJ,30,FALSE)</f>
        <v>0</v>
      </c>
      <c r="AB422" s="117">
        <f>AA422-AC422</f>
        <v>0</v>
      </c>
      <c r="AC422" s="117">
        <f>SUM(AC423:AC427)</f>
        <v>0</v>
      </c>
      <c r="AD422" s="117">
        <f>VLOOKUP($C422,'1 预算编制表单'!$C:$BJ,33,FALSE)</f>
        <v>0</v>
      </c>
      <c r="AE422" s="117">
        <f>AD422-AF422</f>
        <v>0</v>
      </c>
      <c r="AF422" s="117">
        <f>SUM(AF423:AF427)</f>
        <v>0</v>
      </c>
      <c r="AG422" s="117">
        <f>VLOOKUP($C422,'1 预算编制表单'!$C:$BJ,36,FALSE)</f>
        <v>0</v>
      </c>
      <c r="AH422" s="117">
        <f>AG422-AI422</f>
        <v>0</v>
      </c>
      <c r="AI422" s="117">
        <f>SUM(AI423:AI427)</f>
        <v>0</v>
      </c>
      <c r="AJ422" s="117">
        <f>VLOOKUP($C422,'1 预算编制表单'!$C:$BJ,39,FALSE)</f>
        <v>0</v>
      </c>
      <c r="AK422" s="117">
        <f>AJ422-AL422</f>
        <v>0</v>
      </c>
      <c r="AL422" s="117">
        <f>SUM(AL423:AL427)</f>
        <v>0</v>
      </c>
      <c r="AM422" s="117">
        <f>VLOOKUP($C422,'1 预算编制表单'!$C:$BJ,42,FALSE)</f>
        <v>0</v>
      </c>
      <c r="AN422" s="117">
        <f>AM422-AO422</f>
        <v>0</v>
      </c>
      <c r="AO422" s="117">
        <f>SUM(AO423:AO427)</f>
        <v>0</v>
      </c>
      <c r="AP422" s="117">
        <f>VLOOKUP($C422,'1 预算编制表单'!$C:$BJ,45,FALSE)</f>
        <v>0</v>
      </c>
      <c r="AQ422" s="117">
        <f>AP422-AR422</f>
        <v>0</v>
      </c>
      <c r="AR422" s="117">
        <f>SUM(AR423:AR427)</f>
        <v>0</v>
      </c>
      <c r="AS422" s="117">
        <f>VLOOKUP($C422,'1 预算编制表单'!$C:$BJ,48,FALSE)</f>
        <v>0</v>
      </c>
      <c r="AT422" s="117">
        <f>AS422-AU422</f>
        <v>0</v>
      </c>
      <c r="AU422" s="117">
        <f>SUM(AU423:AU427)</f>
        <v>0</v>
      </c>
      <c r="AV422" s="117">
        <f>VLOOKUP($C422,'1 预算编制表单'!$C:$BJ,51,FALSE)</f>
        <v>0</v>
      </c>
      <c r="AW422" s="117">
        <f>AV422-AX422</f>
        <v>0</v>
      </c>
      <c r="AX422" s="117">
        <f>SUM(AX423:AX427)</f>
        <v>0</v>
      </c>
      <c r="AY422" s="117">
        <f>VLOOKUP($C422,'1 预算编制表单'!$C:$BJ,54,FALSE)</f>
        <v>0</v>
      </c>
      <c r="AZ422" s="117">
        <f>AY422-BA422</f>
        <v>0</v>
      </c>
      <c r="BA422" s="117">
        <f>SUM(BA423:BA427)</f>
        <v>0</v>
      </c>
      <c r="BB422" s="117">
        <f>VLOOKUP($C422,'1 预算编制表单'!$C:$BJ,57,FALSE)</f>
        <v>0</v>
      </c>
      <c r="BC422" s="117">
        <f>BB422-BD422</f>
        <v>0</v>
      </c>
      <c r="BD422" s="117">
        <f>SUM(BD423:BD427)</f>
        <v>0</v>
      </c>
      <c r="BE422" s="117">
        <f>VLOOKUP($C422,'1 预算编制表单'!$C:$BJ,60,FALSE)</f>
        <v>0</v>
      </c>
      <c r="BF422" s="117">
        <f>BE422-BG422</f>
        <v>0</v>
      </c>
      <c r="BG422" s="117">
        <f>SUM(BG423:BG427)</f>
        <v>0</v>
      </c>
      <c r="BH422" s="117">
        <f>VLOOKUP($C422,'1 预算编制表单'!$C:$BJ,27,FALSE)</f>
        <v>0</v>
      </c>
      <c r="BI422" s="117">
        <f>BH422-BJ422</f>
        <v>0</v>
      </c>
      <c r="BJ422" s="117">
        <f>SUM(BJ423:BJ427)</f>
        <v>0</v>
      </c>
      <c r="BK422" s="117">
        <f>VLOOKUP($C422,'1 预算编制表单'!$C:$BJ,30,FALSE)</f>
        <v>0</v>
      </c>
      <c r="BL422" s="117">
        <f>BK422-BM422</f>
        <v>0</v>
      </c>
      <c r="BM422" s="117">
        <f>SUM(BM423:BM427)</f>
        <v>0</v>
      </c>
      <c r="BN422" s="117">
        <f>VLOOKUP($C422,'1 预算编制表单'!$C:$BJ,33,FALSE)</f>
        <v>0</v>
      </c>
      <c r="BO422" s="117">
        <f>BN422-BP422</f>
        <v>0</v>
      </c>
      <c r="BP422" s="117">
        <f>SUM(BP423:BP427)</f>
        <v>0</v>
      </c>
      <c r="BQ422" s="117">
        <f>VLOOKUP($C422,'1 预算编制表单'!$C:$BJ,36,FALSE)</f>
        <v>0</v>
      </c>
      <c r="BR422" s="117">
        <f>BQ422-BS422</f>
        <v>0</v>
      </c>
      <c r="BS422" s="117">
        <f>SUM(BS423:BS427)</f>
        <v>0</v>
      </c>
      <c r="BT422" s="117">
        <f>VLOOKUP($C422,'1 预算编制表单'!$C:$BJ,39,FALSE)</f>
        <v>0</v>
      </c>
      <c r="BU422" s="117">
        <f>BT422-BV422</f>
        <v>0</v>
      </c>
      <c r="BV422" s="117">
        <f>SUM(BV423:BV427)</f>
        <v>0</v>
      </c>
      <c r="BW422" s="117">
        <f>VLOOKUP($C422,'1 预算编制表单'!$C:$BJ,42,FALSE)</f>
        <v>0</v>
      </c>
      <c r="BX422" s="117">
        <f>BW422-BY422</f>
        <v>0</v>
      </c>
      <c r="BY422" s="117">
        <f>SUM(BY423:BY427)</f>
        <v>0</v>
      </c>
      <c r="BZ422" s="117">
        <f>VLOOKUP($C422,'1 预算编制表单'!$C:$BJ,45,FALSE)</f>
        <v>0</v>
      </c>
      <c r="CA422" s="117">
        <f>BZ422-CB422</f>
        <v>0</v>
      </c>
      <c r="CB422" s="117">
        <f>SUM(CB423:CB427)</f>
        <v>0</v>
      </c>
      <c r="CC422" s="117">
        <f>VLOOKUP($C422,'1 预算编制表单'!$C:$BJ,48,FALSE)</f>
        <v>0</v>
      </c>
      <c r="CD422" s="117">
        <f>CC422-CE422</f>
        <v>0</v>
      </c>
      <c r="CE422" s="117">
        <f>SUM(CE423:CE427)</f>
        <v>0</v>
      </c>
      <c r="CF422" s="117">
        <f>VLOOKUP($C422,'1 预算编制表单'!$C:$BJ,51,FALSE)</f>
        <v>0</v>
      </c>
      <c r="CG422" s="117">
        <f>CF422-CH422</f>
        <v>0</v>
      </c>
      <c r="CH422" s="117">
        <f>SUM(CH423:CH427)</f>
        <v>0</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customHeight="1" outlineLevel="3" spans="1:95">
      <c r="A423" s="122"/>
      <c r="B423" s="123"/>
      <c r="C423" s="124"/>
      <c r="D423" s="122"/>
      <c r="E423" s="123"/>
      <c r="F423" s="123"/>
      <c r="G423" s="123"/>
      <c r="H423" s="125"/>
      <c r="I423" s="125"/>
      <c r="J423" s="125">
        <f t="shared" si="4646"/>
        <v>0</v>
      </c>
      <c r="K423" s="125">
        <v>1</v>
      </c>
      <c r="L423" s="150"/>
      <c r="M423" s="151">
        <f>IFERROR(VLOOKUP($L423,'2-2 引出数据_合同数据仓库'!$B$2:$BP$1000,3,FALSE),0)</f>
        <v>0</v>
      </c>
      <c r="N423" s="125"/>
      <c r="O423" s="151">
        <f>IFERROR(VLOOKUP((LEFT(VLOOKUP($L423,'2-2 引出数据_合同数据仓库'!$B$2:$BP$1000,64,FALSE),15)&amp;(RIGHT(VLOOKUP($L423,'2-2 引出数据_合同数据仓库'!$B$2:$BP$1000,64,FALSE),4)+1)),'2-2 引出数据_合同数据仓库'!$B$2:$BP$1000,3,FALSE),0)</f>
        <v>0</v>
      </c>
      <c r="P423" s="125"/>
      <c r="Q423" s="125">
        <f>IFERROR(VLOOKUP($L423,'2-2 引出数据_合同数据仓库'!$B$2:$BP$1000,28,FALSE),0)</f>
        <v>0</v>
      </c>
      <c r="R423" s="125">
        <f>IFERROR(VLOOKUP($L423,'2-2 引出数据_合同数据仓库'!$B$2:$BP$1000,29,FALSE),0)</f>
        <v>0</v>
      </c>
      <c r="S423" s="125">
        <f>IFERROR(VLOOKUP($L423,'2-2 引出数据_合同数据仓库'!$B$2:$BP$1000,4,FALSE),0)</f>
        <v>0</v>
      </c>
      <c r="T423" s="125"/>
      <c r="U423" s="125">
        <f>IFERROR(VLOOKUP($L423,'2-2 引出数据_合同数据仓库'!$B$2:$BP$1000,15,FALSE),0)</f>
        <v>0</v>
      </c>
      <c r="V423" s="125">
        <f t="shared" ref="V423:V426" si="5007">U423/(S423-R423+1)*365</f>
        <v>0</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0</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0</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0</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0</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0</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0</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0</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0</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0</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0</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0</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0</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0</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0</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0</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0</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0</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0</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0</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0</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0</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customHeight="1" outlineLevel="3" spans="1:95">
      <c r="A424" s="122"/>
      <c r="B424" s="123"/>
      <c r="C424" s="124"/>
      <c r="D424" s="122"/>
      <c r="E424" s="123"/>
      <c r="F424" s="123"/>
      <c r="G424" s="123"/>
      <c r="H424" s="125"/>
      <c r="I424" s="125"/>
      <c r="J424" s="125">
        <f t="shared" si="4646"/>
        <v>0</v>
      </c>
      <c r="K424" s="125">
        <f t="shared" ref="K424:K426" si="5078">K423+1</f>
        <v>2</v>
      </c>
      <c r="L424" s="150"/>
      <c r="M424" s="151">
        <f>IFERROR(VLOOKUP($L424,'2-2 引出数据_合同数据仓库'!$B$2:$BP$1000,3,FALSE),0)</f>
        <v>0</v>
      </c>
      <c r="N424" s="125"/>
      <c r="O424" s="151">
        <f>IFERROR(VLOOKUP((LEFT(VLOOKUP($L424,'2-2 引出数据_合同数据仓库'!$B$2:$BP$1000,64,FALSE),15)&amp;(RIGHT(VLOOKUP($L424,'2-2 引出数据_合同数据仓库'!$B$2:$BP$1000,64,FALSE),4)+1)),'2-2 引出数据_合同数据仓库'!$B$2:$BP$1000,3,FALSE),0)</f>
        <v>0</v>
      </c>
      <c r="P424" s="125"/>
      <c r="Q424" s="125">
        <f>IFERROR(VLOOKUP($L424,'2-2 引出数据_合同数据仓库'!$B$2:$BP$1000,28,FALSE),0)</f>
        <v>0</v>
      </c>
      <c r="R424" s="125">
        <f>IFERROR(VLOOKUP($L424,'2-2 引出数据_合同数据仓库'!$B$2:$BP$1000,29,FALSE),0)</f>
        <v>0</v>
      </c>
      <c r="S424" s="125">
        <f>IFERROR(VLOOKUP($L424,'2-2 引出数据_合同数据仓库'!$B$2:$BP$1000,4,FALSE),0)</f>
        <v>0</v>
      </c>
      <c r="T424" s="125"/>
      <c r="U424" s="125">
        <f>IFERROR(VLOOKUP($L424,'2-2 引出数据_合同数据仓库'!$B$2:$BP$1000,15,FALSE),0)</f>
        <v>0</v>
      </c>
      <c r="V424" s="125">
        <f t="shared" si="5007"/>
        <v>0</v>
      </c>
      <c r="W424" s="125"/>
      <c r="X424" s="157">
        <v>45658</v>
      </c>
      <c r="Y424" s="157">
        <f t="shared" si="5008"/>
        <v>45688</v>
      </c>
      <c r="Z424" s="161">
        <f t="shared" si="5009"/>
        <v>0</v>
      </c>
      <c r="AA424" s="157">
        <f t="shared" si="5010"/>
        <v>45689</v>
      </c>
      <c r="AB424" s="157">
        <f t="shared" si="5011"/>
        <v>45716</v>
      </c>
      <c r="AC424" s="161">
        <f t="shared" si="5012"/>
        <v>0</v>
      </c>
      <c r="AD424" s="157">
        <f t="shared" si="5013"/>
        <v>45717</v>
      </c>
      <c r="AE424" s="157">
        <f t="shared" si="5014"/>
        <v>45747</v>
      </c>
      <c r="AF424" s="161">
        <f t="shared" si="5015"/>
        <v>0</v>
      </c>
      <c r="AG424" s="157">
        <f t="shared" si="5016"/>
        <v>45748</v>
      </c>
      <c r="AH424" s="157">
        <f t="shared" si="5017"/>
        <v>45777</v>
      </c>
      <c r="AI424" s="161">
        <f t="shared" si="5018"/>
        <v>0</v>
      </c>
      <c r="AJ424" s="157">
        <f t="shared" si="5019"/>
        <v>45778</v>
      </c>
      <c r="AK424" s="157">
        <f t="shared" si="5020"/>
        <v>45808</v>
      </c>
      <c r="AL424" s="161">
        <f t="shared" si="5021"/>
        <v>0</v>
      </c>
      <c r="AM424" s="157">
        <f t="shared" si="5022"/>
        <v>45809</v>
      </c>
      <c r="AN424" s="157">
        <f t="shared" si="5023"/>
        <v>45838</v>
      </c>
      <c r="AO424" s="161">
        <f t="shared" si="5024"/>
        <v>0</v>
      </c>
      <c r="AP424" s="157">
        <f t="shared" si="5025"/>
        <v>45839</v>
      </c>
      <c r="AQ424" s="157">
        <f t="shared" si="5026"/>
        <v>45869</v>
      </c>
      <c r="AR424" s="161">
        <f t="shared" si="5027"/>
        <v>0</v>
      </c>
      <c r="AS424" s="157">
        <f t="shared" si="5028"/>
        <v>45870</v>
      </c>
      <c r="AT424" s="157">
        <f t="shared" si="5029"/>
        <v>45900</v>
      </c>
      <c r="AU424" s="161">
        <f t="shared" si="5030"/>
        <v>0</v>
      </c>
      <c r="AV424" s="157">
        <f t="shared" si="5031"/>
        <v>45901</v>
      </c>
      <c r="AW424" s="157">
        <f t="shared" si="5032"/>
        <v>45930</v>
      </c>
      <c r="AX424" s="161">
        <f t="shared" si="5033"/>
        <v>0</v>
      </c>
      <c r="AY424" s="157">
        <f t="shared" si="5034"/>
        <v>45931</v>
      </c>
      <c r="AZ424" s="157">
        <f t="shared" si="5035"/>
        <v>45961</v>
      </c>
      <c r="BA424" s="161">
        <f t="shared" si="5036"/>
        <v>0</v>
      </c>
      <c r="BB424" s="157">
        <f t="shared" si="5037"/>
        <v>45962</v>
      </c>
      <c r="BC424" s="157">
        <f t="shared" si="5038"/>
        <v>45991</v>
      </c>
      <c r="BD424" s="161">
        <f t="shared" si="5039"/>
        <v>0</v>
      </c>
      <c r="BE424" s="157">
        <f t="shared" si="5040"/>
        <v>45992</v>
      </c>
      <c r="BF424" s="157">
        <f t="shared" si="5041"/>
        <v>46022</v>
      </c>
      <c r="BG424" s="161">
        <f t="shared" si="5042"/>
        <v>0</v>
      </c>
      <c r="BH424" s="157">
        <v>46023</v>
      </c>
      <c r="BI424" s="157">
        <f t="shared" si="5043"/>
        <v>46053</v>
      </c>
      <c r="BJ424" s="161">
        <f t="shared" si="5044"/>
        <v>0</v>
      </c>
      <c r="BK424" s="157">
        <f t="shared" si="5045"/>
        <v>46054</v>
      </c>
      <c r="BL424" s="157">
        <f t="shared" si="5046"/>
        <v>46081</v>
      </c>
      <c r="BM424" s="161">
        <f t="shared" si="5047"/>
        <v>0</v>
      </c>
      <c r="BN424" s="157">
        <f t="shared" si="5048"/>
        <v>46082</v>
      </c>
      <c r="BO424" s="157">
        <f t="shared" si="5049"/>
        <v>46112</v>
      </c>
      <c r="BP424" s="161">
        <f t="shared" si="5050"/>
        <v>0</v>
      </c>
      <c r="BQ424" s="157">
        <f t="shared" si="5051"/>
        <v>46113</v>
      </c>
      <c r="BR424" s="157">
        <f t="shared" si="5052"/>
        <v>46142</v>
      </c>
      <c r="BS424" s="161">
        <f t="shared" si="5053"/>
        <v>0</v>
      </c>
      <c r="BT424" s="157">
        <f t="shared" si="5054"/>
        <v>46143</v>
      </c>
      <c r="BU424" s="157">
        <f t="shared" si="5055"/>
        <v>46173</v>
      </c>
      <c r="BV424" s="161">
        <f t="shared" si="5056"/>
        <v>0</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customHeight="1" outlineLevel="3" spans="1:95">
      <c r="A425" s="122"/>
      <c r="B425" s="123"/>
      <c r="C425" s="124"/>
      <c r="D425" s="122"/>
      <c r="E425" s="123"/>
      <c r="F425" s="123"/>
      <c r="G425" s="123"/>
      <c r="H425" s="125"/>
      <c r="I425" s="125"/>
      <c r="J425" s="125">
        <f t="shared" si="4646"/>
        <v>0</v>
      </c>
      <c r="K425" s="125">
        <f t="shared" si="5078"/>
        <v>3</v>
      </c>
      <c r="L425" s="150"/>
      <c r="M425" s="151">
        <f>IFERROR(VLOOKUP($L425,'2-2 引出数据_合同数据仓库'!$B$2:$BP$1000,3,FALSE),0)</f>
        <v>0</v>
      </c>
      <c r="N425" s="125"/>
      <c r="O425" s="151">
        <f>IFERROR(VLOOKUP((LEFT(VLOOKUP($L425,'2-2 引出数据_合同数据仓库'!$B$2:$BP$1000,64,FALSE),15)&amp;(RIGHT(VLOOKUP($L425,'2-2 引出数据_合同数据仓库'!$B$2:$BP$1000,64,FALSE),4)+1)),'2-2 引出数据_合同数据仓库'!$B$2:$BP$1000,3,FALSE),0)</f>
        <v>0</v>
      </c>
      <c r="P425" s="125"/>
      <c r="Q425" s="125">
        <f>IFERROR(VLOOKUP($L425,'2-2 引出数据_合同数据仓库'!$B$2:$BP$1000,28,FALSE),0)</f>
        <v>0</v>
      </c>
      <c r="R425" s="125">
        <f>IFERROR(VLOOKUP($L425,'2-2 引出数据_合同数据仓库'!$B$2:$BP$1000,29,FALSE),0)</f>
        <v>0</v>
      </c>
      <c r="S425" s="125">
        <f>IFERROR(VLOOKUP($L425,'2-2 引出数据_合同数据仓库'!$B$2:$BP$1000,4,FALSE),0)</f>
        <v>0</v>
      </c>
      <c r="T425" s="125"/>
      <c r="U425" s="125">
        <f>IFERROR(VLOOKUP($L425,'2-2 引出数据_合同数据仓库'!$B$2:$BP$1000,15,FALSE),0)</f>
        <v>0</v>
      </c>
      <c r="V425" s="125">
        <f t="shared" si="5007"/>
        <v>0</v>
      </c>
      <c r="W425" s="125"/>
      <c r="X425" s="157">
        <v>45658</v>
      </c>
      <c r="Y425" s="157">
        <f t="shared" si="5008"/>
        <v>45688</v>
      </c>
      <c r="Z425" s="161">
        <f t="shared" si="5009"/>
        <v>0</v>
      </c>
      <c r="AA425" s="157">
        <f t="shared" si="5010"/>
        <v>45689</v>
      </c>
      <c r="AB425" s="157">
        <f t="shared" si="5011"/>
        <v>45716</v>
      </c>
      <c r="AC425" s="161">
        <f t="shared" si="5012"/>
        <v>0</v>
      </c>
      <c r="AD425" s="157">
        <f t="shared" si="5013"/>
        <v>45717</v>
      </c>
      <c r="AE425" s="157">
        <f t="shared" si="5014"/>
        <v>45747</v>
      </c>
      <c r="AF425" s="161">
        <f t="shared" si="5015"/>
        <v>0</v>
      </c>
      <c r="AG425" s="157">
        <f t="shared" si="5016"/>
        <v>45748</v>
      </c>
      <c r="AH425" s="157">
        <f t="shared" si="5017"/>
        <v>45777</v>
      </c>
      <c r="AI425" s="161">
        <f t="shared" si="5018"/>
        <v>0</v>
      </c>
      <c r="AJ425" s="157">
        <f t="shared" si="5019"/>
        <v>45778</v>
      </c>
      <c r="AK425" s="157">
        <f t="shared" si="5020"/>
        <v>45808</v>
      </c>
      <c r="AL425" s="161">
        <f t="shared" si="5021"/>
        <v>0</v>
      </c>
      <c r="AM425" s="157">
        <f t="shared" si="5022"/>
        <v>45809</v>
      </c>
      <c r="AN425" s="157">
        <f t="shared" si="5023"/>
        <v>45838</v>
      </c>
      <c r="AO425" s="161">
        <f t="shared" si="5024"/>
        <v>0</v>
      </c>
      <c r="AP425" s="157">
        <f t="shared" si="5025"/>
        <v>45839</v>
      </c>
      <c r="AQ425" s="157">
        <f t="shared" si="5026"/>
        <v>45869</v>
      </c>
      <c r="AR425" s="161">
        <f t="shared" si="5027"/>
        <v>0</v>
      </c>
      <c r="AS425" s="157">
        <f t="shared" si="5028"/>
        <v>45870</v>
      </c>
      <c r="AT425" s="157">
        <f t="shared" si="5029"/>
        <v>45900</v>
      </c>
      <c r="AU425" s="161">
        <f t="shared" si="5030"/>
        <v>0</v>
      </c>
      <c r="AV425" s="157">
        <f t="shared" si="5031"/>
        <v>45901</v>
      </c>
      <c r="AW425" s="157">
        <f t="shared" si="5032"/>
        <v>45930</v>
      </c>
      <c r="AX425" s="161">
        <f t="shared" si="5033"/>
        <v>0</v>
      </c>
      <c r="AY425" s="157">
        <f t="shared" si="5034"/>
        <v>45931</v>
      </c>
      <c r="AZ425" s="157">
        <f t="shared" si="5035"/>
        <v>45961</v>
      </c>
      <c r="BA425" s="161">
        <f t="shared" si="5036"/>
        <v>0</v>
      </c>
      <c r="BB425" s="157">
        <f t="shared" si="5037"/>
        <v>45962</v>
      </c>
      <c r="BC425" s="157">
        <f t="shared" si="5038"/>
        <v>45991</v>
      </c>
      <c r="BD425" s="161">
        <f t="shared" si="5039"/>
        <v>0</v>
      </c>
      <c r="BE425" s="157">
        <f t="shared" si="5040"/>
        <v>45992</v>
      </c>
      <c r="BF425" s="157">
        <f t="shared" si="5041"/>
        <v>46022</v>
      </c>
      <c r="BG425" s="161">
        <f t="shared" si="5042"/>
        <v>0</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customHeight="1" outlineLevel="3" spans="1:95">
      <c r="A426" s="122"/>
      <c r="B426" s="123"/>
      <c r="C426" s="124"/>
      <c r="D426" s="122"/>
      <c r="E426" s="123"/>
      <c r="F426" s="123"/>
      <c r="G426" s="123"/>
      <c r="H426" s="125"/>
      <c r="I426" s="125"/>
      <c r="J426" s="125">
        <f t="shared" si="4646"/>
        <v>0</v>
      </c>
      <c r="K426" s="125">
        <f t="shared" si="5078"/>
        <v>4</v>
      </c>
      <c r="L426" s="150"/>
      <c r="M426" s="151">
        <f>IFERROR(VLOOKUP($L426,'2-2 引出数据_合同数据仓库'!$B$2:$BP$1000,3,FALSE),0)</f>
        <v>0</v>
      </c>
      <c r="N426" s="125"/>
      <c r="O426" s="151">
        <f>IFERROR(VLOOKUP((LEFT(VLOOKUP($L426,'2-2 引出数据_合同数据仓库'!$B$2:$BP$1000,64,FALSE),15)&amp;(RIGHT(VLOOKUP($L426,'2-2 引出数据_合同数据仓库'!$B$2:$BP$1000,64,FALSE),4)+1)),'2-2 引出数据_合同数据仓库'!$B$2:$BP$1000,3,FALSE),0)</f>
        <v>0</v>
      </c>
      <c r="P426" s="125"/>
      <c r="Q426" s="125">
        <f>IFERROR(VLOOKUP($L426,'2-2 引出数据_合同数据仓库'!$B$2:$BP$1000,28,FALSE),0)</f>
        <v>0</v>
      </c>
      <c r="R426" s="125">
        <f>IFERROR(VLOOKUP($L426,'2-2 引出数据_合同数据仓库'!$B$2:$BP$1000,29,FALSE),0)</f>
        <v>0</v>
      </c>
      <c r="S426" s="125">
        <f>IFERROR(VLOOKUP($L426,'2-2 引出数据_合同数据仓库'!$B$2:$BP$1000,4,FALSE),0)</f>
        <v>0</v>
      </c>
      <c r="T426" s="125"/>
      <c r="U426" s="125">
        <f>IFERROR(VLOOKUP($L426,'2-2 引出数据_合同数据仓库'!$B$2:$BP$1000,15,FALSE),0)</f>
        <v>0</v>
      </c>
      <c r="V426" s="125">
        <f t="shared" si="5007"/>
        <v>0</v>
      </c>
      <c r="W426" s="125"/>
      <c r="X426" s="157">
        <v>45658</v>
      </c>
      <c r="Y426" s="157">
        <f t="shared" si="5008"/>
        <v>45688</v>
      </c>
      <c r="Z426" s="161">
        <f t="shared" si="5009"/>
        <v>0</v>
      </c>
      <c r="AA426" s="157">
        <f t="shared" si="5010"/>
        <v>45689</v>
      </c>
      <c r="AB426" s="157">
        <f t="shared" si="5011"/>
        <v>45716</v>
      </c>
      <c r="AC426" s="161">
        <f t="shared" si="5012"/>
        <v>0</v>
      </c>
      <c r="AD426" s="157">
        <f t="shared" si="5013"/>
        <v>45717</v>
      </c>
      <c r="AE426" s="157">
        <f t="shared" si="5014"/>
        <v>45747</v>
      </c>
      <c r="AF426" s="161">
        <f t="shared" si="5015"/>
        <v>0</v>
      </c>
      <c r="AG426" s="157">
        <f t="shared" si="5016"/>
        <v>45748</v>
      </c>
      <c r="AH426" s="157">
        <f t="shared" si="5017"/>
        <v>45777</v>
      </c>
      <c r="AI426" s="161">
        <f t="shared" si="5018"/>
        <v>0</v>
      </c>
      <c r="AJ426" s="157">
        <f t="shared" si="5019"/>
        <v>45778</v>
      </c>
      <c r="AK426" s="157">
        <f t="shared" si="5020"/>
        <v>45808</v>
      </c>
      <c r="AL426" s="161">
        <f t="shared" si="5021"/>
        <v>0</v>
      </c>
      <c r="AM426" s="157">
        <f t="shared" si="5022"/>
        <v>45809</v>
      </c>
      <c r="AN426" s="157">
        <f t="shared" si="5023"/>
        <v>45838</v>
      </c>
      <c r="AO426" s="161">
        <f t="shared" si="5024"/>
        <v>0</v>
      </c>
      <c r="AP426" s="157">
        <f t="shared" si="5025"/>
        <v>45839</v>
      </c>
      <c r="AQ426" s="157">
        <f t="shared" si="5026"/>
        <v>45869</v>
      </c>
      <c r="AR426" s="161">
        <f t="shared" si="5027"/>
        <v>0</v>
      </c>
      <c r="AS426" s="157">
        <f t="shared" si="5028"/>
        <v>45870</v>
      </c>
      <c r="AT426" s="157">
        <f t="shared" si="5029"/>
        <v>45900</v>
      </c>
      <c r="AU426" s="161">
        <f t="shared" si="5030"/>
        <v>0</v>
      </c>
      <c r="AV426" s="157">
        <f t="shared" si="5031"/>
        <v>45901</v>
      </c>
      <c r="AW426" s="157">
        <f t="shared" si="5032"/>
        <v>45930</v>
      </c>
      <c r="AX426" s="161">
        <f t="shared" si="5033"/>
        <v>0</v>
      </c>
      <c r="AY426" s="157">
        <f t="shared" si="5034"/>
        <v>45931</v>
      </c>
      <c r="AZ426" s="157">
        <f t="shared" si="5035"/>
        <v>45961</v>
      </c>
      <c r="BA426" s="161">
        <f t="shared" si="5036"/>
        <v>0</v>
      </c>
      <c r="BB426" s="157">
        <f t="shared" si="5037"/>
        <v>45962</v>
      </c>
      <c r="BC426" s="157">
        <f t="shared" si="5038"/>
        <v>45991</v>
      </c>
      <c r="BD426" s="161">
        <f t="shared" si="5039"/>
        <v>0</v>
      </c>
      <c r="BE426" s="157">
        <f t="shared" si="5040"/>
        <v>45992</v>
      </c>
      <c r="BF426" s="157">
        <f t="shared" si="5041"/>
        <v>46022</v>
      </c>
      <c r="BG426" s="161">
        <f t="shared" si="5042"/>
        <v>0</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customHeight="1" outlineLevel="4" spans="1:95">
      <c r="A427" s="126" t="s">
        <v>2821</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customHeight="1" outlineLevel="1" spans="1:95">
      <c r="A428" s="22"/>
      <c r="B428" s="112" t="s">
        <v>794</v>
      </c>
      <c r="C428" s="113" t="s">
        <v>222</v>
      </c>
      <c r="D428" s="22" t="s">
        <v>223</v>
      </c>
      <c r="E428" s="112"/>
      <c r="F428" s="112"/>
      <c r="G428" s="112"/>
      <c r="H428" s="114">
        <f>X428+AA428+AD428+AG428+AJ428+AM428+AP428+AS428+AV428+AY428+BB428+BE428</f>
        <v>0</v>
      </c>
      <c r="I428" s="114">
        <f>Y428+AB428+AE428+AH428+AK428+AN428+AQ428+AT428+AW428+AZ428+BC428+BF428</f>
        <v>0</v>
      </c>
      <c r="J428" s="114">
        <f t="shared" si="4646"/>
        <v>0</v>
      </c>
      <c r="K428" s="114"/>
      <c r="L428" s="147"/>
      <c r="M428" s="147"/>
      <c r="N428" s="114"/>
      <c r="O428" s="114"/>
      <c r="P428" s="114"/>
      <c r="Q428" s="114"/>
      <c r="R428" s="114"/>
      <c r="S428" s="114"/>
      <c r="T428" s="114"/>
      <c r="U428" s="114"/>
      <c r="V428" s="114"/>
      <c r="W428" s="114"/>
      <c r="X428" s="114">
        <f>VLOOKUP($C428,'1 预算编制表单'!$C:$BJ,27,FALSE)</f>
        <v>0</v>
      </c>
      <c r="Y428" s="114">
        <f>X428-Z428</f>
        <v>0</v>
      </c>
      <c r="Z428" s="114">
        <f>Z429+Z436+Z442+Z448+Z454+Z460+Z466+Z472+Z478+Z484+Z490+Z496+Z502</f>
        <v>0</v>
      </c>
      <c r="AA428" s="114">
        <f>VLOOKUP($C428,'1 预算编制表单'!$C:$BJ,30,FALSE)</f>
        <v>0</v>
      </c>
      <c r="AB428" s="114">
        <f>AA428-AC428</f>
        <v>0</v>
      </c>
      <c r="AC428" s="114">
        <f>AC429+AC436+AC442+AC448+AC454+AC460+AC466+AC472+AC478+AC484+AC490+AC496+AC502</f>
        <v>0</v>
      </c>
      <c r="AD428" s="114">
        <f>VLOOKUP($C428,'1 预算编制表单'!$C:$BJ,33,FALSE)</f>
        <v>0</v>
      </c>
      <c r="AE428" s="114">
        <f>AD428-AF428</f>
        <v>0</v>
      </c>
      <c r="AF428" s="114">
        <f>AF429+AF436+AF442+AF448+AF454+AF460+AF466+AF472+AF478+AF484+AF490+AF496+AF502</f>
        <v>0</v>
      </c>
      <c r="AG428" s="114">
        <f>VLOOKUP($C428,'1 预算编制表单'!$C:$BJ,36,FALSE)</f>
        <v>0</v>
      </c>
      <c r="AH428" s="114">
        <f>AG428-AI428</f>
        <v>0</v>
      </c>
      <c r="AI428" s="114">
        <f>AI429+AI436+AI442+AI448+AI454+AI460+AI466+AI472+AI478+AI484+AI490+AI496+AI502</f>
        <v>0</v>
      </c>
      <c r="AJ428" s="114">
        <f>VLOOKUP($C428,'1 预算编制表单'!$C:$BJ,39,FALSE)</f>
        <v>0</v>
      </c>
      <c r="AK428" s="114">
        <f>AJ428-AL428</f>
        <v>0</v>
      </c>
      <c r="AL428" s="114">
        <f>AL429+AL436+AL442+AL448+AL454+AL460+AL466+AL472+AL478+AL484+AL490+AL496+AL502</f>
        <v>0</v>
      </c>
      <c r="AM428" s="114">
        <f>VLOOKUP($C428,'1 预算编制表单'!$C:$BJ,42,FALSE)</f>
        <v>0</v>
      </c>
      <c r="AN428" s="114">
        <f>AM428-AO428</f>
        <v>0</v>
      </c>
      <c r="AO428" s="114">
        <f>AO429+AO436+AO442+AO448+AO454+AO460+AO466+AO472+AO478+AO484+AO490+AO496+AO502</f>
        <v>0</v>
      </c>
      <c r="AP428" s="114">
        <f>VLOOKUP($C428,'1 预算编制表单'!$C:$BJ,45,FALSE)</f>
        <v>0</v>
      </c>
      <c r="AQ428" s="114">
        <f>AP428-AR428</f>
        <v>0</v>
      </c>
      <c r="AR428" s="114">
        <f>AR429+AR436+AR442+AR448+AR454+AR460+AR466+AR472+AR478+AR484+AR490+AR496+AR502</f>
        <v>0</v>
      </c>
      <c r="AS428" s="114">
        <f>VLOOKUP($C428,'1 预算编制表单'!$C:$BJ,48,FALSE)</f>
        <v>0</v>
      </c>
      <c r="AT428" s="114">
        <f>AS428-AU428</f>
        <v>0</v>
      </c>
      <c r="AU428" s="114">
        <f>AU429+AU436+AU442+AU448+AU454+AU460+AU466+AU472+AU478+AU484+AU490+AU496+AU502</f>
        <v>0</v>
      </c>
      <c r="AV428" s="114">
        <f>VLOOKUP($C428,'1 预算编制表单'!$C:$BJ,51,FALSE)</f>
        <v>0</v>
      </c>
      <c r="AW428" s="114">
        <f>AV428-AX428</f>
        <v>0</v>
      </c>
      <c r="AX428" s="114">
        <f>AX429+AX436+AX442+AX448+AX454+AX460+AX466+AX472+AX478+AX484+AX490+AX496+AX502</f>
        <v>0</v>
      </c>
      <c r="AY428" s="114">
        <f>VLOOKUP($C428,'1 预算编制表单'!$C:$BJ,54,FALSE)</f>
        <v>0</v>
      </c>
      <c r="AZ428" s="114">
        <f>AY428-BA428</f>
        <v>0</v>
      </c>
      <c r="BA428" s="114">
        <f>BA429+BA436+BA442+BA448+BA454+BA460+BA466+BA472+BA478+BA484+BA490+BA496+BA502</f>
        <v>0</v>
      </c>
      <c r="BB428" s="114">
        <f>VLOOKUP($C428,'1 预算编制表单'!$C:$BJ,57,FALSE)</f>
        <v>0</v>
      </c>
      <c r="BC428" s="114">
        <f>BB428-BD428</f>
        <v>0</v>
      </c>
      <c r="BD428" s="114">
        <f>BD429+BD436+BD442+BD448+BD454+BD460+BD466+BD472+BD478+BD484+BD490+BD496+BD502</f>
        <v>0</v>
      </c>
      <c r="BE428" s="114">
        <f>VLOOKUP($C428,'1 预算编制表单'!$C:$BJ,60,FALSE)</f>
        <v>0</v>
      </c>
      <c r="BF428" s="114">
        <f>BE428-BG428</f>
        <v>0</v>
      </c>
      <c r="BG428" s="114">
        <f>BG429+BG436+BG442+BG448+BG454+BG460+BG466+BG472+BG478+BG484+BG490+BG496+BG502</f>
        <v>0</v>
      </c>
      <c r="BH428" s="114">
        <f>VLOOKUP($C428,'1 预算编制表单'!$C:$BJ,27,FALSE)</f>
        <v>0</v>
      </c>
      <c r="BI428" s="114">
        <f>BH428-BJ428</f>
        <v>0</v>
      </c>
      <c r="BJ428" s="114">
        <f>BJ429+BJ436+BJ442+BJ448+BJ454+BJ460+BJ466+BJ472+BJ478+BJ484+BJ490+BJ496+BJ502</f>
        <v>0</v>
      </c>
      <c r="BK428" s="114">
        <f>VLOOKUP($C428,'1 预算编制表单'!$C:$BJ,30,FALSE)</f>
        <v>0</v>
      </c>
      <c r="BL428" s="114">
        <f>BK428-BM428</f>
        <v>0</v>
      </c>
      <c r="BM428" s="114">
        <f>BM429+BM436+BM442+BM448+BM454+BM460+BM466+BM472+BM478+BM484+BM490+BM496+BM502</f>
        <v>0</v>
      </c>
      <c r="BN428" s="114">
        <f>VLOOKUP($C428,'1 预算编制表单'!$C:$BJ,33,FALSE)</f>
        <v>0</v>
      </c>
      <c r="BO428" s="114">
        <f>BN428-BP428</f>
        <v>0</v>
      </c>
      <c r="BP428" s="114">
        <f>BP429+BP436+BP442+BP448+BP454+BP460+BP466+BP472+BP478+BP484+BP490+BP496+BP502</f>
        <v>0</v>
      </c>
      <c r="BQ428" s="114">
        <f>VLOOKUP($C428,'1 预算编制表单'!$C:$BJ,36,FALSE)</f>
        <v>0</v>
      </c>
      <c r="BR428" s="114">
        <f>BQ428-BS428</f>
        <v>0</v>
      </c>
      <c r="BS428" s="114">
        <f>BS429+BS436+BS442+BS448+BS454+BS460+BS466+BS472+BS478+BS484+BS490+BS496+BS502</f>
        <v>0</v>
      </c>
      <c r="BT428" s="114">
        <f>VLOOKUP($C428,'1 预算编制表单'!$C:$BJ,39,FALSE)</f>
        <v>0</v>
      </c>
      <c r="BU428" s="114">
        <f>BT428-BV428</f>
        <v>0</v>
      </c>
      <c r="BV428" s="114">
        <f>BV429+BV436+BV442+BV448+BV454+BV460+BV466+BV472+BV478+BV484+BV490+BV496+BV502</f>
        <v>0</v>
      </c>
      <c r="BW428" s="114">
        <f>VLOOKUP($C428,'1 预算编制表单'!$C:$BJ,42,FALSE)</f>
        <v>0</v>
      </c>
      <c r="BX428" s="114">
        <f>BW428-BY428</f>
        <v>0</v>
      </c>
      <c r="BY428" s="114">
        <f>BY429+BY436+BY442+BY448+BY454+BY460+BY466+BY472+BY478+BY484+BY490+BY496+BY502</f>
        <v>0</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customHeight="1" outlineLevel="2" spans="1:95">
      <c r="A429" s="47"/>
      <c r="B429" s="115" t="s">
        <v>799</v>
      </c>
      <c r="C429" s="116" t="s">
        <v>1425</v>
      </c>
      <c r="D429" s="47" t="s">
        <v>1426</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customHeight="1" outlineLevel="3" spans="1:95">
      <c r="A430" s="122"/>
      <c r="B430" s="123"/>
      <c r="C430" s="124" t="s">
        <v>1427</v>
      </c>
      <c r="D430" s="122" t="s">
        <v>2837</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customHeight="1" outlineLevel="3" spans="1:95">
      <c r="A431" s="122"/>
      <c r="B431" s="123"/>
      <c r="C431" s="124"/>
      <c r="D431" s="122"/>
      <c r="E431" s="123"/>
      <c r="F431" s="123"/>
      <c r="G431" s="123"/>
      <c r="H431" s="125"/>
      <c r="I431" s="125"/>
      <c r="J431" s="125">
        <f t="shared" si="4646"/>
        <v>0</v>
      </c>
      <c r="K431" s="125">
        <f>K430+1</f>
        <v>1</v>
      </c>
      <c r="L431" s="150"/>
      <c r="M431" s="151">
        <f>IFERROR(VLOOKUP($L431,'2-2 引出数据_合同数据仓库'!$B$2:$BP$1000,3,FALSE),0)</f>
        <v>0</v>
      </c>
      <c r="N431" s="125"/>
      <c r="O431" s="151">
        <f>IFERROR(VLOOKUP((LEFT(VLOOKUP($L431,'2-2 引出数据_合同数据仓库'!$B$2:$BP$1000,64,FALSE),15)&amp;(RIGHT(VLOOKUP($L431,'2-2 引出数据_合同数据仓库'!$B$2:$BP$1000,64,FALSE),4)+1)),'2-2 引出数据_合同数据仓库'!$B$2:$BP$1000,3,FALSE),0)</f>
        <v>0</v>
      </c>
      <c r="P431" s="125"/>
      <c r="Q431" s="125">
        <f>IFERROR(VLOOKUP($L431,'2-2 引出数据_合同数据仓库'!$B$2:$BP$1000,28,FALSE),0)</f>
        <v>0</v>
      </c>
      <c r="R431" s="125">
        <f>IFERROR(VLOOKUP($L431,'2-2 引出数据_合同数据仓库'!$B$2:$BP$1000,29,FALSE),0)</f>
        <v>0</v>
      </c>
      <c r="S431" s="125">
        <f>IFERROR(VLOOKUP($L431,'2-2 引出数据_合同数据仓库'!$B$2:$BP$1000,4,FALSE),0)</f>
        <v>0</v>
      </c>
      <c r="T431" s="125"/>
      <c r="U431" s="125">
        <f>IFERROR(VLOOKUP($L431,'2-2 引出数据_合同数据仓库'!$B$2:$BP$1000,15,FALSE),0)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customHeight="1" outlineLevel="3" spans="1:95">
      <c r="A432" s="122"/>
      <c r="B432" s="123"/>
      <c r="C432" s="124"/>
      <c r="D432" s="122"/>
      <c r="E432" s="123"/>
      <c r="F432" s="123"/>
      <c r="G432" s="123"/>
      <c r="H432" s="125"/>
      <c r="I432" s="125"/>
      <c r="J432" s="125">
        <f t="shared" si="4646"/>
        <v>0</v>
      </c>
      <c r="K432" s="125">
        <f>K431+1</f>
        <v>2</v>
      </c>
      <c r="L432" s="150"/>
      <c r="M432" s="151">
        <f>IFERROR(VLOOKUP($L432,'2-2 引出数据_合同数据仓库'!$B$2:$BP$1000,3,FALSE),0)</f>
        <v>0</v>
      </c>
      <c r="N432" s="125"/>
      <c r="O432" s="151">
        <f>IFERROR(VLOOKUP((LEFT(VLOOKUP($L432,'2-2 引出数据_合同数据仓库'!$B$2:$BP$1000,64,FALSE),15)&amp;(RIGHT(VLOOKUP($L432,'2-2 引出数据_合同数据仓库'!$B$2:$BP$1000,64,FALSE),4)+1)),'2-2 引出数据_合同数据仓库'!$B$2:$BP$1000,3,FALSE),0)</f>
        <v>0</v>
      </c>
      <c r="P432" s="125"/>
      <c r="Q432" s="125">
        <f>IFERROR(VLOOKUP($L432,'2-2 引出数据_合同数据仓库'!$B$2:$BP$1000,28,FALSE),0)</f>
        <v>0</v>
      </c>
      <c r="R432" s="125">
        <f>IFERROR(VLOOKUP($L432,'2-2 引出数据_合同数据仓库'!$B$2:$BP$1000,29,FALSE),0)</f>
        <v>0</v>
      </c>
      <c r="S432" s="125">
        <f>IFERROR(VLOOKUP($L432,'2-2 引出数据_合同数据仓库'!$B$2:$BP$1000,4,FALSE),0)</f>
        <v>0</v>
      </c>
      <c r="T432" s="125"/>
      <c r="U432" s="125">
        <f>IFERROR(VLOOKUP($L432,'2-2 引出数据_合同数据仓库'!$B$2:$BP$1000,15,FALSE),0)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customHeight="1" outlineLevel="3" spans="1:95">
      <c r="A433" s="122"/>
      <c r="B433" s="123"/>
      <c r="C433" s="124"/>
      <c r="D433" s="122"/>
      <c r="E433" s="123"/>
      <c r="F433" s="123"/>
      <c r="G433" s="123"/>
      <c r="H433" s="125"/>
      <c r="I433" s="125"/>
      <c r="J433" s="125">
        <f t="shared" si="4646"/>
        <v>0</v>
      </c>
      <c r="K433" s="125">
        <f>K432+1</f>
        <v>3</v>
      </c>
      <c r="L433" s="150"/>
      <c r="M433" s="151">
        <f>IFERROR(VLOOKUP($L433,'2-2 引出数据_合同数据仓库'!$B$2:$BP$1000,3,FALSE),0)</f>
        <v>0</v>
      </c>
      <c r="N433" s="125"/>
      <c r="O433" s="151">
        <f>IFERROR(VLOOKUP((LEFT(VLOOKUP($L433,'2-2 引出数据_合同数据仓库'!$B$2:$BP$1000,64,FALSE),15)&amp;(RIGHT(VLOOKUP($L433,'2-2 引出数据_合同数据仓库'!$B$2:$BP$1000,64,FALSE),4)+1)),'2-2 引出数据_合同数据仓库'!$B$2:$BP$1000,3,FALSE),0)</f>
        <v>0</v>
      </c>
      <c r="P433" s="125"/>
      <c r="Q433" s="125">
        <f>IFERROR(VLOOKUP($L433,'2-2 引出数据_合同数据仓库'!$B$2:$BP$1000,28,FALSE),0)</f>
        <v>0</v>
      </c>
      <c r="R433" s="125">
        <f>IFERROR(VLOOKUP($L433,'2-2 引出数据_合同数据仓库'!$B$2:$BP$1000,29,FALSE),0)</f>
        <v>0</v>
      </c>
      <c r="S433" s="125">
        <f>IFERROR(VLOOKUP($L433,'2-2 引出数据_合同数据仓库'!$B$2:$BP$1000,4,FALSE),0)</f>
        <v>0</v>
      </c>
      <c r="T433" s="125"/>
      <c r="U433" s="125">
        <f>IFERROR(VLOOKUP($L433,'2-2 引出数据_合同数据仓库'!$B$2:$BP$1000,15,FALSE),0)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customHeight="1" outlineLevel="3" spans="1:95">
      <c r="A434" s="122"/>
      <c r="B434" s="123"/>
      <c r="C434" s="124"/>
      <c r="D434" s="122"/>
      <c r="E434" s="123"/>
      <c r="F434" s="123"/>
      <c r="G434" s="123"/>
      <c r="H434" s="125"/>
      <c r="I434" s="125"/>
      <c r="J434" s="125">
        <f t="shared" si="4646"/>
        <v>0</v>
      </c>
      <c r="K434" s="125">
        <f>K432+1</f>
        <v>3</v>
      </c>
      <c r="L434" s="150"/>
      <c r="M434" s="151">
        <f>IFERROR(VLOOKUP($L434,'2-2 引出数据_合同数据仓库'!$B$2:$BP$1000,3,FALSE),0)</f>
        <v>0</v>
      </c>
      <c r="N434" s="125"/>
      <c r="O434" s="151">
        <f>IFERROR(VLOOKUP((LEFT(VLOOKUP($L434,'2-2 引出数据_合同数据仓库'!$B$2:$BP$1000,64,FALSE),15)&amp;(RIGHT(VLOOKUP($L434,'2-2 引出数据_合同数据仓库'!$B$2:$BP$1000,64,FALSE),4)+1)),'2-2 引出数据_合同数据仓库'!$B$2:$BP$1000,3,FALSE),0)</f>
        <v>0</v>
      </c>
      <c r="P434" s="125"/>
      <c r="Q434" s="125">
        <f>IFERROR(VLOOKUP($L434,'2-2 引出数据_合同数据仓库'!$B$2:$BP$1000,28,FALSE),0)</f>
        <v>0</v>
      </c>
      <c r="R434" s="125">
        <f>IFERROR(VLOOKUP($L434,'2-2 引出数据_合同数据仓库'!$B$2:$BP$1000,29,FALSE),0)</f>
        <v>0</v>
      </c>
      <c r="S434" s="125">
        <f>IFERROR(VLOOKUP($L434,'2-2 引出数据_合同数据仓库'!$B$2:$BP$1000,4,FALSE),0)</f>
        <v>0</v>
      </c>
      <c r="T434" s="125"/>
      <c r="U434" s="125">
        <f>IFERROR(VLOOKUP($L434,'2-2 引出数据_合同数据仓库'!$B$2:$BP$1000,15,FALSE),0)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customHeight="1" outlineLevel="4" spans="1:95">
      <c r="A435" s="126" t="s">
        <v>2821</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customHeight="1" outlineLevel="2" spans="1:95">
      <c r="A436" s="47"/>
      <c r="B436" s="115" t="s">
        <v>799</v>
      </c>
      <c r="C436" s="116" t="s">
        <v>1440</v>
      </c>
      <c r="D436" s="47" t="s">
        <v>1441</v>
      </c>
      <c r="E436" s="115"/>
      <c r="F436" s="115"/>
      <c r="G436" s="115" t="s">
        <v>943</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引出数据_合同数据仓库'!$B$2:$BP$1000,3,FALSE),0)</f>
        <v>0</v>
      </c>
      <c r="N437" s="125"/>
      <c r="O437" s="151">
        <f>IFERROR(VLOOKUP((LEFT(VLOOKUP($L437,'2-2 引出数据_合同数据仓库'!$B$2:$BP$1000,64,FALSE),15)&amp;(RIGHT(VLOOKUP($L437,'2-2 引出数据_合同数据仓库'!$B$2:$BP$1000,64,FALSE),4)+1)),'2-2 引出数据_合同数据仓库'!$B$2:$BP$1000,3,FALSE),0)</f>
        <v>0</v>
      </c>
      <c r="P437" s="125"/>
      <c r="Q437" s="125">
        <f>IFERROR(VLOOKUP($L437,'2-2 引出数据_合同数据仓库'!$B$2:$BP$1000,28,FALSE),0)</f>
        <v>0</v>
      </c>
      <c r="R437" s="125">
        <f>IFERROR(VLOOKUP($L437,'2-2 引出数据_合同数据仓库'!$B$2:$BP$1000,29,FALSE),0)</f>
        <v>0</v>
      </c>
      <c r="S437" s="125">
        <f>IFERROR(VLOOKUP($L437,'2-2 引出数据_合同数据仓库'!$B$2:$BP$1000,4,FALSE),0)</f>
        <v>0</v>
      </c>
      <c r="T437" s="125"/>
      <c r="U437" s="125">
        <f>IFERROR(VLOOKUP($L437,'2-2 引出数据_合同数据仓库'!$B$2:$BP$1000,15,FALSE),0)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引出数据_合同数据仓库'!$B$2:$BP$1000,3,FALSE),0)</f>
        <v>0</v>
      </c>
      <c r="N438" s="125"/>
      <c r="O438" s="151">
        <f>IFERROR(VLOOKUP((LEFT(VLOOKUP($L438,'2-2 引出数据_合同数据仓库'!$B$2:$BP$1000,64,FALSE),15)&amp;(RIGHT(VLOOKUP($L438,'2-2 引出数据_合同数据仓库'!$B$2:$BP$1000,64,FALSE),4)+1)),'2-2 引出数据_合同数据仓库'!$B$2:$BP$1000,3,FALSE),0)</f>
        <v>0</v>
      </c>
      <c r="P438" s="125"/>
      <c r="Q438" s="125">
        <f>IFERROR(VLOOKUP($L438,'2-2 引出数据_合同数据仓库'!$B$2:$BP$1000,28,FALSE),0)</f>
        <v>0</v>
      </c>
      <c r="R438" s="125">
        <f>IFERROR(VLOOKUP($L438,'2-2 引出数据_合同数据仓库'!$B$2:$BP$1000,29,FALSE),0)</f>
        <v>0</v>
      </c>
      <c r="S438" s="125">
        <f>IFERROR(VLOOKUP($L438,'2-2 引出数据_合同数据仓库'!$B$2:$BP$1000,4,FALSE),0)</f>
        <v>0</v>
      </c>
      <c r="T438" s="125"/>
      <c r="U438" s="125">
        <f>IFERROR(VLOOKUP($L438,'2-2 引出数据_合同数据仓库'!$B$2:$BP$1000,15,FALSE),0)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引出数据_合同数据仓库'!$B$2:$BP$1000,3,FALSE),0)</f>
        <v>0</v>
      </c>
      <c r="N439" s="125"/>
      <c r="O439" s="151">
        <f>IFERROR(VLOOKUP((LEFT(VLOOKUP($L439,'2-2 引出数据_合同数据仓库'!$B$2:$BP$1000,64,FALSE),15)&amp;(RIGHT(VLOOKUP($L439,'2-2 引出数据_合同数据仓库'!$B$2:$BP$1000,64,FALSE),4)+1)),'2-2 引出数据_合同数据仓库'!$B$2:$BP$1000,3,FALSE),0)</f>
        <v>0</v>
      </c>
      <c r="P439" s="125"/>
      <c r="Q439" s="125">
        <f>IFERROR(VLOOKUP($L439,'2-2 引出数据_合同数据仓库'!$B$2:$BP$1000,28,FALSE),0)</f>
        <v>0</v>
      </c>
      <c r="R439" s="125">
        <f>IFERROR(VLOOKUP($L439,'2-2 引出数据_合同数据仓库'!$B$2:$BP$1000,29,FALSE),0)</f>
        <v>0</v>
      </c>
      <c r="S439" s="125">
        <f>IFERROR(VLOOKUP($L439,'2-2 引出数据_合同数据仓库'!$B$2:$BP$1000,4,FALSE),0)</f>
        <v>0</v>
      </c>
      <c r="T439" s="125"/>
      <c r="U439" s="125">
        <f>IFERROR(VLOOKUP($L439,'2-2 引出数据_合同数据仓库'!$B$2:$BP$1000,15,FALSE),0)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customHeight="1" outlineLevel="3"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引出数据_合同数据仓库'!$B$2:$BP$1000,3,FALSE),0)</f>
        <v>0</v>
      </c>
      <c r="N440" s="125"/>
      <c r="O440" s="151">
        <f>IFERROR(VLOOKUP((LEFT(VLOOKUP($L440,'2-2 引出数据_合同数据仓库'!$B$2:$BP$1000,64,FALSE),15)&amp;(RIGHT(VLOOKUP($L440,'2-2 引出数据_合同数据仓库'!$B$2:$BP$1000,64,FALSE),4)+1)),'2-2 引出数据_合同数据仓库'!$B$2:$BP$1000,3,FALSE),0)</f>
        <v>0</v>
      </c>
      <c r="P440" s="125"/>
      <c r="Q440" s="125">
        <f>IFERROR(VLOOKUP($L440,'2-2 引出数据_合同数据仓库'!$B$2:$BP$1000,28,FALSE),0)</f>
        <v>0</v>
      </c>
      <c r="R440" s="125">
        <f>IFERROR(VLOOKUP($L440,'2-2 引出数据_合同数据仓库'!$B$2:$BP$1000,29,FALSE),0)</f>
        <v>0</v>
      </c>
      <c r="S440" s="125">
        <f>IFERROR(VLOOKUP($L440,'2-2 引出数据_合同数据仓库'!$B$2:$BP$1000,4,FALSE),0)</f>
        <v>0</v>
      </c>
      <c r="T440" s="125"/>
      <c r="U440" s="125">
        <f>IFERROR(VLOOKUP($L440,'2-2 引出数据_合同数据仓库'!$B$2:$BP$1000,15,FALSE),0)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customHeight="1" outlineLevel="4" spans="1:95">
      <c r="A441" s="126" t="s">
        <v>2821</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customHeight="1" outlineLevel="2" spans="1:95">
      <c r="A442" s="47"/>
      <c r="B442" s="115" t="s">
        <v>799</v>
      </c>
      <c r="C442" s="116" t="s">
        <v>1442</v>
      </c>
      <c r="D442" s="47" t="s">
        <v>1443</v>
      </c>
      <c r="E442" s="115"/>
      <c r="F442" s="115"/>
      <c r="G442" s="115"/>
      <c r="H442" s="117">
        <f>X442+AA442+AD442+AG442+AJ442+AM442+AP442+AS442+AV442+AY442+BB442+BE442</f>
        <v>0</v>
      </c>
      <c r="I442" s="117">
        <f>Y442+AB442+AE442+AH442+AK442+AN442+AQ442+AT442+AW442+AZ442+BC442+BF442</f>
        <v>0</v>
      </c>
      <c r="J442" s="117">
        <f>Z442+AC442+AF442+AI442+AL442+AO442+AR442+AU442+AX442+BA442+BD442+BG442</f>
        <v>0</v>
      </c>
      <c r="K442" s="117"/>
      <c r="L442" s="148"/>
      <c r="M442" s="148"/>
      <c r="N442" s="117"/>
      <c r="O442" s="117"/>
      <c r="P442" s="117"/>
      <c r="Q442" s="117"/>
      <c r="R442" s="117"/>
      <c r="S442" s="117"/>
      <c r="T442" s="117"/>
      <c r="U442" s="117"/>
      <c r="V442" s="117"/>
      <c r="W442" s="117"/>
      <c r="X442" s="117">
        <f>VLOOKUP($C442,'1 预算编制表单'!$C:$BJ,27,FALSE)</f>
        <v>0</v>
      </c>
      <c r="Y442" s="117">
        <f>X442-Z442</f>
        <v>0</v>
      </c>
      <c r="Z442" s="117">
        <f>SUM(Z443:Z447)</f>
        <v>0</v>
      </c>
      <c r="AA442" s="117">
        <f>VLOOKUP($C442,'1 预算编制表单'!$C:$BJ,30,FALSE)</f>
        <v>0</v>
      </c>
      <c r="AB442" s="117">
        <f>AA442-AC442</f>
        <v>0</v>
      </c>
      <c r="AC442" s="117">
        <f>SUM(AC443:AC447)</f>
        <v>0</v>
      </c>
      <c r="AD442" s="117">
        <f>VLOOKUP($C442,'1 预算编制表单'!$C:$BJ,33,FALSE)</f>
        <v>0</v>
      </c>
      <c r="AE442" s="117">
        <f>AD442-AF442</f>
        <v>0</v>
      </c>
      <c r="AF442" s="117">
        <f>SUM(AF443:AF447)</f>
        <v>0</v>
      </c>
      <c r="AG442" s="117">
        <f>VLOOKUP($C442,'1 预算编制表单'!$C:$BJ,36,FALSE)</f>
        <v>0</v>
      </c>
      <c r="AH442" s="117">
        <f>AG442-AI442</f>
        <v>0</v>
      </c>
      <c r="AI442" s="117">
        <f>SUM(AI443:AI447)</f>
        <v>0</v>
      </c>
      <c r="AJ442" s="117">
        <f>VLOOKUP($C442,'1 预算编制表单'!$C:$BJ,39,FALSE)</f>
        <v>0</v>
      </c>
      <c r="AK442" s="117">
        <f>AJ442-AL442</f>
        <v>0</v>
      </c>
      <c r="AL442" s="117">
        <f>SUM(AL443:AL447)</f>
        <v>0</v>
      </c>
      <c r="AM442" s="117">
        <f>VLOOKUP($C442,'1 预算编制表单'!$C:$BJ,42,FALSE)</f>
        <v>0</v>
      </c>
      <c r="AN442" s="117">
        <f>AM442-AO442</f>
        <v>0</v>
      </c>
      <c r="AO442" s="117">
        <f>SUM(AO443:AO447)</f>
        <v>0</v>
      </c>
      <c r="AP442" s="117">
        <f>VLOOKUP($C442,'1 预算编制表单'!$C:$BJ,45,FALSE)</f>
        <v>0</v>
      </c>
      <c r="AQ442" s="117">
        <f>AP442-AR442</f>
        <v>0</v>
      </c>
      <c r="AR442" s="117">
        <f>SUM(AR443:AR447)</f>
        <v>0</v>
      </c>
      <c r="AS442" s="117">
        <f>VLOOKUP($C442,'1 预算编制表单'!$C:$BJ,48,FALSE)</f>
        <v>0</v>
      </c>
      <c r="AT442" s="117">
        <f>AS442-AU442</f>
        <v>0</v>
      </c>
      <c r="AU442" s="117">
        <f>SUM(AU443:AU447)</f>
        <v>0</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customHeight="1" outlineLevel="3" spans="1:95">
      <c r="A443" s="122"/>
      <c r="B443" s="123"/>
      <c r="C443" s="124"/>
      <c r="D443" s="122"/>
      <c r="E443" s="123"/>
      <c r="F443" s="123"/>
      <c r="G443" s="123"/>
      <c r="H443" s="125"/>
      <c r="I443" s="125"/>
      <c r="J443" s="125">
        <f>Z443+AC443+AF443+AI443+AL443+AO443+AR443+AU443+AX443+BA443+BD443+BG443</f>
        <v>0</v>
      </c>
      <c r="K443" s="125">
        <v>1</v>
      </c>
      <c r="L443" s="150"/>
      <c r="M443" s="151">
        <f>IFERROR(VLOOKUP($L443,'2-2 引出数据_合同数据仓库'!$B$2:$BP$1000,3,FALSE),0)</f>
        <v>0</v>
      </c>
      <c r="N443" s="125"/>
      <c r="O443" s="151">
        <f>IFERROR(VLOOKUP((LEFT(VLOOKUP($L443,'2-2 引出数据_合同数据仓库'!$B$2:$BP$1000,64,FALSE),15)&amp;(RIGHT(VLOOKUP($L443,'2-2 引出数据_合同数据仓库'!$B$2:$BP$1000,64,FALSE),4)+1)),'2-2 引出数据_合同数据仓库'!$B$2:$BP$1000,3,FALSE),0)</f>
        <v>0</v>
      </c>
      <c r="P443" s="125"/>
      <c r="Q443" s="125">
        <f>IFERROR(VLOOKUP($L443,'2-2 引出数据_合同数据仓库'!$B$2:$BP$1000,28,FALSE),0)</f>
        <v>0</v>
      </c>
      <c r="R443" s="125">
        <f>IFERROR(VLOOKUP($L443,'2-2 引出数据_合同数据仓库'!$B$2:$BP$1000,29,FALSE),0)</f>
        <v>0</v>
      </c>
      <c r="S443" s="125">
        <f>IFERROR(VLOOKUP($L443,'2-2 引出数据_合同数据仓库'!$B$2:$BP$1000,4,FALSE),0)</f>
        <v>0</v>
      </c>
      <c r="T443" s="125"/>
      <c r="U443" s="125">
        <f>IFERROR(VLOOKUP($L443,'2-2 引出数据_合同数据仓库'!$B$2:$BP$1000,15,FALSE),0)</f>
        <v>0</v>
      </c>
      <c r="V443" s="125">
        <f t="shared" ref="V443:V446" si="5151">U443/(S443-R443+1)*365</f>
        <v>0</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0</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0</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0</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0</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0</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0</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0</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0</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引出数据_合同数据仓库'!$B$2:$BP$1000,3,FALSE),0)</f>
        <v>0</v>
      </c>
      <c r="N444" s="125"/>
      <c r="O444" s="151">
        <f>IFERROR(VLOOKUP((LEFT(VLOOKUP($L444,'2-2 引出数据_合同数据仓库'!$B$2:$BP$1000,64,FALSE),15)&amp;(RIGHT(VLOOKUP($L444,'2-2 引出数据_合同数据仓库'!$B$2:$BP$1000,64,FALSE),4)+1)),'2-2 引出数据_合同数据仓库'!$B$2:$BP$1000,3,FALSE),0)</f>
        <v>0</v>
      </c>
      <c r="P444" s="125"/>
      <c r="Q444" s="125">
        <f>IFERROR(VLOOKUP($L444,'2-2 引出数据_合同数据仓库'!$B$2:$BP$1000,28,FALSE),0)</f>
        <v>0</v>
      </c>
      <c r="R444" s="125">
        <f>IFERROR(VLOOKUP($L444,'2-2 引出数据_合同数据仓库'!$B$2:$BP$1000,29,FALSE),0)</f>
        <v>0</v>
      </c>
      <c r="S444" s="125">
        <f>IFERROR(VLOOKUP($L444,'2-2 引出数据_合同数据仓库'!$B$2:$BP$1000,4,FALSE),0)</f>
        <v>0</v>
      </c>
      <c r="T444" s="125"/>
      <c r="U444" s="125">
        <f>IFERROR(VLOOKUP($L444,'2-2 引出数据_合同数据仓库'!$B$2:$BP$1000,15,FALSE),0)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引出数据_合同数据仓库'!$B$2:$BP$1000,3,FALSE),0)</f>
        <v>0</v>
      </c>
      <c r="N445" s="125"/>
      <c r="O445" s="151">
        <f>IFERROR(VLOOKUP((LEFT(VLOOKUP($L445,'2-2 引出数据_合同数据仓库'!$B$2:$BP$1000,64,FALSE),15)&amp;(RIGHT(VLOOKUP($L445,'2-2 引出数据_合同数据仓库'!$B$2:$BP$1000,64,FALSE),4)+1)),'2-2 引出数据_合同数据仓库'!$B$2:$BP$1000,3,FALSE),0)</f>
        <v>0</v>
      </c>
      <c r="P445" s="125"/>
      <c r="Q445" s="125">
        <f>IFERROR(VLOOKUP($L445,'2-2 引出数据_合同数据仓库'!$B$2:$BP$1000,28,FALSE),0)</f>
        <v>0</v>
      </c>
      <c r="R445" s="125">
        <f>IFERROR(VLOOKUP($L445,'2-2 引出数据_合同数据仓库'!$B$2:$BP$1000,29,FALSE),0)</f>
        <v>0</v>
      </c>
      <c r="S445" s="125">
        <f>IFERROR(VLOOKUP($L445,'2-2 引出数据_合同数据仓库'!$B$2:$BP$1000,4,FALSE),0)</f>
        <v>0</v>
      </c>
      <c r="T445" s="125"/>
      <c r="U445" s="125">
        <f>IFERROR(VLOOKUP($L445,'2-2 引出数据_合同数据仓库'!$B$2:$BP$1000,15,FALSE),0)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customHeight="1" outlineLevel="3"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引出数据_合同数据仓库'!$B$2:$BP$1000,3,FALSE),0)</f>
        <v>0</v>
      </c>
      <c r="N446" s="125"/>
      <c r="O446" s="151">
        <f>IFERROR(VLOOKUP((LEFT(VLOOKUP($L446,'2-2 引出数据_合同数据仓库'!$B$2:$BP$1000,64,FALSE),15)&amp;(RIGHT(VLOOKUP($L446,'2-2 引出数据_合同数据仓库'!$B$2:$BP$1000,64,FALSE),4)+1)),'2-2 引出数据_合同数据仓库'!$B$2:$BP$1000,3,FALSE),0)</f>
        <v>0</v>
      </c>
      <c r="P446" s="125"/>
      <c r="Q446" s="125">
        <f>IFERROR(VLOOKUP($L446,'2-2 引出数据_合同数据仓库'!$B$2:$BP$1000,28,FALSE),0)</f>
        <v>0</v>
      </c>
      <c r="R446" s="125">
        <f>IFERROR(VLOOKUP($L446,'2-2 引出数据_合同数据仓库'!$B$2:$BP$1000,29,FALSE),0)</f>
        <v>0</v>
      </c>
      <c r="S446" s="125">
        <f>IFERROR(VLOOKUP($L446,'2-2 引出数据_合同数据仓库'!$B$2:$BP$1000,4,FALSE),0)</f>
        <v>0</v>
      </c>
      <c r="T446" s="125"/>
      <c r="U446" s="125">
        <f>IFERROR(VLOOKUP($L446,'2-2 引出数据_合同数据仓库'!$B$2:$BP$1000,15,FALSE),0)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customHeight="1" outlineLevel="4" spans="1:95">
      <c r="A447" s="126" t="s">
        <v>2821</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customHeight="1" outlineLevel="2" spans="1:95">
      <c r="A448" s="47"/>
      <c r="B448" s="115" t="s">
        <v>799</v>
      </c>
      <c r="C448" s="116" t="s">
        <v>1498</v>
      </c>
      <c r="D448" s="47" t="s">
        <v>1499</v>
      </c>
      <c r="E448" s="115"/>
      <c r="F448" s="115"/>
      <c r="G448" s="115"/>
      <c r="H448" s="117">
        <f>X448+AA448+AD448+AG448+AJ448+AM448+AP448+AS448+AV448+AY448+BB448+BE448</f>
        <v>0</v>
      </c>
      <c r="I448" s="117">
        <f>Y448+AB448+AE448+AH448+AK448+AN448+AQ448+AT448+AW448+AZ448+BC448+BF448</f>
        <v>0</v>
      </c>
      <c r="J448" s="117">
        <f>Z448+AC448+AF448+AI448+AL448+AO448+AR448+AU448+AX448+BA448+BD448+BG448</f>
        <v>0</v>
      </c>
      <c r="K448" s="117"/>
      <c r="L448" s="148"/>
      <c r="M448" s="148"/>
      <c r="N448" s="117"/>
      <c r="O448" s="117"/>
      <c r="P448" s="117"/>
      <c r="Q448" s="117"/>
      <c r="R448" s="117"/>
      <c r="S448" s="117"/>
      <c r="T448" s="117"/>
      <c r="U448" s="117"/>
      <c r="V448" s="117"/>
      <c r="W448" s="117"/>
      <c r="X448" s="117">
        <f>VLOOKUP($C448,'1 预算编制表单'!$C:$BJ,27,FALSE)</f>
        <v>0</v>
      </c>
      <c r="Y448" s="117">
        <f>X448-Z448</f>
        <v>0</v>
      </c>
      <c r="Z448" s="117">
        <f>SUM(Z449:Z453)</f>
        <v>0</v>
      </c>
      <c r="AA448" s="117">
        <f>VLOOKUP($C448,'1 预算编制表单'!$C:$BJ,30,FALSE)</f>
        <v>0</v>
      </c>
      <c r="AB448" s="117">
        <f>AA448-AC448</f>
        <v>0</v>
      </c>
      <c r="AC448" s="117">
        <f>SUM(AC449:AC453)</f>
        <v>0</v>
      </c>
      <c r="AD448" s="117">
        <f>VLOOKUP($C448,'1 预算编制表单'!$C:$BJ,33,FALSE)</f>
        <v>0</v>
      </c>
      <c r="AE448" s="117">
        <f>AD448-AF448</f>
        <v>0</v>
      </c>
      <c r="AF448" s="117">
        <f>SUM(AF449:AF453)</f>
        <v>0</v>
      </c>
      <c r="AG448" s="117">
        <f>VLOOKUP($C448,'1 预算编制表单'!$C:$BJ,36,FALSE)</f>
        <v>0</v>
      </c>
      <c r="AH448" s="117">
        <f>AG448-AI448</f>
        <v>0</v>
      </c>
      <c r="AI448" s="117">
        <f>SUM(AI449:AI453)</f>
        <v>0</v>
      </c>
      <c r="AJ448" s="117">
        <f>VLOOKUP($C448,'1 预算编制表单'!$C:$BJ,39,FALSE)</f>
        <v>0</v>
      </c>
      <c r="AK448" s="117">
        <f>AJ448-AL448</f>
        <v>0</v>
      </c>
      <c r="AL448" s="117">
        <f>SUM(AL449:AL453)</f>
        <v>0</v>
      </c>
      <c r="AM448" s="117">
        <f>VLOOKUP($C448,'1 预算编制表单'!$C:$BJ,42,FALSE)</f>
        <v>0</v>
      </c>
      <c r="AN448" s="117">
        <f>AM448-AO448</f>
        <v>0</v>
      </c>
      <c r="AO448" s="117">
        <f>SUM(AO449:AO453)</f>
        <v>0</v>
      </c>
      <c r="AP448" s="117">
        <f>VLOOKUP($C448,'1 预算编制表单'!$C:$BJ,45,FALSE)</f>
        <v>0</v>
      </c>
      <c r="AQ448" s="117">
        <f>AP448-AR448</f>
        <v>0</v>
      </c>
      <c r="AR448" s="117">
        <f>SUM(AR449:AR453)</f>
        <v>0</v>
      </c>
      <c r="AS448" s="117">
        <f>VLOOKUP($C448,'1 预算编制表单'!$C:$BJ,48,FALSE)</f>
        <v>0</v>
      </c>
      <c r="AT448" s="117">
        <f>AS448-AU448</f>
        <v>0</v>
      </c>
      <c r="AU448" s="117">
        <f>SUM(AU449:AU453)</f>
        <v>0</v>
      </c>
      <c r="AV448" s="117">
        <f>VLOOKUP($C448,'1 预算编制表单'!$C:$BJ,51,FALSE)</f>
        <v>0</v>
      </c>
      <c r="AW448" s="117">
        <f>AV448-AX448</f>
        <v>0</v>
      </c>
      <c r="AX448" s="117">
        <f>SUM(AX449:AX453)</f>
        <v>0</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customHeight="1" outlineLevel="3" spans="1:95">
      <c r="A449" s="122"/>
      <c r="B449" s="123"/>
      <c r="C449" s="124"/>
      <c r="D449" s="122"/>
      <c r="E449" s="123"/>
      <c r="F449" s="123"/>
      <c r="G449" s="123"/>
      <c r="H449" s="125"/>
      <c r="I449" s="125"/>
      <c r="J449" s="125">
        <f>Z449+AC449+AF449+AI449+AL449+AO449+AR449+AU449+AX449+BA449+BD449+BG449</f>
        <v>0</v>
      </c>
      <c r="K449" s="125">
        <v>1</v>
      </c>
      <c r="L449" s="150"/>
      <c r="M449" s="151">
        <f>IFERROR(VLOOKUP($L449,'2-2 引出数据_合同数据仓库'!$B$2:$BP$1000,3,FALSE),0)</f>
        <v>0</v>
      </c>
      <c r="N449" s="125"/>
      <c r="O449" s="151">
        <f>IFERROR(VLOOKUP((LEFT(VLOOKUP($L449,'2-2 引出数据_合同数据仓库'!$B$2:$BP$1000,64,FALSE),15)&amp;(RIGHT(VLOOKUP($L449,'2-2 引出数据_合同数据仓库'!$B$2:$BP$1000,64,FALSE),4)+1)),'2-2 引出数据_合同数据仓库'!$B$2:$BP$1000,3,FALSE),0)</f>
        <v>0</v>
      </c>
      <c r="P449" s="125"/>
      <c r="Q449" s="125">
        <f>IFERROR(VLOOKUP($L449,'2-2 引出数据_合同数据仓库'!$B$2:$BP$1000,28,FALSE),0)</f>
        <v>0</v>
      </c>
      <c r="R449" s="125">
        <f>IFERROR(VLOOKUP($L449,'2-2 引出数据_合同数据仓库'!$B$2:$BP$1000,29,FALSE),0)</f>
        <v>0</v>
      </c>
      <c r="S449" s="125">
        <f>IFERROR(VLOOKUP($L449,'2-2 引出数据_合同数据仓库'!$B$2:$BP$1000,4,FALSE),0)</f>
        <v>0</v>
      </c>
      <c r="T449" s="125"/>
      <c r="U449" s="125">
        <f>IFERROR(VLOOKUP($L449,'2-2 引出数据_合同数据仓库'!$B$2:$BP$1000,15,FALSE),0)</f>
        <v>0</v>
      </c>
      <c r="V449" s="125">
        <f t="shared" ref="V449:V452" si="5223">U449/(S449-R449+1)*365</f>
        <v>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0</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0</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0</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0</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0</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0</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0</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0</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0</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customHeight="1" outlineLevel="3" spans="1:95">
      <c r="A450" s="122"/>
      <c r="B450" s="123"/>
      <c r="C450" s="124"/>
      <c r="D450" s="122"/>
      <c r="E450" s="123"/>
      <c r="F450" s="123"/>
      <c r="G450" s="123"/>
      <c r="H450" s="125"/>
      <c r="I450" s="125"/>
      <c r="J450" s="125">
        <f>Z450+AC450+AF450+AI450+AL450+AO450+AR450+AU450+AX450+BA450+BD450+BG450</f>
        <v>0</v>
      </c>
      <c r="K450" s="125">
        <f t="shared" ref="K450:K452" si="5294">K449+1</f>
        <v>2</v>
      </c>
      <c r="L450" s="150"/>
      <c r="M450" s="151">
        <f>IFERROR(VLOOKUP($L450,'2-2 引出数据_合同数据仓库'!$B$2:$BP$1000,3,FALSE),0)</f>
        <v>0</v>
      </c>
      <c r="N450" s="125"/>
      <c r="O450" s="151">
        <f>IFERROR(VLOOKUP((LEFT(VLOOKUP($L450,'2-2 引出数据_合同数据仓库'!$B$2:$BP$1000,64,FALSE),15)&amp;(RIGHT(VLOOKUP($L450,'2-2 引出数据_合同数据仓库'!$B$2:$BP$1000,64,FALSE),4)+1)),'2-2 引出数据_合同数据仓库'!$B$2:$BP$1000,3,FALSE),0)</f>
        <v>0</v>
      </c>
      <c r="P450" s="125"/>
      <c r="Q450" s="125">
        <f>IFERROR(VLOOKUP($L450,'2-2 引出数据_合同数据仓库'!$B$2:$BP$1000,28,FALSE),0)</f>
        <v>0</v>
      </c>
      <c r="R450" s="125">
        <f>IFERROR(VLOOKUP($L450,'2-2 引出数据_合同数据仓库'!$B$2:$BP$1000,29,FALSE),0)</f>
        <v>0</v>
      </c>
      <c r="S450" s="125">
        <f>IFERROR(VLOOKUP($L450,'2-2 引出数据_合同数据仓库'!$B$2:$BP$1000,4,FALSE),0)</f>
        <v>0</v>
      </c>
      <c r="T450" s="125"/>
      <c r="U450" s="125">
        <f>IFERROR(VLOOKUP($L450,'2-2 引出数据_合同数据仓库'!$B$2:$BP$1000,15,FALSE),0)</f>
        <v>0</v>
      </c>
      <c r="V450" s="125">
        <f t="shared" si="5223"/>
        <v>0</v>
      </c>
      <c r="W450" s="125"/>
      <c r="X450" s="157">
        <v>45658</v>
      </c>
      <c r="Y450" s="157">
        <f t="shared" si="5224"/>
        <v>45688</v>
      </c>
      <c r="Z450" s="161">
        <f t="shared" si="5225"/>
        <v>0</v>
      </c>
      <c r="AA450" s="157">
        <f t="shared" si="5226"/>
        <v>45689</v>
      </c>
      <c r="AB450" s="157">
        <f t="shared" si="5227"/>
        <v>45716</v>
      </c>
      <c r="AC450" s="161">
        <f t="shared" si="5228"/>
        <v>0</v>
      </c>
      <c r="AD450" s="157">
        <f t="shared" si="5229"/>
        <v>45717</v>
      </c>
      <c r="AE450" s="157">
        <f t="shared" si="5230"/>
        <v>45747</v>
      </c>
      <c r="AF450" s="161">
        <f t="shared" si="5231"/>
        <v>0</v>
      </c>
      <c r="AG450" s="157">
        <f t="shared" si="5232"/>
        <v>45748</v>
      </c>
      <c r="AH450" s="157">
        <f t="shared" si="5233"/>
        <v>45777</v>
      </c>
      <c r="AI450" s="161">
        <f t="shared" si="5234"/>
        <v>0</v>
      </c>
      <c r="AJ450" s="157">
        <f t="shared" si="5235"/>
        <v>45778</v>
      </c>
      <c r="AK450" s="157">
        <f t="shared" si="5236"/>
        <v>45808</v>
      </c>
      <c r="AL450" s="161">
        <f t="shared" si="5237"/>
        <v>0</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引出数据_合同数据仓库'!$B$2:$BP$1000,3,FALSE),0)</f>
        <v>0</v>
      </c>
      <c r="N451" s="125"/>
      <c r="O451" s="151">
        <f>IFERROR(VLOOKUP((LEFT(VLOOKUP($L451,'2-2 引出数据_合同数据仓库'!$B$2:$BP$1000,64,FALSE),15)&amp;(RIGHT(VLOOKUP($L451,'2-2 引出数据_合同数据仓库'!$B$2:$BP$1000,64,FALSE),4)+1)),'2-2 引出数据_合同数据仓库'!$B$2:$BP$1000,3,FALSE),0)</f>
        <v>0</v>
      </c>
      <c r="P451" s="125"/>
      <c r="Q451" s="125">
        <f>IFERROR(VLOOKUP($L451,'2-2 引出数据_合同数据仓库'!$B$2:$BP$1000,28,FALSE),0)</f>
        <v>0</v>
      </c>
      <c r="R451" s="125">
        <f>IFERROR(VLOOKUP($L451,'2-2 引出数据_合同数据仓库'!$B$2:$BP$1000,29,FALSE),0)</f>
        <v>0</v>
      </c>
      <c r="S451" s="125">
        <f>IFERROR(VLOOKUP($L451,'2-2 引出数据_合同数据仓库'!$B$2:$BP$1000,4,FALSE),0)</f>
        <v>0</v>
      </c>
      <c r="T451" s="125"/>
      <c r="U451" s="125">
        <f>IFERROR(VLOOKUP($L451,'2-2 引出数据_合同数据仓库'!$B$2:$BP$1000,15,FALSE),0)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customHeight="1" outlineLevel="3"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引出数据_合同数据仓库'!$B$2:$BP$1000,3,FALSE),0)</f>
        <v>0</v>
      </c>
      <c r="N452" s="125"/>
      <c r="O452" s="151">
        <f>IFERROR(VLOOKUP((LEFT(VLOOKUP($L452,'2-2 引出数据_合同数据仓库'!$B$2:$BP$1000,64,FALSE),15)&amp;(RIGHT(VLOOKUP($L452,'2-2 引出数据_合同数据仓库'!$B$2:$BP$1000,64,FALSE),4)+1)),'2-2 引出数据_合同数据仓库'!$B$2:$BP$1000,3,FALSE),0)</f>
        <v>0</v>
      </c>
      <c r="P452" s="125"/>
      <c r="Q452" s="125">
        <f>IFERROR(VLOOKUP($L452,'2-2 引出数据_合同数据仓库'!$B$2:$BP$1000,28,FALSE),0)</f>
        <v>0</v>
      </c>
      <c r="R452" s="125">
        <f>IFERROR(VLOOKUP($L452,'2-2 引出数据_合同数据仓库'!$B$2:$BP$1000,29,FALSE),0)</f>
        <v>0</v>
      </c>
      <c r="S452" s="125">
        <f>IFERROR(VLOOKUP($L452,'2-2 引出数据_合同数据仓库'!$B$2:$BP$1000,4,FALSE),0)</f>
        <v>0</v>
      </c>
      <c r="T452" s="125"/>
      <c r="U452" s="125">
        <f>IFERROR(VLOOKUP($L452,'2-2 引出数据_合同数据仓库'!$B$2:$BP$1000,15,FALSE),0)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customHeight="1" outlineLevel="4" spans="1:95">
      <c r="A453" s="126" t="s">
        <v>2821</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customHeight="1" outlineLevel="2" spans="1:95">
      <c r="A454" s="47"/>
      <c r="B454" s="115" t="s">
        <v>799</v>
      </c>
      <c r="C454" s="116" t="s">
        <v>1554</v>
      </c>
      <c r="D454" s="47" t="s">
        <v>1555</v>
      </c>
      <c r="E454" s="115"/>
      <c r="F454" s="115"/>
      <c r="G454" s="115"/>
      <c r="H454" s="117">
        <f>X454+AA454+AD454+AG454+AJ454+AM454+AP454+AS454+AV454+AY454+BB454+BE454</f>
        <v>0</v>
      </c>
      <c r="I454" s="117">
        <f>Y454+AB454+AE454+AH454+AK454+AN454+AQ454+AT454+AW454+AZ454+BC454+BF454</f>
        <v>0</v>
      </c>
      <c r="J454" s="117">
        <f>Z454+AC454+AF454+AI454+AL454+AO454+AR454+AU454+AX454+BA454+BD454+BG454</f>
        <v>0</v>
      </c>
      <c r="K454" s="117"/>
      <c r="L454" s="148"/>
      <c r="M454" s="148"/>
      <c r="N454" s="117"/>
      <c r="O454" s="117"/>
      <c r="P454" s="117"/>
      <c r="Q454" s="117"/>
      <c r="R454" s="117"/>
      <c r="S454" s="117"/>
      <c r="T454" s="117"/>
      <c r="U454" s="117"/>
      <c r="V454" s="117"/>
      <c r="W454" s="117"/>
      <c r="X454" s="117">
        <f>VLOOKUP($C454,'1 预算编制表单'!$C:$BJ,27,FALSE)</f>
        <v>0</v>
      </c>
      <c r="Y454" s="117">
        <f>X454-Z454</f>
        <v>0</v>
      </c>
      <c r="Z454" s="117">
        <f>SUM(Z455:Z459)</f>
        <v>0</v>
      </c>
      <c r="AA454" s="117">
        <f>VLOOKUP($C454,'1 预算编制表单'!$C:$BJ,30,FALSE)</f>
        <v>0</v>
      </c>
      <c r="AB454" s="117">
        <f>AA454-AC454</f>
        <v>0</v>
      </c>
      <c r="AC454" s="117">
        <f>SUM(AC455:AC459)</f>
        <v>0</v>
      </c>
      <c r="AD454" s="117">
        <f>VLOOKUP($C454,'1 预算编制表单'!$C:$BJ,33,FALSE)</f>
        <v>0</v>
      </c>
      <c r="AE454" s="117">
        <f>AD454-AF454</f>
        <v>0</v>
      </c>
      <c r="AF454" s="117">
        <f>SUM(AF455:AF459)</f>
        <v>0</v>
      </c>
      <c r="AG454" s="117">
        <f>VLOOKUP($C454,'1 预算编制表单'!$C:$BJ,36,FALSE)</f>
        <v>0</v>
      </c>
      <c r="AH454" s="117">
        <f>AG454-AI454</f>
        <v>0</v>
      </c>
      <c r="AI454" s="117">
        <f>SUM(AI455:AI459)</f>
        <v>0</v>
      </c>
      <c r="AJ454" s="117">
        <f>VLOOKUP($C454,'1 预算编制表单'!$C:$BJ,39,FALSE)</f>
        <v>0</v>
      </c>
      <c r="AK454" s="117">
        <f>AJ454-AL454</f>
        <v>0</v>
      </c>
      <c r="AL454" s="117">
        <f>SUM(AL455:AL459)</f>
        <v>0</v>
      </c>
      <c r="AM454" s="117">
        <f>VLOOKUP($C454,'1 预算编制表单'!$C:$BJ,42,FALSE)</f>
        <v>0</v>
      </c>
      <c r="AN454" s="117">
        <f>AM454-AO454</f>
        <v>0</v>
      </c>
      <c r="AO454" s="117">
        <f>SUM(AO455:AO459)</f>
        <v>0</v>
      </c>
      <c r="AP454" s="117">
        <f>VLOOKUP($C454,'1 预算编制表单'!$C:$BJ,45,FALSE)</f>
        <v>0</v>
      </c>
      <c r="AQ454" s="117">
        <f>AP454-AR454</f>
        <v>0</v>
      </c>
      <c r="AR454" s="117">
        <f>SUM(AR455:AR459)</f>
        <v>0</v>
      </c>
      <c r="AS454" s="117">
        <f>VLOOKUP($C454,'1 预算编制表单'!$C:$BJ,48,FALSE)</f>
        <v>0</v>
      </c>
      <c r="AT454" s="117">
        <f>AS454-AU454</f>
        <v>0</v>
      </c>
      <c r="AU454" s="117">
        <f>SUM(AU455:AU459)</f>
        <v>0</v>
      </c>
      <c r="AV454" s="117">
        <f>VLOOKUP($C454,'1 预算编制表单'!$C:$BJ,51,FALSE)</f>
        <v>0</v>
      </c>
      <c r="AW454" s="117">
        <f>AV454-AX454</f>
        <v>0</v>
      </c>
      <c r="AX454" s="117">
        <f>SUM(AX455:AX459)</f>
        <v>0</v>
      </c>
      <c r="AY454" s="117">
        <f>VLOOKUP($C454,'1 预算编制表单'!$C:$BJ,54,FALSE)</f>
        <v>0</v>
      </c>
      <c r="AZ454" s="117">
        <f>AY454-BA454</f>
        <v>0</v>
      </c>
      <c r="BA454" s="117">
        <f>SUM(BA455:BA459)</f>
        <v>0</v>
      </c>
      <c r="BB454" s="117">
        <f>VLOOKUP($C454,'1 预算编制表单'!$C:$BJ,57,FALSE)</f>
        <v>0</v>
      </c>
      <c r="BC454" s="117">
        <f>BB454-BD454</f>
        <v>0</v>
      </c>
      <c r="BD454" s="117">
        <f>SUM(BD455:BD459)</f>
        <v>0</v>
      </c>
      <c r="BE454" s="117">
        <f>VLOOKUP($C454,'1 预算编制表单'!$C:$BJ,60,FALSE)</f>
        <v>0</v>
      </c>
      <c r="BF454" s="117">
        <f>BE454-BG454</f>
        <v>0</v>
      </c>
      <c r="BG454" s="117">
        <f>SUM(BG455:BG459)</f>
        <v>0</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customHeight="1" outlineLevel="3" spans="1:95">
      <c r="A455" s="122"/>
      <c r="B455" s="123"/>
      <c r="C455" s="124"/>
      <c r="D455" s="122"/>
      <c r="E455" s="123"/>
      <c r="F455" s="123"/>
      <c r="G455" s="123"/>
      <c r="H455" s="125"/>
      <c r="I455" s="125"/>
      <c r="J455" s="125">
        <f>Z455+AC455+AF455+AI455+AL455+AO455+AR455+AU455+AX455+BA455+BD455+BG455</f>
        <v>0</v>
      </c>
      <c r="K455" s="125">
        <v>1</v>
      </c>
      <c r="L455" s="150"/>
      <c r="M455" s="151">
        <f>IFERROR(VLOOKUP($L455,'2-2 引出数据_合同数据仓库'!$B$2:$BP$1000,3,FALSE),0)</f>
        <v>0</v>
      </c>
      <c r="N455" s="125"/>
      <c r="O455" s="151">
        <f>IFERROR(VLOOKUP((LEFT(VLOOKUP($L455,'2-2 引出数据_合同数据仓库'!$B$2:$BP$1000,64,FALSE),15)&amp;(RIGHT(VLOOKUP($L455,'2-2 引出数据_合同数据仓库'!$B$2:$BP$1000,64,FALSE),4)+1)),'2-2 引出数据_合同数据仓库'!$B$2:$BP$1000,3,FALSE),0)</f>
        <v>0</v>
      </c>
      <c r="P455" s="125"/>
      <c r="Q455" s="125">
        <f>IFERROR(VLOOKUP($L455,'2-2 引出数据_合同数据仓库'!$B$2:$BP$1000,28,FALSE),0)</f>
        <v>0</v>
      </c>
      <c r="R455" s="125">
        <f>IFERROR(VLOOKUP($L455,'2-2 引出数据_合同数据仓库'!$B$2:$BP$1000,29,FALSE),0)</f>
        <v>0</v>
      </c>
      <c r="S455" s="125">
        <f>IFERROR(VLOOKUP($L455,'2-2 引出数据_合同数据仓库'!$B$2:$BP$1000,4,FALSE),0)</f>
        <v>0</v>
      </c>
      <c r="T455" s="125"/>
      <c r="U455" s="125">
        <f>IFERROR(VLOOKUP($L455,'2-2 引出数据_合同数据仓库'!$B$2:$BP$1000,15,FALSE),0)</f>
        <v>0</v>
      </c>
      <c r="V455" s="125">
        <f t="shared" ref="V455:V458" si="5295">U455/(S455-R455+1)*365</f>
        <v>0</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0</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0</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0</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0</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0</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0</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0</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0</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0</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0</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0</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0</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customHeight="1" outlineLevel="3" spans="1:95">
      <c r="A456" s="122"/>
      <c r="B456" s="123"/>
      <c r="C456" s="124"/>
      <c r="D456" s="122"/>
      <c r="E456" s="123"/>
      <c r="F456" s="123"/>
      <c r="G456" s="123"/>
      <c r="H456" s="125"/>
      <c r="I456" s="125"/>
      <c r="J456" s="125">
        <f>Z456+AC456+AF456+AI456+AL456+AO456+AR456+AU456+AX456+BA456+BD456+BG456</f>
        <v>0</v>
      </c>
      <c r="K456" s="125">
        <f t="shared" ref="K456:K458" si="5366">K455+1</f>
        <v>2</v>
      </c>
      <c r="L456" s="150"/>
      <c r="M456" s="151">
        <f>IFERROR(VLOOKUP($L456,'2-2 引出数据_合同数据仓库'!$B$2:$BP$1000,3,FALSE),0)</f>
        <v>0</v>
      </c>
      <c r="N456" s="125"/>
      <c r="O456" s="151">
        <f>IFERROR(VLOOKUP((LEFT(VLOOKUP($L456,'2-2 引出数据_合同数据仓库'!$B$2:$BP$1000,64,FALSE),15)&amp;(RIGHT(VLOOKUP($L456,'2-2 引出数据_合同数据仓库'!$B$2:$BP$1000,64,FALSE),4)+1)),'2-2 引出数据_合同数据仓库'!$B$2:$BP$1000,3,FALSE),0)</f>
        <v>0</v>
      </c>
      <c r="P456" s="125"/>
      <c r="Q456" s="125">
        <f>IFERROR(VLOOKUP($L456,'2-2 引出数据_合同数据仓库'!$B$2:$BP$1000,28,FALSE),0)</f>
        <v>0</v>
      </c>
      <c r="R456" s="125">
        <f>IFERROR(VLOOKUP($L456,'2-2 引出数据_合同数据仓库'!$B$2:$BP$1000,29,FALSE),0)</f>
        <v>0</v>
      </c>
      <c r="S456" s="125">
        <f>IFERROR(VLOOKUP($L456,'2-2 引出数据_合同数据仓库'!$B$2:$BP$1000,4,FALSE),0)</f>
        <v>0</v>
      </c>
      <c r="T456" s="125"/>
      <c r="U456" s="125">
        <f>IFERROR(VLOOKUP($L456,'2-2 引出数据_合同数据仓库'!$B$2:$BP$1000,15,FALSE),0)</f>
        <v>0</v>
      </c>
      <c r="V456" s="125">
        <f t="shared" si="5295"/>
        <v>0</v>
      </c>
      <c r="W456" s="125"/>
      <c r="X456" s="157">
        <v>45658</v>
      </c>
      <c r="Y456" s="157">
        <f t="shared" si="5296"/>
        <v>45688</v>
      </c>
      <c r="Z456" s="161">
        <f t="shared" si="5297"/>
        <v>0</v>
      </c>
      <c r="AA456" s="157">
        <f t="shared" si="5298"/>
        <v>45689</v>
      </c>
      <c r="AB456" s="157">
        <f t="shared" si="5299"/>
        <v>45716</v>
      </c>
      <c r="AC456" s="161">
        <f t="shared" si="5300"/>
        <v>0</v>
      </c>
      <c r="AD456" s="157">
        <f t="shared" si="5301"/>
        <v>45717</v>
      </c>
      <c r="AE456" s="157">
        <f t="shared" si="5302"/>
        <v>45747</v>
      </c>
      <c r="AF456" s="161">
        <f t="shared" si="5303"/>
        <v>0</v>
      </c>
      <c r="AG456" s="157">
        <f t="shared" si="5304"/>
        <v>45748</v>
      </c>
      <c r="AH456" s="157">
        <f t="shared" si="5305"/>
        <v>45777</v>
      </c>
      <c r="AI456" s="161">
        <f t="shared" si="5306"/>
        <v>0</v>
      </c>
      <c r="AJ456" s="157">
        <f t="shared" si="5307"/>
        <v>45778</v>
      </c>
      <c r="AK456" s="157">
        <f t="shared" si="5308"/>
        <v>45808</v>
      </c>
      <c r="AL456" s="161">
        <f t="shared" si="5309"/>
        <v>0</v>
      </c>
      <c r="AM456" s="157">
        <f t="shared" si="5310"/>
        <v>45809</v>
      </c>
      <c r="AN456" s="157">
        <f t="shared" si="5311"/>
        <v>45838</v>
      </c>
      <c r="AO456" s="161">
        <f t="shared" si="5312"/>
        <v>0</v>
      </c>
      <c r="AP456" s="157">
        <f t="shared" si="5313"/>
        <v>45839</v>
      </c>
      <c r="AQ456" s="157">
        <f t="shared" si="5314"/>
        <v>45869</v>
      </c>
      <c r="AR456" s="161">
        <f t="shared" si="5315"/>
        <v>0</v>
      </c>
      <c r="AS456" s="157">
        <f t="shared" si="5316"/>
        <v>45870</v>
      </c>
      <c r="AT456" s="157">
        <f t="shared" si="5317"/>
        <v>45900</v>
      </c>
      <c r="AU456" s="161">
        <f t="shared" si="5318"/>
        <v>0</v>
      </c>
      <c r="AV456" s="157">
        <f t="shared" si="5319"/>
        <v>45901</v>
      </c>
      <c r="AW456" s="157">
        <f t="shared" si="5320"/>
        <v>45930</v>
      </c>
      <c r="AX456" s="161">
        <f t="shared" si="5321"/>
        <v>0</v>
      </c>
      <c r="AY456" s="157">
        <f t="shared" si="5322"/>
        <v>45931</v>
      </c>
      <c r="AZ456" s="157">
        <f t="shared" si="5323"/>
        <v>45961</v>
      </c>
      <c r="BA456" s="161">
        <f t="shared" si="5324"/>
        <v>0</v>
      </c>
      <c r="BB456" s="157">
        <f t="shared" si="5325"/>
        <v>45962</v>
      </c>
      <c r="BC456" s="157">
        <f t="shared" si="5326"/>
        <v>45991</v>
      </c>
      <c r="BD456" s="161">
        <f t="shared" si="5327"/>
        <v>0</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引出数据_合同数据仓库'!$B$2:$BP$1000,3,FALSE),0)</f>
        <v>0</v>
      </c>
      <c r="N457" s="125"/>
      <c r="O457" s="151">
        <f>IFERROR(VLOOKUP((LEFT(VLOOKUP($L457,'2-2 引出数据_合同数据仓库'!$B$2:$BP$1000,64,FALSE),15)&amp;(RIGHT(VLOOKUP($L457,'2-2 引出数据_合同数据仓库'!$B$2:$BP$1000,64,FALSE),4)+1)),'2-2 引出数据_合同数据仓库'!$B$2:$BP$1000,3,FALSE),0)</f>
        <v>0</v>
      </c>
      <c r="P457" s="125"/>
      <c r="Q457" s="125">
        <f>IFERROR(VLOOKUP($L457,'2-2 引出数据_合同数据仓库'!$B$2:$BP$1000,28,FALSE),0)</f>
        <v>0</v>
      </c>
      <c r="R457" s="125">
        <f>IFERROR(VLOOKUP($L457,'2-2 引出数据_合同数据仓库'!$B$2:$BP$1000,29,FALSE),0)</f>
        <v>0</v>
      </c>
      <c r="S457" s="125">
        <f>IFERROR(VLOOKUP($L457,'2-2 引出数据_合同数据仓库'!$B$2:$BP$1000,4,FALSE),0)</f>
        <v>0</v>
      </c>
      <c r="T457" s="125"/>
      <c r="U457" s="125">
        <f>IFERROR(VLOOKUP($L457,'2-2 引出数据_合同数据仓库'!$B$2:$BP$1000,15,FALSE),0)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customHeight="1" outlineLevel="3" spans="1:95">
      <c r="A458" s="122"/>
      <c r="B458" s="123"/>
      <c r="C458" s="124"/>
      <c r="D458" s="122"/>
      <c r="E458" s="123"/>
      <c r="F458" s="123"/>
      <c r="G458" s="123"/>
      <c r="H458" s="125"/>
      <c r="I458" s="125"/>
      <c r="J458" s="125">
        <f t="shared" si="5367"/>
        <v>0</v>
      </c>
      <c r="K458" s="125">
        <f t="shared" si="5366"/>
        <v>4</v>
      </c>
      <c r="L458" s="150"/>
      <c r="M458" s="151">
        <f>IFERROR(VLOOKUP($L458,'2-2 引出数据_合同数据仓库'!$B$2:$BP$1000,3,FALSE),0)</f>
        <v>0</v>
      </c>
      <c r="N458" s="125"/>
      <c r="O458" s="151">
        <f>IFERROR(VLOOKUP((LEFT(VLOOKUP($L458,'2-2 引出数据_合同数据仓库'!$B$2:$BP$1000,64,FALSE),15)&amp;(RIGHT(VLOOKUP($L458,'2-2 引出数据_合同数据仓库'!$B$2:$BP$1000,64,FALSE),4)+1)),'2-2 引出数据_合同数据仓库'!$B$2:$BP$1000,3,FALSE),0)</f>
        <v>0</v>
      </c>
      <c r="P458" s="125"/>
      <c r="Q458" s="125">
        <f>IFERROR(VLOOKUP($L458,'2-2 引出数据_合同数据仓库'!$B$2:$BP$1000,28,FALSE),0)</f>
        <v>0</v>
      </c>
      <c r="R458" s="125">
        <f>IFERROR(VLOOKUP($L458,'2-2 引出数据_合同数据仓库'!$B$2:$BP$1000,29,FALSE),0)</f>
        <v>0</v>
      </c>
      <c r="S458" s="125">
        <f>IFERROR(VLOOKUP($L458,'2-2 引出数据_合同数据仓库'!$B$2:$BP$1000,4,FALSE),0)</f>
        <v>0</v>
      </c>
      <c r="T458" s="125"/>
      <c r="U458" s="125">
        <f>IFERROR(VLOOKUP($L458,'2-2 引出数据_合同数据仓库'!$B$2:$BP$1000,15,FALSE),0)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customHeight="1" outlineLevel="4" spans="1:95">
      <c r="A459" s="126" t="s">
        <v>2821</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customHeight="1" outlineLevel="2" spans="1:95">
      <c r="A460" s="47"/>
      <c r="B460" s="115" t="s">
        <v>799</v>
      </c>
      <c r="C460" s="116" t="s">
        <v>1569</v>
      </c>
      <c r="D460" s="47" t="s">
        <v>1570</v>
      </c>
      <c r="E460" s="115" t="s">
        <v>1571</v>
      </c>
      <c r="F460" s="115"/>
      <c r="G460" s="115" t="s">
        <v>943</v>
      </c>
      <c r="H460" s="117">
        <f>X460+AA460+AD460+AG460+AJ460+AM460+AP460+AS460+AV460+AY460+BB460+BE460</f>
        <v>0</v>
      </c>
      <c r="I460" s="117">
        <f>Y460+AB460+AE460+AH460+AK460+AN460+AQ460+AT460+AW460+AZ460+BC460+BF460</f>
        <v>0</v>
      </c>
      <c r="J460" s="117">
        <f t="shared" si="5367"/>
        <v>0</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0</v>
      </c>
      <c r="AC460" s="117">
        <f>SUM(AC461:AC465)</f>
        <v>0</v>
      </c>
      <c r="AD460" s="117">
        <f>VLOOKUP($C460,'1 预算编制表单'!$C:$BJ,33,FALSE)</f>
        <v>0</v>
      </c>
      <c r="AE460" s="117">
        <f>AD460-AF460</f>
        <v>0</v>
      </c>
      <c r="AF460" s="117">
        <f>SUM(AF461:AF465)</f>
        <v>0</v>
      </c>
      <c r="AG460" s="117">
        <f>VLOOKUP($C460,'1 预算编制表单'!$C:$BJ,36,FALSE)</f>
        <v>0</v>
      </c>
      <c r="AH460" s="117">
        <f>AG460-AI460</f>
        <v>0</v>
      </c>
      <c r="AI460" s="117">
        <f>SUM(AI461:AI465)</f>
        <v>0</v>
      </c>
      <c r="AJ460" s="117">
        <f>VLOOKUP($C460,'1 预算编制表单'!$C:$BJ,39,FALSE)</f>
        <v>0</v>
      </c>
      <c r="AK460" s="117">
        <f>AJ460-AL460</f>
        <v>0</v>
      </c>
      <c r="AL460" s="117">
        <f>SUM(AL461:AL465)</f>
        <v>0</v>
      </c>
      <c r="AM460" s="117">
        <f>VLOOKUP($C460,'1 预算编制表单'!$C:$BJ,42,FALSE)</f>
        <v>0</v>
      </c>
      <c r="AN460" s="117">
        <f>AM460-AO460</f>
        <v>0</v>
      </c>
      <c r="AO460" s="117">
        <f>SUM(AO461:AO465)</f>
        <v>0</v>
      </c>
      <c r="AP460" s="117">
        <f>VLOOKUP($C460,'1 预算编制表单'!$C:$BJ,45,FALSE)</f>
        <v>0</v>
      </c>
      <c r="AQ460" s="117">
        <f>AP460-AR460</f>
        <v>0</v>
      </c>
      <c r="AR460" s="117">
        <f>SUM(AR461:AR465)</f>
        <v>0</v>
      </c>
      <c r="AS460" s="117">
        <f>VLOOKUP($C460,'1 预算编制表单'!$C:$BJ,48,FALSE)</f>
        <v>0</v>
      </c>
      <c r="AT460" s="117">
        <f>AS460-AU460</f>
        <v>0</v>
      </c>
      <c r="AU460" s="117">
        <f>SUM(AU461:AU465)</f>
        <v>0</v>
      </c>
      <c r="AV460" s="117">
        <f>VLOOKUP($C460,'1 预算编制表单'!$C:$BJ,51,FALSE)</f>
        <v>0</v>
      </c>
      <c r="AW460" s="117">
        <f>AV460-AX460</f>
        <v>0</v>
      </c>
      <c r="AX460" s="117">
        <f>SUM(AX461:AX465)</f>
        <v>0</v>
      </c>
      <c r="AY460" s="117">
        <f>VLOOKUP($C460,'1 预算编制表单'!$C:$BJ,54,FALSE)</f>
        <v>0</v>
      </c>
      <c r="AZ460" s="117">
        <f>AY460-BA460</f>
        <v>0</v>
      </c>
      <c r="BA460" s="117">
        <f>SUM(BA461:BA465)</f>
        <v>0</v>
      </c>
      <c r="BB460" s="117">
        <f>VLOOKUP($C460,'1 预算编制表单'!$C:$BJ,57,FALSE)</f>
        <v>0</v>
      </c>
      <c r="BC460" s="117">
        <f>BB460-BD460</f>
        <v>0</v>
      </c>
      <c r="BD460" s="117">
        <f>SUM(BD461:BD465)</f>
        <v>0</v>
      </c>
      <c r="BE460" s="117">
        <f>VLOOKUP($C460,'1 预算编制表单'!$C:$BJ,60,FALSE)</f>
        <v>0</v>
      </c>
      <c r="BF460" s="117">
        <f>BE460-BG460</f>
        <v>0</v>
      </c>
      <c r="BG460" s="117">
        <f>SUM(BG461:BG465)</f>
        <v>0</v>
      </c>
      <c r="BH460" s="117">
        <f>VLOOKUP($C460,'1 预算编制表单'!$C:$BJ,27,FALSE)</f>
        <v>0</v>
      </c>
      <c r="BI460" s="117">
        <f>BH460-BJ460</f>
        <v>0</v>
      </c>
      <c r="BJ460" s="117">
        <f>SUM(BJ461:BJ465)</f>
        <v>0</v>
      </c>
      <c r="BK460" s="117">
        <f>VLOOKUP($C460,'1 预算编制表单'!$C:$BJ,30,FALSE)</f>
        <v>0</v>
      </c>
      <c r="BL460" s="117">
        <f>BK460-BM460</f>
        <v>0</v>
      </c>
      <c r="BM460" s="117">
        <f>SUM(BM461:BM465)</f>
        <v>0</v>
      </c>
      <c r="BN460" s="117">
        <f>VLOOKUP($C460,'1 预算编制表单'!$C:$BJ,33,FALSE)</f>
        <v>0</v>
      </c>
      <c r="BO460" s="117">
        <f>BN460-BP460</f>
        <v>0</v>
      </c>
      <c r="BP460" s="117">
        <f>SUM(BP461:BP465)</f>
        <v>0</v>
      </c>
      <c r="BQ460" s="117">
        <f>VLOOKUP($C460,'1 预算编制表单'!$C:$BJ,36,FALSE)</f>
        <v>0</v>
      </c>
      <c r="BR460" s="117">
        <f>BQ460-BS460</f>
        <v>0</v>
      </c>
      <c r="BS460" s="117">
        <f>SUM(BS461:BS465)</f>
        <v>0</v>
      </c>
      <c r="BT460" s="117">
        <f>VLOOKUP($C460,'1 预算编制表单'!$C:$BJ,39,FALSE)</f>
        <v>0</v>
      </c>
      <c r="BU460" s="117">
        <f>BT460-BV460</f>
        <v>0</v>
      </c>
      <c r="BV460" s="117">
        <f>SUM(BV461:BV465)</f>
        <v>0</v>
      </c>
      <c r="BW460" s="117">
        <f>VLOOKUP($C460,'1 预算编制表单'!$C:$BJ,42,FALSE)</f>
        <v>0</v>
      </c>
      <c r="BX460" s="117">
        <f>BW460-BY460</f>
        <v>0</v>
      </c>
      <c r="BY460" s="117">
        <f>SUM(BY461:BY465)</f>
        <v>0</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customHeight="1" outlineLevel="3" spans="1:95">
      <c r="A461" s="122"/>
      <c r="B461" s="123"/>
      <c r="C461" s="124"/>
      <c r="D461" s="122"/>
      <c r="E461" s="123"/>
      <c r="F461" s="123"/>
      <c r="G461" s="123"/>
      <c r="H461" s="125"/>
      <c r="I461" s="125"/>
      <c r="J461" s="125">
        <f t="shared" si="5367"/>
        <v>0</v>
      </c>
      <c r="K461" s="125">
        <v>1</v>
      </c>
      <c r="L461" s="150"/>
      <c r="M461" s="151">
        <f>IFERROR(VLOOKUP($L461,'2-2 引出数据_合同数据仓库'!$B$2:$BP$1000,3,FALSE),0)</f>
        <v>0</v>
      </c>
      <c r="N461" s="125"/>
      <c r="O461" s="151">
        <f>IFERROR(VLOOKUP((LEFT(VLOOKUP($L461,'2-2 引出数据_合同数据仓库'!$B$2:$BP$1000,64,FALSE),15)&amp;(RIGHT(VLOOKUP($L461,'2-2 引出数据_合同数据仓库'!$B$2:$BP$1000,64,FALSE),4)+1)),'2-2 引出数据_合同数据仓库'!$B$2:$BP$1000,3,FALSE),0)</f>
        <v>0</v>
      </c>
      <c r="P461" s="125"/>
      <c r="Q461" s="125">
        <f>IFERROR(VLOOKUP($L461,'2-2 引出数据_合同数据仓库'!$B$2:$BP$1000,28,FALSE),0)</f>
        <v>0</v>
      </c>
      <c r="R461" s="125">
        <f>IFERROR(VLOOKUP($L461,'2-2 引出数据_合同数据仓库'!$B$2:$BP$1000,29,FALSE),0)</f>
        <v>0</v>
      </c>
      <c r="S461" s="125">
        <f>IFERROR(VLOOKUP($L461,'2-2 引出数据_合同数据仓库'!$B$2:$BP$1000,4,FALSE),0)</f>
        <v>0</v>
      </c>
      <c r="T461" s="125"/>
      <c r="U461" s="125">
        <f>IFERROR(VLOOKUP($L461,'2-2 引出数据_合同数据仓库'!$B$2:$BP$1000,15,FALSE),0)</f>
        <v>0</v>
      </c>
      <c r="V461" s="125">
        <f t="shared" ref="V461:V464" si="5368">U461/(S461-R461+1)*365</f>
        <v>0</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0</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0</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0</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0</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0</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0</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0</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0</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0</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0</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0</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0</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0</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0</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0</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0</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0</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引出数据_合同数据仓库'!$B$2:$BP$1000,3,FALSE),0)</f>
        <v>0</v>
      </c>
      <c r="N462" s="125"/>
      <c r="O462" s="151">
        <f>IFERROR(VLOOKUP((LEFT(VLOOKUP($L462,'2-2 引出数据_合同数据仓库'!$B$2:$BP$1000,64,FALSE),15)&amp;(RIGHT(VLOOKUP($L462,'2-2 引出数据_合同数据仓库'!$B$2:$BP$1000,64,FALSE),4)+1)),'2-2 引出数据_合同数据仓库'!$B$2:$BP$1000,3,FALSE),0)</f>
        <v>0</v>
      </c>
      <c r="P462" s="125"/>
      <c r="Q462" s="125">
        <f>IFERROR(VLOOKUP($L462,'2-2 引出数据_合同数据仓库'!$B$2:$BP$1000,28,FALSE),0)</f>
        <v>0</v>
      </c>
      <c r="R462" s="125">
        <f>IFERROR(VLOOKUP($L462,'2-2 引出数据_合同数据仓库'!$B$2:$BP$1000,29,FALSE),0)</f>
        <v>0</v>
      </c>
      <c r="S462" s="125">
        <f>IFERROR(VLOOKUP($L462,'2-2 引出数据_合同数据仓库'!$B$2:$BP$1000,4,FALSE),0)</f>
        <v>0</v>
      </c>
      <c r="T462" s="125"/>
      <c r="U462" s="125">
        <f>IFERROR(VLOOKUP($L462,'2-2 引出数据_合同数据仓库'!$B$2:$BP$1000,15,FALSE),0)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引出数据_合同数据仓库'!$B$2:$BP$1000,3,FALSE),0)</f>
        <v>0</v>
      </c>
      <c r="N463" s="125"/>
      <c r="O463" s="151">
        <f>IFERROR(VLOOKUP((LEFT(VLOOKUP($L463,'2-2 引出数据_合同数据仓库'!$B$2:$BP$1000,64,FALSE),15)&amp;(RIGHT(VLOOKUP($L463,'2-2 引出数据_合同数据仓库'!$B$2:$BP$1000,64,FALSE),4)+1)),'2-2 引出数据_合同数据仓库'!$B$2:$BP$1000,3,FALSE),0)</f>
        <v>0</v>
      </c>
      <c r="P463" s="125"/>
      <c r="Q463" s="125">
        <f>IFERROR(VLOOKUP($L463,'2-2 引出数据_合同数据仓库'!$B$2:$BP$1000,28,FALSE),0)</f>
        <v>0</v>
      </c>
      <c r="R463" s="125">
        <f>IFERROR(VLOOKUP($L463,'2-2 引出数据_合同数据仓库'!$B$2:$BP$1000,29,FALSE),0)</f>
        <v>0</v>
      </c>
      <c r="S463" s="125">
        <f>IFERROR(VLOOKUP($L463,'2-2 引出数据_合同数据仓库'!$B$2:$BP$1000,4,FALSE),0)</f>
        <v>0</v>
      </c>
      <c r="T463" s="125"/>
      <c r="U463" s="125">
        <f>IFERROR(VLOOKUP($L463,'2-2 引出数据_合同数据仓库'!$B$2:$BP$1000,15,FALSE),0)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customHeight="1" outlineLevel="3" spans="1:95">
      <c r="A464" s="122"/>
      <c r="B464" s="123"/>
      <c r="C464" s="124"/>
      <c r="D464" s="122"/>
      <c r="E464" s="123"/>
      <c r="F464" s="123"/>
      <c r="G464" s="123"/>
      <c r="H464" s="125"/>
      <c r="I464" s="125"/>
      <c r="J464" s="125">
        <f t="shared" si="5367"/>
        <v>0</v>
      </c>
      <c r="K464" s="125">
        <f t="shared" si="5439"/>
        <v>4</v>
      </c>
      <c r="L464" s="150"/>
      <c r="M464" s="151">
        <f>IFERROR(VLOOKUP($L464,'2-2 引出数据_合同数据仓库'!$B$2:$BP$1000,3,FALSE),0)</f>
        <v>0</v>
      </c>
      <c r="N464" s="125"/>
      <c r="O464" s="151">
        <f>IFERROR(VLOOKUP((LEFT(VLOOKUP($L464,'2-2 引出数据_合同数据仓库'!$B$2:$BP$1000,64,FALSE),15)&amp;(RIGHT(VLOOKUP($L464,'2-2 引出数据_合同数据仓库'!$B$2:$BP$1000,64,FALSE),4)+1)),'2-2 引出数据_合同数据仓库'!$B$2:$BP$1000,3,FALSE),0)</f>
        <v>0</v>
      </c>
      <c r="P464" s="125"/>
      <c r="Q464" s="125">
        <f>IFERROR(VLOOKUP($L464,'2-2 引出数据_合同数据仓库'!$B$2:$BP$1000,28,FALSE),0)</f>
        <v>0</v>
      </c>
      <c r="R464" s="125">
        <f>IFERROR(VLOOKUP($L464,'2-2 引出数据_合同数据仓库'!$B$2:$BP$1000,29,FALSE),0)</f>
        <v>0</v>
      </c>
      <c r="S464" s="125">
        <f>IFERROR(VLOOKUP($L464,'2-2 引出数据_合同数据仓库'!$B$2:$BP$1000,4,FALSE),0)</f>
        <v>0</v>
      </c>
      <c r="T464" s="125"/>
      <c r="U464" s="125">
        <f>IFERROR(VLOOKUP($L464,'2-2 引出数据_合同数据仓库'!$B$2:$BP$1000,15,FALSE),0)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customHeight="1" outlineLevel="4" spans="1:95">
      <c r="A465" s="126" t="s">
        <v>2821</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customHeight="1" outlineLevel="2" spans="1:95">
      <c r="A466" s="47"/>
      <c r="B466" s="115" t="s">
        <v>799</v>
      </c>
      <c r="C466" s="116" t="s">
        <v>1572</v>
      </c>
      <c r="D466" s="47" t="s">
        <v>1573</v>
      </c>
      <c r="E466" s="115" t="s">
        <v>1574</v>
      </c>
      <c r="F466" s="115"/>
      <c r="G466" s="115" t="s">
        <v>943</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引出数据_合同数据仓库'!$B$2:$BP$1000,3,FALSE),0)</f>
        <v>0</v>
      </c>
      <c r="N467" s="125"/>
      <c r="O467" s="151">
        <f>IFERROR(VLOOKUP((LEFT(VLOOKUP($L467,'2-2 引出数据_合同数据仓库'!$B$2:$BP$1000,64,FALSE),15)&amp;(RIGHT(VLOOKUP($L467,'2-2 引出数据_合同数据仓库'!$B$2:$BP$1000,64,FALSE),4)+1)),'2-2 引出数据_合同数据仓库'!$B$2:$BP$1000,3,FALSE),0)</f>
        <v>0</v>
      </c>
      <c r="P467" s="125"/>
      <c r="Q467" s="125">
        <f>IFERROR(VLOOKUP($L467,'2-2 引出数据_合同数据仓库'!$B$2:$BP$1000,28,FALSE),0)</f>
        <v>0</v>
      </c>
      <c r="R467" s="125">
        <f>IFERROR(VLOOKUP($L467,'2-2 引出数据_合同数据仓库'!$B$2:$BP$1000,29,FALSE),0)</f>
        <v>0</v>
      </c>
      <c r="S467" s="125">
        <f>IFERROR(VLOOKUP($L467,'2-2 引出数据_合同数据仓库'!$B$2:$BP$1000,4,FALSE),0)</f>
        <v>0</v>
      </c>
      <c r="T467" s="125"/>
      <c r="U467" s="125">
        <f>IFERROR(VLOOKUP($L467,'2-2 引出数据_合同数据仓库'!$B$2:$BP$1000,15,FALSE),0)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引出数据_合同数据仓库'!$B$2:$BP$1000,3,FALSE),0)</f>
        <v>0</v>
      </c>
      <c r="N468" s="125"/>
      <c r="O468" s="151">
        <f>IFERROR(VLOOKUP((LEFT(VLOOKUP($L468,'2-2 引出数据_合同数据仓库'!$B$2:$BP$1000,64,FALSE),15)&amp;(RIGHT(VLOOKUP($L468,'2-2 引出数据_合同数据仓库'!$B$2:$BP$1000,64,FALSE),4)+1)),'2-2 引出数据_合同数据仓库'!$B$2:$BP$1000,3,FALSE),0)</f>
        <v>0</v>
      </c>
      <c r="P468" s="125"/>
      <c r="Q468" s="125">
        <f>IFERROR(VLOOKUP($L468,'2-2 引出数据_合同数据仓库'!$B$2:$BP$1000,28,FALSE),0)</f>
        <v>0</v>
      </c>
      <c r="R468" s="125">
        <f>IFERROR(VLOOKUP($L468,'2-2 引出数据_合同数据仓库'!$B$2:$BP$1000,29,FALSE),0)</f>
        <v>0</v>
      </c>
      <c r="S468" s="125">
        <f>IFERROR(VLOOKUP($L468,'2-2 引出数据_合同数据仓库'!$B$2:$BP$1000,4,FALSE),0)</f>
        <v>0</v>
      </c>
      <c r="T468" s="125"/>
      <c r="U468" s="125">
        <f>IFERROR(VLOOKUP($L468,'2-2 引出数据_合同数据仓库'!$B$2:$BP$1000,15,FALSE),0)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引出数据_合同数据仓库'!$B$2:$BP$1000,3,FALSE),0)</f>
        <v>0</v>
      </c>
      <c r="N469" s="125"/>
      <c r="O469" s="151">
        <f>IFERROR(VLOOKUP((LEFT(VLOOKUP($L469,'2-2 引出数据_合同数据仓库'!$B$2:$BP$1000,64,FALSE),15)&amp;(RIGHT(VLOOKUP($L469,'2-2 引出数据_合同数据仓库'!$B$2:$BP$1000,64,FALSE),4)+1)),'2-2 引出数据_合同数据仓库'!$B$2:$BP$1000,3,FALSE),0)</f>
        <v>0</v>
      </c>
      <c r="P469" s="125"/>
      <c r="Q469" s="125">
        <f>IFERROR(VLOOKUP($L469,'2-2 引出数据_合同数据仓库'!$B$2:$BP$1000,28,FALSE),0)</f>
        <v>0</v>
      </c>
      <c r="R469" s="125">
        <f>IFERROR(VLOOKUP($L469,'2-2 引出数据_合同数据仓库'!$B$2:$BP$1000,29,FALSE),0)</f>
        <v>0</v>
      </c>
      <c r="S469" s="125">
        <f>IFERROR(VLOOKUP($L469,'2-2 引出数据_合同数据仓库'!$B$2:$BP$1000,4,FALSE),0)</f>
        <v>0</v>
      </c>
      <c r="T469" s="125"/>
      <c r="U469" s="125">
        <f>IFERROR(VLOOKUP($L469,'2-2 引出数据_合同数据仓库'!$B$2:$BP$1000,15,FALSE),0)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customHeight="1" outlineLevel="3" spans="1:95">
      <c r="A470" s="122"/>
      <c r="B470" s="123"/>
      <c r="C470" s="124"/>
      <c r="D470" s="122"/>
      <c r="E470" s="123"/>
      <c r="F470" s="123"/>
      <c r="G470" s="123"/>
      <c r="H470" s="125"/>
      <c r="I470" s="125"/>
      <c r="J470" s="125">
        <f t="shared" si="5367"/>
        <v>0</v>
      </c>
      <c r="K470" s="125">
        <f t="shared" si="5511"/>
        <v>4</v>
      </c>
      <c r="L470" s="150"/>
      <c r="M470" s="151">
        <f>IFERROR(VLOOKUP($L470,'2-2 引出数据_合同数据仓库'!$B$2:$BP$1000,3,FALSE),0)</f>
        <v>0</v>
      </c>
      <c r="N470" s="125"/>
      <c r="O470" s="151">
        <f>IFERROR(VLOOKUP((LEFT(VLOOKUP($L470,'2-2 引出数据_合同数据仓库'!$B$2:$BP$1000,64,FALSE),15)&amp;(RIGHT(VLOOKUP($L470,'2-2 引出数据_合同数据仓库'!$B$2:$BP$1000,64,FALSE),4)+1)),'2-2 引出数据_合同数据仓库'!$B$2:$BP$1000,3,FALSE),0)</f>
        <v>0</v>
      </c>
      <c r="P470" s="125"/>
      <c r="Q470" s="125">
        <f>IFERROR(VLOOKUP($L470,'2-2 引出数据_合同数据仓库'!$B$2:$BP$1000,28,FALSE),0)</f>
        <v>0</v>
      </c>
      <c r="R470" s="125">
        <f>IFERROR(VLOOKUP($L470,'2-2 引出数据_合同数据仓库'!$B$2:$BP$1000,29,FALSE),0)</f>
        <v>0</v>
      </c>
      <c r="S470" s="125">
        <f>IFERROR(VLOOKUP($L470,'2-2 引出数据_合同数据仓库'!$B$2:$BP$1000,4,FALSE),0)</f>
        <v>0</v>
      </c>
      <c r="T470" s="125"/>
      <c r="U470" s="125">
        <f>IFERROR(VLOOKUP($L470,'2-2 引出数据_合同数据仓库'!$B$2:$BP$1000,15,FALSE),0)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customHeight="1" outlineLevel="4" spans="1:95">
      <c r="A471" s="126" t="s">
        <v>2821</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customHeight="1" outlineLevel="2" spans="1:95">
      <c r="A472" s="47"/>
      <c r="B472" s="115" t="s">
        <v>799</v>
      </c>
      <c r="C472" s="116" t="s">
        <v>1575</v>
      </c>
      <c r="D472" s="47" t="s">
        <v>1576</v>
      </c>
      <c r="E472" s="115" t="s">
        <v>1577</v>
      </c>
      <c r="F472" s="115"/>
      <c r="G472" s="115" t="s">
        <v>943</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引出数据_合同数据仓库'!$B$2:$BP$1000,3,FALSE),0)</f>
        <v>0</v>
      </c>
      <c r="N473" s="125"/>
      <c r="O473" s="151">
        <f>IFERROR(VLOOKUP((LEFT(VLOOKUP($L473,'2-2 引出数据_合同数据仓库'!$B$2:$BP$1000,64,FALSE),15)&amp;(RIGHT(VLOOKUP($L473,'2-2 引出数据_合同数据仓库'!$B$2:$BP$1000,64,FALSE),4)+1)),'2-2 引出数据_合同数据仓库'!$B$2:$BP$1000,3,FALSE),0)</f>
        <v>0</v>
      </c>
      <c r="P473" s="125"/>
      <c r="Q473" s="125">
        <f>IFERROR(VLOOKUP($L473,'2-2 引出数据_合同数据仓库'!$B$2:$BP$1000,28,FALSE),0)</f>
        <v>0</v>
      </c>
      <c r="R473" s="125">
        <f>IFERROR(VLOOKUP($L473,'2-2 引出数据_合同数据仓库'!$B$2:$BP$1000,29,FALSE),0)</f>
        <v>0</v>
      </c>
      <c r="S473" s="125">
        <f>IFERROR(VLOOKUP($L473,'2-2 引出数据_合同数据仓库'!$B$2:$BP$1000,4,FALSE),0)</f>
        <v>0</v>
      </c>
      <c r="T473" s="125"/>
      <c r="U473" s="125">
        <f>IFERROR(VLOOKUP($L473,'2-2 引出数据_合同数据仓库'!$B$2:$BP$1000,15,FALSE),0)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引出数据_合同数据仓库'!$B$2:$BP$1000,3,FALSE),0)</f>
        <v>0</v>
      </c>
      <c r="N474" s="125"/>
      <c r="O474" s="151">
        <f>IFERROR(VLOOKUP((LEFT(VLOOKUP($L474,'2-2 引出数据_合同数据仓库'!$B$2:$BP$1000,64,FALSE),15)&amp;(RIGHT(VLOOKUP($L474,'2-2 引出数据_合同数据仓库'!$B$2:$BP$1000,64,FALSE),4)+1)),'2-2 引出数据_合同数据仓库'!$B$2:$BP$1000,3,FALSE),0)</f>
        <v>0</v>
      </c>
      <c r="P474" s="125"/>
      <c r="Q474" s="125">
        <f>IFERROR(VLOOKUP($L474,'2-2 引出数据_合同数据仓库'!$B$2:$BP$1000,28,FALSE),0)</f>
        <v>0</v>
      </c>
      <c r="R474" s="125">
        <f>IFERROR(VLOOKUP($L474,'2-2 引出数据_合同数据仓库'!$B$2:$BP$1000,29,FALSE),0)</f>
        <v>0</v>
      </c>
      <c r="S474" s="125">
        <f>IFERROR(VLOOKUP($L474,'2-2 引出数据_合同数据仓库'!$B$2:$BP$1000,4,FALSE),0)</f>
        <v>0</v>
      </c>
      <c r="T474" s="125"/>
      <c r="U474" s="125">
        <f>IFERROR(VLOOKUP($L474,'2-2 引出数据_合同数据仓库'!$B$2:$BP$1000,15,FALSE),0)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引出数据_合同数据仓库'!$B$2:$BP$1000,3,FALSE),0)</f>
        <v>0</v>
      </c>
      <c r="N475" s="125"/>
      <c r="O475" s="151">
        <f>IFERROR(VLOOKUP((LEFT(VLOOKUP($L475,'2-2 引出数据_合同数据仓库'!$B$2:$BP$1000,64,FALSE),15)&amp;(RIGHT(VLOOKUP($L475,'2-2 引出数据_合同数据仓库'!$B$2:$BP$1000,64,FALSE),4)+1)),'2-2 引出数据_合同数据仓库'!$B$2:$BP$1000,3,FALSE),0)</f>
        <v>0</v>
      </c>
      <c r="P475" s="125"/>
      <c r="Q475" s="125">
        <f>IFERROR(VLOOKUP($L475,'2-2 引出数据_合同数据仓库'!$B$2:$BP$1000,28,FALSE),0)</f>
        <v>0</v>
      </c>
      <c r="R475" s="125">
        <f>IFERROR(VLOOKUP($L475,'2-2 引出数据_合同数据仓库'!$B$2:$BP$1000,29,FALSE),0)</f>
        <v>0</v>
      </c>
      <c r="S475" s="125">
        <f>IFERROR(VLOOKUP($L475,'2-2 引出数据_合同数据仓库'!$B$2:$BP$1000,4,FALSE),0)</f>
        <v>0</v>
      </c>
      <c r="T475" s="125"/>
      <c r="U475" s="125">
        <f>IFERROR(VLOOKUP($L475,'2-2 引出数据_合同数据仓库'!$B$2:$BP$1000,15,FALSE),0)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customHeight="1" outlineLevel="3" spans="1:95">
      <c r="A476" s="122"/>
      <c r="B476" s="123"/>
      <c r="C476" s="124"/>
      <c r="D476" s="122"/>
      <c r="E476" s="123"/>
      <c r="F476" s="123"/>
      <c r="G476" s="123"/>
      <c r="H476" s="125"/>
      <c r="I476" s="125"/>
      <c r="J476" s="125">
        <f t="shared" si="5367"/>
        <v>0</v>
      </c>
      <c r="K476" s="125">
        <f t="shared" si="5583"/>
        <v>4</v>
      </c>
      <c r="L476" s="150"/>
      <c r="M476" s="151">
        <f>IFERROR(VLOOKUP($L476,'2-2 引出数据_合同数据仓库'!$B$2:$BP$1000,3,FALSE),0)</f>
        <v>0</v>
      </c>
      <c r="N476" s="125"/>
      <c r="O476" s="151">
        <f>IFERROR(VLOOKUP((LEFT(VLOOKUP($L476,'2-2 引出数据_合同数据仓库'!$B$2:$BP$1000,64,FALSE),15)&amp;(RIGHT(VLOOKUP($L476,'2-2 引出数据_合同数据仓库'!$B$2:$BP$1000,64,FALSE),4)+1)),'2-2 引出数据_合同数据仓库'!$B$2:$BP$1000,3,FALSE),0)</f>
        <v>0</v>
      </c>
      <c r="P476" s="125"/>
      <c r="Q476" s="125">
        <f>IFERROR(VLOOKUP($L476,'2-2 引出数据_合同数据仓库'!$B$2:$BP$1000,28,FALSE),0)</f>
        <v>0</v>
      </c>
      <c r="R476" s="125">
        <f>IFERROR(VLOOKUP($L476,'2-2 引出数据_合同数据仓库'!$B$2:$BP$1000,29,FALSE),0)</f>
        <v>0</v>
      </c>
      <c r="S476" s="125">
        <f>IFERROR(VLOOKUP($L476,'2-2 引出数据_合同数据仓库'!$B$2:$BP$1000,4,FALSE),0)</f>
        <v>0</v>
      </c>
      <c r="T476" s="125"/>
      <c r="U476" s="125">
        <f>IFERROR(VLOOKUP($L476,'2-2 引出数据_合同数据仓库'!$B$2:$BP$1000,15,FALSE),0)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customHeight="1" outlineLevel="4" spans="1:95">
      <c r="A477" s="126" t="s">
        <v>2821</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customHeight="1" outlineLevel="2" spans="1:95">
      <c r="A478" s="47"/>
      <c r="B478" s="115" t="s">
        <v>799</v>
      </c>
      <c r="C478" s="116" t="s">
        <v>1578</v>
      </c>
      <c r="D478" s="47" t="s">
        <v>1579</v>
      </c>
      <c r="E478" s="115"/>
      <c r="F478" s="115"/>
      <c r="G478" s="115" t="s">
        <v>943</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customHeight="1" outlineLevel="3" spans="1:95">
      <c r="A479" s="122"/>
      <c r="B479" s="123"/>
      <c r="C479" s="124" t="s">
        <v>1580</v>
      </c>
      <c r="D479" s="122" t="s">
        <v>2838</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引出数据_合同数据仓库'!$B$2:$BP$1000,3,FALSE),0)</f>
        <v>0</v>
      </c>
      <c r="N480" s="125"/>
      <c r="O480" s="151">
        <f>IFERROR(VLOOKUP((LEFT(VLOOKUP($L480,'2-2 引出数据_合同数据仓库'!$B$2:$BP$1000,64,FALSE),15)&amp;(RIGHT(VLOOKUP($L480,'2-2 引出数据_合同数据仓库'!$B$2:$BP$1000,64,FALSE),4)+1)),'2-2 引出数据_合同数据仓库'!$B$2:$BP$1000,3,FALSE),0)</f>
        <v>0</v>
      </c>
      <c r="P480" s="125"/>
      <c r="Q480" s="125">
        <f>IFERROR(VLOOKUP($L480,'2-2 引出数据_合同数据仓库'!$B$2:$BP$1000,28,FALSE),0)</f>
        <v>0</v>
      </c>
      <c r="R480" s="125">
        <f>IFERROR(VLOOKUP($L480,'2-2 引出数据_合同数据仓库'!$B$2:$BP$1000,29,FALSE),0)</f>
        <v>0</v>
      </c>
      <c r="S480" s="125">
        <f>IFERROR(VLOOKUP($L480,'2-2 引出数据_合同数据仓库'!$B$2:$BP$1000,4,FALSE),0)</f>
        <v>0</v>
      </c>
      <c r="T480" s="125"/>
      <c r="U480" s="125">
        <f>IFERROR(VLOOKUP($L480,'2-2 引出数据_合同数据仓库'!$B$2:$BP$1000,15,FALSE),0)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引出数据_合同数据仓库'!$B$2:$BP$1000,3,FALSE),0)</f>
        <v>0</v>
      </c>
      <c r="N481" s="125"/>
      <c r="O481" s="151">
        <f>IFERROR(VLOOKUP((LEFT(VLOOKUP($L481,'2-2 引出数据_合同数据仓库'!$B$2:$BP$1000,64,FALSE),15)&amp;(RIGHT(VLOOKUP($L481,'2-2 引出数据_合同数据仓库'!$B$2:$BP$1000,64,FALSE),4)+1)),'2-2 引出数据_合同数据仓库'!$B$2:$BP$1000,3,FALSE),0)</f>
        <v>0</v>
      </c>
      <c r="P481" s="125"/>
      <c r="Q481" s="125">
        <f>IFERROR(VLOOKUP($L481,'2-2 引出数据_合同数据仓库'!$B$2:$BP$1000,28,FALSE),0)</f>
        <v>0</v>
      </c>
      <c r="R481" s="125">
        <f>IFERROR(VLOOKUP($L481,'2-2 引出数据_合同数据仓库'!$B$2:$BP$1000,29,FALSE),0)</f>
        <v>0</v>
      </c>
      <c r="S481" s="125">
        <f>IFERROR(VLOOKUP($L481,'2-2 引出数据_合同数据仓库'!$B$2:$BP$1000,4,FALSE),0)</f>
        <v>0</v>
      </c>
      <c r="T481" s="125"/>
      <c r="U481" s="125">
        <f>IFERROR(VLOOKUP($L481,'2-2 引出数据_合同数据仓库'!$B$2:$BP$1000,15,FALSE),0)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customHeight="1" outlineLevel="3" spans="1:95">
      <c r="A482" s="122"/>
      <c r="B482" s="123"/>
      <c r="C482" s="124"/>
      <c r="D482" s="122"/>
      <c r="E482" s="123"/>
      <c r="F482" s="123"/>
      <c r="G482" s="123"/>
      <c r="H482" s="125"/>
      <c r="I482" s="125"/>
      <c r="J482" s="125">
        <f t="shared" si="5367"/>
        <v>0</v>
      </c>
      <c r="K482" s="125">
        <f t="shared" si="5619"/>
        <v>3</v>
      </c>
      <c r="L482" s="150"/>
      <c r="M482" s="151">
        <f>IFERROR(VLOOKUP($L482,'2-2 引出数据_合同数据仓库'!$B$2:$BP$1000,3,FALSE),0)</f>
        <v>0</v>
      </c>
      <c r="N482" s="125"/>
      <c r="O482" s="151">
        <f>IFERROR(VLOOKUP((LEFT(VLOOKUP($L482,'2-2 引出数据_合同数据仓库'!$B$2:$BP$1000,64,FALSE),15)&amp;(RIGHT(VLOOKUP($L482,'2-2 引出数据_合同数据仓库'!$B$2:$BP$1000,64,FALSE),4)+1)),'2-2 引出数据_合同数据仓库'!$B$2:$BP$1000,3,FALSE),0)</f>
        <v>0</v>
      </c>
      <c r="P482" s="125"/>
      <c r="Q482" s="125">
        <f>IFERROR(VLOOKUP($L482,'2-2 引出数据_合同数据仓库'!$B$2:$BP$1000,28,FALSE),0)</f>
        <v>0</v>
      </c>
      <c r="R482" s="125">
        <f>IFERROR(VLOOKUP($L482,'2-2 引出数据_合同数据仓库'!$B$2:$BP$1000,29,FALSE),0)</f>
        <v>0</v>
      </c>
      <c r="S482" s="125">
        <f>IFERROR(VLOOKUP($L482,'2-2 引出数据_合同数据仓库'!$B$2:$BP$1000,4,FALSE),0)</f>
        <v>0</v>
      </c>
      <c r="T482" s="125"/>
      <c r="U482" s="125">
        <f>IFERROR(VLOOKUP($L482,'2-2 引出数据_合同数据仓库'!$B$2:$BP$1000,15,FALSE),0)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customHeight="1" outlineLevel="4" spans="1:95">
      <c r="A483" s="126" t="s">
        <v>2821</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customHeight="1" outlineLevel="2" spans="1:95">
      <c r="A484" s="47"/>
      <c r="B484" s="115" t="s">
        <v>799</v>
      </c>
      <c r="C484" s="116" t="s">
        <v>1596</v>
      </c>
      <c r="D484" s="47" t="s">
        <v>1597</v>
      </c>
      <c r="E484" s="115" t="s">
        <v>1598</v>
      </c>
      <c r="F484" s="115"/>
      <c r="G484" s="115" t="s">
        <v>943</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customHeight="1" outlineLevel="3" spans="1:95">
      <c r="A485" s="122"/>
      <c r="B485" s="123"/>
      <c r="C485" s="124"/>
      <c r="D485" s="122"/>
      <c r="E485" s="123"/>
      <c r="F485" s="123"/>
      <c r="G485" s="123"/>
      <c r="H485" s="125"/>
      <c r="I485" s="125"/>
      <c r="J485" s="125">
        <f t="shared" si="5367"/>
        <v>0</v>
      </c>
      <c r="K485" s="125">
        <v>1</v>
      </c>
      <c r="L485" s="150"/>
      <c r="M485" s="151">
        <f>IFERROR(VLOOKUP($L485,'2-2 引出数据_合同数据仓库'!$B$2:$BP$1000,3,FALSE),0)</f>
        <v>0</v>
      </c>
      <c r="N485" s="125"/>
      <c r="O485" s="151">
        <f>IFERROR(VLOOKUP((LEFT(VLOOKUP($L485,'2-2 引出数据_合同数据仓库'!$B$2:$BP$1000,64,FALSE),15)&amp;(RIGHT(VLOOKUP($L485,'2-2 引出数据_合同数据仓库'!$B$2:$BP$1000,64,FALSE),4)+1)),'2-2 引出数据_合同数据仓库'!$B$2:$BP$1000,3,FALSE),0)</f>
        <v>0</v>
      </c>
      <c r="P485" s="125"/>
      <c r="Q485" s="125">
        <f>IFERROR(VLOOKUP($L485,'2-2 引出数据_合同数据仓库'!$B$2:$BP$1000,28,FALSE),0)</f>
        <v>0</v>
      </c>
      <c r="R485" s="125">
        <f>IFERROR(VLOOKUP($L485,'2-2 引出数据_合同数据仓库'!$B$2:$BP$1000,29,FALSE),0)</f>
        <v>0</v>
      </c>
      <c r="S485" s="125">
        <f>IFERROR(VLOOKUP($L485,'2-2 引出数据_合同数据仓库'!$B$2:$BP$1000,4,FALSE),0)</f>
        <v>0</v>
      </c>
      <c r="T485" s="125"/>
      <c r="U485" s="125">
        <f>IFERROR(VLOOKUP($L485,'2-2 引出数据_合同数据仓库'!$B$2:$BP$1000,15,FALSE),0)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引出数据_合同数据仓库'!$B$2:$BP$1000,3,FALSE),0)</f>
        <v>0</v>
      </c>
      <c r="N486" s="125"/>
      <c r="O486" s="151">
        <f>IFERROR(VLOOKUP((LEFT(VLOOKUP($L486,'2-2 引出数据_合同数据仓库'!$B$2:$BP$1000,64,FALSE),15)&amp;(RIGHT(VLOOKUP($L486,'2-2 引出数据_合同数据仓库'!$B$2:$BP$1000,64,FALSE),4)+1)),'2-2 引出数据_合同数据仓库'!$B$2:$BP$1000,3,FALSE),0)</f>
        <v>0</v>
      </c>
      <c r="P486" s="125"/>
      <c r="Q486" s="125">
        <f>IFERROR(VLOOKUP($L486,'2-2 引出数据_合同数据仓库'!$B$2:$BP$1000,28,FALSE),0)</f>
        <v>0</v>
      </c>
      <c r="R486" s="125">
        <f>IFERROR(VLOOKUP($L486,'2-2 引出数据_合同数据仓库'!$B$2:$BP$1000,29,FALSE),0)</f>
        <v>0</v>
      </c>
      <c r="S486" s="125">
        <f>IFERROR(VLOOKUP($L486,'2-2 引出数据_合同数据仓库'!$B$2:$BP$1000,4,FALSE),0)</f>
        <v>0</v>
      </c>
      <c r="T486" s="125"/>
      <c r="U486" s="125">
        <f>IFERROR(VLOOKUP($L486,'2-2 引出数据_合同数据仓库'!$B$2:$BP$1000,15,FALSE),0)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引出数据_合同数据仓库'!$B$2:$BP$1000,3,FALSE),0)</f>
        <v>0</v>
      </c>
      <c r="N487" s="125"/>
      <c r="O487" s="151">
        <f>IFERROR(VLOOKUP((LEFT(VLOOKUP($L487,'2-2 引出数据_合同数据仓库'!$B$2:$BP$1000,64,FALSE),15)&amp;(RIGHT(VLOOKUP($L487,'2-2 引出数据_合同数据仓库'!$B$2:$BP$1000,64,FALSE),4)+1)),'2-2 引出数据_合同数据仓库'!$B$2:$BP$1000,3,FALSE),0)</f>
        <v>0</v>
      </c>
      <c r="P487" s="125"/>
      <c r="Q487" s="125">
        <f>IFERROR(VLOOKUP($L487,'2-2 引出数据_合同数据仓库'!$B$2:$BP$1000,28,FALSE),0)</f>
        <v>0</v>
      </c>
      <c r="R487" s="125">
        <f>IFERROR(VLOOKUP($L487,'2-2 引出数据_合同数据仓库'!$B$2:$BP$1000,29,FALSE),0)</f>
        <v>0</v>
      </c>
      <c r="S487" s="125">
        <f>IFERROR(VLOOKUP($L487,'2-2 引出数据_合同数据仓库'!$B$2:$BP$1000,4,FALSE),0)</f>
        <v>0</v>
      </c>
      <c r="T487" s="125"/>
      <c r="U487" s="125">
        <f>IFERROR(VLOOKUP($L487,'2-2 引出数据_合同数据仓库'!$B$2:$BP$1000,15,FALSE),0)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customHeight="1" outlineLevel="3" spans="1:95">
      <c r="A488" s="122"/>
      <c r="B488" s="123"/>
      <c r="C488" s="124"/>
      <c r="D488" s="122"/>
      <c r="E488" s="123"/>
      <c r="F488" s="123"/>
      <c r="G488" s="123"/>
      <c r="H488" s="125"/>
      <c r="I488" s="125"/>
      <c r="J488" s="125">
        <f t="shared" si="5367"/>
        <v>0</v>
      </c>
      <c r="K488" s="125">
        <f t="shared" si="5762"/>
        <v>4</v>
      </c>
      <c r="L488" s="150"/>
      <c r="M488" s="151">
        <f>IFERROR(VLOOKUP($L488,'2-2 引出数据_合同数据仓库'!$B$2:$BP$1000,3,FALSE),0)</f>
        <v>0</v>
      </c>
      <c r="N488" s="125"/>
      <c r="O488" s="151">
        <f>IFERROR(VLOOKUP((LEFT(VLOOKUP($L488,'2-2 引出数据_合同数据仓库'!$B$2:$BP$1000,64,FALSE),15)&amp;(RIGHT(VLOOKUP($L488,'2-2 引出数据_合同数据仓库'!$B$2:$BP$1000,64,FALSE),4)+1)),'2-2 引出数据_合同数据仓库'!$B$2:$BP$1000,3,FALSE),0)</f>
        <v>0</v>
      </c>
      <c r="P488" s="125"/>
      <c r="Q488" s="125">
        <f>IFERROR(VLOOKUP($L488,'2-2 引出数据_合同数据仓库'!$B$2:$BP$1000,28,FALSE),0)</f>
        <v>0</v>
      </c>
      <c r="R488" s="125">
        <f>IFERROR(VLOOKUP($L488,'2-2 引出数据_合同数据仓库'!$B$2:$BP$1000,29,FALSE),0)</f>
        <v>0</v>
      </c>
      <c r="S488" s="125">
        <f>IFERROR(VLOOKUP($L488,'2-2 引出数据_合同数据仓库'!$B$2:$BP$1000,4,FALSE),0)</f>
        <v>0</v>
      </c>
      <c r="T488" s="125"/>
      <c r="U488" s="125">
        <f>IFERROR(VLOOKUP($L488,'2-2 引出数据_合同数据仓库'!$B$2:$BP$1000,15,FALSE),0)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customHeight="1" outlineLevel="4" spans="1:95">
      <c r="A489" s="126" t="s">
        <v>2821</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customHeight="1" outlineLevel="2" spans="1:95">
      <c r="A490" s="47"/>
      <c r="B490" s="115" t="s">
        <v>799</v>
      </c>
      <c r="C490" s="116" t="s">
        <v>1599</v>
      </c>
      <c r="D490" s="47" t="s">
        <v>1600</v>
      </c>
      <c r="E490" s="115" t="s">
        <v>1601</v>
      </c>
      <c r="F490" s="115"/>
      <c r="G490" s="115" t="s">
        <v>943</v>
      </c>
      <c r="H490" s="117">
        <f>X490+AA490+AD490+AG490+AJ490+AM490+AP490+AS490+AV490+AY490+BB490+BE490</f>
        <v>0</v>
      </c>
      <c r="I490" s="117">
        <f>Y490+AB490+AE490+AH490+AK490+AN490+AQ490+AT490+AW490+AZ490+BC490+BF490</f>
        <v>0</v>
      </c>
      <c r="J490" s="117">
        <f t="shared" si="5367"/>
        <v>0</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0</v>
      </c>
      <c r="AR490" s="117">
        <f>SUM(AR491:AR495)</f>
        <v>0</v>
      </c>
      <c r="AS490" s="117">
        <f>VLOOKUP($C490,'1 预算编制表单'!$C:$BJ,48,FALSE)</f>
        <v>0</v>
      </c>
      <c r="AT490" s="117">
        <f>AS490-AU490</f>
        <v>0</v>
      </c>
      <c r="AU490" s="117">
        <f>SUM(AU491:AU495)</f>
        <v>0</v>
      </c>
      <c r="AV490" s="117">
        <f>VLOOKUP($C490,'1 预算编制表单'!$C:$BJ,51,FALSE)</f>
        <v>0</v>
      </c>
      <c r="AW490" s="117">
        <f>AV490-AX490</f>
        <v>0</v>
      </c>
      <c r="AX490" s="117">
        <f>SUM(AX491:AX495)</f>
        <v>0</v>
      </c>
      <c r="AY490" s="117">
        <f>VLOOKUP($C490,'1 预算编制表单'!$C:$BJ,54,FALSE)</f>
        <v>0</v>
      </c>
      <c r="AZ490" s="117">
        <f>AY490-BA490</f>
        <v>0</v>
      </c>
      <c r="BA490" s="117">
        <f>SUM(BA491:BA495)</f>
        <v>0</v>
      </c>
      <c r="BB490" s="117">
        <f>VLOOKUP($C490,'1 预算编制表单'!$C:$BJ,57,FALSE)</f>
        <v>0</v>
      </c>
      <c r="BC490" s="117">
        <f>BB490-BD490</f>
        <v>0</v>
      </c>
      <c r="BD490" s="117">
        <f>SUM(BD491:BD495)</f>
        <v>0</v>
      </c>
      <c r="BE490" s="117">
        <f>VLOOKUP($C490,'1 预算编制表单'!$C:$BJ,60,FALSE)</f>
        <v>0</v>
      </c>
      <c r="BF490" s="117">
        <f>BE490-BG490</f>
        <v>0</v>
      </c>
      <c r="BG490" s="117">
        <f>SUM(BG491:BG495)</f>
        <v>0</v>
      </c>
      <c r="BH490" s="117">
        <f>VLOOKUP($C490,'1 预算编制表单'!$C:$BJ,27,FALSE)</f>
        <v>0</v>
      </c>
      <c r="BI490" s="117">
        <f>BH490-BJ490</f>
        <v>0</v>
      </c>
      <c r="BJ490" s="117">
        <f>SUM(BJ491:BJ495)</f>
        <v>0</v>
      </c>
      <c r="BK490" s="117">
        <f>VLOOKUP($C490,'1 预算编制表单'!$C:$BJ,30,FALSE)</f>
        <v>0</v>
      </c>
      <c r="BL490" s="117">
        <f>BK490-BM490</f>
        <v>0</v>
      </c>
      <c r="BM490" s="117">
        <f>SUM(BM491:BM495)</f>
        <v>0</v>
      </c>
      <c r="BN490" s="117">
        <f>VLOOKUP($C490,'1 预算编制表单'!$C:$BJ,33,FALSE)</f>
        <v>0</v>
      </c>
      <c r="BO490" s="117">
        <f>BN490-BP490</f>
        <v>0</v>
      </c>
      <c r="BP490" s="117">
        <f>SUM(BP491:BP495)</f>
        <v>0</v>
      </c>
      <c r="BQ490" s="117">
        <f>VLOOKUP($C490,'1 预算编制表单'!$C:$BJ,36,FALSE)</f>
        <v>0</v>
      </c>
      <c r="BR490" s="117">
        <f>BQ490-BS490</f>
        <v>0</v>
      </c>
      <c r="BS490" s="117">
        <f>SUM(BS491:BS495)</f>
        <v>0</v>
      </c>
      <c r="BT490" s="117">
        <f>VLOOKUP($C490,'1 预算编制表单'!$C:$BJ,39,FALSE)</f>
        <v>0</v>
      </c>
      <c r="BU490" s="117">
        <f>BT490-BV490</f>
        <v>0</v>
      </c>
      <c r="BV490" s="117">
        <f>SUM(BV491:BV495)</f>
        <v>0</v>
      </c>
      <c r="BW490" s="117">
        <f>VLOOKUP($C490,'1 预算编制表单'!$C:$BJ,42,FALSE)</f>
        <v>0</v>
      </c>
      <c r="BX490" s="117">
        <f>BW490-BY490</f>
        <v>0</v>
      </c>
      <c r="BY490" s="117">
        <f>SUM(BY491:BY495)</f>
        <v>0</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customHeight="1" outlineLevel="3" spans="1:95">
      <c r="A491" s="122"/>
      <c r="B491" s="123"/>
      <c r="C491" s="124"/>
      <c r="D491" s="122"/>
      <c r="E491" s="123"/>
      <c r="F491" s="123"/>
      <c r="G491" s="123"/>
      <c r="H491" s="125"/>
      <c r="I491" s="125"/>
      <c r="J491" s="125">
        <f t="shared" si="5367"/>
        <v>0</v>
      </c>
      <c r="K491" s="125">
        <v>1</v>
      </c>
      <c r="L491" s="150"/>
      <c r="M491" s="151">
        <f>IFERROR(VLOOKUP($L491,'2-2 引出数据_合同数据仓库'!$B$2:$BP$1000,3,FALSE),0)</f>
        <v>0</v>
      </c>
      <c r="N491" s="125"/>
      <c r="O491" s="151">
        <f>IFERROR(VLOOKUP((LEFT(VLOOKUP($L491,'2-2 引出数据_合同数据仓库'!$B$2:$BP$1000,64,FALSE),15)&amp;(RIGHT(VLOOKUP($L491,'2-2 引出数据_合同数据仓库'!$B$2:$BP$1000,64,FALSE),4)+1)),'2-2 引出数据_合同数据仓库'!$B$2:$BP$1000,3,FALSE),0)</f>
        <v>0</v>
      </c>
      <c r="P491" s="125"/>
      <c r="Q491" s="125">
        <f>IFERROR(VLOOKUP($L491,'2-2 引出数据_合同数据仓库'!$B$2:$BP$1000,28,FALSE),0)</f>
        <v>0</v>
      </c>
      <c r="R491" s="125">
        <f>IFERROR(VLOOKUP($L491,'2-2 引出数据_合同数据仓库'!$B$2:$BP$1000,29,FALSE),0)</f>
        <v>0</v>
      </c>
      <c r="S491" s="125">
        <f>IFERROR(VLOOKUP($L491,'2-2 引出数据_合同数据仓库'!$B$2:$BP$1000,4,FALSE),0)</f>
        <v>0</v>
      </c>
      <c r="T491" s="125"/>
      <c r="U491" s="125">
        <f>IFERROR(VLOOKUP($L491,'2-2 引出数据_合同数据仓库'!$B$2:$BP$1000,15,FALSE),0)</f>
        <v>0</v>
      </c>
      <c r="V491" s="125">
        <f t="shared" ref="V491:V494" si="5763">U491/(S491-R491+1)*365</f>
        <v>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0</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0</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0</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0</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0</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0</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0</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0</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0</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0</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0</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0</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引出数据_合同数据仓库'!$B$2:$BP$1000,3,FALSE),0)</f>
        <v>0</v>
      </c>
      <c r="N492" s="125"/>
      <c r="O492" s="151">
        <f>IFERROR(VLOOKUP((LEFT(VLOOKUP($L492,'2-2 引出数据_合同数据仓库'!$B$2:$BP$1000,64,FALSE),15)&amp;(RIGHT(VLOOKUP($L492,'2-2 引出数据_合同数据仓库'!$B$2:$BP$1000,64,FALSE),4)+1)),'2-2 引出数据_合同数据仓库'!$B$2:$BP$1000,3,FALSE),0)</f>
        <v>0</v>
      </c>
      <c r="P492" s="125"/>
      <c r="Q492" s="125">
        <f>IFERROR(VLOOKUP($L492,'2-2 引出数据_合同数据仓库'!$B$2:$BP$1000,28,FALSE),0)</f>
        <v>0</v>
      </c>
      <c r="R492" s="125">
        <f>IFERROR(VLOOKUP($L492,'2-2 引出数据_合同数据仓库'!$B$2:$BP$1000,29,FALSE),0)</f>
        <v>0</v>
      </c>
      <c r="S492" s="125">
        <f>IFERROR(VLOOKUP($L492,'2-2 引出数据_合同数据仓库'!$B$2:$BP$1000,4,FALSE),0)</f>
        <v>0</v>
      </c>
      <c r="T492" s="125"/>
      <c r="U492" s="125">
        <f>IFERROR(VLOOKUP($L492,'2-2 引出数据_合同数据仓库'!$B$2:$BP$1000,15,FALSE),0)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引出数据_合同数据仓库'!$B$2:$BP$1000,3,FALSE),0)</f>
        <v>0</v>
      </c>
      <c r="N493" s="125"/>
      <c r="O493" s="151">
        <f>IFERROR(VLOOKUP((LEFT(VLOOKUP($L493,'2-2 引出数据_合同数据仓库'!$B$2:$BP$1000,64,FALSE),15)&amp;(RIGHT(VLOOKUP($L493,'2-2 引出数据_合同数据仓库'!$B$2:$BP$1000,64,FALSE),4)+1)),'2-2 引出数据_合同数据仓库'!$B$2:$BP$1000,3,FALSE),0)</f>
        <v>0</v>
      </c>
      <c r="P493" s="125"/>
      <c r="Q493" s="125">
        <f>IFERROR(VLOOKUP($L493,'2-2 引出数据_合同数据仓库'!$B$2:$BP$1000,28,FALSE),0)</f>
        <v>0</v>
      </c>
      <c r="R493" s="125">
        <f>IFERROR(VLOOKUP($L493,'2-2 引出数据_合同数据仓库'!$B$2:$BP$1000,29,FALSE),0)</f>
        <v>0</v>
      </c>
      <c r="S493" s="125">
        <f>IFERROR(VLOOKUP($L493,'2-2 引出数据_合同数据仓库'!$B$2:$BP$1000,4,FALSE),0)</f>
        <v>0</v>
      </c>
      <c r="T493" s="125"/>
      <c r="U493" s="125">
        <f>IFERROR(VLOOKUP($L493,'2-2 引出数据_合同数据仓库'!$B$2:$BP$1000,15,FALSE),0)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customHeight="1" outlineLevel="3" spans="1:95">
      <c r="A494" s="122"/>
      <c r="B494" s="123"/>
      <c r="C494" s="124"/>
      <c r="D494" s="122"/>
      <c r="E494" s="123"/>
      <c r="F494" s="123"/>
      <c r="G494" s="123"/>
      <c r="H494" s="125"/>
      <c r="I494" s="125"/>
      <c r="J494" s="125">
        <f t="shared" si="5367"/>
        <v>0</v>
      </c>
      <c r="K494" s="125">
        <f t="shared" si="5834"/>
        <v>4</v>
      </c>
      <c r="L494" s="150"/>
      <c r="M494" s="151">
        <f>IFERROR(VLOOKUP($L494,'2-2 引出数据_合同数据仓库'!$B$2:$BP$1000,3,FALSE),0)</f>
        <v>0</v>
      </c>
      <c r="N494" s="125"/>
      <c r="O494" s="151">
        <f>IFERROR(VLOOKUP((LEFT(VLOOKUP($L494,'2-2 引出数据_合同数据仓库'!$B$2:$BP$1000,64,FALSE),15)&amp;(RIGHT(VLOOKUP($L494,'2-2 引出数据_合同数据仓库'!$B$2:$BP$1000,64,FALSE),4)+1)),'2-2 引出数据_合同数据仓库'!$B$2:$BP$1000,3,FALSE),0)</f>
        <v>0</v>
      </c>
      <c r="P494" s="125"/>
      <c r="Q494" s="125">
        <f>IFERROR(VLOOKUP($L494,'2-2 引出数据_合同数据仓库'!$B$2:$BP$1000,28,FALSE),0)</f>
        <v>0</v>
      </c>
      <c r="R494" s="125">
        <f>IFERROR(VLOOKUP($L494,'2-2 引出数据_合同数据仓库'!$B$2:$BP$1000,29,FALSE),0)</f>
        <v>0</v>
      </c>
      <c r="S494" s="125">
        <f>IFERROR(VLOOKUP($L494,'2-2 引出数据_合同数据仓库'!$B$2:$BP$1000,4,FALSE),0)</f>
        <v>0</v>
      </c>
      <c r="T494" s="125"/>
      <c r="U494" s="125">
        <f>IFERROR(VLOOKUP($L494,'2-2 引出数据_合同数据仓库'!$B$2:$BP$1000,15,FALSE),0)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customHeight="1" outlineLevel="4" spans="1:95">
      <c r="A495" s="126" t="s">
        <v>2821</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customHeight="1" outlineLevel="2" spans="1:95">
      <c r="A496" s="47"/>
      <c r="B496" s="115" t="s">
        <v>799</v>
      </c>
      <c r="C496" s="116" t="s">
        <v>1602</v>
      </c>
      <c r="D496" s="47" t="s">
        <v>1603</v>
      </c>
      <c r="E496" s="115"/>
      <c r="F496" s="115"/>
      <c r="G496" s="115"/>
      <c r="H496" s="117">
        <f>X496+AA496+AD496+AG496+AJ496+AM496+AP496+AS496+AV496+AY496+BB496+BE496</f>
        <v>0</v>
      </c>
      <c r="I496" s="117">
        <f>Y496+AB496+AE496+AH496+AK496+AN496+AQ496+AT496+AW496+AZ496+BC496+BF496</f>
        <v>0</v>
      </c>
      <c r="J496" s="117">
        <f t="shared" si="5367"/>
        <v>0</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0</v>
      </c>
      <c r="AL496" s="117">
        <f>SUM(AL497:AL501)</f>
        <v>0</v>
      </c>
      <c r="AM496" s="117">
        <f>VLOOKUP($C496,'1 预算编制表单'!$C:$BJ,42,FALSE)</f>
        <v>0</v>
      </c>
      <c r="AN496" s="117">
        <f>AM496-AO496</f>
        <v>0</v>
      </c>
      <c r="AO496" s="117">
        <f>SUM(AO497:AO501)</f>
        <v>0</v>
      </c>
      <c r="AP496" s="117">
        <f>VLOOKUP($C496,'1 预算编制表单'!$C:$BJ,45,FALSE)</f>
        <v>0</v>
      </c>
      <c r="AQ496" s="117">
        <f>AP496-AR496</f>
        <v>0</v>
      </c>
      <c r="AR496" s="117">
        <f>SUM(AR497:AR501)</f>
        <v>0</v>
      </c>
      <c r="AS496" s="117">
        <f>VLOOKUP($C496,'1 预算编制表单'!$C:$BJ,48,FALSE)</f>
        <v>0</v>
      </c>
      <c r="AT496" s="117">
        <f>AS496-AU496</f>
        <v>0</v>
      </c>
      <c r="AU496" s="117">
        <f>SUM(AU497:AU501)</f>
        <v>0</v>
      </c>
      <c r="AV496" s="117">
        <f>VLOOKUP($C496,'1 预算编制表单'!$C:$BJ,51,FALSE)</f>
        <v>0</v>
      </c>
      <c r="AW496" s="117">
        <f>AV496-AX496</f>
        <v>0</v>
      </c>
      <c r="AX496" s="117">
        <f>SUM(AX497:AX501)</f>
        <v>0</v>
      </c>
      <c r="AY496" s="117">
        <f>VLOOKUP($C496,'1 预算编制表单'!$C:$BJ,54,FALSE)</f>
        <v>0</v>
      </c>
      <c r="AZ496" s="117">
        <f>AY496-BA496</f>
        <v>0</v>
      </c>
      <c r="BA496" s="117">
        <f>SUM(BA497:BA501)</f>
        <v>0</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customHeight="1" outlineLevel="3" spans="1:95">
      <c r="A497" s="122"/>
      <c r="B497" s="123"/>
      <c r="C497" s="124"/>
      <c r="D497" s="122"/>
      <c r="E497" s="123"/>
      <c r="F497" s="123"/>
      <c r="G497" s="123"/>
      <c r="H497" s="125"/>
      <c r="I497" s="125"/>
      <c r="J497" s="125">
        <f t="shared" si="5367"/>
        <v>0</v>
      </c>
      <c r="K497" s="125">
        <v>1</v>
      </c>
      <c r="L497" s="150"/>
      <c r="M497" s="151">
        <f>IFERROR(VLOOKUP($L497,'2-2 引出数据_合同数据仓库'!$B$2:$BP$1000,3,FALSE),0)</f>
        <v>0</v>
      </c>
      <c r="N497" s="125"/>
      <c r="O497" s="151">
        <f>IFERROR(VLOOKUP((LEFT(VLOOKUP($L497,'2-2 引出数据_合同数据仓库'!$B$2:$BP$1000,64,FALSE),15)&amp;(RIGHT(VLOOKUP($L497,'2-2 引出数据_合同数据仓库'!$B$2:$BP$1000,64,FALSE),4)+1)),'2-2 引出数据_合同数据仓库'!$B$2:$BP$1000,3,FALSE),0)</f>
        <v>0</v>
      </c>
      <c r="P497" s="125"/>
      <c r="Q497" s="125">
        <f>IFERROR(VLOOKUP($L497,'2-2 引出数据_合同数据仓库'!$B$2:$BP$1000,28,FALSE),0)</f>
        <v>0</v>
      </c>
      <c r="R497" s="125">
        <f>IFERROR(VLOOKUP($L497,'2-2 引出数据_合同数据仓库'!$B$2:$BP$1000,29,FALSE),0)</f>
        <v>0</v>
      </c>
      <c r="S497" s="125">
        <f>IFERROR(VLOOKUP($L497,'2-2 引出数据_合同数据仓库'!$B$2:$BP$1000,4,FALSE),0)</f>
        <v>0</v>
      </c>
      <c r="T497" s="125"/>
      <c r="U497" s="125">
        <f>IFERROR(VLOOKUP($L497,'2-2 引出数据_合同数据仓库'!$B$2:$BP$1000,15,FALSE),0)</f>
        <v>0</v>
      </c>
      <c r="V497" s="125">
        <f t="shared" ref="V497:V500" si="5835">U497/(S497-R497+1)*365</f>
        <v>0</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0</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0</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0</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0</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0</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0</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customHeight="1" outlineLevel="3" spans="1:95">
      <c r="A498" s="122"/>
      <c r="B498" s="123"/>
      <c r="C498" s="124"/>
      <c r="D498" s="122"/>
      <c r="E498" s="123"/>
      <c r="F498" s="123"/>
      <c r="G498" s="123"/>
      <c r="H498" s="125"/>
      <c r="I498" s="125"/>
      <c r="J498" s="125">
        <f t="shared" si="5367"/>
        <v>0</v>
      </c>
      <c r="K498" s="125">
        <f t="shared" ref="K498:K500" si="5906">K497+1</f>
        <v>2</v>
      </c>
      <c r="L498" s="150"/>
      <c r="M498" s="151">
        <f>IFERROR(VLOOKUP($L498,'2-2 引出数据_合同数据仓库'!$B$2:$BP$1000,3,FALSE),0)</f>
        <v>0</v>
      </c>
      <c r="N498" s="125"/>
      <c r="O498" s="151">
        <f>IFERROR(VLOOKUP((LEFT(VLOOKUP($L498,'2-2 引出数据_合同数据仓库'!$B$2:$BP$1000,64,FALSE),15)&amp;(RIGHT(VLOOKUP($L498,'2-2 引出数据_合同数据仓库'!$B$2:$BP$1000,64,FALSE),4)+1)),'2-2 引出数据_合同数据仓库'!$B$2:$BP$1000,3,FALSE),0)</f>
        <v>0</v>
      </c>
      <c r="P498" s="125"/>
      <c r="Q498" s="125">
        <f>IFERROR(VLOOKUP($L498,'2-2 引出数据_合同数据仓库'!$B$2:$BP$1000,28,FALSE),0)</f>
        <v>0</v>
      </c>
      <c r="R498" s="125">
        <f>IFERROR(VLOOKUP($L498,'2-2 引出数据_合同数据仓库'!$B$2:$BP$1000,29,FALSE),0)</f>
        <v>0</v>
      </c>
      <c r="S498" s="125">
        <f>IFERROR(VLOOKUP($L498,'2-2 引出数据_合同数据仓库'!$B$2:$BP$1000,4,FALSE),0)</f>
        <v>0</v>
      </c>
      <c r="T498" s="125"/>
      <c r="U498" s="125">
        <f>IFERROR(VLOOKUP($L498,'2-2 引出数据_合同数据仓库'!$B$2:$BP$1000,15,FALSE),0)</f>
        <v>0</v>
      </c>
      <c r="V498" s="125">
        <f t="shared" si="5835"/>
        <v>0</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customHeight="1" outlineLevel="3" spans="1:95">
      <c r="A499" s="122"/>
      <c r="B499" s="123"/>
      <c r="C499" s="124"/>
      <c r="D499" s="122"/>
      <c r="E499" s="123"/>
      <c r="F499" s="123"/>
      <c r="G499" s="123"/>
      <c r="H499" s="125"/>
      <c r="I499" s="125"/>
      <c r="J499" s="125">
        <f t="shared" si="5367"/>
        <v>0</v>
      </c>
      <c r="K499" s="125">
        <f t="shared" si="5906"/>
        <v>3</v>
      </c>
      <c r="L499" s="150"/>
      <c r="M499" s="151">
        <f>IFERROR(VLOOKUP($L499,'2-2 引出数据_合同数据仓库'!$B$2:$BP$1000,3,FALSE),0)</f>
        <v>0</v>
      </c>
      <c r="N499" s="125"/>
      <c r="O499" s="151">
        <f>IFERROR(VLOOKUP((LEFT(VLOOKUP($L499,'2-2 引出数据_合同数据仓库'!$B$2:$BP$1000,64,FALSE),15)&amp;(RIGHT(VLOOKUP($L499,'2-2 引出数据_合同数据仓库'!$B$2:$BP$1000,64,FALSE),4)+1)),'2-2 引出数据_合同数据仓库'!$B$2:$BP$1000,3,FALSE),0)</f>
        <v>0</v>
      </c>
      <c r="P499" s="125"/>
      <c r="Q499" s="125">
        <f>IFERROR(VLOOKUP($L499,'2-2 引出数据_合同数据仓库'!$B$2:$BP$1000,28,FALSE),0)</f>
        <v>0</v>
      </c>
      <c r="R499" s="125">
        <f>IFERROR(VLOOKUP($L499,'2-2 引出数据_合同数据仓库'!$B$2:$BP$1000,29,FALSE),0)</f>
        <v>0</v>
      </c>
      <c r="S499" s="125">
        <f>IFERROR(VLOOKUP($L499,'2-2 引出数据_合同数据仓库'!$B$2:$BP$1000,4,FALSE),0)</f>
        <v>0</v>
      </c>
      <c r="T499" s="125"/>
      <c r="U499" s="125">
        <f>IFERROR(VLOOKUP($L499,'2-2 引出数据_合同数据仓库'!$B$2:$BP$1000,15,FALSE),0)</f>
        <v>0</v>
      </c>
      <c r="V499" s="125">
        <f t="shared" si="5835"/>
        <v>0</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customHeight="1" outlineLevel="3" spans="1:95">
      <c r="A500" s="122"/>
      <c r="B500" s="123"/>
      <c r="C500" s="124"/>
      <c r="D500" s="122"/>
      <c r="E500" s="123"/>
      <c r="F500" s="123"/>
      <c r="G500" s="123"/>
      <c r="H500" s="125"/>
      <c r="I500" s="125"/>
      <c r="J500" s="125">
        <f t="shared" si="5367"/>
        <v>0</v>
      </c>
      <c r="K500" s="125">
        <f t="shared" si="5906"/>
        <v>4</v>
      </c>
      <c r="L500" s="150"/>
      <c r="M500" s="151">
        <f>IFERROR(VLOOKUP($L500,'2-2 引出数据_合同数据仓库'!$B$2:$BP$1000,3,FALSE),0)</f>
        <v>0</v>
      </c>
      <c r="N500" s="125"/>
      <c r="O500" s="151">
        <f>IFERROR(VLOOKUP((LEFT(VLOOKUP($L500,'2-2 引出数据_合同数据仓库'!$B$2:$BP$1000,64,FALSE),15)&amp;(RIGHT(VLOOKUP($L500,'2-2 引出数据_合同数据仓库'!$B$2:$BP$1000,64,FALSE),4)+1)),'2-2 引出数据_合同数据仓库'!$B$2:$BP$1000,3,FALSE),0)</f>
        <v>0</v>
      </c>
      <c r="P500" s="125"/>
      <c r="Q500" s="125">
        <f>IFERROR(VLOOKUP($L500,'2-2 引出数据_合同数据仓库'!$B$2:$BP$1000,28,FALSE),0)</f>
        <v>0</v>
      </c>
      <c r="R500" s="125">
        <f>IFERROR(VLOOKUP($L500,'2-2 引出数据_合同数据仓库'!$B$2:$BP$1000,29,FALSE),0)</f>
        <v>0</v>
      </c>
      <c r="S500" s="125">
        <f>IFERROR(VLOOKUP($L500,'2-2 引出数据_合同数据仓库'!$B$2:$BP$1000,4,FALSE),0)</f>
        <v>0</v>
      </c>
      <c r="T500" s="125"/>
      <c r="U500" s="125">
        <f>IFERROR(VLOOKUP($L500,'2-2 引出数据_合同数据仓库'!$B$2:$BP$1000,15,FALSE),0)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customHeight="1" outlineLevel="4" spans="1:95">
      <c r="A501" s="126" t="s">
        <v>2821</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customHeight="1" outlineLevel="2" spans="1:95">
      <c r="A502" s="47"/>
      <c r="B502" s="115" t="s">
        <v>799</v>
      </c>
      <c r="C502" s="116" t="s">
        <v>1622</v>
      </c>
      <c r="D502" s="47" t="s">
        <v>1623</v>
      </c>
      <c r="E502" s="115" t="s">
        <v>1624</v>
      </c>
      <c r="F502" s="115" t="s">
        <v>1625</v>
      </c>
      <c r="G502" s="115" t="s">
        <v>943</v>
      </c>
      <c r="H502" s="117">
        <f>X502+AA502+AD502+AG502+AJ502+AM502+AP502+AS502+AV502+AY502+BB502+BE502</f>
        <v>0</v>
      </c>
      <c r="I502" s="117">
        <f>Y502+AB502+AE502+AH502+AK502+AN502+AQ502+AT502+AW502+AZ502+BC502+BF502</f>
        <v>0</v>
      </c>
      <c r="J502" s="117">
        <f t="shared" si="5367"/>
        <v>0</v>
      </c>
      <c r="K502" s="117"/>
      <c r="L502" s="148"/>
      <c r="M502" s="148"/>
      <c r="N502" s="117"/>
      <c r="O502" s="117"/>
      <c r="P502" s="117"/>
      <c r="Q502" s="117"/>
      <c r="R502" s="117"/>
      <c r="S502" s="117"/>
      <c r="T502" s="117"/>
      <c r="U502" s="117"/>
      <c r="V502" s="117"/>
      <c r="W502" s="117"/>
      <c r="X502" s="117">
        <f>VLOOKUP($C502,'1 预算编制表单'!$C:$BJ,27,FALSE)</f>
        <v>0</v>
      </c>
      <c r="Y502" s="117">
        <f>X502-Z502</f>
        <v>0</v>
      </c>
      <c r="Z502" s="117">
        <f>SUM(Z503:Z507)</f>
        <v>0</v>
      </c>
      <c r="AA502" s="117">
        <f>VLOOKUP($C502,'1 预算编制表单'!$C:$BJ,30,FALSE)</f>
        <v>0</v>
      </c>
      <c r="AB502" s="117">
        <f>AA502-AC502</f>
        <v>0</v>
      </c>
      <c r="AC502" s="117">
        <f>SUM(AC503:AC507)</f>
        <v>0</v>
      </c>
      <c r="AD502" s="117">
        <f>VLOOKUP($C502,'1 预算编制表单'!$C:$BJ,33,FALSE)</f>
        <v>0</v>
      </c>
      <c r="AE502" s="117">
        <f>AD502-AF502</f>
        <v>0</v>
      </c>
      <c r="AF502" s="117">
        <f>SUM(AF503:AF507)</f>
        <v>0</v>
      </c>
      <c r="AG502" s="117">
        <f>VLOOKUP($C502,'1 预算编制表单'!$C:$BJ,36,FALSE)</f>
        <v>0</v>
      </c>
      <c r="AH502" s="117">
        <f>AG502-AI502</f>
        <v>0</v>
      </c>
      <c r="AI502" s="117">
        <f>SUM(AI503:AI507)</f>
        <v>0</v>
      </c>
      <c r="AJ502" s="117">
        <f>VLOOKUP($C502,'1 预算编制表单'!$C:$BJ,39,FALSE)</f>
        <v>0</v>
      </c>
      <c r="AK502" s="117">
        <f>AJ502-AL502</f>
        <v>0</v>
      </c>
      <c r="AL502" s="117">
        <f>SUM(AL503:AL507)</f>
        <v>0</v>
      </c>
      <c r="AM502" s="117">
        <f>VLOOKUP($C502,'1 预算编制表单'!$C:$BJ,42,FALSE)</f>
        <v>0</v>
      </c>
      <c r="AN502" s="117">
        <f>AM502-AO502</f>
        <v>0</v>
      </c>
      <c r="AO502" s="117">
        <f>SUM(AO503:AO507)</f>
        <v>0</v>
      </c>
      <c r="AP502" s="117">
        <f>VLOOKUP($C502,'1 预算编制表单'!$C:$BJ,45,FALSE)</f>
        <v>0</v>
      </c>
      <c r="AQ502" s="117">
        <f>AP502-AR502</f>
        <v>0</v>
      </c>
      <c r="AR502" s="117">
        <f>SUM(AR503:AR507)</f>
        <v>0</v>
      </c>
      <c r="AS502" s="117">
        <f>VLOOKUP($C502,'1 预算编制表单'!$C:$BJ,48,FALSE)</f>
        <v>0</v>
      </c>
      <c r="AT502" s="117">
        <f>AS502-AU502</f>
        <v>0</v>
      </c>
      <c r="AU502" s="117">
        <f>SUM(AU503:AU507)</f>
        <v>0</v>
      </c>
      <c r="AV502" s="117">
        <f>VLOOKUP($C502,'1 预算编制表单'!$C:$BJ,51,FALSE)</f>
        <v>0</v>
      </c>
      <c r="AW502" s="117">
        <f>AV502-AX502</f>
        <v>0</v>
      </c>
      <c r="AX502" s="117">
        <f>SUM(AX503:AX507)</f>
        <v>0</v>
      </c>
      <c r="AY502" s="117">
        <f>VLOOKUP($C502,'1 预算编制表单'!$C:$BJ,54,FALSE)</f>
        <v>0</v>
      </c>
      <c r="AZ502" s="117">
        <f>AY502-BA502</f>
        <v>0</v>
      </c>
      <c r="BA502" s="117">
        <f>SUM(BA503:BA507)</f>
        <v>0</v>
      </c>
      <c r="BB502" s="117">
        <f>VLOOKUP($C502,'1 预算编制表单'!$C:$BJ,57,FALSE)</f>
        <v>0</v>
      </c>
      <c r="BC502" s="117">
        <f>BB502-BD502</f>
        <v>0</v>
      </c>
      <c r="BD502" s="117">
        <f>SUM(BD503:BD507)</f>
        <v>0</v>
      </c>
      <c r="BE502" s="117">
        <f>VLOOKUP($C502,'1 预算编制表单'!$C:$BJ,60,FALSE)</f>
        <v>0</v>
      </c>
      <c r="BF502" s="117">
        <f>BE502-BG502</f>
        <v>0</v>
      </c>
      <c r="BG502" s="117">
        <f>SUM(BG503:BG507)</f>
        <v>0</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customHeight="1" outlineLevel="3" spans="1:95">
      <c r="A503" s="122"/>
      <c r="B503" s="123"/>
      <c r="C503" s="124"/>
      <c r="D503" s="122"/>
      <c r="E503" s="123"/>
      <c r="F503" s="123"/>
      <c r="G503" s="123"/>
      <c r="H503" s="125"/>
      <c r="I503" s="125"/>
      <c r="J503" s="125">
        <f t="shared" si="5367"/>
        <v>0</v>
      </c>
      <c r="K503" s="125">
        <v>1</v>
      </c>
      <c r="L503" s="150"/>
      <c r="M503" s="151">
        <f>IFERROR(VLOOKUP($L503,'2-2 引出数据_合同数据仓库'!$B$2:$BP$1000,3,FALSE),0)</f>
        <v>0</v>
      </c>
      <c r="N503" s="125"/>
      <c r="O503" s="151">
        <f>IFERROR(VLOOKUP((LEFT(VLOOKUP($L503,'2-2 引出数据_合同数据仓库'!$B$2:$BP$1000,64,FALSE),15)&amp;(RIGHT(VLOOKUP($L503,'2-2 引出数据_合同数据仓库'!$B$2:$BP$1000,64,FALSE),4)+1)),'2-2 引出数据_合同数据仓库'!$B$2:$BP$1000,3,FALSE),0)</f>
        <v>0</v>
      </c>
      <c r="P503" s="125"/>
      <c r="Q503" s="125">
        <f>IFERROR(VLOOKUP($L503,'2-2 引出数据_合同数据仓库'!$B$2:$BP$1000,28,FALSE),0)</f>
        <v>0</v>
      </c>
      <c r="R503" s="125">
        <f>IFERROR(VLOOKUP($L503,'2-2 引出数据_合同数据仓库'!$B$2:$BP$1000,29,FALSE),0)</f>
        <v>0</v>
      </c>
      <c r="S503" s="125">
        <f>IFERROR(VLOOKUP($L503,'2-2 引出数据_合同数据仓库'!$B$2:$BP$1000,4,FALSE),0)</f>
        <v>0</v>
      </c>
      <c r="T503" s="125"/>
      <c r="U503" s="125">
        <f>IFERROR(VLOOKUP($L503,'2-2 引出数据_合同数据仓库'!$B$2:$BP$1000,15,FALSE),0)</f>
        <v>0</v>
      </c>
      <c r="V503" s="125">
        <f t="shared" ref="V503:V506" si="5907">U503/(S503-R503+1)*365</f>
        <v>0</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0</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0</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0</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0</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0</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0</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0</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0</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0</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0</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0</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0</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customHeight="1" outlineLevel="3" spans="1:95">
      <c r="A504" s="122"/>
      <c r="B504" s="123"/>
      <c r="C504" s="124"/>
      <c r="D504" s="122"/>
      <c r="E504" s="123"/>
      <c r="F504" s="123"/>
      <c r="G504" s="123"/>
      <c r="H504" s="125"/>
      <c r="I504" s="125"/>
      <c r="J504" s="125">
        <f t="shared" si="5367"/>
        <v>0</v>
      </c>
      <c r="K504" s="125">
        <f t="shared" ref="K504:K506" si="5978">K503+1</f>
        <v>2</v>
      </c>
      <c r="L504" s="150"/>
      <c r="M504" s="151">
        <f>IFERROR(VLOOKUP($L504,'2-2 引出数据_合同数据仓库'!$B$2:$BP$1000,3,FALSE),0)</f>
        <v>0</v>
      </c>
      <c r="N504" s="125"/>
      <c r="O504" s="151">
        <f>IFERROR(VLOOKUP((LEFT(VLOOKUP($L504,'2-2 引出数据_合同数据仓库'!$B$2:$BP$1000,64,FALSE),15)&amp;(RIGHT(VLOOKUP($L504,'2-2 引出数据_合同数据仓库'!$B$2:$BP$1000,64,FALSE),4)+1)),'2-2 引出数据_合同数据仓库'!$B$2:$BP$1000,3,FALSE),0)</f>
        <v>0</v>
      </c>
      <c r="P504" s="125"/>
      <c r="Q504" s="125">
        <f>IFERROR(VLOOKUP($L504,'2-2 引出数据_合同数据仓库'!$B$2:$BP$1000,28,FALSE),0)</f>
        <v>0</v>
      </c>
      <c r="R504" s="125">
        <f>IFERROR(VLOOKUP($L504,'2-2 引出数据_合同数据仓库'!$B$2:$BP$1000,29,FALSE),0)</f>
        <v>0</v>
      </c>
      <c r="S504" s="125">
        <f>IFERROR(VLOOKUP($L504,'2-2 引出数据_合同数据仓库'!$B$2:$BP$1000,4,FALSE),0)</f>
        <v>0</v>
      </c>
      <c r="T504" s="125"/>
      <c r="U504" s="125">
        <f>IFERROR(VLOOKUP($L504,'2-2 引出数据_合同数据仓库'!$B$2:$BP$1000,15,FALSE),0)</f>
        <v>0</v>
      </c>
      <c r="V504" s="125">
        <f t="shared" si="5907"/>
        <v>0</v>
      </c>
      <c r="W504" s="125"/>
      <c r="X504" s="157">
        <v>45658</v>
      </c>
      <c r="Y504" s="157">
        <f t="shared" si="5908"/>
        <v>45688</v>
      </c>
      <c r="Z504" s="161">
        <f t="shared" si="5909"/>
        <v>0</v>
      </c>
      <c r="AA504" s="157">
        <f t="shared" si="5910"/>
        <v>45689</v>
      </c>
      <c r="AB504" s="157">
        <f t="shared" si="5911"/>
        <v>45716</v>
      </c>
      <c r="AC504" s="161">
        <f t="shared" si="5912"/>
        <v>0</v>
      </c>
      <c r="AD504" s="157">
        <f t="shared" si="5913"/>
        <v>45717</v>
      </c>
      <c r="AE504" s="157">
        <f t="shared" si="5914"/>
        <v>45747</v>
      </c>
      <c r="AF504" s="161">
        <f t="shared" si="5915"/>
        <v>0</v>
      </c>
      <c r="AG504" s="157">
        <f t="shared" si="5916"/>
        <v>45748</v>
      </c>
      <c r="AH504" s="157">
        <f t="shared" si="5917"/>
        <v>45777</v>
      </c>
      <c r="AI504" s="161">
        <f t="shared" si="5918"/>
        <v>0</v>
      </c>
      <c r="AJ504" s="157">
        <f t="shared" si="5919"/>
        <v>45778</v>
      </c>
      <c r="AK504" s="157">
        <f t="shared" si="5920"/>
        <v>45808</v>
      </c>
      <c r="AL504" s="161">
        <f t="shared" si="5921"/>
        <v>0</v>
      </c>
      <c r="AM504" s="157">
        <f t="shared" si="5922"/>
        <v>45809</v>
      </c>
      <c r="AN504" s="157">
        <f t="shared" si="5923"/>
        <v>45838</v>
      </c>
      <c r="AO504" s="161">
        <f t="shared" si="5924"/>
        <v>0</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customHeight="1" outlineLevel="3" spans="1:95">
      <c r="A505" s="122"/>
      <c r="B505" s="123"/>
      <c r="C505" s="124"/>
      <c r="D505" s="122"/>
      <c r="E505" s="123"/>
      <c r="F505" s="123"/>
      <c r="G505" s="123"/>
      <c r="H505" s="125"/>
      <c r="I505" s="125"/>
      <c r="J505" s="125">
        <f t="shared" si="5367"/>
        <v>0</v>
      </c>
      <c r="K505" s="125">
        <f t="shared" si="5978"/>
        <v>3</v>
      </c>
      <c r="L505" s="150"/>
      <c r="M505" s="151">
        <f>IFERROR(VLOOKUP($L505,'2-2 引出数据_合同数据仓库'!$B$2:$BP$1000,3,FALSE),0)</f>
        <v>0</v>
      </c>
      <c r="N505" s="125"/>
      <c r="O505" s="151">
        <f>IFERROR(VLOOKUP((LEFT(VLOOKUP($L505,'2-2 引出数据_合同数据仓库'!$B$2:$BP$1000,64,FALSE),15)&amp;(RIGHT(VLOOKUP($L505,'2-2 引出数据_合同数据仓库'!$B$2:$BP$1000,64,FALSE),4)+1)),'2-2 引出数据_合同数据仓库'!$B$2:$BP$1000,3,FALSE),0)</f>
        <v>0</v>
      </c>
      <c r="P505" s="125"/>
      <c r="Q505" s="125">
        <f>IFERROR(VLOOKUP($L505,'2-2 引出数据_合同数据仓库'!$B$2:$BP$1000,28,FALSE),0)</f>
        <v>0</v>
      </c>
      <c r="R505" s="125">
        <f>IFERROR(VLOOKUP($L505,'2-2 引出数据_合同数据仓库'!$B$2:$BP$1000,29,FALSE),0)</f>
        <v>0</v>
      </c>
      <c r="S505" s="125">
        <f>IFERROR(VLOOKUP($L505,'2-2 引出数据_合同数据仓库'!$B$2:$BP$1000,4,FALSE),0)</f>
        <v>0</v>
      </c>
      <c r="T505" s="125"/>
      <c r="U505" s="125">
        <f>IFERROR(VLOOKUP($L505,'2-2 引出数据_合同数据仓库'!$B$2:$BP$1000,15,FALSE),0)</f>
        <v>0</v>
      </c>
      <c r="V505" s="125">
        <f t="shared" si="5907"/>
        <v>0</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customHeight="1" outlineLevel="3" spans="1:95">
      <c r="A506" s="122"/>
      <c r="B506" s="123"/>
      <c r="C506" s="124"/>
      <c r="D506" s="122"/>
      <c r="E506" s="123"/>
      <c r="F506" s="123"/>
      <c r="G506" s="123"/>
      <c r="H506" s="125"/>
      <c r="I506" s="125"/>
      <c r="J506" s="125">
        <f t="shared" si="5367"/>
        <v>0</v>
      </c>
      <c r="K506" s="125">
        <f t="shared" si="5978"/>
        <v>4</v>
      </c>
      <c r="L506" s="150"/>
      <c r="M506" s="151">
        <f>IFERROR(VLOOKUP($L506,'2-2 引出数据_合同数据仓库'!$B$2:$BP$1000,3,FALSE),0)</f>
        <v>0</v>
      </c>
      <c r="N506" s="125"/>
      <c r="O506" s="151">
        <f>IFERROR(VLOOKUP((LEFT(VLOOKUP($L506,'2-2 引出数据_合同数据仓库'!$B$2:$BP$1000,64,FALSE),15)&amp;(RIGHT(VLOOKUP($L506,'2-2 引出数据_合同数据仓库'!$B$2:$BP$1000,64,FALSE),4)+1)),'2-2 引出数据_合同数据仓库'!$B$2:$BP$1000,3,FALSE),0)</f>
        <v>0</v>
      </c>
      <c r="P506" s="125"/>
      <c r="Q506" s="125">
        <f>IFERROR(VLOOKUP($L506,'2-2 引出数据_合同数据仓库'!$B$2:$BP$1000,28,FALSE),0)</f>
        <v>0</v>
      </c>
      <c r="R506" s="125">
        <f>IFERROR(VLOOKUP($L506,'2-2 引出数据_合同数据仓库'!$B$2:$BP$1000,29,FALSE),0)</f>
        <v>0</v>
      </c>
      <c r="S506" s="125">
        <f>IFERROR(VLOOKUP($L506,'2-2 引出数据_合同数据仓库'!$B$2:$BP$1000,4,FALSE),0)</f>
        <v>0</v>
      </c>
      <c r="T506" s="125"/>
      <c r="U506" s="125">
        <f>IFERROR(VLOOKUP($L506,'2-2 引出数据_合同数据仓库'!$B$2:$BP$1000,15,FALSE),0)</f>
        <v>0</v>
      </c>
      <c r="V506" s="125">
        <f t="shared" si="5907"/>
        <v>0</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customHeight="1" outlineLevel="4" spans="1:95">
      <c r="A507" s="126" t="s">
        <v>2821</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customHeight="1" spans="1:95">
      <c r="A508" s="108"/>
      <c r="B508" s="109" t="s">
        <v>794</v>
      </c>
      <c r="C508" s="110">
        <v>1.2</v>
      </c>
      <c r="D508" s="108" t="s">
        <v>9</v>
      </c>
      <c r="E508" s="109"/>
      <c r="F508" s="109"/>
      <c r="G508" s="109"/>
      <c r="H508" s="167">
        <f t="shared" ref="H508:H537" si="5979">X508+AA508+AD508+AG508+AJ508+AM508+AP508+AS508+AV508+AY508+BB508+BE508</f>
        <v>1174083.72207132</v>
      </c>
      <c r="I508" s="167">
        <f t="shared" ref="I508:I537" si="5980">Y508+AB508+AE508+AH508+AK508+AN508+AQ508+AT508+AW508+AZ508+BC508+BF508</f>
        <v>951665.752071322</v>
      </c>
      <c r="J508" s="167">
        <f t="shared" si="5367"/>
        <v>222417.97</v>
      </c>
      <c r="K508" s="167"/>
      <c r="L508" s="168"/>
      <c r="M508" s="168"/>
      <c r="N508" s="167"/>
      <c r="O508" s="168"/>
      <c r="P508" s="167"/>
      <c r="Q508" s="167"/>
      <c r="R508" s="167"/>
      <c r="S508" s="167"/>
      <c r="T508" s="167"/>
      <c r="U508" s="167"/>
      <c r="V508" s="167"/>
      <c r="W508" s="167"/>
      <c r="X508" s="167">
        <f>VLOOKUP($C508,'1 预算编制表单'!$C:$BJ,27,FALSE)</f>
        <v>1174083.72207132</v>
      </c>
      <c r="Y508" s="167">
        <f>Y509+Y516+Y520+Y524+Y527+Y531</f>
        <v>1173453.18207132</v>
      </c>
      <c r="Z508" s="167">
        <f>Z509+Z516+Z520+Z524+Z527+Z531</f>
        <v>630.54</v>
      </c>
      <c r="AA508" s="167">
        <f>VLOOKUP($C508,'1 预算编制表单'!$C:$BJ,30,FALSE)</f>
        <v>0</v>
      </c>
      <c r="AB508" s="167">
        <f>AB509+AB516+AB520+AB524+AB527+AB531</f>
        <v>-6429.12</v>
      </c>
      <c r="AC508" s="167">
        <f>AC509+AC516+AC520+AC524+AC527+AC531</f>
        <v>6429.12</v>
      </c>
      <c r="AD508" s="167">
        <f>VLOOKUP($C508,'1 预算编制表单'!$C:$BJ,33,FALSE)</f>
        <v>0</v>
      </c>
      <c r="AE508" s="167">
        <f>AE509+AE516+AE520+AE524+AE527+AE531</f>
        <v>-474.6</v>
      </c>
      <c r="AF508" s="167">
        <f>AF509+AF516+AF520+AF524+AF527+AF531</f>
        <v>474.6</v>
      </c>
      <c r="AG508" s="167">
        <f>VLOOKUP($C508,'1 预算编制表单'!$C:$BJ,36,FALSE)</f>
        <v>0</v>
      </c>
      <c r="AH508" s="167">
        <f>AH509+AH516+AH520+AH524+AH527+AH531</f>
        <v>-119031.39</v>
      </c>
      <c r="AI508" s="167">
        <f>AI509+AI516+AI520+AI524+AI527+AI531</f>
        <v>119031.39</v>
      </c>
      <c r="AJ508" s="167">
        <f>VLOOKUP($C508,'1 预算编制表单'!$C:$BJ,39,FALSE)</f>
        <v>0</v>
      </c>
      <c r="AK508" s="167">
        <f>AK509+AK516+AK520+AK524+AK527+AK531</f>
        <v>-95852.32</v>
      </c>
      <c r="AL508" s="167">
        <f>AL509+AL516+AL520+AL524+AL527+AL531</f>
        <v>95852.32</v>
      </c>
      <c r="AM508" s="167">
        <f>VLOOKUP($C508,'1 预算编制表单'!$C:$BJ,42,FALSE)</f>
        <v>0</v>
      </c>
      <c r="AN508" s="167">
        <f>AN509+AN516+AN520+AN524+AN527+AN531</f>
        <v>0</v>
      </c>
      <c r="AO508" s="167">
        <f>AO509+AO516+AO520+AO524+AO527+AO531</f>
        <v>0</v>
      </c>
      <c r="AP508" s="167">
        <f>VLOOKUP($C508,'1 预算编制表单'!$C:$BJ,45,FALSE)</f>
        <v>0</v>
      </c>
      <c r="AQ508" s="167">
        <f>AQ509+AQ516+AQ520+AQ524+AQ527+AQ531</f>
        <v>0</v>
      </c>
      <c r="AR508" s="167">
        <f>AR509+AR516+AR520+AR524+AR527+AR531</f>
        <v>0</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1174083.72207132</v>
      </c>
      <c r="BI508" s="167">
        <f>BI509+BI516+BI520+BI524+BI527+BI531</f>
        <v>1174083.72207132</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customHeight="1" outlineLevel="1" spans="1:95">
      <c r="A509" s="22"/>
      <c r="B509" s="112" t="s">
        <v>794</v>
      </c>
      <c r="C509" s="113" t="s">
        <v>1626</v>
      </c>
      <c r="D509" s="22" t="s">
        <v>1627</v>
      </c>
      <c r="E509" s="112"/>
      <c r="F509" s="112"/>
      <c r="G509" s="112"/>
      <c r="H509" s="114">
        <f t="shared" si="5979"/>
        <v>1174083.72207132</v>
      </c>
      <c r="I509" s="114">
        <f t="shared" si="5980"/>
        <v>1172274.46207132</v>
      </c>
      <c r="J509" s="114">
        <f t="shared" si="5367"/>
        <v>1809.26</v>
      </c>
      <c r="K509" s="114"/>
      <c r="L509" s="147"/>
      <c r="M509" s="147"/>
      <c r="N509" s="114"/>
      <c r="O509" s="147"/>
      <c r="P509" s="114"/>
      <c r="Q509" s="114"/>
      <c r="R509" s="114"/>
      <c r="S509" s="114"/>
      <c r="T509" s="114"/>
      <c r="U509" s="114"/>
      <c r="V509" s="114"/>
      <c r="W509" s="114"/>
      <c r="X509" s="114">
        <f>VLOOKUP($C509,'1 预算编制表单'!$C:$BJ,27,FALSE)</f>
        <v>1174083.72207132</v>
      </c>
      <c r="Y509" s="114">
        <f t="shared" ref="Y509:Y513" si="5981">X509-Z509</f>
        <v>1173453.18207132</v>
      </c>
      <c r="Z509" s="114">
        <f>Z510+Z511+Z512+Z513</f>
        <v>630.54</v>
      </c>
      <c r="AA509" s="114">
        <f>VLOOKUP($C509,'1 预算编制表单'!$C:$BJ,30,FALSE)</f>
        <v>0</v>
      </c>
      <c r="AB509" s="114">
        <f t="shared" ref="AB509:AB535" si="5982">AA509-AC509</f>
        <v>-479.12</v>
      </c>
      <c r="AC509" s="114">
        <f>AC510+AC511+AC512+AC513</f>
        <v>479.12</v>
      </c>
      <c r="AD509" s="114">
        <f>VLOOKUP($C509,'1 预算编制表单'!$C:$BJ,33,FALSE)</f>
        <v>0</v>
      </c>
      <c r="AE509" s="114">
        <f t="shared" ref="AE509:AE535" si="5983">AD509-AF509</f>
        <v>-474.6</v>
      </c>
      <c r="AF509" s="114">
        <f>AF510+AF511+AF512+AF513</f>
        <v>474.6</v>
      </c>
      <c r="AG509" s="114">
        <f>VLOOKUP($C509,'1 预算编制表单'!$C:$BJ,36,FALSE)</f>
        <v>0</v>
      </c>
      <c r="AH509" s="114">
        <f t="shared" ref="AH509:AH535" si="5984">AG509-AI509</f>
        <v>-155</v>
      </c>
      <c r="AI509" s="114">
        <f>AI510+AI511+AI512+AI513</f>
        <v>155</v>
      </c>
      <c r="AJ509" s="114">
        <f>VLOOKUP($C509,'1 预算编制表单'!$C:$BJ,39,FALSE)</f>
        <v>0</v>
      </c>
      <c r="AK509" s="114">
        <f t="shared" ref="AK509:AK535" si="5985">AJ509-AL509</f>
        <v>-70</v>
      </c>
      <c r="AL509" s="114">
        <f>AL510+AL511+AL512+AL513</f>
        <v>70</v>
      </c>
      <c r="AM509" s="114">
        <f>VLOOKUP($C509,'1 预算编制表单'!$C:$BJ,42,FALSE)</f>
        <v>0</v>
      </c>
      <c r="AN509" s="114">
        <f t="shared" ref="AN509:AN535" si="5986">AM509-AO509</f>
        <v>0</v>
      </c>
      <c r="AO509" s="114">
        <f>AO510+AO511+AO512+AO513</f>
        <v>0</v>
      </c>
      <c r="AP509" s="114">
        <f>VLOOKUP($C509,'1 预算编制表单'!$C:$BJ,45,FALSE)</f>
        <v>0</v>
      </c>
      <c r="AQ509" s="114">
        <f t="shared" ref="AQ509:AQ535" si="5987">AP509-AR509</f>
        <v>0</v>
      </c>
      <c r="AR509" s="114">
        <f>AR510+AR511+AR512+AR513</f>
        <v>0</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1174083.72207132</v>
      </c>
      <c r="BI509" s="114">
        <f t="shared" ref="BI509:BI535" si="5993">BH509-BJ509</f>
        <v>1174083.72207132</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customHeight="1" outlineLevel="2" spans="1:95">
      <c r="A510" s="47"/>
      <c r="B510" s="115" t="s">
        <v>794</v>
      </c>
      <c r="C510" s="116" t="s">
        <v>1628</v>
      </c>
      <c r="D510" s="47" t="s">
        <v>1629</v>
      </c>
      <c r="E510" s="115"/>
      <c r="F510" s="115"/>
      <c r="G510" s="115"/>
      <c r="H510" s="117">
        <f t="shared" si="5979"/>
        <v>982083.722071322</v>
      </c>
      <c r="I510" s="117">
        <f t="shared" si="5980"/>
        <v>980349.462071322</v>
      </c>
      <c r="J510" s="117">
        <f t="shared" si="5367"/>
        <v>1734.26</v>
      </c>
      <c r="K510" s="117"/>
      <c r="L510" s="148"/>
      <c r="M510" s="148"/>
      <c r="N510" s="117"/>
      <c r="O510" s="148"/>
      <c r="P510" s="117"/>
      <c r="Q510" s="117"/>
      <c r="R510" s="117"/>
      <c r="S510" s="117"/>
      <c r="T510" s="117"/>
      <c r="U510" s="117"/>
      <c r="V510" s="117"/>
      <c r="W510" s="117"/>
      <c r="X510" s="117">
        <f>VLOOKUP($C510,'1 预算编制表单'!$C:$BJ,27,FALSE)</f>
        <v>982083.722071322</v>
      </c>
      <c r="Y510" s="117">
        <f t="shared" si="5981"/>
        <v>981453.182071322</v>
      </c>
      <c r="Z510" s="117">
        <f>SUMIF(物资过程计算表!$B:$B,$C510,物资过程计算表!$D:$D)</f>
        <v>630.54</v>
      </c>
      <c r="AA510" s="117">
        <f>VLOOKUP($C510,'1 预算编制表单'!$C:$BJ,30,FALSE)</f>
        <v>0</v>
      </c>
      <c r="AB510" s="117">
        <f t="shared" si="5982"/>
        <v>-479.12</v>
      </c>
      <c r="AC510" s="117">
        <f>SUMIF(物资过程计算表!$B:$B,$C510,物资过程计算表!E:E)</f>
        <v>479.12</v>
      </c>
      <c r="AD510" s="117">
        <f>VLOOKUP($C510,'1 预算编制表单'!$C:$BJ,33,FALSE)</f>
        <v>0</v>
      </c>
      <c r="AE510" s="117">
        <f t="shared" si="5983"/>
        <v>-474.6</v>
      </c>
      <c r="AF510" s="117">
        <f>SUMIF(物资过程计算表!$B:$B,$C510,物资过程计算表!F:F)</f>
        <v>474.6</v>
      </c>
      <c r="AG510" s="117">
        <f>VLOOKUP($C510,'1 预算编制表单'!$C:$BJ,36,FALSE)</f>
        <v>0</v>
      </c>
      <c r="AH510" s="117">
        <f t="shared" si="5984"/>
        <v>-80</v>
      </c>
      <c r="AI510" s="117">
        <f>SUMIF(物资过程计算表!$B:$B,$C510,物资过程计算表!G:G)</f>
        <v>80</v>
      </c>
      <c r="AJ510" s="117">
        <f>VLOOKUP($C510,'1 预算编制表单'!$C:$BJ,39,FALSE)</f>
        <v>0</v>
      </c>
      <c r="AK510" s="117">
        <f t="shared" si="5985"/>
        <v>-70</v>
      </c>
      <c r="AL510" s="117">
        <f>SUMIF(物资过程计算表!$B:$B,$C510,物资过程计算表!H:H)</f>
        <v>70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982083.722071322</v>
      </c>
      <c r="BI510" s="117">
        <f t="shared" si="5993"/>
        <v>982083.722071322</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customHeight="1" outlineLevel="2" spans="1:95">
      <c r="A511" s="47"/>
      <c r="B511" s="115" t="s">
        <v>794</v>
      </c>
      <c r="C511" s="116" t="s">
        <v>1670</v>
      </c>
      <c r="D511" s="47" t="s">
        <v>1671</v>
      </c>
      <c r="E511" s="115"/>
      <c r="F511" s="115"/>
      <c r="G511" s="115"/>
      <c r="H511" s="117">
        <f t="shared" si="5979"/>
        <v>0</v>
      </c>
      <c r="I511" s="117">
        <f t="shared" si="5980"/>
        <v>-75</v>
      </c>
      <c r="J511" s="117">
        <f t="shared" si="5367"/>
        <v>75</v>
      </c>
      <c r="K511" s="117"/>
      <c r="L511" s="148"/>
      <c r="M511" s="148"/>
      <c r="N511" s="117"/>
      <c r="O511" s="148"/>
      <c r="P511" s="117"/>
      <c r="Q511" s="117"/>
      <c r="R511" s="117"/>
      <c r="S511" s="117"/>
      <c r="T511" s="117"/>
      <c r="U511" s="117"/>
      <c r="V511" s="117"/>
      <c r="W511" s="117"/>
      <c r="X511" s="117">
        <f>VLOOKUP($C511,'1 预算编制表单'!$C:$BJ,27,FALSE)</f>
        <v>0</v>
      </c>
      <c r="Y511" s="117">
        <f t="shared" si="5981"/>
        <v>0</v>
      </c>
      <c r="Z511" s="117">
        <f>SUMIF(物资过程计算表!$B:$B,$C511,物资过程计算表!$D:$D)</f>
        <v>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0</v>
      </c>
      <c r="AF511" s="117">
        <f>SUMIF(物资过程计算表!$B:$B,$C511,物资过程计算表!F:F)</f>
        <v>0</v>
      </c>
      <c r="AG511" s="117">
        <f>VLOOKUP($C511,'1 预算编制表单'!$C:$BJ,36,FALSE)</f>
        <v>0</v>
      </c>
      <c r="AH511" s="117">
        <f t="shared" si="5984"/>
        <v>-75</v>
      </c>
      <c r="AI511" s="117">
        <f>SUMIF(物资过程计算表!$B:$B,$C511,物资过程计算表!G:G)</f>
        <v>75</v>
      </c>
      <c r="AJ511" s="117">
        <f>VLOOKUP($C511,'1 预算编制表单'!$C:$BJ,39,FALSE)</f>
        <v>0</v>
      </c>
      <c r="AK511" s="117">
        <f t="shared" si="5985"/>
        <v>0</v>
      </c>
      <c r="AL511" s="117">
        <f>SUMIF(物资过程计算表!$B:$B,$C511,物资过程计算表!H:H)</f>
        <v>0</v>
      </c>
      <c r="AM511" s="117">
        <f>VLOOKUP($C511,'1 预算编制表单'!$C:$BJ,42,FALSE)</f>
        <v>0</v>
      </c>
      <c r="AN511" s="117">
        <f t="shared" si="5986"/>
        <v>0</v>
      </c>
      <c r="AO511" s="117">
        <f>SUMIF(物资过程计算表!$B:$B,$C511,物资过程计算表!I:I)</f>
        <v>0</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customHeight="1" outlineLevel="2" spans="1:95">
      <c r="A512" s="47"/>
      <c r="B512" s="115" t="s">
        <v>794</v>
      </c>
      <c r="C512" s="116" t="s">
        <v>1703</v>
      </c>
      <c r="D512" s="47" t="s">
        <v>1704</v>
      </c>
      <c r="E512" s="115"/>
      <c r="F512" s="115"/>
      <c r="G512" s="115"/>
      <c r="H512" s="117">
        <f t="shared" si="5979"/>
        <v>0</v>
      </c>
      <c r="I512" s="117">
        <f t="shared" si="5980"/>
        <v>0</v>
      </c>
      <c r="J512" s="117">
        <f t="shared" si="5367"/>
        <v>0</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0</v>
      </c>
      <c r="AF512" s="117">
        <f>SUMIF(物资过程计算表!$B:$B,$C512,物资过程计算表!F:F)</f>
        <v>0</v>
      </c>
      <c r="AG512" s="117">
        <f>VLOOKUP($C512,'1 预算编制表单'!$C:$BJ,36,FALSE)</f>
        <v>0</v>
      </c>
      <c r="AH512" s="117">
        <f t="shared" si="5984"/>
        <v>0</v>
      </c>
      <c r="AI512" s="117">
        <f>SUMIF(物资过程计算表!$B:$B,$C512,物资过程计算表!G:G)</f>
        <v>0</v>
      </c>
      <c r="AJ512" s="117">
        <f>VLOOKUP($C512,'1 预算编制表单'!$C:$BJ,39,FALSE)</f>
        <v>0</v>
      </c>
      <c r="AK512" s="117">
        <f t="shared" si="5985"/>
        <v>0</v>
      </c>
      <c r="AL512" s="117">
        <f>SUMIF(物资过程计算表!$B:$B,$C512,物资过程计算表!H:H)</f>
        <v>0</v>
      </c>
      <c r="AM512" s="117">
        <f>VLOOKUP($C512,'1 预算编制表单'!$C:$BJ,42,FALSE)</f>
        <v>0</v>
      </c>
      <c r="AN512" s="117">
        <f t="shared" si="5986"/>
        <v>0</v>
      </c>
      <c r="AO512" s="117">
        <f>SUMIF(物资过程计算表!$B:$B,$C512,物资过程计算表!I:I)</f>
        <v>0</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customHeight="1" outlineLevel="2" spans="1:95">
      <c r="A513" s="47"/>
      <c r="B513" s="115" t="s">
        <v>794</v>
      </c>
      <c r="C513" s="116" t="s">
        <v>1726</v>
      </c>
      <c r="D513" s="47" t="s">
        <v>2839</v>
      </c>
      <c r="E513" s="115"/>
      <c r="F513" s="115"/>
      <c r="G513" s="115" t="s">
        <v>943</v>
      </c>
      <c r="H513" s="117">
        <f t="shared" si="5979"/>
        <v>192000</v>
      </c>
      <c r="I513" s="117">
        <f t="shared" si="5980"/>
        <v>192000</v>
      </c>
      <c r="J513" s="117">
        <f t="shared" si="5367"/>
        <v>0</v>
      </c>
      <c r="K513" s="117"/>
      <c r="L513" s="148"/>
      <c r="M513" s="148"/>
      <c r="N513" s="117"/>
      <c r="O513" s="148"/>
      <c r="P513" s="117"/>
      <c r="Q513" s="117"/>
      <c r="R513" s="117"/>
      <c r="S513" s="117"/>
      <c r="T513" s="117"/>
      <c r="U513" s="117"/>
      <c r="V513" s="117"/>
      <c r="W513" s="117"/>
      <c r="X513" s="117">
        <f>X514</f>
        <v>192000</v>
      </c>
      <c r="Y513" s="117">
        <f t="shared" si="5981"/>
        <v>192000</v>
      </c>
      <c r="Z513" s="117">
        <f>SUM(Z514:Z515)</f>
        <v>0</v>
      </c>
      <c r="AA513" s="117">
        <f>VLOOKUP($C513,'1 预算编制表单'!$C:$BJ,30,FALSE)</f>
        <v>0</v>
      </c>
      <c r="AB513" s="117">
        <f t="shared" si="5982"/>
        <v>0</v>
      </c>
      <c r="AC513" s="117">
        <f>SUM(AC514:AC515)</f>
        <v>0</v>
      </c>
      <c r="AD513" s="117">
        <f>VLOOKUP($C513,'1 预算编制表单'!$C:$BJ,33,FALSE)</f>
        <v>0</v>
      </c>
      <c r="AE513" s="117">
        <f t="shared" si="5983"/>
        <v>0</v>
      </c>
      <c r="AF513" s="117">
        <f>SUM(AF514:AF515)</f>
        <v>0</v>
      </c>
      <c r="AG513" s="117">
        <f>VLOOKUP($C513,'1 预算编制表单'!$C:$BJ,36,FALSE)</f>
        <v>0</v>
      </c>
      <c r="AH513" s="117">
        <f t="shared" si="5984"/>
        <v>0</v>
      </c>
      <c r="AI513" s="117">
        <f>SUM(AI514:AI515)</f>
        <v>0</v>
      </c>
      <c r="AJ513" s="117">
        <f>VLOOKUP($C513,'1 预算编制表单'!$C:$BJ,39,FALSE)</f>
        <v>0</v>
      </c>
      <c r="AK513" s="117">
        <f t="shared" si="5985"/>
        <v>0</v>
      </c>
      <c r="AL513" s="117">
        <f>SUM(AL514:AL515)</f>
        <v>0</v>
      </c>
      <c r="AM513" s="117">
        <f>VLOOKUP($C513,'1 预算编制表单'!$C:$BJ,42,FALSE)</f>
        <v>0</v>
      </c>
      <c r="AN513" s="117">
        <f t="shared" si="5986"/>
        <v>0</v>
      </c>
      <c r="AO513" s="117">
        <f>SUM(AO514:AO515)</f>
        <v>0</v>
      </c>
      <c r="AP513" s="117">
        <f>VLOOKUP($C513,'1 预算编制表单'!$C:$BJ,45,FALSE)</f>
        <v>0</v>
      </c>
      <c r="AQ513" s="117">
        <f t="shared" si="5987"/>
        <v>0</v>
      </c>
      <c r="AR513" s="117">
        <f>SUM(AR514:AR515)</f>
        <v>0</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192000</v>
      </c>
      <c r="BI513" s="117">
        <f t="shared" si="5993"/>
        <v>192000</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customHeight="1" outlineLevel="2" spans="1:95">
      <c r="A514" s="47"/>
      <c r="B514" s="115"/>
      <c r="C514" s="116"/>
      <c r="D514" s="47" t="s">
        <v>1727</v>
      </c>
      <c r="E514" s="115"/>
      <c r="F514" s="115"/>
      <c r="G514" s="115" t="s">
        <v>943</v>
      </c>
      <c r="H514" s="117"/>
      <c r="I514" s="117"/>
      <c r="J514" s="117"/>
      <c r="K514" s="117"/>
      <c r="L514" s="148"/>
      <c r="M514" s="148"/>
      <c r="N514" s="117"/>
      <c r="O514" s="148"/>
      <c r="P514" s="117"/>
      <c r="Q514" s="117"/>
      <c r="R514" s="117"/>
      <c r="S514" s="117"/>
      <c r="T514" s="117"/>
      <c r="U514" s="117"/>
      <c r="V514" s="117"/>
      <c r="W514" s="117"/>
      <c r="X514" s="117">
        <f>VLOOKUP($C513,'1 预算编制表单'!$C:$BJ,27,FALSE)</f>
        <v>192000</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192000</v>
      </c>
      <c r="BI514" s="117">
        <f t="shared" si="5993"/>
        <v>192000</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customHeight="1" outlineLevel="2" spans="1:95">
      <c r="A515" s="47"/>
      <c r="B515" s="115"/>
      <c r="C515" s="116"/>
      <c r="D515" s="47" t="s">
        <v>2840</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0</v>
      </c>
      <c r="AA515" s="117"/>
      <c r="AB515" s="117"/>
      <c r="AC515" s="117">
        <f>报销单计算表!C14</f>
        <v>0</v>
      </c>
      <c r="AD515" s="117"/>
      <c r="AE515" s="117"/>
      <c r="AF515" s="117">
        <f>报销单计算表!D14</f>
        <v>0</v>
      </c>
      <c r="AG515" s="117"/>
      <c r="AH515" s="117"/>
      <c r="AI515" s="117">
        <f>报销单计算表!E14</f>
        <v>0</v>
      </c>
      <c r="AJ515" s="117"/>
      <c r="AK515" s="117"/>
      <c r="AL515" s="117">
        <f>报销单计算表!F14</f>
        <v>0</v>
      </c>
      <c r="AM515" s="117"/>
      <c r="AN515" s="117"/>
      <c r="AO515" s="117">
        <f>报销单计算表!G14</f>
        <v>0</v>
      </c>
      <c r="AP515" s="117"/>
      <c r="AQ515" s="117"/>
      <c r="AR515" s="117">
        <f>报销单计算表!H14</f>
        <v>0</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customHeight="1" outlineLevel="1" spans="1:95">
      <c r="A516" s="22"/>
      <c r="B516" s="112" t="s">
        <v>794</v>
      </c>
      <c r="C516" s="113" t="s">
        <v>1764</v>
      </c>
      <c r="D516" s="22" t="s">
        <v>1765</v>
      </c>
      <c r="E516" s="112"/>
      <c r="F516" s="112"/>
      <c r="G516" s="112"/>
      <c r="H516" s="114">
        <f t="shared" si="5979"/>
        <v>0</v>
      </c>
      <c r="I516" s="114">
        <f t="shared" si="5980"/>
        <v>-214133.71</v>
      </c>
      <c r="J516" s="114">
        <f t="shared" si="5367"/>
        <v>214133.71</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0</v>
      </c>
      <c r="Z516" s="114">
        <f>Z517+Z518+Z519</f>
        <v>0</v>
      </c>
      <c r="AA516" s="114">
        <f>VLOOKUP($C516,'1 预算编制表单'!$C:$BJ,30,FALSE)</f>
        <v>0</v>
      </c>
      <c r="AB516" s="114">
        <f t="shared" si="5982"/>
        <v>0</v>
      </c>
      <c r="AC516" s="114">
        <f>AC517+AC518+AC519</f>
        <v>0</v>
      </c>
      <c r="AD516" s="114">
        <f>VLOOKUP($C516,'1 预算编制表单'!$C:$BJ,33,FALSE)</f>
        <v>0</v>
      </c>
      <c r="AE516" s="114">
        <f t="shared" si="5983"/>
        <v>0</v>
      </c>
      <c r="AF516" s="114">
        <f>AF517+AF518+AF519</f>
        <v>0</v>
      </c>
      <c r="AG516" s="114">
        <f>VLOOKUP($C516,'1 预算编制表单'!$C:$BJ,36,FALSE)</f>
        <v>0</v>
      </c>
      <c r="AH516" s="114">
        <f t="shared" si="5984"/>
        <v>-118491.39</v>
      </c>
      <c r="AI516" s="114">
        <f>AI517+AI518+AI519</f>
        <v>118491.39</v>
      </c>
      <c r="AJ516" s="114">
        <f>VLOOKUP($C516,'1 预算编制表单'!$C:$BJ,39,FALSE)</f>
        <v>0</v>
      </c>
      <c r="AK516" s="114">
        <f t="shared" si="5985"/>
        <v>-95642.32</v>
      </c>
      <c r="AL516" s="114">
        <f>AL517+AL518+AL519</f>
        <v>95642.32</v>
      </c>
      <c r="AM516" s="114">
        <f>VLOOKUP($C516,'1 预算编制表单'!$C:$BJ,42,FALSE)</f>
        <v>0</v>
      </c>
      <c r="AN516" s="114">
        <f t="shared" si="5986"/>
        <v>0</v>
      </c>
      <c r="AO516" s="114">
        <f>AO517+AO518+AO519</f>
        <v>0</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customHeight="1" outlineLevel="2" spans="1:95">
      <c r="A517" s="47"/>
      <c r="B517" s="115" t="s">
        <v>794</v>
      </c>
      <c r="C517" s="116" t="s">
        <v>1766</v>
      </c>
      <c r="D517" s="47" t="s">
        <v>1767</v>
      </c>
      <c r="E517" s="115"/>
      <c r="F517" s="115"/>
      <c r="G517" s="115"/>
      <c r="H517" s="117">
        <f t="shared" si="5979"/>
        <v>0</v>
      </c>
      <c r="I517" s="117">
        <f t="shared" si="5980"/>
        <v>0</v>
      </c>
      <c r="J517" s="117">
        <f t="shared" si="5367"/>
        <v>0</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0</v>
      </c>
      <c r="AF517" s="117">
        <f>SUMIF(物资过程计算表!$B:$B,$C517,物资过程计算表!F:F)</f>
        <v>0</v>
      </c>
      <c r="AG517" s="117">
        <f>VLOOKUP($C517,'1 预算编制表单'!$C:$BJ,36,FALSE)</f>
        <v>0</v>
      </c>
      <c r="AH517" s="117">
        <f t="shared" si="5984"/>
        <v>0</v>
      </c>
      <c r="AI517" s="117">
        <f>SUMIF(物资过程计算表!$B:$B,$C517,物资过程计算表!G:G)</f>
        <v>0</v>
      </c>
      <c r="AJ517" s="117">
        <f>VLOOKUP($C517,'1 预算编制表单'!$C:$BJ,39,FALSE)</f>
        <v>0</v>
      </c>
      <c r="AK517" s="117">
        <f t="shared" si="5985"/>
        <v>0</v>
      </c>
      <c r="AL517" s="117">
        <f>SUMIF(物资过程计算表!$B:$B,$C517,物资过程计算表!H:H)</f>
        <v>0</v>
      </c>
      <c r="AM517" s="117">
        <f>VLOOKUP($C517,'1 预算编制表单'!$C:$BJ,42,FALSE)</f>
        <v>0</v>
      </c>
      <c r="AN517" s="117">
        <f t="shared" si="5986"/>
        <v>0</v>
      </c>
      <c r="AO517" s="117">
        <f>SUMIF(物资过程计算表!$B:$B,$C517,物资过程计算表!I:I)</f>
        <v>0</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customHeight="1" outlineLevel="2" spans="1:95">
      <c r="A518" s="47"/>
      <c r="B518" s="115" t="s">
        <v>794</v>
      </c>
      <c r="C518" s="116" t="s">
        <v>1786</v>
      </c>
      <c r="D518" s="47" t="s">
        <v>1787</v>
      </c>
      <c r="E518" s="115"/>
      <c r="F518" s="115"/>
      <c r="G518" s="115"/>
      <c r="H518" s="117">
        <f t="shared" si="5979"/>
        <v>0</v>
      </c>
      <c r="I518" s="117">
        <f t="shared" si="5980"/>
        <v>-10839.82</v>
      </c>
      <c r="J518" s="117">
        <f t="shared" si="5367"/>
        <v>10839.82</v>
      </c>
      <c r="K518" s="117"/>
      <c r="L518" s="148"/>
      <c r="M518" s="148"/>
      <c r="N518" s="117"/>
      <c r="O518" s="148"/>
      <c r="P518" s="117"/>
      <c r="Q518" s="117"/>
      <c r="R518" s="117"/>
      <c r="S518" s="117"/>
      <c r="T518" s="117"/>
      <c r="U518" s="117"/>
      <c r="V518" s="117"/>
      <c r="W518" s="117"/>
      <c r="X518" s="117">
        <f>VLOOKUP($C518,'1 预算编制表单'!$C:$BJ,27,FALSE)</f>
        <v>0</v>
      </c>
      <c r="Y518" s="117">
        <f t="shared" si="6005"/>
        <v>0</v>
      </c>
      <c r="Z518" s="117">
        <f>SUMIF(物资过程计算表!$B:$B,$C518,物资过程计算表!$D:$D)</f>
        <v>0</v>
      </c>
      <c r="AA518" s="117">
        <f>VLOOKUP($C518,'1 预算编制表单'!$C:$BJ,30,FALSE)</f>
        <v>0</v>
      </c>
      <c r="AB518" s="117">
        <f t="shared" si="5982"/>
        <v>0</v>
      </c>
      <c r="AC518" s="117">
        <f>SUMIF(物资过程计算表!$B:$B,$C518,物资过程计算表!E:E)</f>
        <v>0</v>
      </c>
      <c r="AD518" s="117">
        <f>VLOOKUP($C518,'1 预算编制表单'!$C:$BJ,33,FALSE)</f>
        <v>0</v>
      </c>
      <c r="AE518" s="117">
        <f t="shared" si="5983"/>
        <v>0</v>
      </c>
      <c r="AF518" s="117">
        <f>SUMIF(物资过程计算表!$B:$B,$C518,物资过程计算表!F:F)</f>
        <v>0</v>
      </c>
      <c r="AG518" s="117">
        <f>VLOOKUP($C518,'1 预算编制表单'!$C:$BJ,36,FALSE)</f>
        <v>0</v>
      </c>
      <c r="AH518" s="117">
        <f t="shared" si="5984"/>
        <v>-8672.02</v>
      </c>
      <c r="AI518" s="117">
        <f>SUMIF(物资过程计算表!$B:$B,$C518,物资过程计算表!G:G)</f>
        <v>8672.02</v>
      </c>
      <c r="AJ518" s="117">
        <f>VLOOKUP($C518,'1 预算编制表单'!$C:$BJ,39,FALSE)</f>
        <v>0</v>
      </c>
      <c r="AK518" s="117">
        <f t="shared" si="5985"/>
        <v>-2167.8</v>
      </c>
      <c r="AL518" s="117">
        <f>SUMIF(物资过程计算表!$B:$B,$C518,物资过程计算表!H:H)</f>
        <v>2167.8</v>
      </c>
      <c r="AM518" s="117">
        <f>VLOOKUP($C518,'1 预算编制表单'!$C:$BJ,42,FALSE)</f>
        <v>0</v>
      </c>
      <c r="AN518" s="117">
        <f t="shared" si="5986"/>
        <v>0</v>
      </c>
      <c r="AO518" s="117">
        <f>SUMIF(物资过程计算表!$B:$B,$C518,物资过程计算表!I:I)</f>
        <v>0</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customHeight="1" outlineLevel="2" spans="1:95">
      <c r="A519" s="47"/>
      <c r="B519" s="115" t="s">
        <v>794</v>
      </c>
      <c r="C519" s="116" t="s">
        <v>1799</v>
      </c>
      <c r="D519" s="47" t="s">
        <v>1800</v>
      </c>
      <c r="E519" s="115"/>
      <c r="F519" s="115"/>
      <c r="G519" s="115"/>
      <c r="H519" s="117">
        <f t="shared" si="5979"/>
        <v>0</v>
      </c>
      <c r="I519" s="117">
        <f t="shared" si="5980"/>
        <v>-203293.89</v>
      </c>
      <c r="J519" s="117">
        <f t="shared" si="5367"/>
        <v>203293.89</v>
      </c>
      <c r="K519" s="117"/>
      <c r="L519" s="148"/>
      <c r="M519" s="148"/>
      <c r="N519" s="117"/>
      <c r="O519" s="148"/>
      <c r="P519" s="117"/>
      <c r="Q519" s="117"/>
      <c r="R519" s="117"/>
      <c r="S519" s="117"/>
      <c r="T519" s="117"/>
      <c r="U519" s="117"/>
      <c r="V519" s="117"/>
      <c r="W519" s="117"/>
      <c r="X519" s="117">
        <f>VLOOKUP($C519,'1 预算编制表单'!$C:$BJ,27,FALSE)</f>
        <v>0</v>
      </c>
      <c r="Y519" s="117">
        <f t="shared" si="6005"/>
        <v>0</v>
      </c>
      <c r="Z519" s="117">
        <f>SUMIF(物资过程计算表!$B:$B,$C519,物资过程计算表!$D:$D)</f>
        <v>0</v>
      </c>
      <c r="AA519" s="117">
        <f>VLOOKUP($C519,'1 预算编制表单'!$C:$BJ,30,FALSE)</f>
        <v>0</v>
      </c>
      <c r="AB519" s="117">
        <f t="shared" si="5982"/>
        <v>0</v>
      </c>
      <c r="AC519" s="117">
        <f>SUMIF(物资过程计算表!$B:$B,$C519,物资过程计算表!E:E)</f>
        <v>0</v>
      </c>
      <c r="AD519" s="117">
        <f>VLOOKUP($C519,'1 预算编制表单'!$C:$BJ,33,FALSE)</f>
        <v>0</v>
      </c>
      <c r="AE519" s="117">
        <f t="shared" si="5983"/>
        <v>0</v>
      </c>
      <c r="AF519" s="117">
        <f>SUMIF(物资过程计算表!$B:$B,$C519,物资过程计算表!F:F)</f>
        <v>0</v>
      </c>
      <c r="AG519" s="117">
        <f>VLOOKUP($C519,'1 预算编制表单'!$C:$BJ,36,FALSE)</f>
        <v>0</v>
      </c>
      <c r="AH519" s="117">
        <f t="shared" si="5984"/>
        <v>-109819.37</v>
      </c>
      <c r="AI519" s="117">
        <f>SUMIF(物资过程计算表!$B:$B,$C519,物资过程计算表!G:G)</f>
        <v>109819.37</v>
      </c>
      <c r="AJ519" s="117">
        <f>VLOOKUP($C519,'1 预算编制表单'!$C:$BJ,39,FALSE)</f>
        <v>0</v>
      </c>
      <c r="AK519" s="117">
        <f t="shared" si="5985"/>
        <v>-93474.52</v>
      </c>
      <c r="AL519" s="117">
        <f>SUMIF(物资过程计算表!$B:$B,$C519,物资过程计算表!H:H)</f>
        <v>93474.52</v>
      </c>
      <c r="AM519" s="117">
        <f>VLOOKUP($C519,'1 预算编制表单'!$C:$BJ,42,FALSE)</f>
        <v>0</v>
      </c>
      <c r="AN519" s="117">
        <f t="shared" si="5986"/>
        <v>0</v>
      </c>
      <c r="AO519" s="117">
        <f>SUMIF(物资过程计算表!$B:$B,$C519,物资过程计算表!I:I)</f>
        <v>0</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customHeight="1" outlineLevel="1" spans="1:95">
      <c r="A520" s="22"/>
      <c r="B520" s="112" t="s">
        <v>794</v>
      </c>
      <c r="C520" s="113" t="s">
        <v>1852</v>
      </c>
      <c r="D520" s="22" t="s">
        <v>1853</v>
      </c>
      <c r="E520" s="112"/>
      <c r="F520" s="112"/>
      <c r="G520" s="112"/>
      <c r="H520" s="114">
        <f t="shared" si="5979"/>
        <v>0</v>
      </c>
      <c r="I520" s="114">
        <f t="shared" si="5980"/>
        <v>0</v>
      </c>
      <c r="J520" s="114">
        <f t="shared" si="5367"/>
        <v>0</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0</v>
      </c>
      <c r="Z520" s="114">
        <f>Z521+Z522+Z523</f>
        <v>0</v>
      </c>
      <c r="AA520" s="114">
        <f>VLOOKUP($C520,'1 预算编制表单'!$C:$BJ,30,FALSE)</f>
        <v>0</v>
      </c>
      <c r="AB520" s="114">
        <f t="shared" si="5982"/>
        <v>0</v>
      </c>
      <c r="AC520" s="114">
        <f>AC521+AC522+AC523</f>
        <v>0</v>
      </c>
      <c r="AD520" s="114">
        <f>VLOOKUP($C520,'1 预算编制表单'!$C:$BJ,33,FALSE)</f>
        <v>0</v>
      </c>
      <c r="AE520" s="114">
        <f t="shared" si="5983"/>
        <v>0</v>
      </c>
      <c r="AF520" s="114">
        <f>AF521+AF522+AF523</f>
        <v>0</v>
      </c>
      <c r="AG520" s="114">
        <f>VLOOKUP($C520,'1 预算编制表单'!$C:$BJ,36,FALSE)</f>
        <v>0</v>
      </c>
      <c r="AH520" s="114">
        <f t="shared" si="5984"/>
        <v>0</v>
      </c>
      <c r="AI520" s="114">
        <f>AI521+AI522+AI523</f>
        <v>0</v>
      </c>
      <c r="AJ520" s="114">
        <f>VLOOKUP($C520,'1 预算编制表单'!$C:$BJ,39,FALSE)</f>
        <v>0</v>
      </c>
      <c r="AK520" s="114">
        <f t="shared" si="5985"/>
        <v>0</v>
      </c>
      <c r="AL520" s="114">
        <f>AL521+AL522+AL523</f>
        <v>0</v>
      </c>
      <c r="AM520" s="114">
        <f>VLOOKUP($C520,'1 预算编制表单'!$C:$BJ,42,FALSE)</f>
        <v>0</v>
      </c>
      <c r="AN520" s="114">
        <f t="shared" si="5986"/>
        <v>0</v>
      </c>
      <c r="AO520" s="114">
        <f>AO521+AO522+AO523</f>
        <v>0</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customHeight="1" outlineLevel="2" spans="1:95">
      <c r="A521" s="47"/>
      <c r="B521" s="115" t="s">
        <v>794</v>
      </c>
      <c r="C521" s="116" t="s">
        <v>1854</v>
      </c>
      <c r="D521" s="47" t="s">
        <v>1855</v>
      </c>
      <c r="E521" s="115"/>
      <c r="F521" s="115"/>
      <c r="G521" s="115"/>
      <c r="H521" s="117">
        <f t="shared" si="5979"/>
        <v>0</v>
      </c>
      <c r="I521" s="117">
        <f t="shared" si="5980"/>
        <v>0</v>
      </c>
      <c r="J521" s="117">
        <f t="shared" si="5367"/>
        <v>0</v>
      </c>
      <c r="K521" s="117"/>
      <c r="L521" s="148"/>
      <c r="M521" s="148"/>
      <c r="N521" s="117"/>
      <c r="O521" s="148"/>
      <c r="P521" s="117"/>
      <c r="Q521" s="117"/>
      <c r="R521" s="117"/>
      <c r="S521" s="117"/>
      <c r="T521" s="117"/>
      <c r="U521" s="117"/>
      <c r="V521" s="117"/>
      <c r="W521" s="117"/>
      <c r="X521" s="117">
        <f>VLOOKUP($C521,'1 预算编制表单'!$C:$BJ,27,FALSE)</f>
        <v>0</v>
      </c>
      <c r="Y521" s="117">
        <f t="shared" si="6006"/>
        <v>0</v>
      </c>
      <c r="Z521" s="117">
        <f>SUMIF(物资过程计算表!$B:$B,$C521,物资过程计算表!$D:$D)</f>
        <v>0</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0</v>
      </c>
      <c r="AI521" s="117">
        <f>SUMIF(物资过程计算表!$B:$B,$C521,物资过程计算表!G:G)</f>
        <v>0</v>
      </c>
      <c r="AJ521" s="117">
        <f>VLOOKUP($C521,'1 预算编制表单'!$C:$BJ,39,FALSE)</f>
        <v>0</v>
      </c>
      <c r="AK521" s="117">
        <f t="shared" si="5985"/>
        <v>0</v>
      </c>
      <c r="AL521" s="117">
        <f>SUMIF(物资过程计算表!$B:$B,$C521,物资过程计算表!H:H)</f>
        <v>0</v>
      </c>
      <c r="AM521" s="117">
        <f>VLOOKUP($C521,'1 预算编制表单'!$C:$BJ,42,FALSE)</f>
        <v>0</v>
      </c>
      <c r="AN521" s="117">
        <f t="shared" si="5986"/>
        <v>0</v>
      </c>
      <c r="AO521" s="117">
        <f>SUMIF(物资过程计算表!$B:$B,$C521,物资过程计算表!I:I)</f>
        <v>0</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customHeight="1" outlineLevel="2" spans="1:95">
      <c r="A522" s="47"/>
      <c r="B522" s="115" t="s">
        <v>794</v>
      </c>
      <c r="C522" s="116" t="s">
        <v>1866</v>
      </c>
      <c r="D522" s="47" t="s">
        <v>1867</v>
      </c>
      <c r="E522" s="115"/>
      <c r="F522" s="115"/>
      <c r="G522" s="115"/>
      <c r="H522" s="117">
        <f t="shared" si="5979"/>
        <v>0</v>
      </c>
      <c r="I522" s="117">
        <f t="shared" si="5980"/>
        <v>0</v>
      </c>
      <c r="J522" s="117">
        <f t="shared" si="5367"/>
        <v>0</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0</v>
      </c>
      <c r="AC522" s="117">
        <f>SUMIF(物资过程计算表!$B:$B,$C522,物资过程计算表!E:E)</f>
        <v>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0</v>
      </c>
      <c r="AI522" s="117">
        <f>SUMIF(物资过程计算表!$B:$B,$C522,物资过程计算表!G:G)</f>
        <v>0</v>
      </c>
      <c r="AJ522" s="117">
        <f>VLOOKUP($C522,'1 预算编制表单'!$C:$BJ,39,FALSE)</f>
        <v>0</v>
      </c>
      <c r="AK522" s="117">
        <f t="shared" si="5985"/>
        <v>0</v>
      </c>
      <c r="AL522" s="117">
        <f>SUMIF(物资过程计算表!$B:$B,$C522,物资过程计算表!H:H)</f>
        <v>0</v>
      </c>
      <c r="AM522" s="117">
        <f>VLOOKUP($C522,'1 预算编制表单'!$C:$BJ,42,FALSE)</f>
        <v>0</v>
      </c>
      <c r="AN522" s="117">
        <f t="shared" si="5986"/>
        <v>0</v>
      </c>
      <c r="AO522" s="117">
        <f>SUMIF(物资过程计算表!$B:$B,$C522,物资过程计算表!I:I)</f>
        <v>0</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customHeight="1" outlineLevel="2" spans="1:95">
      <c r="A523" s="47"/>
      <c r="B523" s="115" t="s">
        <v>794</v>
      </c>
      <c r="C523" s="116" t="s">
        <v>1893</v>
      </c>
      <c r="D523" s="47" t="s">
        <v>1894</v>
      </c>
      <c r="E523" s="115"/>
      <c r="F523" s="115"/>
      <c r="G523" s="115"/>
      <c r="H523" s="117">
        <f t="shared" si="5979"/>
        <v>0</v>
      </c>
      <c r="I523" s="117">
        <f t="shared" si="5980"/>
        <v>0</v>
      </c>
      <c r="J523" s="117">
        <f t="shared" ref="J523:J586" si="6007">Z523+AC523+AF523+AI523+AL523+AO523+AR523+AU523+AX523+BA523+BD523+BG523</f>
        <v>0</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0</v>
      </c>
      <c r="AI523" s="117">
        <f>SUMIF(物资过程计算表!$B:$B,$C523,物资过程计算表!G:G)</f>
        <v>0</v>
      </c>
      <c r="AJ523" s="117">
        <f>VLOOKUP($C523,'1 预算编制表单'!$C:$BJ,39,FALSE)</f>
        <v>0</v>
      </c>
      <c r="AK523" s="117">
        <f t="shared" si="5985"/>
        <v>0</v>
      </c>
      <c r="AL523" s="117">
        <f>SUMIF(物资过程计算表!$B:$B,$C523,物资过程计算表!H:H)</f>
        <v>0</v>
      </c>
      <c r="AM523" s="117">
        <f>VLOOKUP($C523,'1 预算编制表单'!$C:$BJ,42,FALSE)</f>
        <v>0</v>
      </c>
      <c r="AN523" s="117">
        <f t="shared" si="5986"/>
        <v>0</v>
      </c>
      <c r="AO523" s="117">
        <f>SUMIF(物资过程计算表!$B:$B,$C523,物资过程计算表!I:I)</f>
        <v>0</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customHeight="1" outlineLevel="1" spans="1:95">
      <c r="A524" s="22"/>
      <c r="B524" s="112" t="s">
        <v>794</v>
      </c>
      <c r="C524" s="113" t="s">
        <v>1918</v>
      </c>
      <c r="D524" s="22" t="s">
        <v>1919</v>
      </c>
      <c r="E524" s="112"/>
      <c r="F524" s="112"/>
      <c r="G524" s="112"/>
      <c r="H524" s="114">
        <f t="shared" si="5979"/>
        <v>0</v>
      </c>
      <c r="I524" s="114">
        <f t="shared" si="5980"/>
        <v>-525</v>
      </c>
      <c r="J524" s="114">
        <f t="shared" si="6007"/>
        <v>525</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0</v>
      </c>
      <c r="AC524" s="114">
        <f>AC525+AC526</f>
        <v>0</v>
      </c>
      <c r="AD524" s="114">
        <f>VLOOKUP($C524,'1 预算编制表单'!$C:$BJ,33,FALSE)</f>
        <v>0</v>
      </c>
      <c r="AE524" s="114">
        <f t="shared" si="5983"/>
        <v>0</v>
      </c>
      <c r="AF524" s="114">
        <f>AF525+AF526</f>
        <v>0</v>
      </c>
      <c r="AG524" s="114">
        <f>VLOOKUP($C524,'1 预算编制表单'!$C:$BJ,36,FALSE)</f>
        <v>0</v>
      </c>
      <c r="AH524" s="114">
        <f t="shared" si="5984"/>
        <v>-385</v>
      </c>
      <c r="AI524" s="114">
        <f>AI525+AI526</f>
        <v>385</v>
      </c>
      <c r="AJ524" s="114">
        <f>VLOOKUP($C524,'1 预算编制表单'!$C:$BJ,39,FALSE)</f>
        <v>0</v>
      </c>
      <c r="AK524" s="114">
        <f t="shared" si="5985"/>
        <v>-140</v>
      </c>
      <c r="AL524" s="114">
        <f>AL525+AL526</f>
        <v>140</v>
      </c>
      <c r="AM524" s="114">
        <f>VLOOKUP($C524,'1 预算编制表单'!$C:$BJ,42,FALSE)</f>
        <v>0</v>
      </c>
      <c r="AN524" s="114">
        <f t="shared" si="5986"/>
        <v>0</v>
      </c>
      <c r="AO524" s="114">
        <f>AO525+AO526</f>
        <v>0</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customHeight="1" outlineLevel="2" spans="1:95">
      <c r="A525" s="47"/>
      <c r="B525" s="115" t="s">
        <v>794</v>
      </c>
      <c r="C525" s="116" t="s">
        <v>1920</v>
      </c>
      <c r="D525" s="47" t="s">
        <v>1921</v>
      </c>
      <c r="E525" s="115"/>
      <c r="F525" s="115"/>
      <c r="G525" s="115"/>
      <c r="H525" s="117">
        <f t="shared" si="5979"/>
        <v>0</v>
      </c>
      <c r="I525" s="117">
        <f t="shared" si="5980"/>
        <v>0</v>
      </c>
      <c r="J525" s="117">
        <f t="shared" si="6007"/>
        <v>0</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0</v>
      </c>
      <c r="AC525" s="117">
        <f>SUMIF(物资过程计算表!$B:$B,$C525,物资过程计算表!E:E)</f>
        <v>0</v>
      </c>
      <c r="AD525" s="117">
        <f>VLOOKUP($C525,'1 预算编制表单'!$C:$BJ,33,FALSE)</f>
        <v>0</v>
      </c>
      <c r="AE525" s="117">
        <f t="shared" si="5983"/>
        <v>0</v>
      </c>
      <c r="AF525" s="117">
        <f>SUMIF(物资过程计算表!$B:$B,$C525,物资过程计算表!F:F)</f>
        <v>0</v>
      </c>
      <c r="AG525" s="117">
        <f>VLOOKUP($C525,'1 预算编制表单'!$C:$BJ,36,FALSE)</f>
        <v>0</v>
      </c>
      <c r="AH525" s="117">
        <f t="shared" si="5984"/>
        <v>0</v>
      </c>
      <c r="AI525" s="117">
        <f>SUMIF(物资过程计算表!$B:$B,$C525,物资过程计算表!G:G)</f>
        <v>0</v>
      </c>
      <c r="AJ525" s="117">
        <f>VLOOKUP($C525,'1 预算编制表单'!$C:$BJ,39,FALSE)</f>
        <v>0</v>
      </c>
      <c r="AK525" s="117">
        <f t="shared" si="5985"/>
        <v>0</v>
      </c>
      <c r="AL525" s="117">
        <f>SUMIF(物资过程计算表!$B:$B,$C525,物资过程计算表!H:H)</f>
        <v>0</v>
      </c>
      <c r="AM525" s="117">
        <f>VLOOKUP($C525,'1 预算编制表单'!$C:$BJ,42,FALSE)</f>
        <v>0</v>
      </c>
      <c r="AN525" s="117">
        <f t="shared" si="5986"/>
        <v>0</v>
      </c>
      <c r="AO525" s="117">
        <f>SUMIF(物资过程计算表!$B:$B,$C525,物资过程计算表!I:I)</f>
        <v>0</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customHeight="1" outlineLevel="2" spans="1:95">
      <c r="A526" s="47"/>
      <c r="B526" s="115" t="s">
        <v>794</v>
      </c>
      <c r="C526" s="116" t="s">
        <v>1936</v>
      </c>
      <c r="D526" s="47" t="s">
        <v>1937</v>
      </c>
      <c r="E526" s="115"/>
      <c r="F526" s="115"/>
      <c r="G526" s="115"/>
      <c r="H526" s="117">
        <f t="shared" si="5979"/>
        <v>0</v>
      </c>
      <c r="I526" s="117">
        <f t="shared" si="5980"/>
        <v>-525</v>
      </c>
      <c r="J526" s="117">
        <f t="shared" si="6007"/>
        <v>525</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-385</v>
      </c>
      <c r="AI526" s="117">
        <f>SUMIF(物资过程计算表!$B:$B,$C526,物资过程计算表!G:G)</f>
        <v>385</v>
      </c>
      <c r="AJ526" s="117">
        <f>VLOOKUP($C526,'1 预算编制表单'!$C:$BJ,39,FALSE)</f>
        <v>0</v>
      </c>
      <c r="AK526" s="117">
        <f t="shared" si="5985"/>
        <v>-140</v>
      </c>
      <c r="AL526" s="117">
        <f>SUMIF(物资过程计算表!$B:$B,$C526,物资过程计算表!H:H)</f>
        <v>140</v>
      </c>
      <c r="AM526" s="117">
        <f>VLOOKUP($C526,'1 预算编制表单'!$C:$BJ,42,FALSE)</f>
        <v>0</v>
      </c>
      <c r="AN526" s="117">
        <f t="shared" si="5986"/>
        <v>0</v>
      </c>
      <c r="AO526" s="117">
        <f>SUMIF(物资过程计算表!$B:$B,$C526,物资过程计算表!I:I)</f>
        <v>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customHeight="1" outlineLevel="1" spans="1:95">
      <c r="A527" s="22"/>
      <c r="B527" s="112" t="s">
        <v>794</v>
      </c>
      <c r="C527" s="113" t="s">
        <v>1959</v>
      </c>
      <c r="D527" s="22" t="s">
        <v>1960</v>
      </c>
      <c r="E527" s="112"/>
      <c r="F527" s="112"/>
      <c r="G527" s="112"/>
      <c r="H527" s="114">
        <f t="shared" si="5979"/>
        <v>0</v>
      </c>
      <c r="I527" s="114">
        <f t="shared" si="5980"/>
        <v>-5950</v>
      </c>
      <c r="J527" s="114">
        <f t="shared" si="6007"/>
        <v>5950</v>
      </c>
      <c r="K527" s="114"/>
      <c r="L527" s="147"/>
      <c r="M527" s="147"/>
      <c r="N527" s="114"/>
      <c r="O527" s="147"/>
      <c r="P527" s="114"/>
      <c r="Q527" s="114"/>
      <c r="R527" s="114"/>
      <c r="S527" s="114"/>
      <c r="T527" s="114"/>
      <c r="U527" s="114"/>
      <c r="V527" s="114"/>
      <c r="W527" s="114"/>
      <c r="X527" s="114">
        <f>VLOOKUP($C527,'1 预算编制表单'!$C:$BJ,27,FALSE)</f>
        <v>0</v>
      </c>
      <c r="Y527" s="114">
        <f t="shared" si="6008"/>
        <v>0</v>
      </c>
      <c r="Z527" s="114">
        <f>Z528+Z529+Z530</f>
        <v>0</v>
      </c>
      <c r="AA527" s="114">
        <f>VLOOKUP($C527,'1 预算编制表单'!$C:$BJ,30,FALSE)</f>
        <v>0</v>
      </c>
      <c r="AB527" s="114">
        <f t="shared" si="5982"/>
        <v>-5950</v>
      </c>
      <c r="AC527" s="114">
        <f>AC528+AC529+AC530</f>
        <v>5950</v>
      </c>
      <c r="AD527" s="114">
        <f>VLOOKUP($C527,'1 预算编制表单'!$C:$BJ,33,FALSE)</f>
        <v>0</v>
      </c>
      <c r="AE527" s="114">
        <f t="shared" si="5983"/>
        <v>0</v>
      </c>
      <c r="AF527" s="114">
        <f>AF528+AF529+AF530</f>
        <v>0</v>
      </c>
      <c r="AG527" s="114">
        <f>VLOOKUP($C527,'1 预算编制表单'!$C:$BJ,36,FALSE)</f>
        <v>0</v>
      </c>
      <c r="AH527" s="114">
        <f t="shared" si="5984"/>
        <v>0</v>
      </c>
      <c r="AI527" s="114">
        <f>AI528+AI529+AI530</f>
        <v>0</v>
      </c>
      <c r="AJ527" s="114">
        <f>VLOOKUP($C527,'1 预算编制表单'!$C:$BJ,39,FALSE)</f>
        <v>0</v>
      </c>
      <c r="AK527" s="114">
        <f t="shared" si="5985"/>
        <v>0</v>
      </c>
      <c r="AL527" s="114">
        <f>AL528+AL529+AL530</f>
        <v>0</v>
      </c>
      <c r="AM527" s="114">
        <f>VLOOKUP($C527,'1 预算编制表单'!$C:$BJ,42,FALSE)</f>
        <v>0</v>
      </c>
      <c r="AN527" s="114">
        <f t="shared" si="5986"/>
        <v>0</v>
      </c>
      <c r="AO527" s="114">
        <f>AO528+AO529+AO530</f>
        <v>0</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customHeight="1" outlineLevel="2" spans="1:95">
      <c r="A528" s="47"/>
      <c r="B528" s="115" t="s">
        <v>794</v>
      </c>
      <c r="C528" s="116" t="s">
        <v>1961</v>
      </c>
      <c r="D528" s="47" t="s">
        <v>1962</v>
      </c>
      <c r="E528" s="115"/>
      <c r="F528" s="115"/>
      <c r="G528" s="115"/>
      <c r="H528" s="117">
        <f t="shared" si="5979"/>
        <v>0</v>
      </c>
      <c r="I528" s="117">
        <f t="shared" si="5980"/>
        <v>-5950</v>
      </c>
      <c r="J528" s="117">
        <f t="shared" si="6007"/>
        <v>5950</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-5950</v>
      </c>
      <c r="AC528" s="117">
        <f>SUMIF(物资过程计算表!$B:$B,$C528,物资过程计算表!E:E)</f>
        <v>5950</v>
      </c>
      <c r="AD528" s="117">
        <f>VLOOKUP($C528,'1 预算编制表单'!$C:$BJ,33,FALSE)</f>
        <v>0</v>
      </c>
      <c r="AE528" s="117">
        <f t="shared" si="5983"/>
        <v>0</v>
      </c>
      <c r="AF528" s="117">
        <f>SUMIF(物资过程计算表!$B:$B,$C528,物资过程计算表!F:F)</f>
        <v>0</v>
      </c>
      <c r="AG528" s="117">
        <f>VLOOKUP($C528,'1 预算编制表单'!$C:$BJ,36,FALSE)</f>
        <v>0</v>
      </c>
      <c r="AH528" s="117">
        <f t="shared" si="5984"/>
        <v>0</v>
      </c>
      <c r="AI528" s="117">
        <f>SUMIF(物资过程计算表!$B:$B,$C528,物资过程计算表!G:G)</f>
        <v>0</v>
      </c>
      <c r="AJ528" s="117">
        <f>VLOOKUP($C528,'1 预算编制表单'!$C:$BJ,39,FALSE)</f>
        <v>0</v>
      </c>
      <c r="AK528" s="117">
        <f t="shared" si="5985"/>
        <v>0</v>
      </c>
      <c r="AL528" s="117">
        <f>SUMIF(物资过程计算表!$B:$B,$C528,物资过程计算表!H:H)</f>
        <v>0</v>
      </c>
      <c r="AM528" s="117">
        <f>VLOOKUP($C528,'1 预算编制表单'!$C:$BJ,42,FALSE)</f>
        <v>0</v>
      </c>
      <c r="AN528" s="117">
        <f t="shared" si="5986"/>
        <v>0</v>
      </c>
      <c r="AO528" s="117">
        <f>SUMIF(物资过程计算表!$B:$B,$C528,物资过程计算表!I:I)</f>
        <v>0</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customHeight="1" outlineLevel="2" spans="1:95">
      <c r="A529" s="47"/>
      <c r="B529" s="115" t="s">
        <v>794</v>
      </c>
      <c r="C529" s="116" t="s">
        <v>1987</v>
      </c>
      <c r="D529" s="47" t="s">
        <v>1988</v>
      </c>
      <c r="E529" s="115"/>
      <c r="F529" s="115"/>
      <c r="G529" s="115"/>
      <c r="H529" s="117">
        <f t="shared" si="5979"/>
        <v>0</v>
      </c>
      <c r="I529" s="117">
        <f t="shared" si="5980"/>
        <v>0</v>
      </c>
      <c r="J529" s="117">
        <f t="shared" si="6007"/>
        <v>0</v>
      </c>
      <c r="K529" s="117"/>
      <c r="L529" s="148"/>
      <c r="M529" s="148"/>
      <c r="N529" s="117"/>
      <c r="O529" s="148"/>
      <c r="P529" s="117"/>
      <c r="Q529" s="117"/>
      <c r="R529" s="117"/>
      <c r="S529" s="117"/>
      <c r="T529" s="117"/>
      <c r="U529" s="117"/>
      <c r="V529" s="117"/>
      <c r="W529" s="117"/>
      <c r="X529" s="117">
        <f>VLOOKUP($C529,'1 预算编制表单'!$C:$BJ,27,FALSE)</f>
        <v>0</v>
      </c>
      <c r="Y529" s="117">
        <f t="shared" si="6008"/>
        <v>0</v>
      </c>
      <c r="Z529" s="117">
        <f>SUMIF(物资过程计算表!$B:$B,$C529,物资过程计算表!$D:$D)</f>
        <v>0</v>
      </c>
      <c r="AA529" s="117">
        <f>VLOOKUP($C529,'1 预算编制表单'!$C:$BJ,30,FALSE)</f>
        <v>0</v>
      </c>
      <c r="AB529" s="117">
        <f t="shared" si="5982"/>
        <v>0</v>
      </c>
      <c r="AC529" s="117">
        <f>SUMIF(物资过程计算表!$B:$B,$C529,物资过程计算表!E:E)</f>
        <v>0</v>
      </c>
      <c r="AD529" s="117">
        <f>VLOOKUP($C529,'1 预算编制表单'!$C:$BJ,33,FALSE)</f>
        <v>0</v>
      </c>
      <c r="AE529" s="117">
        <f t="shared" si="5983"/>
        <v>0</v>
      </c>
      <c r="AF529" s="117">
        <f>SUMIF(物资过程计算表!$B:$B,$C529,物资过程计算表!F:F)</f>
        <v>0</v>
      </c>
      <c r="AG529" s="117">
        <f>VLOOKUP($C529,'1 预算编制表单'!$C:$BJ,36,FALSE)</f>
        <v>0</v>
      </c>
      <c r="AH529" s="117">
        <f t="shared" si="5984"/>
        <v>0</v>
      </c>
      <c r="AI529" s="117">
        <f>SUMIF(物资过程计算表!$B:$B,$C529,物资过程计算表!G:G)</f>
        <v>0</v>
      </c>
      <c r="AJ529" s="117">
        <f>VLOOKUP($C529,'1 预算编制表单'!$C:$BJ,39,FALSE)</f>
        <v>0</v>
      </c>
      <c r="AK529" s="117">
        <f t="shared" si="5985"/>
        <v>0</v>
      </c>
      <c r="AL529" s="117">
        <f>SUMIF(物资过程计算表!$B:$B,$C529,物资过程计算表!H:H)</f>
        <v>0</v>
      </c>
      <c r="AM529" s="117">
        <f>VLOOKUP($C529,'1 预算编制表单'!$C:$BJ,42,FALSE)</f>
        <v>0</v>
      </c>
      <c r="AN529" s="117">
        <f t="shared" si="5986"/>
        <v>0</v>
      </c>
      <c r="AO529" s="117">
        <f>SUMIF(物资过程计算表!$B:$B,$C529,物资过程计算表!I:I)</f>
        <v>0</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customHeight="1" outlineLevel="2" spans="1:95">
      <c r="A530" s="47"/>
      <c r="B530" s="115" t="s">
        <v>794</v>
      </c>
      <c r="C530" s="116" t="s">
        <v>2013</v>
      </c>
      <c r="D530" s="47" t="s">
        <v>2014</v>
      </c>
      <c r="E530" s="115"/>
      <c r="F530" s="115"/>
      <c r="G530" s="115"/>
      <c r="H530" s="117">
        <f t="shared" si="5979"/>
        <v>0</v>
      </c>
      <c r="I530" s="117">
        <f t="shared" si="5980"/>
        <v>0</v>
      </c>
      <c r="J530" s="117">
        <f t="shared" si="6007"/>
        <v>0</v>
      </c>
      <c r="K530" s="117"/>
      <c r="L530" s="148"/>
      <c r="M530" s="148"/>
      <c r="N530" s="117"/>
      <c r="O530" s="148"/>
      <c r="P530" s="117"/>
      <c r="Q530" s="117"/>
      <c r="R530" s="117"/>
      <c r="S530" s="117"/>
      <c r="T530" s="117"/>
      <c r="U530" s="117"/>
      <c r="V530" s="117"/>
      <c r="W530" s="117"/>
      <c r="X530" s="117">
        <f>VLOOKUP($C530,'1 预算编制表单'!$C:$BJ,27,FALSE)</f>
        <v>0</v>
      </c>
      <c r="Y530" s="117">
        <f t="shared" si="6008"/>
        <v>0</v>
      </c>
      <c r="Z530" s="117">
        <f>SUMIF(物资过程计算表!$B:$B,$C530,物资过程计算表!$D:$D)</f>
        <v>0</v>
      </c>
      <c r="AA530" s="117">
        <f>VLOOKUP($C530,'1 预算编制表单'!$C:$BJ,30,FALSE)</f>
        <v>0</v>
      </c>
      <c r="AB530" s="117">
        <f t="shared" si="5982"/>
        <v>0</v>
      </c>
      <c r="AC530" s="117">
        <f>SUMIF(物资过程计算表!$B:$B,$C530,物资过程计算表!E:E)</f>
        <v>0</v>
      </c>
      <c r="AD530" s="117">
        <f>VLOOKUP($C530,'1 预算编制表单'!$C:$BJ,33,FALSE)</f>
        <v>0</v>
      </c>
      <c r="AE530" s="117">
        <f t="shared" si="5983"/>
        <v>0</v>
      </c>
      <c r="AF530" s="117">
        <f>SUMIF(物资过程计算表!$B:$B,$C530,物资过程计算表!F:F)</f>
        <v>0</v>
      </c>
      <c r="AG530" s="117">
        <f>VLOOKUP($C530,'1 预算编制表单'!$C:$BJ,36,FALSE)</f>
        <v>0</v>
      </c>
      <c r="AH530" s="117">
        <f t="shared" si="5984"/>
        <v>0</v>
      </c>
      <c r="AI530" s="117">
        <f>SUMIF(物资过程计算表!$B:$B,$C530,物资过程计算表!G:G)</f>
        <v>0</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customHeight="1" outlineLevel="1" spans="1:95">
      <c r="A531" s="22"/>
      <c r="B531" s="112" t="s">
        <v>794</v>
      </c>
      <c r="C531" s="113" t="s">
        <v>2070</v>
      </c>
      <c r="D531" s="22" t="s">
        <v>2071</v>
      </c>
      <c r="E531" s="112"/>
      <c r="F531" s="112"/>
      <c r="G531" s="112"/>
      <c r="H531" s="114">
        <f t="shared" si="5979"/>
        <v>0</v>
      </c>
      <c r="I531" s="114">
        <f t="shared" si="5980"/>
        <v>0</v>
      </c>
      <c r="J531" s="114">
        <f t="shared" si="6007"/>
        <v>0</v>
      </c>
      <c r="K531" s="114"/>
      <c r="L531" s="147"/>
      <c r="M531" s="147"/>
      <c r="N531" s="114"/>
      <c r="O531" s="147"/>
      <c r="P531" s="114"/>
      <c r="Q531" s="114"/>
      <c r="R531" s="114"/>
      <c r="S531" s="114"/>
      <c r="T531" s="114"/>
      <c r="U531" s="114"/>
      <c r="V531" s="114"/>
      <c r="W531" s="114"/>
      <c r="X531" s="114">
        <f>VLOOKUP($C531,'1 预算编制表单'!$C:$BJ,27,FALSE)</f>
        <v>0</v>
      </c>
      <c r="Y531" s="114">
        <f t="shared" si="6008"/>
        <v>0</v>
      </c>
      <c r="Z531" s="114">
        <f>Z532+Z533+Z534+Z535</f>
        <v>0</v>
      </c>
      <c r="AA531" s="114">
        <f>VLOOKUP($C531,'1 预算编制表单'!$C:$BJ,30,FALSE)</f>
        <v>0</v>
      </c>
      <c r="AB531" s="114">
        <f t="shared" si="5982"/>
        <v>0</v>
      </c>
      <c r="AC531" s="114">
        <f>AC532+AC533+AC534+AC535</f>
        <v>0</v>
      </c>
      <c r="AD531" s="114">
        <f>VLOOKUP($C531,'1 预算编制表单'!$C:$BJ,33,FALSE)</f>
        <v>0</v>
      </c>
      <c r="AE531" s="114">
        <f t="shared" si="5983"/>
        <v>0</v>
      </c>
      <c r="AF531" s="114">
        <f>AF532+AF533+AF534+AF535</f>
        <v>0</v>
      </c>
      <c r="AG531" s="114">
        <f>VLOOKUP($C531,'1 预算编制表单'!$C:$BJ,36,FALSE)</f>
        <v>0</v>
      </c>
      <c r="AH531" s="114">
        <f t="shared" si="5984"/>
        <v>0</v>
      </c>
      <c r="AI531" s="114">
        <f>AI532+AI533+AI534+AI535</f>
        <v>0</v>
      </c>
      <c r="AJ531" s="114">
        <f>VLOOKUP($C531,'1 预算编制表单'!$C:$BJ,39,FALSE)</f>
        <v>0</v>
      </c>
      <c r="AK531" s="114">
        <f t="shared" si="5985"/>
        <v>0</v>
      </c>
      <c r="AL531" s="114">
        <f>AL532+AL533+AL534+AL535</f>
        <v>0</v>
      </c>
      <c r="AM531" s="114">
        <f>VLOOKUP($C531,'1 预算编制表单'!$C:$BJ,42,FALSE)</f>
        <v>0</v>
      </c>
      <c r="AN531" s="114">
        <f t="shared" si="5986"/>
        <v>0</v>
      </c>
      <c r="AO531" s="114">
        <f>AO532+AO533+AO534+AO535</f>
        <v>0</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customHeight="1" outlineLevel="2" spans="1:95">
      <c r="A532" s="47"/>
      <c r="B532" s="115" t="s">
        <v>794</v>
      </c>
      <c r="C532" s="116" t="s">
        <v>2072</v>
      </c>
      <c r="D532" s="47" t="s">
        <v>2073</v>
      </c>
      <c r="E532" s="115"/>
      <c r="F532" s="115"/>
      <c r="G532" s="115"/>
      <c r="H532" s="117">
        <f t="shared" si="5979"/>
        <v>0</v>
      </c>
      <c r="I532" s="117">
        <f t="shared" si="5980"/>
        <v>0</v>
      </c>
      <c r="J532" s="117">
        <f t="shared" si="6007"/>
        <v>0</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0</v>
      </c>
      <c r="Z532" s="117">
        <f>SUMIF(物资过程计算表!$B:$B,$C532,物资过程计算表!$D:$D)</f>
        <v>0</v>
      </c>
      <c r="AA532" s="117">
        <f>VLOOKUP($C532,'1 预算编制表单'!$C:$BJ,30,FALSE)</f>
        <v>0</v>
      </c>
      <c r="AB532" s="117">
        <f t="shared" si="5982"/>
        <v>0</v>
      </c>
      <c r="AC532" s="117">
        <f>SUMIF(物资过程计算表!$B:$B,$C532,物资过程计算表!E:E)</f>
        <v>0</v>
      </c>
      <c r="AD532" s="117">
        <f>VLOOKUP($C532,'1 预算编制表单'!$C:$BJ,33,FALSE)</f>
        <v>0</v>
      </c>
      <c r="AE532" s="117">
        <f t="shared" si="5983"/>
        <v>0</v>
      </c>
      <c r="AF532" s="117">
        <f>SUMIF(物资过程计算表!$B:$B,$C532,物资过程计算表!F:F)</f>
        <v>0</v>
      </c>
      <c r="AG532" s="117">
        <f>VLOOKUP($C532,'1 预算编制表单'!$C:$BJ,36,FALSE)</f>
        <v>0</v>
      </c>
      <c r="AH532" s="117">
        <f t="shared" si="5984"/>
        <v>0</v>
      </c>
      <c r="AI532" s="117">
        <f>SUMIF(物资过程计算表!$B:$B,$C532,物资过程计算表!G:G)</f>
        <v>0</v>
      </c>
      <c r="AJ532" s="117">
        <f>VLOOKUP($C532,'1 预算编制表单'!$C:$BJ,39,FALSE)</f>
        <v>0</v>
      </c>
      <c r="AK532" s="117">
        <f t="shared" si="5985"/>
        <v>0</v>
      </c>
      <c r="AL532" s="117">
        <f>SUMIF(物资过程计算表!$B:$B,$C532,物资过程计算表!H:H)</f>
        <v>0</v>
      </c>
      <c r="AM532" s="117">
        <f>VLOOKUP($C532,'1 预算编制表单'!$C:$BJ,42,FALSE)</f>
        <v>0</v>
      </c>
      <c r="AN532" s="117">
        <f t="shared" si="5986"/>
        <v>0</v>
      </c>
      <c r="AO532" s="117">
        <f>SUMIF(物资过程计算表!$B:$B,$C532,物资过程计算表!I:I)</f>
        <v>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customHeight="1" outlineLevel="2" spans="1:95">
      <c r="A533" s="47"/>
      <c r="B533" s="115" t="s">
        <v>794</v>
      </c>
      <c r="C533" s="116" t="s">
        <v>2095</v>
      </c>
      <c r="D533" s="47" t="s">
        <v>2096</v>
      </c>
      <c r="E533" s="115"/>
      <c r="F533" s="115"/>
      <c r="G533" s="115"/>
      <c r="H533" s="117">
        <f t="shared" si="5979"/>
        <v>0</v>
      </c>
      <c r="I533" s="117">
        <f t="shared" si="5980"/>
        <v>0</v>
      </c>
      <c r="J533" s="117">
        <f t="shared" si="6007"/>
        <v>0</v>
      </c>
      <c r="K533" s="117"/>
      <c r="L533" s="148"/>
      <c r="M533" s="148"/>
      <c r="N533" s="117"/>
      <c r="O533" s="148"/>
      <c r="P533" s="117"/>
      <c r="Q533" s="117"/>
      <c r="R533" s="117"/>
      <c r="S533" s="117"/>
      <c r="T533" s="117"/>
      <c r="U533" s="117"/>
      <c r="V533" s="117"/>
      <c r="W533" s="117"/>
      <c r="X533" s="117">
        <f>VLOOKUP($C533,'1 预算编制表单'!$C:$BJ,27,FALSE)</f>
        <v>0</v>
      </c>
      <c r="Y533" s="117">
        <f t="shared" si="6009"/>
        <v>0</v>
      </c>
      <c r="Z533" s="117">
        <f>SUMIF(物资过程计算表!$B:$B,$C533,物资过程计算表!$D:$D)</f>
        <v>0</v>
      </c>
      <c r="AA533" s="117">
        <f>VLOOKUP($C533,'1 预算编制表单'!$C:$BJ,30,FALSE)</f>
        <v>0</v>
      </c>
      <c r="AB533" s="117">
        <f t="shared" si="5982"/>
        <v>0</v>
      </c>
      <c r="AC533" s="117">
        <f>SUMIF(物资过程计算表!$B:$B,$C533,物资过程计算表!E:E)</f>
        <v>0</v>
      </c>
      <c r="AD533" s="117">
        <f>VLOOKUP($C533,'1 预算编制表单'!$C:$BJ,33,FALSE)</f>
        <v>0</v>
      </c>
      <c r="AE533" s="117">
        <f t="shared" si="5983"/>
        <v>0</v>
      </c>
      <c r="AF533" s="117">
        <f>SUMIF(物资过程计算表!$B:$B,$C533,物资过程计算表!F:F)</f>
        <v>0</v>
      </c>
      <c r="AG533" s="117">
        <f>VLOOKUP($C533,'1 预算编制表单'!$C:$BJ,36,FALSE)</f>
        <v>0</v>
      </c>
      <c r="AH533" s="117">
        <f t="shared" si="5984"/>
        <v>0</v>
      </c>
      <c r="AI533" s="117">
        <f>SUMIF(物资过程计算表!$B:$B,$C533,物资过程计算表!G:G)</f>
        <v>0</v>
      </c>
      <c r="AJ533" s="117">
        <f>VLOOKUP($C533,'1 预算编制表单'!$C:$BJ,39,FALSE)</f>
        <v>0</v>
      </c>
      <c r="AK533" s="117">
        <f t="shared" si="5985"/>
        <v>0</v>
      </c>
      <c r="AL533" s="117">
        <f>SUMIF(物资过程计算表!$B:$B,$C533,物资过程计算表!H:H)</f>
        <v>0</v>
      </c>
      <c r="AM533" s="117">
        <f>VLOOKUP($C533,'1 预算编制表单'!$C:$BJ,42,FALSE)</f>
        <v>0</v>
      </c>
      <c r="AN533" s="117">
        <f t="shared" si="5986"/>
        <v>0</v>
      </c>
      <c r="AO533" s="117">
        <f>SUMIF(物资过程计算表!$B:$B,$C533,物资过程计算表!I:I)</f>
        <v>0</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customHeight="1" outlineLevel="2" spans="1:95">
      <c r="A534" s="47"/>
      <c r="B534" s="115" t="s">
        <v>794</v>
      </c>
      <c r="C534" s="116" t="s">
        <v>2135</v>
      </c>
      <c r="D534" s="47" t="s">
        <v>2136</v>
      </c>
      <c r="E534" s="115"/>
      <c r="F534" s="115"/>
      <c r="G534" s="115"/>
      <c r="H534" s="117">
        <f t="shared" si="5979"/>
        <v>0</v>
      </c>
      <c r="I534" s="117">
        <f t="shared" si="5980"/>
        <v>0</v>
      </c>
      <c r="J534" s="117">
        <f t="shared" si="6007"/>
        <v>0</v>
      </c>
      <c r="K534" s="117"/>
      <c r="L534" s="148"/>
      <c r="M534" s="148"/>
      <c r="N534" s="117"/>
      <c r="O534" s="148"/>
      <c r="P534" s="117"/>
      <c r="Q534" s="117"/>
      <c r="R534" s="117"/>
      <c r="S534" s="117"/>
      <c r="T534" s="117"/>
      <c r="U534" s="117"/>
      <c r="V534" s="117"/>
      <c r="W534" s="117"/>
      <c r="X534" s="117">
        <f>VLOOKUP($C534,'1 预算编制表单'!$C:$BJ,27,FALSE)</f>
        <v>0</v>
      </c>
      <c r="Y534" s="117">
        <f t="shared" si="6009"/>
        <v>0</v>
      </c>
      <c r="Z534" s="117">
        <f>SUMIF(物资过程计算表!$B:$B,$C534,物资过程计算表!$D:$D)</f>
        <v>0</v>
      </c>
      <c r="AA534" s="117">
        <f>VLOOKUP($C534,'1 预算编制表单'!$C:$BJ,30,FALSE)</f>
        <v>0</v>
      </c>
      <c r="AB534" s="117">
        <f t="shared" si="5982"/>
        <v>0</v>
      </c>
      <c r="AC534" s="117">
        <f>SUMIF(物资过程计算表!$B:$B,$C534,物资过程计算表!E:E)</f>
        <v>0</v>
      </c>
      <c r="AD534" s="117">
        <f>VLOOKUP($C534,'1 预算编制表单'!$C:$BJ,33,FALSE)</f>
        <v>0</v>
      </c>
      <c r="AE534" s="117">
        <f t="shared" si="5983"/>
        <v>0</v>
      </c>
      <c r="AF534" s="117">
        <f>SUMIF(物资过程计算表!$B:$B,$C534,物资过程计算表!F:F)</f>
        <v>0</v>
      </c>
      <c r="AG534" s="117">
        <f>VLOOKUP($C534,'1 预算编制表单'!$C:$BJ,36,FALSE)</f>
        <v>0</v>
      </c>
      <c r="AH534" s="117">
        <f t="shared" si="5984"/>
        <v>0</v>
      </c>
      <c r="AI534" s="117">
        <f>SUMIF(物资过程计算表!$B:$B,$C534,物资过程计算表!G:G)</f>
        <v>0</v>
      </c>
      <c r="AJ534" s="117">
        <f>VLOOKUP($C534,'1 预算编制表单'!$C:$BJ,39,FALSE)</f>
        <v>0</v>
      </c>
      <c r="AK534" s="117">
        <f t="shared" si="5985"/>
        <v>0</v>
      </c>
      <c r="AL534" s="117">
        <f>SUMIF(物资过程计算表!$B:$B,$C534,物资过程计算表!H:H)</f>
        <v>0</v>
      </c>
      <c r="AM534" s="117">
        <f>VLOOKUP($C534,'1 预算编制表单'!$C:$BJ,42,FALSE)</f>
        <v>0</v>
      </c>
      <c r="AN534" s="117">
        <f t="shared" si="5986"/>
        <v>0</v>
      </c>
      <c r="AO534" s="117">
        <f>SUMIF(物资过程计算表!$B:$B,$C534,物资过程计算表!I:I)</f>
        <v>0</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customHeight="1" outlineLevel="2" spans="1:95">
      <c r="A535" s="47"/>
      <c r="B535" s="115" t="s">
        <v>794</v>
      </c>
      <c r="C535" s="116" t="s">
        <v>2159</v>
      </c>
      <c r="D535" s="47" t="s">
        <v>2160</v>
      </c>
      <c r="E535" s="115"/>
      <c r="F535" s="115" t="s">
        <v>2139</v>
      </c>
      <c r="G535" s="115" t="s">
        <v>1851</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customHeight="1" spans="1:95">
      <c r="A536" s="108"/>
      <c r="B536" s="109" t="s">
        <v>794</v>
      </c>
      <c r="C536" s="110">
        <v>1.3</v>
      </c>
      <c r="D536" s="108" t="s">
        <v>64</v>
      </c>
      <c r="E536" s="109"/>
      <c r="F536" s="109"/>
      <c r="G536" s="109"/>
      <c r="H536" s="167">
        <f t="shared" si="5979"/>
        <v>174049.811320754</v>
      </c>
      <c r="I536" s="167">
        <f t="shared" si="5980"/>
        <v>174049.811320754</v>
      </c>
      <c r="J536" s="167">
        <f t="shared" si="6007"/>
        <v>0</v>
      </c>
      <c r="K536" s="167"/>
      <c r="L536" s="168"/>
      <c r="M536" s="168"/>
      <c r="N536" s="167"/>
      <c r="O536" s="168"/>
      <c r="P536" s="167"/>
      <c r="Q536" s="167"/>
      <c r="R536" s="167"/>
      <c r="S536" s="167"/>
      <c r="T536" s="167"/>
      <c r="U536" s="167"/>
      <c r="V536" s="167"/>
      <c r="W536" s="167"/>
      <c r="X536" s="167">
        <f>VLOOKUP($C536,'1 预算编制表单'!$C:$BJ,27,FALSE)</f>
        <v>33204.1509433962</v>
      </c>
      <c r="Y536" s="167">
        <f t="shared" ref="Y536:BG536" si="6010">Y537+Y543+Y549+Y555+Y561+Y567+Y573+Y579+Y585+Y591</f>
        <v>33204.1509433962</v>
      </c>
      <c r="Z536" s="167">
        <f t="shared" si="6010"/>
        <v>0</v>
      </c>
      <c r="AA536" s="167">
        <f>VLOOKUP($C536,'1 预算编制表单'!$C:$BJ,30,FALSE)</f>
        <v>12804.1509433962</v>
      </c>
      <c r="AB536" s="167">
        <f t="shared" si="6010"/>
        <v>12804.1509433962</v>
      </c>
      <c r="AC536" s="167">
        <f t="shared" si="6010"/>
        <v>0</v>
      </c>
      <c r="AD536" s="167">
        <f>VLOOKUP($C536,'1 预算编制表单'!$C:$BJ,33,FALSE)</f>
        <v>12804.1509433962</v>
      </c>
      <c r="AE536" s="167">
        <f t="shared" si="6010"/>
        <v>12804.1509433962</v>
      </c>
      <c r="AF536" s="167">
        <f t="shared" si="6010"/>
        <v>0</v>
      </c>
      <c r="AG536" s="167">
        <f>VLOOKUP($C536,'1 预算编制表单'!$C:$BJ,36,FALSE)</f>
        <v>12804.1509433962</v>
      </c>
      <c r="AH536" s="167">
        <f t="shared" si="6010"/>
        <v>12804.1509433962</v>
      </c>
      <c r="AI536" s="167">
        <f t="shared" si="6010"/>
        <v>0</v>
      </c>
      <c r="AJ536" s="167">
        <f>VLOOKUP($C536,'1 预算编制表单'!$C:$BJ,39,FALSE)</f>
        <v>12804.1509433962</v>
      </c>
      <c r="AK536" s="167">
        <f t="shared" si="6010"/>
        <v>12804.1509433962</v>
      </c>
      <c r="AL536" s="167">
        <f t="shared" si="6010"/>
        <v>0</v>
      </c>
      <c r="AM536" s="167">
        <f>VLOOKUP($C536,'1 预算编制表单'!$C:$BJ,42,FALSE)</f>
        <v>12804.1509433962</v>
      </c>
      <c r="AN536" s="167">
        <f t="shared" si="6010"/>
        <v>12804.1509433962</v>
      </c>
      <c r="AO536" s="167">
        <f t="shared" si="6010"/>
        <v>0</v>
      </c>
      <c r="AP536" s="167">
        <f>VLOOKUP($C536,'1 预算编制表单'!$C:$BJ,45,FALSE)</f>
        <v>12804.1509433962</v>
      </c>
      <c r="AQ536" s="167">
        <f t="shared" si="6010"/>
        <v>12804.1509433962</v>
      </c>
      <c r="AR536" s="167">
        <f t="shared" si="6010"/>
        <v>0</v>
      </c>
      <c r="AS536" s="167">
        <f>VLOOKUP($C536,'1 预算编制表单'!$C:$BJ,48,FALSE)</f>
        <v>12804.1509433962</v>
      </c>
      <c r="AT536" s="167">
        <f t="shared" si="6010"/>
        <v>12804.1509433962</v>
      </c>
      <c r="AU536" s="167">
        <f t="shared" si="6010"/>
        <v>0</v>
      </c>
      <c r="AV536" s="167">
        <f>VLOOKUP($C536,'1 预算编制表单'!$C:$BJ,51,FALSE)</f>
        <v>12804.1509433962</v>
      </c>
      <c r="AW536" s="167">
        <f t="shared" si="6010"/>
        <v>12804.1509433962</v>
      </c>
      <c r="AX536" s="167">
        <f t="shared" si="6010"/>
        <v>0</v>
      </c>
      <c r="AY536" s="167">
        <f>VLOOKUP($C536,'1 预算编制表单'!$C:$BJ,54,FALSE)</f>
        <v>12804.1509433962</v>
      </c>
      <c r="AZ536" s="167">
        <f t="shared" si="6010"/>
        <v>12804.1509433962</v>
      </c>
      <c r="BA536" s="167">
        <f t="shared" si="6010"/>
        <v>0</v>
      </c>
      <c r="BB536" s="167">
        <f>VLOOKUP($C536,'1 预算编制表单'!$C:$BJ,57,FALSE)</f>
        <v>12804.1509433962</v>
      </c>
      <c r="BC536" s="167">
        <f t="shared" si="6010"/>
        <v>12804.1509433962</v>
      </c>
      <c r="BD536" s="167">
        <f t="shared" si="6010"/>
        <v>0</v>
      </c>
      <c r="BE536" s="167">
        <f>VLOOKUP($C536,'1 预算编制表单'!$C:$BJ,60,FALSE)</f>
        <v>12804.1509433962</v>
      </c>
      <c r="BF536" s="167">
        <f t="shared" si="6010"/>
        <v>12804.1509433962</v>
      </c>
      <c r="BG536" s="167">
        <f t="shared" si="6010"/>
        <v>0</v>
      </c>
      <c r="BH536" s="167">
        <f>VLOOKUP($C536,'1 预算编制表单'!$C:$BJ,27,FALSE)</f>
        <v>33204.1509433962</v>
      </c>
      <c r="BI536" s="167">
        <f t="shared" ref="BI536:BM536" si="6011">BI537+BI543+BI549+BI555+BI561+BI567+BI573+BI579+BI585+BI591</f>
        <v>33204.1509433962</v>
      </c>
      <c r="BJ536" s="167">
        <f t="shared" si="6011"/>
        <v>0</v>
      </c>
      <c r="BK536" s="167">
        <f>VLOOKUP($C536,'1 预算编制表单'!$C:$BJ,30,FALSE)</f>
        <v>12804.1509433962</v>
      </c>
      <c r="BL536" s="167">
        <f t="shared" si="6011"/>
        <v>12804.1509433962</v>
      </c>
      <c r="BM536" s="167">
        <f t="shared" si="6011"/>
        <v>0</v>
      </c>
      <c r="BN536" s="167">
        <f>VLOOKUP($C536,'1 预算编制表单'!$C:$BJ,33,FALSE)</f>
        <v>12804.1509433962</v>
      </c>
      <c r="BO536" s="167">
        <f t="shared" ref="BO536:BS536" si="6012">BO537+BO543+BO549+BO555+BO561+BO567+BO573+BO579+BO585+BO591</f>
        <v>12804.1509433962</v>
      </c>
      <c r="BP536" s="167">
        <f t="shared" si="6012"/>
        <v>0</v>
      </c>
      <c r="BQ536" s="167">
        <f>VLOOKUP($C536,'1 预算编制表单'!$C:$BJ,36,FALSE)</f>
        <v>12804.1509433962</v>
      </c>
      <c r="BR536" s="167">
        <f t="shared" si="6012"/>
        <v>12804.1509433962</v>
      </c>
      <c r="BS536" s="167">
        <f t="shared" si="6012"/>
        <v>0</v>
      </c>
      <c r="BT536" s="167">
        <f>VLOOKUP($C536,'1 预算编制表单'!$C:$BJ,39,FALSE)</f>
        <v>12804.1509433962</v>
      </c>
      <c r="BU536" s="167">
        <f t="shared" ref="BU536:BY536" si="6013">BU537+BU543+BU549+BU555+BU561+BU567+BU573+BU579+BU585+BU591</f>
        <v>12804.1509433962</v>
      </c>
      <c r="BV536" s="167">
        <f t="shared" si="6013"/>
        <v>0</v>
      </c>
      <c r="BW536" s="167">
        <f>VLOOKUP($C536,'1 预算编制表单'!$C:$BJ,42,FALSE)</f>
        <v>12804.1509433962</v>
      </c>
      <c r="BX536" s="167">
        <f t="shared" si="6013"/>
        <v>12804.1509433962</v>
      </c>
      <c r="BY536" s="167">
        <f t="shared" si="6013"/>
        <v>0</v>
      </c>
      <c r="BZ536" s="167">
        <f>VLOOKUP($C536,'1 预算编制表单'!$C:$BJ,45,FALSE)</f>
        <v>12804.1509433962</v>
      </c>
      <c r="CA536" s="167">
        <f t="shared" ref="CA536:CE536" si="6014">CA537+CA543+CA549+CA555+CA561+CA567+CA573+CA579+CA585+CA591</f>
        <v>12804.1509433962</v>
      </c>
      <c r="CB536" s="167">
        <f t="shared" si="6014"/>
        <v>0</v>
      </c>
      <c r="CC536" s="167">
        <f>VLOOKUP($C536,'1 预算编制表单'!$C:$BJ,48,FALSE)</f>
        <v>12804.1509433962</v>
      </c>
      <c r="CD536" s="167">
        <f t="shared" si="6014"/>
        <v>12804.1509433962</v>
      </c>
      <c r="CE536" s="167">
        <f t="shared" si="6014"/>
        <v>0</v>
      </c>
      <c r="CF536" s="167">
        <f>VLOOKUP($C536,'1 预算编制表单'!$C:$BJ,51,FALSE)</f>
        <v>12804.1509433962</v>
      </c>
      <c r="CG536" s="167">
        <f t="shared" ref="CG536:CK536" si="6015">CG537+CG543+CG549+CG555+CG561+CG567+CG573+CG579+CG585+CG591</f>
        <v>12804.1509433962</v>
      </c>
      <c r="CH536" s="167">
        <f t="shared" si="6015"/>
        <v>0</v>
      </c>
      <c r="CI536" s="167">
        <f>VLOOKUP($C536,'1 预算编制表单'!$C:$BJ,54,FALSE)</f>
        <v>12804.1509433962</v>
      </c>
      <c r="CJ536" s="167">
        <f t="shared" si="6015"/>
        <v>12804.1509433962</v>
      </c>
      <c r="CK536" s="167">
        <f t="shared" si="6015"/>
        <v>0</v>
      </c>
      <c r="CL536" s="167">
        <f>VLOOKUP($C536,'1 预算编制表单'!$C:$BJ,57,FALSE)</f>
        <v>12804.1509433962</v>
      </c>
      <c r="CM536" s="167">
        <f t="shared" ref="CM536:CQ536" si="6016">CM537+CM543+CM549+CM555+CM561+CM567+CM573+CM579+CM585+CM591</f>
        <v>12804.1509433962</v>
      </c>
      <c r="CN536" s="167">
        <f t="shared" si="6016"/>
        <v>0</v>
      </c>
      <c r="CO536" s="167">
        <f>VLOOKUP($C536,'1 预算编制表单'!$C:$BJ,60,FALSE)</f>
        <v>12804.1509433962</v>
      </c>
      <c r="CP536" s="167">
        <f t="shared" si="6016"/>
        <v>12804.1509433962</v>
      </c>
      <c r="CQ536" s="167">
        <f t="shared" si="6016"/>
        <v>0</v>
      </c>
    </row>
    <row r="537" ht="24" customHeight="1" outlineLevel="1" spans="1:95">
      <c r="A537" s="22"/>
      <c r="B537" s="112" t="s">
        <v>799</v>
      </c>
      <c r="C537" s="113" t="s">
        <v>2161</v>
      </c>
      <c r="D537" s="22" t="s">
        <v>2162</v>
      </c>
      <c r="E537" s="112"/>
      <c r="F537" s="112"/>
      <c r="G537" s="112"/>
      <c r="H537" s="114">
        <f t="shared" si="5979"/>
        <v>20400</v>
      </c>
      <c r="I537" s="114">
        <f t="shared" si="5980"/>
        <v>20400</v>
      </c>
      <c r="J537" s="114">
        <f t="shared" si="6007"/>
        <v>0</v>
      </c>
      <c r="K537" s="114"/>
      <c r="L537" s="147"/>
      <c r="M537" s="147"/>
      <c r="N537" s="114"/>
      <c r="O537" s="147"/>
      <c r="P537" s="114"/>
      <c r="Q537" s="114"/>
      <c r="R537" s="114"/>
      <c r="S537" s="114"/>
      <c r="T537" s="114"/>
      <c r="U537" s="114"/>
      <c r="V537" s="114"/>
      <c r="W537" s="114"/>
      <c r="X537" s="114">
        <f>VLOOKUP($C537,'1 预算编制表单'!$C:$BJ,27,FALSE)</f>
        <v>20400</v>
      </c>
      <c r="Y537" s="114">
        <f>X537-Z537</f>
        <v>20400</v>
      </c>
      <c r="Z537" s="114">
        <f>SUM(Z538:Z542)</f>
        <v>0</v>
      </c>
      <c r="AA537" s="114">
        <f>VLOOKUP($C537,'1 预算编制表单'!$C:$BJ,30,FALSE)</f>
        <v>0</v>
      </c>
      <c r="AB537" s="114">
        <f>AA537-AC537</f>
        <v>0</v>
      </c>
      <c r="AC537" s="114">
        <f>SUM(AC538:AC542)</f>
        <v>0</v>
      </c>
      <c r="AD537" s="114">
        <f>VLOOKUP($C537,'1 预算编制表单'!$C:$BJ,33,FALSE)</f>
        <v>0</v>
      </c>
      <c r="AE537" s="114">
        <f>AD537-AF537</f>
        <v>0</v>
      </c>
      <c r="AF537" s="114">
        <f>SUM(AF538:AF542)</f>
        <v>0</v>
      </c>
      <c r="AG537" s="114">
        <f>VLOOKUP($C537,'1 预算编制表单'!$C:$BJ,36,FALSE)</f>
        <v>0</v>
      </c>
      <c r="AH537" s="114">
        <f>AG537-AI537</f>
        <v>0</v>
      </c>
      <c r="AI537" s="114">
        <f>SUM(AI538:AI542)</f>
        <v>0</v>
      </c>
      <c r="AJ537" s="114">
        <f>VLOOKUP($C537,'1 预算编制表单'!$C:$BJ,39,FALSE)</f>
        <v>0</v>
      </c>
      <c r="AK537" s="114">
        <f>AJ537-AL537</f>
        <v>0</v>
      </c>
      <c r="AL537" s="114">
        <f>SUM(AL538:AL542)</f>
        <v>0</v>
      </c>
      <c r="AM537" s="114">
        <f>VLOOKUP($C537,'1 预算编制表单'!$C:$BJ,42,FALSE)</f>
        <v>0</v>
      </c>
      <c r="AN537" s="114">
        <f>AM537-AO537</f>
        <v>0</v>
      </c>
      <c r="AO537" s="114">
        <f>SUM(AO538:AO542)</f>
        <v>0</v>
      </c>
      <c r="AP537" s="114">
        <f>VLOOKUP($C537,'1 预算编制表单'!$C:$BJ,45,FALSE)</f>
        <v>0</v>
      </c>
      <c r="AQ537" s="114">
        <f>AP537-AR537</f>
        <v>0</v>
      </c>
      <c r="AR537" s="114">
        <f>SUM(AR538:AR542)</f>
        <v>0</v>
      </c>
      <c r="AS537" s="114">
        <f>VLOOKUP($C537,'1 预算编制表单'!$C:$BJ,48,FALSE)</f>
        <v>0</v>
      </c>
      <c r="AT537" s="114">
        <f>AS537-AU537</f>
        <v>0</v>
      </c>
      <c r="AU537" s="114">
        <f>SUM(AU538:AU542)</f>
        <v>0</v>
      </c>
      <c r="AV537" s="114">
        <f>VLOOKUP($C537,'1 预算编制表单'!$C:$BJ,51,FALSE)</f>
        <v>0</v>
      </c>
      <c r="AW537" s="114">
        <f>AV537-AX537</f>
        <v>0</v>
      </c>
      <c r="AX537" s="114">
        <f>SUM(AX538:AX542)</f>
        <v>0</v>
      </c>
      <c r="AY537" s="114">
        <f>VLOOKUP($C537,'1 预算编制表单'!$C:$BJ,54,FALSE)</f>
        <v>0</v>
      </c>
      <c r="AZ537" s="114">
        <f>AY537-BA537</f>
        <v>0</v>
      </c>
      <c r="BA537" s="114">
        <f>SUM(BA538:BA542)</f>
        <v>0</v>
      </c>
      <c r="BB537" s="114">
        <f>VLOOKUP($C537,'1 预算编制表单'!$C:$BJ,57,FALSE)</f>
        <v>0</v>
      </c>
      <c r="BC537" s="114">
        <f>BB537-BD537</f>
        <v>0</v>
      </c>
      <c r="BD537" s="114">
        <f>SUM(BD538:BD542)</f>
        <v>0</v>
      </c>
      <c r="BE537" s="114">
        <f>VLOOKUP($C537,'1 预算编制表单'!$C:$BJ,60,FALSE)</f>
        <v>0</v>
      </c>
      <c r="BF537" s="114">
        <f>BE537-BG537</f>
        <v>0</v>
      </c>
      <c r="BG537" s="114">
        <f>SUM(BG538:BG542)</f>
        <v>0</v>
      </c>
      <c r="BH537" s="114">
        <f>VLOOKUP($C537,'1 预算编制表单'!$C:$BJ,27,FALSE)</f>
        <v>20400</v>
      </c>
      <c r="BI537" s="114">
        <f>BH537-BJ537</f>
        <v>20400</v>
      </c>
      <c r="BJ537" s="114">
        <f>SUM(BJ538:BJ542)</f>
        <v>0</v>
      </c>
      <c r="BK537" s="114">
        <f>VLOOKUP($C537,'1 预算编制表单'!$C:$BJ,30,FALSE)</f>
        <v>0</v>
      </c>
      <c r="BL537" s="114">
        <f>BK537-BM537</f>
        <v>0</v>
      </c>
      <c r="BM537" s="114">
        <f>SUM(BM538:BM542)</f>
        <v>0</v>
      </c>
      <c r="BN537" s="114">
        <f>VLOOKUP($C537,'1 预算编制表单'!$C:$BJ,33,FALSE)</f>
        <v>0</v>
      </c>
      <c r="BO537" s="114">
        <f>BN537-BP537</f>
        <v>0</v>
      </c>
      <c r="BP537" s="114">
        <f>SUM(BP538:BP542)</f>
        <v>0</v>
      </c>
      <c r="BQ537" s="114">
        <f>VLOOKUP($C537,'1 预算编制表单'!$C:$BJ,36,FALSE)</f>
        <v>0</v>
      </c>
      <c r="BR537" s="114">
        <f>BQ537-BS537</f>
        <v>0</v>
      </c>
      <c r="BS537" s="114">
        <f>SUM(BS538:BS542)</f>
        <v>0</v>
      </c>
      <c r="BT537" s="114">
        <f>VLOOKUP($C537,'1 预算编制表单'!$C:$BJ,39,FALSE)</f>
        <v>0</v>
      </c>
      <c r="BU537" s="114">
        <f>BT537-BV537</f>
        <v>0</v>
      </c>
      <c r="BV537" s="114">
        <f>SUM(BV538:BV542)</f>
        <v>0</v>
      </c>
      <c r="BW537" s="114">
        <f>VLOOKUP($C537,'1 预算编制表单'!$C:$BJ,42,FALSE)</f>
        <v>0</v>
      </c>
      <c r="BX537" s="114">
        <f>BW537-BY537</f>
        <v>0</v>
      </c>
      <c r="BY537" s="114">
        <f>SUM(BY538:BY542)</f>
        <v>0</v>
      </c>
      <c r="BZ537" s="114">
        <f>VLOOKUP($C537,'1 预算编制表单'!$C:$BJ,45,FALSE)</f>
        <v>0</v>
      </c>
      <c r="CA537" s="114">
        <f>BZ537-CB537</f>
        <v>0</v>
      </c>
      <c r="CB537" s="114">
        <f>SUM(CB538:CB542)</f>
        <v>0</v>
      </c>
      <c r="CC537" s="114">
        <f>VLOOKUP($C537,'1 预算编制表单'!$C:$BJ,48,FALSE)</f>
        <v>0</v>
      </c>
      <c r="CD537" s="114">
        <f>CC537-CE537</f>
        <v>0</v>
      </c>
      <c r="CE537" s="114">
        <f>SUM(CE538:CE542)</f>
        <v>0</v>
      </c>
      <c r="CF537" s="114">
        <f>VLOOKUP($C537,'1 预算编制表单'!$C:$BJ,51,FALSE)</f>
        <v>0</v>
      </c>
      <c r="CG537" s="114">
        <f>CF537-CH537</f>
        <v>0</v>
      </c>
      <c r="CH537" s="114">
        <f>SUM(CH538:CH542)</f>
        <v>0</v>
      </c>
      <c r="CI537" s="114">
        <f>VLOOKUP($C537,'1 预算编制表单'!$C:$BJ,54,FALSE)</f>
        <v>0</v>
      </c>
      <c r="CJ537" s="114">
        <f>CI537-CK537</f>
        <v>0</v>
      </c>
      <c r="CK537" s="114">
        <f>SUM(CK538:CK542)</f>
        <v>0</v>
      </c>
      <c r="CL537" s="114">
        <f>VLOOKUP($C537,'1 预算编制表单'!$C:$BJ,57,FALSE)</f>
        <v>0</v>
      </c>
      <c r="CM537" s="114">
        <f>CL537-CN537</f>
        <v>0</v>
      </c>
      <c r="CN537" s="114">
        <f>SUM(CN538:CN542)</f>
        <v>0</v>
      </c>
      <c r="CO537" s="114">
        <f>VLOOKUP($C537,'1 预算编制表单'!$C:$BJ,60,FALSE)</f>
        <v>0</v>
      </c>
      <c r="CP537" s="114">
        <f>CO537-CQ537</f>
        <v>0</v>
      </c>
      <c r="CQ537" s="114">
        <f>SUM(CQ538:CQ542)</f>
        <v>0</v>
      </c>
    </row>
    <row r="538" s="83" customFormat="1" ht="24" customHeight="1" outlineLevel="2" spans="1:95">
      <c r="A538" s="122"/>
      <c r="B538" s="123"/>
      <c r="C538" s="124"/>
      <c r="D538" s="122"/>
      <c r="E538" s="123"/>
      <c r="F538" s="123"/>
      <c r="G538" s="123"/>
      <c r="H538" s="125"/>
      <c r="I538" s="125"/>
      <c r="J538" s="125">
        <f t="shared" si="6007"/>
        <v>0</v>
      </c>
      <c r="K538" s="125">
        <v>1</v>
      </c>
      <c r="L538" s="150"/>
      <c r="M538" s="151">
        <f>IFERROR(VLOOKUP($L538,'2-2 引出数据_合同数据仓库'!$B$2:$BP$1000,3,FALSE),0)</f>
        <v>0</v>
      </c>
      <c r="N538" s="125"/>
      <c r="O538" s="151">
        <f>IFERROR(VLOOKUP((LEFT(VLOOKUP($L538,'2-2 引出数据_合同数据仓库'!$B$2:$BP$1000,64,FALSE),15)&amp;(RIGHT(VLOOKUP($L538,'2-2 引出数据_合同数据仓库'!$B$2:$BP$1000,64,FALSE),4)+1)),'2-2 引出数据_合同数据仓库'!$B$2:$BP$1000,3,FALSE),0)</f>
        <v>0</v>
      </c>
      <c r="P538" s="125"/>
      <c r="Q538" s="125">
        <f>IFERROR(VLOOKUP($L538,'2-2 引出数据_合同数据仓库'!$B$2:$BP$1000,28,FALSE),0)</f>
        <v>0</v>
      </c>
      <c r="R538" s="125">
        <f>IFERROR(VLOOKUP($L538,'2-2 引出数据_合同数据仓库'!$B$2:$BP$1000,29,FALSE),0)</f>
        <v>0</v>
      </c>
      <c r="S538" s="125">
        <f>IFERROR(VLOOKUP($L538,'2-2 引出数据_合同数据仓库'!$B$2:$BP$1000,4,FALSE),0)</f>
        <v>0</v>
      </c>
      <c r="T538" s="125"/>
      <c r="U538" s="125">
        <f>IFERROR(VLOOKUP($L538,'2-2 引出数据_合同数据仓库'!$B$2:$BP$1000,15,FALSE),0)</f>
        <v>0</v>
      </c>
      <c r="V538" s="125">
        <f t="shared" ref="V538:V541" si="6017">U538/(S538-R538+1)*365</f>
        <v>0</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0</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0</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0</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0</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0</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0</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0</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0</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0</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0</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0</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0</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0</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0</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0</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0</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0</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0</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0</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0</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0</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0</v>
      </c>
    </row>
    <row r="539" s="83" customFormat="1" ht="24" customHeight="1" outlineLevel="2" spans="1:95">
      <c r="A539" s="122"/>
      <c r="B539" s="123"/>
      <c r="C539" s="124"/>
      <c r="D539" s="122"/>
      <c r="E539" s="123"/>
      <c r="F539" s="123"/>
      <c r="G539" s="123"/>
      <c r="H539" s="125"/>
      <c r="I539" s="125"/>
      <c r="J539" s="125">
        <f t="shared" si="6007"/>
        <v>0</v>
      </c>
      <c r="K539" s="125">
        <f t="shared" ref="K539:K541" si="6088">K538+1</f>
        <v>2</v>
      </c>
      <c r="L539" s="150"/>
      <c r="M539" s="151">
        <f>IFERROR(VLOOKUP($L539,'2-2 引出数据_合同数据仓库'!$B$2:$BP$1000,3,FALSE),0)</f>
        <v>0</v>
      </c>
      <c r="N539" s="125"/>
      <c r="O539" s="151">
        <f>IFERROR(VLOOKUP((LEFT(VLOOKUP($L539,'2-2 引出数据_合同数据仓库'!$B$2:$BP$1000,64,FALSE),15)&amp;(RIGHT(VLOOKUP($L539,'2-2 引出数据_合同数据仓库'!$B$2:$BP$1000,64,FALSE),4)+1)),'2-2 引出数据_合同数据仓库'!$B$2:$BP$1000,3,FALSE),0)</f>
        <v>0</v>
      </c>
      <c r="P539" s="125"/>
      <c r="Q539" s="125">
        <f>IFERROR(VLOOKUP($L539,'2-2 引出数据_合同数据仓库'!$B$2:$BP$1000,28,FALSE),0)</f>
        <v>0</v>
      </c>
      <c r="R539" s="125">
        <f>IFERROR(VLOOKUP($L539,'2-2 引出数据_合同数据仓库'!$B$2:$BP$1000,29,FALSE),0)</f>
        <v>0</v>
      </c>
      <c r="S539" s="125">
        <f>IFERROR(VLOOKUP($L539,'2-2 引出数据_合同数据仓库'!$B$2:$BP$1000,4,FALSE),0)</f>
        <v>0</v>
      </c>
      <c r="T539" s="125"/>
      <c r="U539" s="125">
        <f>IFERROR(VLOOKUP($L539,'2-2 引出数据_合同数据仓库'!$B$2:$BP$1000,15,FALSE),0)</f>
        <v>0</v>
      </c>
      <c r="V539" s="125">
        <f t="shared" si="6017"/>
        <v>0</v>
      </c>
      <c r="W539" s="125"/>
      <c r="X539" s="157">
        <v>45658</v>
      </c>
      <c r="Y539" s="157">
        <f t="shared" si="6018"/>
        <v>45688</v>
      </c>
      <c r="Z539" s="161">
        <f t="shared" si="6019"/>
        <v>0</v>
      </c>
      <c r="AA539" s="157">
        <f t="shared" si="6020"/>
        <v>45689</v>
      </c>
      <c r="AB539" s="157">
        <f t="shared" si="6021"/>
        <v>45716</v>
      </c>
      <c r="AC539" s="161">
        <f t="shared" si="6022"/>
        <v>0</v>
      </c>
      <c r="AD539" s="157">
        <f t="shared" si="6023"/>
        <v>45717</v>
      </c>
      <c r="AE539" s="157">
        <f t="shared" si="6024"/>
        <v>45747</v>
      </c>
      <c r="AF539" s="161">
        <f t="shared" si="6025"/>
        <v>0</v>
      </c>
      <c r="AG539" s="157">
        <f t="shared" si="6026"/>
        <v>45748</v>
      </c>
      <c r="AH539" s="157">
        <f t="shared" si="6027"/>
        <v>45777</v>
      </c>
      <c r="AI539" s="161">
        <f t="shared" si="6028"/>
        <v>0</v>
      </c>
      <c r="AJ539" s="157">
        <f t="shared" si="6029"/>
        <v>45778</v>
      </c>
      <c r="AK539" s="157">
        <f t="shared" si="6030"/>
        <v>45808</v>
      </c>
      <c r="AL539" s="161">
        <f t="shared" si="6031"/>
        <v>0</v>
      </c>
      <c r="AM539" s="157">
        <f t="shared" si="6032"/>
        <v>45809</v>
      </c>
      <c r="AN539" s="157">
        <f t="shared" si="6033"/>
        <v>45838</v>
      </c>
      <c r="AO539" s="161">
        <f t="shared" si="6034"/>
        <v>0</v>
      </c>
      <c r="AP539" s="157">
        <f t="shared" si="6035"/>
        <v>45839</v>
      </c>
      <c r="AQ539" s="157">
        <f t="shared" si="6036"/>
        <v>45869</v>
      </c>
      <c r="AR539" s="161">
        <f t="shared" si="6037"/>
        <v>0</v>
      </c>
      <c r="AS539" s="157">
        <f t="shared" si="6038"/>
        <v>45870</v>
      </c>
      <c r="AT539" s="157">
        <f t="shared" si="6039"/>
        <v>45900</v>
      </c>
      <c r="AU539" s="161">
        <f t="shared" si="6040"/>
        <v>0</v>
      </c>
      <c r="AV539" s="157">
        <f t="shared" si="6041"/>
        <v>45901</v>
      </c>
      <c r="AW539" s="157">
        <f t="shared" si="6042"/>
        <v>45930</v>
      </c>
      <c r="AX539" s="161">
        <f t="shared" si="6043"/>
        <v>0</v>
      </c>
      <c r="AY539" s="157">
        <f t="shared" si="6044"/>
        <v>45931</v>
      </c>
      <c r="AZ539" s="157">
        <f t="shared" si="6045"/>
        <v>45961</v>
      </c>
      <c r="BA539" s="161">
        <f t="shared" si="6046"/>
        <v>0</v>
      </c>
      <c r="BB539" s="157">
        <f t="shared" si="6047"/>
        <v>45962</v>
      </c>
      <c r="BC539" s="157">
        <f t="shared" si="6048"/>
        <v>45991</v>
      </c>
      <c r="BD539" s="161">
        <f t="shared" si="6049"/>
        <v>0</v>
      </c>
      <c r="BE539" s="157">
        <f t="shared" si="6050"/>
        <v>45992</v>
      </c>
      <c r="BF539" s="157">
        <f t="shared" si="6051"/>
        <v>46022</v>
      </c>
      <c r="BG539" s="161">
        <f t="shared" si="6052"/>
        <v>0</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customHeight="1" outlineLevel="2" spans="1:95">
      <c r="A540" s="122"/>
      <c r="B540" s="123"/>
      <c r="C540" s="124"/>
      <c r="D540" s="122"/>
      <c r="E540" s="123"/>
      <c r="F540" s="123"/>
      <c r="G540" s="123"/>
      <c r="H540" s="125"/>
      <c r="I540" s="125"/>
      <c r="J540" s="125">
        <f t="shared" si="6007"/>
        <v>0</v>
      </c>
      <c r="K540" s="125">
        <f t="shared" si="6088"/>
        <v>3</v>
      </c>
      <c r="L540" s="150"/>
      <c r="M540" s="151">
        <f>IFERROR(VLOOKUP($L540,'2-2 引出数据_合同数据仓库'!$B$2:$BP$1000,3,FALSE),0)</f>
        <v>0</v>
      </c>
      <c r="N540" s="125"/>
      <c r="O540" s="151">
        <f>IFERROR(VLOOKUP((LEFT(VLOOKUP($L540,'2-2 引出数据_合同数据仓库'!$B$2:$BP$1000,64,FALSE),15)&amp;(RIGHT(VLOOKUP($L540,'2-2 引出数据_合同数据仓库'!$B$2:$BP$1000,64,FALSE),4)+1)),'2-2 引出数据_合同数据仓库'!$B$2:$BP$1000,3,FALSE),0)</f>
        <v>0</v>
      </c>
      <c r="P540" s="125"/>
      <c r="Q540" s="125">
        <f>IFERROR(VLOOKUP($L540,'2-2 引出数据_合同数据仓库'!$B$2:$BP$1000,28,FALSE),0)</f>
        <v>0</v>
      </c>
      <c r="R540" s="125">
        <f>IFERROR(VLOOKUP($L540,'2-2 引出数据_合同数据仓库'!$B$2:$BP$1000,29,FALSE),0)</f>
        <v>0</v>
      </c>
      <c r="S540" s="125">
        <f>IFERROR(VLOOKUP($L540,'2-2 引出数据_合同数据仓库'!$B$2:$BP$1000,4,FALSE),0)</f>
        <v>0</v>
      </c>
      <c r="T540" s="125"/>
      <c r="U540" s="125">
        <f>IFERROR(VLOOKUP($L540,'2-2 引出数据_合同数据仓库'!$B$2:$BP$1000,15,FALSE),0)</f>
        <v>0</v>
      </c>
      <c r="V540" s="125">
        <f t="shared" si="6017"/>
        <v>0</v>
      </c>
      <c r="W540" s="125"/>
      <c r="X540" s="157">
        <v>45658</v>
      </c>
      <c r="Y540" s="157">
        <f t="shared" si="6018"/>
        <v>45688</v>
      </c>
      <c r="Z540" s="161">
        <f t="shared" si="6019"/>
        <v>0</v>
      </c>
      <c r="AA540" s="157">
        <f t="shared" si="6020"/>
        <v>45689</v>
      </c>
      <c r="AB540" s="157">
        <f t="shared" si="6021"/>
        <v>45716</v>
      </c>
      <c r="AC540" s="161">
        <f t="shared" si="6022"/>
        <v>0</v>
      </c>
      <c r="AD540" s="157">
        <f t="shared" si="6023"/>
        <v>45717</v>
      </c>
      <c r="AE540" s="157">
        <f t="shared" si="6024"/>
        <v>45747</v>
      </c>
      <c r="AF540" s="161">
        <f t="shared" si="6025"/>
        <v>0</v>
      </c>
      <c r="AG540" s="157">
        <f t="shared" si="6026"/>
        <v>45748</v>
      </c>
      <c r="AH540" s="157">
        <f t="shared" si="6027"/>
        <v>45777</v>
      </c>
      <c r="AI540" s="161">
        <f t="shared" si="6028"/>
        <v>0</v>
      </c>
      <c r="AJ540" s="157">
        <f t="shared" si="6029"/>
        <v>45778</v>
      </c>
      <c r="AK540" s="157">
        <f t="shared" si="6030"/>
        <v>45808</v>
      </c>
      <c r="AL540" s="161">
        <f t="shared" si="6031"/>
        <v>0</v>
      </c>
      <c r="AM540" s="157">
        <f t="shared" si="6032"/>
        <v>45809</v>
      </c>
      <c r="AN540" s="157">
        <f t="shared" si="6033"/>
        <v>45838</v>
      </c>
      <c r="AO540" s="161">
        <f t="shared" si="6034"/>
        <v>0</v>
      </c>
      <c r="AP540" s="157">
        <f t="shared" si="6035"/>
        <v>45839</v>
      </c>
      <c r="AQ540" s="157">
        <f t="shared" si="6036"/>
        <v>45869</v>
      </c>
      <c r="AR540" s="161">
        <f t="shared" si="6037"/>
        <v>0</v>
      </c>
      <c r="AS540" s="157">
        <f t="shared" si="6038"/>
        <v>45870</v>
      </c>
      <c r="AT540" s="157">
        <f t="shared" si="6039"/>
        <v>45900</v>
      </c>
      <c r="AU540" s="161">
        <f t="shared" si="6040"/>
        <v>0</v>
      </c>
      <c r="AV540" s="157">
        <f t="shared" si="6041"/>
        <v>45901</v>
      </c>
      <c r="AW540" s="157">
        <f t="shared" si="6042"/>
        <v>45930</v>
      </c>
      <c r="AX540" s="161">
        <f t="shared" si="6043"/>
        <v>0</v>
      </c>
      <c r="AY540" s="157">
        <f t="shared" si="6044"/>
        <v>45931</v>
      </c>
      <c r="AZ540" s="157">
        <f t="shared" si="6045"/>
        <v>45961</v>
      </c>
      <c r="BA540" s="161">
        <f t="shared" si="6046"/>
        <v>0</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customHeight="1" outlineLevel="2" spans="1:95">
      <c r="A541" s="122"/>
      <c r="B541" s="123"/>
      <c r="C541" s="124"/>
      <c r="D541" s="122"/>
      <c r="E541" s="123"/>
      <c r="F541" s="123"/>
      <c r="G541" s="123"/>
      <c r="H541" s="125"/>
      <c r="I541" s="125"/>
      <c r="J541" s="125">
        <f t="shared" si="6007"/>
        <v>0</v>
      </c>
      <c r="K541" s="125">
        <f t="shared" si="6088"/>
        <v>4</v>
      </c>
      <c r="L541" s="150"/>
      <c r="M541" s="151">
        <f>IFERROR(VLOOKUP($L541,'2-2 引出数据_合同数据仓库'!$B$2:$BP$1000,3,FALSE),0)</f>
        <v>0</v>
      </c>
      <c r="N541" s="125"/>
      <c r="O541" s="151">
        <f>IFERROR(VLOOKUP((LEFT(VLOOKUP($L541,'2-2 引出数据_合同数据仓库'!$B$2:$BP$1000,64,FALSE),15)&amp;(RIGHT(VLOOKUP($L541,'2-2 引出数据_合同数据仓库'!$B$2:$BP$1000,64,FALSE),4)+1)),'2-2 引出数据_合同数据仓库'!$B$2:$BP$1000,3,FALSE),0)</f>
        <v>0</v>
      </c>
      <c r="P541" s="125"/>
      <c r="Q541" s="125">
        <f>IFERROR(VLOOKUP($L541,'2-2 引出数据_合同数据仓库'!$B$2:$BP$1000,28,FALSE),0)</f>
        <v>0</v>
      </c>
      <c r="R541" s="125">
        <f>IFERROR(VLOOKUP($L541,'2-2 引出数据_合同数据仓库'!$B$2:$BP$1000,29,FALSE),0)</f>
        <v>0</v>
      </c>
      <c r="S541" s="125">
        <f>IFERROR(VLOOKUP($L541,'2-2 引出数据_合同数据仓库'!$B$2:$BP$1000,4,FALSE),0)</f>
        <v>0</v>
      </c>
      <c r="T541" s="125"/>
      <c r="U541" s="125">
        <f>IFERROR(VLOOKUP($L541,'2-2 引出数据_合同数据仓库'!$B$2:$BP$1000,15,FALSE),0)</f>
        <v>0</v>
      </c>
      <c r="V541" s="125">
        <f t="shared" si="6017"/>
        <v>0</v>
      </c>
      <c r="W541" s="125"/>
      <c r="X541" s="157">
        <v>45658</v>
      </c>
      <c r="Y541" s="157">
        <f t="shared" si="6018"/>
        <v>45688</v>
      </c>
      <c r="Z541" s="161">
        <f t="shared" si="6019"/>
        <v>0</v>
      </c>
      <c r="AA541" s="157">
        <f t="shared" si="6020"/>
        <v>45689</v>
      </c>
      <c r="AB541" s="157">
        <f t="shared" si="6021"/>
        <v>45716</v>
      </c>
      <c r="AC541" s="161">
        <f t="shared" si="6022"/>
        <v>0</v>
      </c>
      <c r="AD541" s="157">
        <f t="shared" si="6023"/>
        <v>45717</v>
      </c>
      <c r="AE541" s="157">
        <f t="shared" si="6024"/>
        <v>45747</v>
      </c>
      <c r="AF541" s="161">
        <f t="shared" si="6025"/>
        <v>0</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customHeight="1" outlineLevel="4" spans="1:95">
      <c r="A542" s="126" t="s">
        <v>2821</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customHeight="1" outlineLevel="1" spans="1:95">
      <c r="A543" s="22"/>
      <c r="B543" s="112" t="s">
        <v>799</v>
      </c>
      <c r="C543" s="113" t="s">
        <v>2197</v>
      </c>
      <c r="D543" s="22" t="s">
        <v>2198</v>
      </c>
      <c r="E543" s="112"/>
      <c r="F543" s="112"/>
      <c r="G543" s="112"/>
      <c r="H543" s="114">
        <f>X543+AA543+AD543+AG543+AJ543+AM543+AP543+AS543+AV543+AY543+BB543+BE543</f>
        <v>0</v>
      </c>
      <c r="I543" s="114">
        <f>Y543+AB543+AE543+AH543+AK543+AN543+AQ543+AT543+AW543+AZ543+BC543+BF543</f>
        <v>0</v>
      </c>
      <c r="J543" s="114">
        <f t="shared" si="6007"/>
        <v>0</v>
      </c>
      <c r="K543" s="114"/>
      <c r="L543" s="147"/>
      <c r="M543" s="147"/>
      <c r="N543" s="147"/>
      <c r="O543" s="147"/>
      <c r="P543" s="114"/>
      <c r="Q543" s="114"/>
      <c r="R543" s="114"/>
      <c r="S543" s="114"/>
      <c r="T543" s="114"/>
      <c r="U543" s="114"/>
      <c r="V543" s="114"/>
      <c r="W543" s="114"/>
      <c r="X543" s="114">
        <f>VLOOKUP($C543,'1 预算编制表单'!$C:$BJ,27,FALSE)</f>
        <v>0</v>
      </c>
      <c r="Y543" s="114">
        <f>X543-Z543</f>
        <v>0</v>
      </c>
      <c r="Z543" s="114">
        <f>SUM(Z544:Z548)</f>
        <v>0</v>
      </c>
      <c r="AA543" s="114">
        <f>VLOOKUP($C543,'1 预算编制表单'!$C:$BJ,30,FALSE)</f>
        <v>0</v>
      </c>
      <c r="AB543" s="114">
        <f>AA543-AC543</f>
        <v>0</v>
      </c>
      <c r="AC543" s="114">
        <f>SUM(AC544:AC548)</f>
        <v>0</v>
      </c>
      <c r="AD543" s="114">
        <f>VLOOKUP($C543,'1 预算编制表单'!$C:$BJ,33,FALSE)</f>
        <v>0</v>
      </c>
      <c r="AE543" s="114">
        <f>AD543-AF543</f>
        <v>0</v>
      </c>
      <c r="AF543" s="114">
        <f>SUM(AF544:AF548)</f>
        <v>0</v>
      </c>
      <c r="AG543" s="114">
        <f>VLOOKUP($C543,'1 预算编制表单'!$C:$BJ,36,FALSE)</f>
        <v>0</v>
      </c>
      <c r="AH543" s="114">
        <f>AG543-AI543</f>
        <v>0</v>
      </c>
      <c r="AI543" s="114">
        <f>SUM(AI544:AI548)</f>
        <v>0</v>
      </c>
      <c r="AJ543" s="114">
        <f>VLOOKUP($C543,'1 预算编制表单'!$C:$BJ,39,FALSE)</f>
        <v>0</v>
      </c>
      <c r="AK543" s="114">
        <f>AJ543-AL543</f>
        <v>0</v>
      </c>
      <c r="AL543" s="114">
        <f>SUM(AL544:AL548)</f>
        <v>0</v>
      </c>
      <c r="AM543" s="114">
        <f>VLOOKUP($C543,'1 预算编制表单'!$C:$BJ,42,FALSE)</f>
        <v>0</v>
      </c>
      <c r="AN543" s="114">
        <f>AM543-AO543</f>
        <v>0</v>
      </c>
      <c r="AO543" s="114">
        <f>SUM(AO544:AO548)</f>
        <v>0</v>
      </c>
      <c r="AP543" s="114">
        <f>VLOOKUP($C543,'1 预算编制表单'!$C:$BJ,45,FALSE)</f>
        <v>0</v>
      </c>
      <c r="AQ543" s="114">
        <f>AP543-AR543</f>
        <v>0</v>
      </c>
      <c r="AR543" s="114">
        <f>SUM(AR544:AR548)</f>
        <v>0</v>
      </c>
      <c r="AS543" s="114">
        <f>VLOOKUP($C543,'1 预算编制表单'!$C:$BJ,48,FALSE)</f>
        <v>0</v>
      </c>
      <c r="AT543" s="114">
        <f>AS543-AU543</f>
        <v>0</v>
      </c>
      <c r="AU543" s="114">
        <f>SUM(AU544:AU548)</f>
        <v>0</v>
      </c>
      <c r="AV543" s="114">
        <f>VLOOKUP($C543,'1 预算编制表单'!$C:$BJ,51,FALSE)</f>
        <v>0</v>
      </c>
      <c r="AW543" s="114">
        <f>AV543-AX543</f>
        <v>0</v>
      </c>
      <c r="AX543" s="114">
        <f>SUM(AX544:AX548)</f>
        <v>0</v>
      </c>
      <c r="AY543" s="114">
        <f>VLOOKUP($C543,'1 预算编制表单'!$C:$BJ,54,FALSE)</f>
        <v>0</v>
      </c>
      <c r="AZ543" s="114">
        <f>AY543-BA543</f>
        <v>0</v>
      </c>
      <c r="BA543" s="114">
        <f>SUM(BA544:BA548)</f>
        <v>0</v>
      </c>
      <c r="BB543" s="114">
        <f>VLOOKUP($C543,'1 预算编制表单'!$C:$BJ,57,FALSE)</f>
        <v>0</v>
      </c>
      <c r="BC543" s="114">
        <f>BB543-BD543</f>
        <v>0</v>
      </c>
      <c r="BD543" s="114">
        <f>SUM(BD544:BD548)</f>
        <v>0</v>
      </c>
      <c r="BE543" s="114">
        <f>VLOOKUP($C543,'1 预算编制表单'!$C:$BJ,60,FALSE)</f>
        <v>0</v>
      </c>
      <c r="BF543" s="114">
        <f>BE543-BG543</f>
        <v>0</v>
      </c>
      <c r="BG543" s="114">
        <f>SUM(BG544:BG548)</f>
        <v>0</v>
      </c>
      <c r="BH543" s="114">
        <f>VLOOKUP($C543,'1 预算编制表单'!$C:$BJ,27,FALSE)</f>
        <v>0</v>
      </c>
      <c r="BI543" s="114">
        <f>BH543-BJ543</f>
        <v>0</v>
      </c>
      <c r="BJ543" s="114">
        <f>SUM(BJ544:BJ548)</f>
        <v>0</v>
      </c>
      <c r="BK543" s="114">
        <f>VLOOKUP($C543,'1 预算编制表单'!$C:$BJ,30,FALSE)</f>
        <v>0</v>
      </c>
      <c r="BL543" s="114">
        <f>BK543-BM543</f>
        <v>0</v>
      </c>
      <c r="BM543" s="114">
        <f>SUM(BM544:BM548)</f>
        <v>0</v>
      </c>
      <c r="BN543" s="114">
        <f>VLOOKUP($C543,'1 预算编制表单'!$C:$BJ,33,FALSE)</f>
        <v>0</v>
      </c>
      <c r="BO543" s="114">
        <f>BN543-BP543</f>
        <v>0</v>
      </c>
      <c r="BP543" s="114">
        <f>SUM(BP544:BP548)</f>
        <v>0</v>
      </c>
      <c r="BQ543" s="114">
        <f>VLOOKUP($C543,'1 预算编制表单'!$C:$BJ,36,FALSE)</f>
        <v>0</v>
      </c>
      <c r="BR543" s="114">
        <f>BQ543-BS543</f>
        <v>0</v>
      </c>
      <c r="BS543" s="114">
        <f>SUM(BS544:BS548)</f>
        <v>0</v>
      </c>
      <c r="BT543" s="114">
        <f>VLOOKUP($C543,'1 预算编制表单'!$C:$BJ,39,FALSE)</f>
        <v>0</v>
      </c>
      <c r="BU543" s="114">
        <f>BT543-BV543</f>
        <v>0</v>
      </c>
      <c r="BV543" s="114">
        <f>SUM(BV544:BV548)</f>
        <v>0</v>
      </c>
      <c r="BW543" s="114">
        <f>VLOOKUP($C543,'1 预算编制表单'!$C:$BJ,42,FALSE)</f>
        <v>0</v>
      </c>
      <c r="BX543" s="114">
        <f>BW543-BY543</f>
        <v>0</v>
      </c>
      <c r="BY543" s="114">
        <f>SUM(BY544:BY548)</f>
        <v>0</v>
      </c>
      <c r="BZ543" s="114">
        <f>VLOOKUP($C543,'1 预算编制表单'!$C:$BJ,45,FALSE)</f>
        <v>0</v>
      </c>
      <c r="CA543" s="114">
        <f>BZ543-CB543</f>
        <v>0</v>
      </c>
      <c r="CB543" s="114">
        <f>SUM(CB544:CB548)</f>
        <v>0</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customHeight="1" outlineLevel="2" spans="1:95">
      <c r="A544" s="122"/>
      <c r="B544" s="123"/>
      <c r="C544" s="124"/>
      <c r="D544" s="122"/>
      <c r="E544" s="123"/>
      <c r="F544" s="123"/>
      <c r="G544" s="123"/>
      <c r="H544" s="125"/>
      <c r="I544" s="125"/>
      <c r="J544" s="125">
        <f t="shared" si="6007"/>
        <v>0</v>
      </c>
      <c r="K544" s="125">
        <v>1</v>
      </c>
      <c r="L544" s="150"/>
      <c r="M544" s="151">
        <f>IFERROR(VLOOKUP($L544,'2-2 引出数据_合同数据仓库'!$B$2:$BP$1000,3,FALSE),0)</f>
        <v>0</v>
      </c>
      <c r="N544" s="125"/>
      <c r="O544" s="151">
        <f>IFERROR(VLOOKUP((LEFT(VLOOKUP($L544,'2-2 引出数据_合同数据仓库'!$B$2:$BP$1000,64,FALSE),15)&amp;(RIGHT(VLOOKUP($L544,'2-2 引出数据_合同数据仓库'!$B$2:$BP$1000,64,FALSE),4)+1)),'2-2 引出数据_合同数据仓库'!$B$2:$BP$1000,3,FALSE),0)</f>
        <v>0</v>
      </c>
      <c r="P544" s="125"/>
      <c r="Q544" s="125">
        <f>IFERROR(VLOOKUP($L544,'2-2 引出数据_合同数据仓库'!$B$2:$BP$1000,28,FALSE),0)</f>
        <v>0</v>
      </c>
      <c r="R544" s="125">
        <f>IFERROR(VLOOKUP($L544,'2-2 引出数据_合同数据仓库'!$B$2:$BP$1000,29,FALSE),0)</f>
        <v>0</v>
      </c>
      <c r="S544" s="125">
        <f>IFERROR(VLOOKUP($L544,'2-2 引出数据_合同数据仓库'!$B$2:$BP$1000,4,FALSE),0)</f>
        <v>0</v>
      </c>
      <c r="T544" s="125"/>
      <c r="U544" s="125">
        <f>IFERROR(VLOOKUP($L544,'2-2 引出数据_合同数据仓库'!$B$2:$BP$1000,15,FALSE),0)</f>
        <v>0</v>
      </c>
      <c r="V544" s="125">
        <f t="shared" ref="V544:V547" si="6089">U544/(S544-R544+1)*365</f>
        <v>0</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0</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0</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0</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0</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0</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0</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0</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0</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0</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0</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0</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0</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0</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0</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0</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0</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0</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0</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0</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customHeight="1" outlineLevel="2" spans="1:95">
      <c r="A545" s="122"/>
      <c r="B545" s="123"/>
      <c r="C545" s="124"/>
      <c r="D545" s="122"/>
      <c r="E545" s="123"/>
      <c r="F545" s="123"/>
      <c r="G545" s="123"/>
      <c r="H545" s="125"/>
      <c r="I545" s="125"/>
      <c r="J545" s="125">
        <f t="shared" si="6007"/>
        <v>0</v>
      </c>
      <c r="K545" s="125">
        <f t="shared" ref="K545:K547" si="6160">K544+1</f>
        <v>2</v>
      </c>
      <c r="L545" s="150"/>
      <c r="M545" s="151">
        <f>IFERROR(VLOOKUP($L545,'2-2 引出数据_合同数据仓库'!$B$2:$BP$1000,3,FALSE),0)</f>
        <v>0</v>
      </c>
      <c r="N545" s="125"/>
      <c r="O545" s="151">
        <f>IFERROR(VLOOKUP((LEFT(VLOOKUP($L545,'2-2 引出数据_合同数据仓库'!$B$2:$BP$1000,64,FALSE),15)&amp;(RIGHT(VLOOKUP($L545,'2-2 引出数据_合同数据仓库'!$B$2:$BP$1000,64,FALSE),4)+1)),'2-2 引出数据_合同数据仓库'!$B$2:$BP$1000,3,FALSE),0)</f>
        <v>0</v>
      </c>
      <c r="P545" s="125"/>
      <c r="Q545" s="125">
        <f>IFERROR(VLOOKUP($L545,'2-2 引出数据_合同数据仓库'!$B$2:$BP$1000,28,FALSE),0)</f>
        <v>0</v>
      </c>
      <c r="R545" s="125">
        <f>IFERROR(VLOOKUP($L545,'2-2 引出数据_合同数据仓库'!$B$2:$BP$1000,29,FALSE),0)</f>
        <v>0</v>
      </c>
      <c r="S545" s="125">
        <f>IFERROR(VLOOKUP($L545,'2-2 引出数据_合同数据仓库'!$B$2:$BP$1000,4,FALSE),0)</f>
        <v>0</v>
      </c>
      <c r="T545" s="125"/>
      <c r="U545" s="125">
        <f>IFERROR(VLOOKUP($L545,'2-2 引出数据_合同数据仓库'!$B$2:$BP$1000,15,FALSE),0)</f>
        <v>0</v>
      </c>
      <c r="V545" s="125">
        <f t="shared" si="6089"/>
        <v>0</v>
      </c>
      <c r="W545" s="125"/>
      <c r="X545" s="157">
        <v>45658</v>
      </c>
      <c r="Y545" s="157">
        <f t="shared" si="6090"/>
        <v>45688</v>
      </c>
      <c r="Z545" s="161">
        <f t="shared" si="6091"/>
        <v>0</v>
      </c>
      <c r="AA545" s="157">
        <f t="shared" si="6092"/>
        <v>45689</v>
      </c>
      <c r="AB545" s="157">
        <f t="shared" si="6093"/>
        <v>45716</v>
      </c>
      <c r="AC545" s="161">
        <f t="shared" si="6094"/>
        <v>0</v>
      </c>
      <c r="AD545" s="157">
        <f t="shared" si="6095"/>
        <v>45717</v>
      </c>
      <c r="AE545" s="157">
        <f t="shared" si="6096"/>
        <v>45747</v>
      </c>
      <c r="AF545" s="161">
        <f t="shared" si="6097"/>
        <v>0</v>
      </c>
      <c r="AG545" s="157">
        <f t="shared" si="6098"/>
        <v>45748</v>
      </c>
      <c r="AH545" s="157">
        <f t="shared" si="6099"/>
        <v>45777</v>
      </c>
      <c r="AI545" s="161">
        <f t="shared" si="6100"/>
        <v>0</v>
      </c>
      <c r="AJ545" s="157">
        <f t="shared" si="6101"/>
        <v>45778</v>
      </c>
      <c r="AK545" s="157">
        <f t="shared" si="6102"/>
        <v>45808</v>
      </c>
      <c r="AL545" s="161">
        <f t="shared" si="6103"/>
        <v>0</v>
      </c>
      <c r="AM545" s="157">
        <f t="shared" si="6104"/>
        <v>45809</v>
      </c>
      <c r="AN545" s="157">
        <f t="shared" si="6105"/>
        <v>45838</v>
      </c>
      <c r="AO545" s="161">
        <f t="shared" si="6106"/>
        <v>0</v>
      </c>
      <c r="AP545" s="157">
        <f t="shared" si="6107"/>
        <v>45839</v>
      </c>
      <c r="AQ545" s="157">
        <f t="shared" si="6108"/>
        <v>45869</v>
      </c>
      <c r="AR545" s="161">
        <f t="shared" si="6109"/>
        <v>0</v>
      </c>
      <c r="AS545" s="157">
        <f t="shared" si="6110"/>
        <v>45870</v>
      </c>
      <c r="AT545" s="157">
        <f t="shared" si="6111"/>
        <v>45900</v>
      </c>
      <c r="AU545" s="161">
        <f t="shared" si="6112"/>
        <v>0</v>
      </c>
      <c r="AV545" s="157">
        <f t="shared" si="6113"/>
        <v>45901</v>
      </c>
      <c r="AW545" s="157">
        <f t="shared" si="6114"/>
        <v>45930</v>
      </c>
      <c r="AX545" s="161">
        <f t="shared" si="6115"/>
        <v>0</v>
      </c>
      <c r="AY545" s="157">
        <f t="shared" si="6116"/>
        <v>45931</v>
      </c>
      <c r="AZ545" s="157">
        <f t="shared" si="6117"/>
        <v>45961</v>
      </c>
      <c r="BA545" s="161">
        <f t="shared" si="6118"/>
        <v>0</v>
      </c>
      <c r="BB545" s="157">
        <f t="shared" si="6119"/>
        <v>45962</v>
      </c>
      <c r="BC545" s="157">
        <f t="shared" si="6120"/>
        <v>45991</v>
      </c>
      <c r="BD545" s="161">
        <f t="shared" si="6121"/>
        <v>0</v>
      </c>
      <c r="BE545" s="157">
        <f t="shared" si="6122"/>
        <v>45992</v>
      </c>
      <c r="BF545" s="157">
        <f t="shared" si="6123"/>
        <v>46022</v>
      </c>
      <c r="BG545" s="161">
        <f t="shared" si="6124"/>
        <v>0</v>
      </c>
      <c r="BH545" s="157">
        <v>46023</v>
      </c>
      <c r="BI545" s="157">
        <f t="shared" si="6125"/>
        <v>46053</v>
      </c>
      <c r="BJ545" s="161">
        <f t="shared" si="6126"/>
        <v>0</v>
      </c>
      <c r="BK545" s="157">
        <f t="shared" si="6127"/>
        <v>46054</v>
      </c>
      <c r="BL545" s="157">
        <f t="shared" si="6128"/>
        <v>46081</v>
      </c>
      <c r="BM545" s="161">
        <f t="shared" si="6129"/>
        <v>0</v>
      </c>
      <c r="BN545" s="157">
        <f t="shared" si="6130"/>
        <v>46082</v>
      </c>
      <c r="BO545" s="157">
        <f t="shared" si="6131"/>
        <v>46112</v>
      </c>
      <c r="BP545" s="161">
        <f t="shared" si="6132"/>
        <v>0</v>
      </c>
      <c r="BQ545" s="157">
        <f t="shared" si="6133"/>
        <v>46113</v>
      </c>
      <c r="BR545" s="157">
        <f t="shared" si="6134"/>
        <v>46142</v>
      </c>
      <c r="BS545" s="161">
        <f t="shared" si="6135"/>
        <v>0</v>
      </c>
      <c r="BT545" s="157">
        <f t="shared" si="6136"/>
        <v>46143</v>
      </c>
      <c r="BU545" s="157">
        <f t="shared" si="6137"/>
        <v>46173</v>
      </c>
      <c r="BV545" s="161">
        <f t="shared" si="6138"/>
        <v>0</v>
      </c>
      <c r="BW545" s="157">
        <f t="shared" si="6139"/>
        <v>46174</v>
      </c>
      <c r="BX545" s="157">
        <f t="shared" si="6140"/>
        <v>46203</v>
      </c>
      <c r="BY545" s="161">
        <f t="shared" si="6141"/>
        <v>0</v>
      </c>
      <c r="BZ545" s="157">
        <f t="shared" si="6142"/>
        <v>46204</v>
      </c>
      <c r="CA545" s="157">
        <f t="shared" si="6143"/>
        <v>46234</v>
      </c>
      <c r="CB545" s="161">
        <f t="shared" si="6144"/>
        <v>0</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customHeight="1" outlineLevel="2" spans="1:95">
      <c r="A546" s="122"/>
      <c r="B546" s="123"/>
      <c r="C546" s="124"/>
      <c r="D546" s="122"/>
      <c r="E546" s="123"/>
      <c r="F546" s="123"/>
      <c r="G546" s="123"/>
      <c r="H546" s="125"/>
      <c r="I546" s="125"/>
      <c r="J546" s="125">
        <f t="shared" si="6007"/>
        <v>0</v>
      </c>
      <c r="K546" s="125">
        <f t="shared" si="6160"/>
        <v>3</v>
      </c>
      <c r="L546" s="150"/>
      <c r="M546" s="151">
        <f>IFERROR(VLOOKUP($L546,'2-2 引出数据_合同数据仓库'!$B$2:$BP$1000,3,FALSE),0)</f>
        <v>0</v>
      </c>
      <c r="N546" s="125"/>
      <c r="O546" s="151">
        <f>IFERROR(VLOOKUP((LEFT(VLOOKUP($L546,'2-2 引出数据_合同数据仓库'!$B$2:$BP$1000,64,FALSE),15)&amp;(RIGHT(VLOOKUP($L546,'2-2 引出数据_合同数据仓库'!$B$2:$BP$1000,64,FALSE),4)+1)),'2-2 引出数据_合同数据仓库'!$B$2:$BP$1000,3,FALSE),0)</f>
        <v>0</v>
      </c>
      <c r="P546" s="125"/>
      <c r="Q546" s="125">
        <f>IFERROR(VLOOKUP($L546,'2-2 引出数据_合同数据仓库'!$B$2:$BP$1000,28,FALSE),0)</f>
        <v>0</v>
      </c>
      <c r="R546" s="125">
        <f>IFERROR(VLOOKUP($L546,'2-2 引出数据_合同数据仓库'!$B$2:$BP$1000,29,FALSE),0)</f>
        <v>0</v>
      </c>
      <c r="S546" s="125">
        <f>IFERROR(VLOOKUP($L546,'2-2 引出数据_合同数据仓库'!$B$2:$BP$1000,4,FALSE),0)</f>
        <v>0</v>
      </c>
      <c r="T546" s="125"/>
      <c r="U546" s="125">
        <f>IFERROR(VLOOKUP($L546,'2-2 引出数据_合同数据仓库'!$B$2:$BP$1000,15,FALSE),0)</f>
        <v>0</v>
      </c>
      <c r="V546" s="125">
        <f t="shared" si="6089"/>
        <v>0</v>
      </c>
      <c r="W546" s="125"/>
      <c r="X546" s="157">
        <v>45658</v>
      </c>
      <c r="Y546" s="157">
        <f t="shared" si="6090"/>
        <v>45688</v>
      </c>
      <c r="Z546" s="161">
        <f t="shared" si="6091"/>
        <v>0</v>
      </c>
      <c r="AA546" s="157">
        <f t="shared" si="6092"/>
        <v>45689</v>
      </c>
      <c r="AB546" s="157">
        <f t="shared" si="6093"/>
        <v>45716</v>
      </c>
      <c r="AC546" s="161">
        <f t="shared" si="6094"/>
        <v>0</v>
      </c>
      <c r="AD546" s="157">
        <f t="shared" si="6095"/>
        <v>45717</v>
      </c>
      <c r="AE546" s="157">
        <f t="shared" si="6096"/>
        <v>45747</v>
      </c>
      <c r="AF546" s="161">
        <f t="shared" si="6097"/>
        <v>0</v>
      </c>
      <c r="AG546" s="157">
        <f t="shared" si="6098"/>
        <v>45748</v>
      </c>
      <c r="AH546" s="157">
        <f t="shared" si="6099"/>
        <v>45777</v>
      </c>
      <c r="AI546" s="161">
        <f t="shared" si="6100"/>
        <v>0</v>
      </c>
      <c r="AJ546" s="157">
        <f t="shared" si="6101"/>
        <v>45778</v>
      </c>
      <c r="AK546" s="157">
        <f t="shared" si="6102"/>
        <v>45808</v>
      </c>
      <c r="AL546" s="161">
        <f t="shared" si="6103"/>
        <v>0</v>
      </c>
      <c r="AM546" s="157">
        <f t="shared" si="6104"/>
        <v>45809</v>
      </c>
      <c r="AN546" s="157">
        <f t="shared" si="6105"/>
        <v>45838</v>
      </c>
      <c r="AO546" s="161">
        <f t="shared" si="6106"/>
        <v>0</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customHeight="1" outlineLevel="2" spans="1:95">
      <c r="A547" s="122"/>
      <c r="B547" s="123"/>
      <c r="C547" s="124"/>
      <c r="D547" s="122"/>
      <c r="E547" s="123"/>
      <c r="F547" s="123"/>
      <c r="G547" s="123"/>
      <c r="H547" s="125"/>
      <c r="I547" s="125"/>
      <c r="J547" s="125">
        <f t="shared" si="6007"/>
        <v>0</v>
      </c>
      <c r="K547" s="125">
        <f t="shared" si="6160"/>
        <v>4</v>
      </c>
      <c r="L547" s="150"/>
      <c r="M547" s="151">
        <f>IFERROR(VLOOKUP($L547,'2-2 引出数据_合同数据仓库'!$B$2:$BP$1000,3,FALSE),0)</f>
        <v>0</v>
      </c>
      <c r="N547" s="125"/>
      <c r="O547" s="151">
        <f>IFERROR(VLOOKUP((LEFT(VLOOKUP($L547,'2-2 引出数据_合同数据仓库'!$B$2:$BP$1000,64,FALSE),15)&amp;(RIGHT(VLOOKUP($L547,'2-2 引出数据_合同数据仓库'!$B$2:$BP$1000,64,FALSE),4)+1)),'2-2 引出数据_合同数据仓库'!$B$2:$BP$1000,3,FALSE),0)</f>
        <v>0</v>
      </c>
      <c r="P547" s="125"/>
      <c r="Q547" s="125">
        <f>IFERROR(VLOOKUP($L547,'2-2 引出数据_合同数据仓库'!$B$2:$BP$1000,28,FALSE),0)</f>
        <v>0</v>
      </c>
      <c r="R547" s="125">
        <f>IFERROR(VLOOKUP($L547,'2-2 引出数据_合同数据仓库'!$B$2:$BP$1000,29,FALSE),0)</f>
        <v>0</v>
      </c>
      <c r="S547" s="125">
        <f>IFERROR(VLOOKUP($L547,'2-2 引出数据_合同数据仓库'!$B$2:$BP$1000,4,FALSE),0)</f>
        <v>0</v>
      </c>
      <c r="T547" s="125"/>
      <c r="U547" s="125">
        <f>IFERROR(VLOOKUP($L547,'2-2 引出数据_合同数据仓库'!$B$2:$BP$1000,15,FALSE),0)</f>
        <v>0</v>
      </c>
      <c r="V547" s="125">
        <f t="shared" si="6089"/>
        <v>0</v>
      </c>
      <c r="W547" s="125"/>
      <c r="X547" s="157">
        <v>45658</v>
      </c>
      <c r="Y547" s="157">
        <f t="shared" si="6090"/>
        <v>45688</v>
      </c>
      <c r="Z547" s="161">
        <f t="shared" si="6091"/>
        <v>0</v>
      </c>
      <c r="AA547" s="157">
        <f t="shared" si="6092"/>
        <v>45689</v>
      </c>
      <c r="AB547" s="157">
        <f t="shared" si="6093"/>
        <v>45716</v>
      </c>
      <c r="AC547" s="161">
        <f t="shared" si="6094"/>
        <v>0</v>
      </c>
      <c r="AD547" s="157">
        <f t="shared" si="6095"/>
        <v>45717</v>
      </c>
      <c r="AE547" s="157">
        <f t="shared" si="6096"/>
        <v>45747</v>
      </c>
      <c r="AF547" s="161">
        <f t="shared" si="6097"/>
        <v>0</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customHeight="1" outlineLevel="4" spans="1:95">
      <c r="A548" s="126" t="s">
        <v>2821</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customHeight="1" outlineLevel="1" spans="1:95">
      <c r="A549" s="22"/>
      <c r="B549" s="112" t="s">
        <v>799</v>
      </c>
      <c r="C549" s="113" t="s">
        <v>2205</v>
      </c>
      <c r="D549" s="22" t="s">
        <v>2206</v>
      </c>
      <c r="E549" s="112"/>
      <c r="F549" s="112"/>
      <c r="G549" s="112"/>
      <c r="H549" s="114">
        <f>X549+AA549+AD549+AG549+AJ549+AM549+AP549+AS549+AV549+AY549+BB549+BE549</f>
        <v>0</v>
      </c>
      <c r="I549" s="114">
        <f>Y549+AB549+AE549+AH549+AK549+AN549+AQ549+AT549+AW549+AZ549+BC549+BF549</f>
        <v>0</v>
      </c>
      <c r="J549" s="114">
        <f t="shared" si="6007"/>
        <v>0</v>
      </c>
      <c r="K549" s="114"/>
      <c r="L549" s="147"/>
      <c r="M549" s="147"/>
      <c r="N549" s="147"/>
      <c r="O549" s="147"/>
      <c r="P549" s="114"/>
      <c r="Q549" s="114"/>
      <c r="R549" s="114"/>
      <c r="S549" s="114"/>
      <c r="T549" s="114"/>
      <c r="U549" s="114"/>
      <c r="V549" s="114"/>
      <c r="W549" s="114"/>
      <c r="X549" s="114">
        <f>VLOOKUP($C549,'1 预算编制表单'!$C:$BJ,27,FALSE)</f>
        <v>0</v>
      </c>
      <c r="Y549" s="114">
        <f>X549-Z549</f>
        <v>0</v>
      </c>
      <c r="Z549" s="114">
        <f>SUM(Z550:Z554)</f>
        <v>0</v>
      </c>
      <c r="AA549" s="114">
        <f>VLOOKUP($C549,'1 预算编制表单'!$C:$BJ,30,FALSE)</f>
        <v>0</v>
      </c>
      <c r="AB549" s="114">
        <f>AA549-AC549</f>
        <v>0</v>
      </c>
      <c r="AC549" s="114">
        <f>SUM(AC550:AC554)</f>
        <v>0</v>
      </c>
      <c r="AD549" s="114">
        <f>VLOOKUP($C549,'1 预算编制表单'!$C:$BJ,33,FALSE)</f>
        <v>0</v>
      </c>
      <c r="AE549" s="114">
        <f>AD549-AF549</f>
        <v>0</v>
      </c>
      <c r="AF549" s="114">
        <f>SUM(AF550:AF554)</f>
        <v>0</v>
      </c>
      <c r="AG549" s="114">
        <f>VLOOKUP($C549,'1 预算编制表单'!$C:$BJ,36,FALSE)</f>
        <v>0</v>
      </c>
      <c r="AH549" s="114">
        <f>AG549-AI549</f>
        <v>0</v>
      </c>
      <c r="AI549" s="114">
        <f>SUM(AI550:AI554)</f>
        <v>0</v>
      </c>
      <c r="AJ549" s="114">
        <f>VLOOKUP($C549,'1 预算编制表单'!$C:$BJ,39,FALSE)</f>
        <v>0</v>
      </c>
      <c r="AK549" s="114">
        <f>AJ549-AL549</f>
        <v>0</v>
      </c>
      <c r="AL549" s="114">
        <f>SUM(AL550:AL554)</f>
        <v>0</v>
      </c>
      <c r="AM549" s="114">
        <f>VLOOKUP($C549,'1 预算编制表单'!$C:$BJ,42,FALSE)</f>
        <v>0</v>
      </c>
      <c r="AN549" s="114">
        <f>AM549-AO549</f>
        <v>0</v>
      </c>
      <c r="AO549" s="114">
        <f>SUM(AO550:AO554)</f>
        <v>0</v>
      </c>
      <c r="AP549" s="114">
        <f>VLOOKUP($C549,'1 预算编制表单'!$C:$BJ,45,FALSE)</f>
        <v>0</v>
      </c>
      <c r="AQ549" s="114">
        <f>AP549-AR549</f>
        <v>0</v>
      </c>
      <c r="AR549" s="114">
        <f>SUM(AR550:AR554)</f>
        <v>0</v>
      </c>
      <c r="AS549" s="114">
        <f>VLOOKUP($C549,'1 预算编制表单'!$C:$BJ,48,FALSE)</f>
        <v>0</v>
      </c>
      <c r="AT549" s="114">
        <f>AS549-AU549</f>
        <v>0</v>
      </c>
      <c r="AU549" s="114">
        <f>SUM(AU550:AU554)</f>
        <v>0</v>
      </c>
      <c r="AV549" s="114">
        <f>VLOOKUP($C549,'1 预算编制表单'!$C:$BJ,51,FALSE)</f>
        <v>0</v>
      </c>
      <c r="AW549" s="114">
        <f>AV549-AX549</f>
        <v>0</v>
      </c>
      <c r="AX549" s="114">
        <f>SUM(AX550:AX554)</f>
        <v>0</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customHeight="1" outlineLevel="2" spans="1:95">
      <c r="A550" s="122"/>
      <c r="B550" s="123"/>
      <c r="C550" s="124"/>
      <c r="D550" s="122"/>
      <c r="E550" s="123"/>
      <c r="F550" s="123"/>
      <c r="G550" s="123"/>
      <c r="H550" s="125"/>
      <c r="I550" s="125"/>
      <c r="J550" s="125">
        <f t="shared" si="6007"/>
        <v>0</v>
      </c>
      <c r="K550" s="125">
        <v>1</v>
      </c>
      <c r="L550" s="150"/>
      <c r="M550" s="151">
        <f>IFERROR(VLOOKUP($L550,'2-2 引出数据_合同数据仓库'!$B$2:$BP$1000,3,FALSE),0)</f>
        <v>0</v>
      </c>
      <c r="N550" s="125"/>
      <c r="O550" s="151">
        <f>IFERROR(VLOOKUP((LEFT(VLOOKUP($L550,'2-2 引出数据_合同数据仓库'!$B$2:$BP$1000,64,FALSE),15)&amp;(RIGHT(VLOOKUP($L550,'2-2 引出数据_合同数据仓库'!$B$2:$BP$1000,64,FALSE),4)+1)),'2-2 引出数据_合同数据仓库'!$B$2:$BP$1000,3,FALSE),0)</f>
        <v>0</v>
      </c>
      <c r="P550" s="125"/>
      <c r="Q550" s="125">
        <f>IFERROR(VLOOKUP($L550,'2-2 引出数据_合同数据仓库'!$B$2:$BP$1000,28,FALSE),0)</f>
        <v>0</v>
      </c>
      <c r="R550" s="125">
        <f>IFERROR(VLOOKUP($L550,'2-2 引出数据_合同数据仓库'!$B$2:$BP$1000,29,FALSE),0)</f>
        <v>0</v>
      </c>
      <c r="S550" s="125">
        <f>IFERROR(VLOOKUP($L550,'2-2 引出数据_合同数据仓库'!$B$2:$BP$1000,4,FALSE),0)</f>
        <v>0</v>
      </c>
      <c r="T550" s="125"/>
      <c r="U550" s="125">
        <f>IFERROR(VLOOKUP($L550,'2-2 引出数据_合同数据仓库'!$B$2:$BP$1000,15,FALSE),0)</f>
        <v>0</v>
      </c>
      <c r="V550" s="125">
        <f t="shared" ref="V550:V553" si="6161">U550/(S550-R550+1)*365</f>
        <v>0</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0</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0</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0</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0</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0</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0</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0</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0</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0</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引出数据_合同数据仓库'!$B$2:$BP$1000,3,FALSE),0)</f>
        <v>0</v>
      </c>
      <c r="N551" s="125"/>
      <c r="O551" s="151">
        <f>IFERROR(VLOOKUP((LEFT(VLOOKUP($L551,'2-2 引出数据_合同数据仓库'!$B$2:$BP$1000,64,FALSE),15)&amp;(RIGHT(VLOOKUP($L551,'2-2 引出数据_合同数据仓库'!$B$2:$BP$1000,64,FALSE),4)+1)),'2-2 引出数据_合同数据仓库'!$B$2:$BP$1000,3,FALSE),0)</f>
        <v>0</v>
      </c>
      <c r="P551" s="125"/>
      <c r="Q551" s="125">
        <f>IFERROR(VLOOKUP($L551,'2-2 引出数据_合同数据仓库'!$B$2:$BP$1000,28,FALSE),0)</f>
        <v>0</v>
      </c>
      <c r="R551" s="125">
        <f>IFERROR(VLOOKUP($L551,'2-2 引出数据_合同数据仓库'!$B$2:$BP$1000,29,FALSE),0)</f>
        <v>0</v>
      </c>
      <c r="S551" s="125">
        <f>IFERROR(VLOOKUP($L551,'2-2 引出数据_合同数据仓库'!$B$2:$BP$1000,4,FALSE),0)</f>
        <v>0</v>
      </c>
      <c r="T551" s="125"/>
      <c r="U551" s="125">
        <f>IFERROR(VLOOKUP($L551,'2-2 引出数据_合同数据仓库'!$B$2:$BP$1000,15,FALSE),0)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引出数据_合同数据仓库'!$B$2:$BP$1000,3,FALSE),0)</f>
        <v>0</v>
      </c>
      <c r="N552" s="125"/>
      <c r="O552" s="151">
        <f>IFERROR(VLOOKUP((LEFT(VLOOKUP($L552,'2-2 引出数据_合同数据仓库'!$B$2:$BP$1000,64,FALSE),15)&amp;(RIGHT(VLOOKUP($L552,'2-2 引出数据_合同数据仓库'!$B$2:$BP$1000,64,FALSE),4)+1)),'2-2 引出数据_合同数据仓库'!$B$2:$BP$1000,3,FALSE),0)</f>
        <v>0</v>
      </c>
      <c r="P552" s="125"/>
      <c r="Q552" s="125">
        <f>IFERROR(VLOOKUP($L552,'2-2 引出数据_合同数据仓库'!$B$2:$BP$1000,28,FALSE),0)</f>
        <v>0</v>
      </c>
      <c r="R552" s="125">
        <f>IFERROR(VLOOKUP($L552,'2-2 引出数据_合同数据仓库'!$B$2:$BP$1000,29,FALSE),0)</f>
        <v>0</v>
      </c>
      <c r="S552" s="125">
        <f>IFERROR(VLOOKUP($L552,'2-2 引出数据_合同数据仓库'!$B$2:$BP$1000,4,FALSE),0)</f>
        <v>0</v>
      </c>
      <c r="T552" s="125"/>
      <c r="U552" s="125">
        <f>IFERROR(VLOOKUP($L552,'2-2 引出数据_合同数据仓库'!$B$2:$BP$1000,15,FALSE),0)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customHeight="1" outlineLevel="2" spans="1:95">
      <c r="A553" s="122"/>
      <c r="B553" s="123"/>
      <c r="C553" s="124"/>
      <c r="D553" s="122"/>
      <c r="E553" s="123"/>
      <c r="F553" s="123"/>
      <c r="G553" s="123"/>
      <c r="H553" s="125"/>
      <c r="I553" s="125"/>
      <c r="J553" s="125">
        <f t="shared" si="6007"/>
        <v>0</v>
      </c>
      <c r="K553" s="125">
        <f t="shared" si="6232"/>
        <v>4</v>
      </c>
      <c r="L553" s="150"/>
      <c r="M553" s="151">
        <f>IFERROR(VLOOKUP($L553,'2-2 引出数据_合同数据仓库'!$B$2:$BP$1000,3,FALSE),0)</f>
        <v>0</v>
      </c>
      <c r="N553" s="125"/>
      <c r="O553" s="151">
        <f>IFERROR(VLOOKUP((LEFT(VLOOKUP($L553,'2-2 引出数据_合同数据仓库'!$B$2:$BP$1000,64,FALSE),15)&amp;(RIGHT(VLOOKUP($L553,'2-2 引出数据_合同数据仓库'!$B$2:$BP$1000,64,FALSE),4)+1)),'2-2 引出数据_合同数据仓库'!$B$2:$BP$1000,3,FALSE),0)</f>
        <v>0</v>
      </c>
      <c r="P553" s="125"/>
      <c r="Q553" s="125">
        <f>IFERROR(VLOOKUP($L553,'2-2 引出数据_合同数据仓库'!$B$2:$BP$1000,28,FALSE),0)</f>
        <v>0</v>
      </c>
      <c r="R553" s="125">
        <f>IFERROR(VLOOKUP($L553,'2-2 引出数据_合同数据仓库'!$B$2:$BP$1000,29,FALSE),0)</f>
        <v>0</v>
      </c>
      <c r="S553" s="125">
        <f>IFERROR(VLOOKUP($L553,'2-2 引出数据_合同数据仓库'!$B$2:$BP$1000,4,FALSE),0)</f>
        <v>0</v>
      </c>
      <c r="T553" s="125"/>
      <c r="U553" s="125">
        <f>IFERROR(VLOOKUP($L553,'2-2 引出数据_合同数据仓库'!$B$2:$BP$1000,15,FALSE),0)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customHeight="1" outlineLevel="4" spans="1:95">
      <c r="A554" s="126" t="s">
        <v>2821</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customHeight="1" outlineLevel="1" spans="1:95">
      <c r="A555" s="22"/>
      <c r="B555" s="112" t="s">
        <v>799</v>
      </c>
      <c r="C555" s="113" t="s">
        <v>2223</v>
      </c>
      <c r="D555" s="22" t="s">
        <v>2224</v>
      </c>
      <c r="E555" s="112"/>
      <c r="F555" s="112"/>
      <c r="G555" s="112"/>
      <c r="H555" s="114">
        <f>X555+AA555+AD555+AG555+AJ555+AM555+AP555+AS555+AV555+AY555+BB555+BE555</f>
        <v>0</v>
      </c>
      <c r="I555" s="114">
        <f>Y555+AB555+AE555+AH555+AK555+AN555+AQ555+AT555+AW555+AZ555+BC555+BF555</f>
        <v>0</v>
      </c>
      <c r="J555" s="114">
        <f t="shared" si="6007"/>
        <v>0</v>
      </c>
      <c r="K555" s="114"/>
      <c r="L555" s="147"/>
      <c r="M555" s="147"/>
      <c r="N555" s="147"/>
      <c r="O555" s="147"/>
      <c r="P555" s="114"/>
      <c r="Q555" s="114"/>
      <c r="R555" s="114"/>
      <c r="S555" s="114"/>
      <c r="T555" s="114"/>
      <c r="U555" s="114"/>
      <c r="V555" s="114"/>
      <c r="W555" s="114"/>
      <c r="X555" s="114">
        <f>VLOOKUP($C555,'1 预算编制表单'!$C:$BJ,27,FALSE)</f>
        <v>0</v>
      </c>
      <c r="Y555" s="114">
        <f>X555-Z555</f>
        <v>0</v>
      </c>
      <c r="Z555" s="114">
        <f>SUM(Z556:Z560)</f>
        <v>0</v>
      </c>
      <c r="AA555" s="114">
        <f>VLOOKUP($C555,'1 预算编制表单'!$C:$BJ,30,FALSE)</f>
        <v>0</v>
      </c>
      <c r="AB555" s="114">
        <f>AA555-AC555</f>
        <v>0</v>
      </c>
      <c r="AC555" s="114">
        <f>SUM(AC556:AC560)</f>
        <v>0</v>
      </c>
      <c r="AD555" s="114">
        <f>VLOOKUP($C555,'1 预算编制表单'!$C:$BJ,33,FALSE)</f>
        <v>0</v>
      </c>
      <c r="AE555" s="114">
        <f>AD555-AF555</f>
        <v>0</v>
      </c>
      <c r="AF555" s="114">
        <f>SUM(AF556:AF560)</f>
        <v>0</v>
      </c>
      <c r="AG555" s="114">
        <f>VLOOKUP($C555,'1 预算编制表单'!$C:$BJ,36,FALSE)</f>
        <v>0</v>
      </c>
      <c r="AH555" s="114">
        <f>AG555-AI555</f>
        <v>0</v>
      </c>
      <c r="AI555" s="114">
        <f>SUM(AI556:AI560)</f>
        <v>0</v>
      </c>
      <c r="AJ555" s="114">
        <f>VLOOKUP($C555,'1 预算编制表单'!$C:$BJ,39,FALSE)</f>
        <v>0</v>
      </c>
      <c r="AK555" s="114">
        <f>AJ555-AL555</f>
        <v>0</v>
      </c>
      <c r="AL555" s="114">
        <f>SUM(AL556:AL560)</f>
        <v>0</v>
      </c>
      <c r="AM555" s="114">
        <f>VLOOKUP($C555,'1 预算编制表单'!$C:$BJ,42,FALSE)</f>
        <v>0</v>
      </c>
      <c r="AN555" s="114">
        <f>AM555-AO555</f>
        <v>0</v>
      </c>
      <c r="AO555" s="114">
        <f>SUM(AO556:AO560)</f>
        <v>0</v>
      </c>
      <c r="AP555" s="114">
        <f>VLOOKUP($C555,'1 预算编制表单'!$C:$BJ,45,FALSE)</f>
        <v>0</v>
      </c>
      <c r="AQ555" s="114">
        <f>AP555-AR555</f>
        <v>0</v>
      </c>
      <c r="AR555" s="114">
        <f>SUM(AR556:AR560)</f>
        <v>0</v>
      </c>
      <c r="AS555" s="114">
        <f>VLOOKUP($C555,'1 预算编制表单'!$C:$BJ,48,FALSE)</f>
        <v>0</v>
      </c>
      <c r="AT555" s="114">
        <f>AS555-AU555</f>
        <v>0</v>
      </c>
      <c r="AU555" s="114">
        <f>SUM(AU556:AU560)</f>
        <v>0</v>
      </c>
      <c r="AV555" s="114">
        <f>VLOOKUP($C555,'1 预算编制表单'!$C:$BJ,51,FALSE)</f>
        <v>0</v>
      </c>
      <c r="AW555" s="114">
        <f>AV555-AX555</f>
        <v>0</v>
      </c>
      <c r="AX555" s="114">
        <f>SUM(AX556:AX560)</f>
        <v>0</v>
      </c>
      <c r="AY555" s="114">
        <f>VLOOKUP($C555,'1 预算编制表单'!$C:$BJ,54,FALSE)</f>
        <v>0</v>
      </c>
      <c r="AZ555" s="114">
        <f>AY555-BA555</f>
        <v>0</v>
      </c>
      <c r="BA555" s="114">
        <f>SUM(BA556:BA560)</f>
        <v>0</v>
      </c>
      <c r="BB555" s="114">
        <f>VLOOKUP($C555,'1 预算编制表单'!$C:$BJ,57,FALSE)</f>
        <v>0</v>
      </c>
      <c r="BC555" s="114">
        <f>BB555-BD555</f>
        <v>0</v>
      </c>
      <c r="BD555" s="114">
        <f>SUM(BD556:BD560)</f>
        <v>0</v>
      </c>
      <c r="BE555" s="114">
        <f>VLOOKUP($C555,'1 预算编制表单'!$C:$BJ,60,FALSE)</f>
        <v>0</v>
      </c>
      <c r="BF555" s="114">
        <f>BE555-BG555</f>
        <v>0</v>
      </c>
      <c r="BG555" s="114">
        <f>SUM(BG556:BG560)</f>
        <v>0</v>
      </c>
      <c r="BH555" s="114">
        <f>VLOOKUP($C555,'1 预算编制表单'!$C:$BJ,27,FALSE)</f>
        <v>0</v>
      </c>
      <c r="BI555" s="114">
        <f>BH555-BJ555</f>
        <v>0</v>
      </c>
      <c r="BJ555" s="114">
        <f>SUM(BJ556:BJ560)</f>
        <v>0</v>
      </c>
      <c r="BK555" s="114">
        <f>VLOOKUP($C555,'1 预算编制表单'!$C:$BJ,30,FALSE)</f>
        <v>0</v>
      </c>
      <c r="BL555" s="114">
        <f>BK555-BM555</f>
        <v>0</v>
      </c>
      <c r="BM555" s="114">
        <f>SUM(BM556:BM560)</f>
        <v>0</v>
      </c>
      <c r="BN555" s="114">
        <f>VLOOKUP($C555,'1 预算编制表单'!$C:$BJ,33,FALSE)</f>
        <v>0</v>
      </c>
      <c r="BO555" s="114">
        <f>BN555-BP555</f>
        <v>0</v>
      </c>
      <c r="BP555" s="114">
        <f>SUM(BP556:BP560)</f>
        <v>0</v>
      </c>
      <c r="BQ555" s="114">
        <f>VLOOKUP($C555,'1 预算编制表单'!$C:$BJ,36,FALSE)</f>
        <v>0</v>
      </c>
      <c r="BR555" s="114">
        <f>BQ555-BS555</f>
        <v>0</v>
      </c>
      <c r="BS555" s="114">
        <f>SUM(BS556:BS560)</f>
        <v>0</v>
      </c>
      <c r="BT555" s="114">
        <f>VLOOKUP($C555,'1 预算编制表单'!$C:$BJ,39,FALSE)</f>
        <v>0</v>
      </c>
      <c r="BU555" s="114">
        <f>BT555-BV555</f>
        <v>0</v>
      </c>
      <c r="BV555" s="114">
        <f>SUM(BV556:BV560)</f>
        <v>0</v>
      </c>
      <c r="BW555" s="114">
        <f>VLOOKUP($C555,'1 预算编制表单'!$C:$BJ,42,FALSE)</f>
        <v>0</v>
      </c>
      <c r="BX555" s="114">
        <f>BW555-BY555</f>
        <v>0</v>
      </c>
      <c r="BY555" s="114">
        <f>SUM(BY556:BY560)</f>
        <v>0</v>
      </c>
      <c r="BZ555" s="114">
        <f>VLOOKUP($C555,'1 预算编制表单'!$C:$BJ,45,FALSE)</f>
        <v>0</v>
      </c>
      <c r="CA555" s="114">
        <f>BZ555-CB555</f>
        <v>0</v>
      </c>
      <c r="CB555" s="114">
        <f>SUM(CB556:CB560)</f>
        <v>0</v>
      </c>
      <c r="CC555" s="114">
        <f>VLOOKUP($C555,'1 预算编制表单'!$C:$BJ,48,FALSE)</f>
        <v>0</v>
      </c>
      <c r="CD555" s="114">
        <f>CC555-CE555</f>
        <v>0</v>
      </c>
      <c r="CE555" s="114">
        <f>SUM(CE556:CE560)</f>
        <v>0</v>
      </c>
      <c r="CF555" s="114">
        <f>VLOOKUP($C555,'1 预算编制表单'!$C:$BJ,51,FALSE)</f>
        <v>0</v>
      </c>
      <c r="CG555" s="114">
        <f>CF555-CH555</f>
        <v>0</v>
      </c>
      <c r="CH555" s="114">
        <f>SUM(CH556:CH560)</f>
        <v>0</v>
      </c>
      <c r="CI555" s="114">
        <f>VLOOKUP($C555,'1 预算编制表单'!$C:$BJ,54,FALSE)</f>
        <v>0</v>
      </c>
      <c r="CJ555" s="114">
        <f>CI555-CK555</f>
        <v>0</v>
      </c>
      <c r="CK555" s="114">
        <f>SUM(CK556:CK560)</f>
        <v>0</v>
      </c>
      <c r="CL555" s="114">
        <f>VLOOKUP($C555,'1 预算编制表单'!$C:$BJ,57,FALSE)</f>
        <v>0</v>
      </c>
      <c r="CM555" s="114">
        <f>CL555-CN555</f>
        <v>0</v>
      </c>
      <c r="CN555" s="114">
        <f>SUM(CN556:CN560)</f>
        <v>0</v>
      </c>
      <c r="CO555" s="114">
        <f>VLOOKUP($C555,'1 预算编制表单'!$C:$BJ,60,FALSE)</f>
        <v>0</v>
      </c>
      <c r="CP555" s="114">
        <f>CO555-CQ555</f>
        <v>0</v>
      </c>
      <c r="CQ555" s="114">
        <f>SUM(CQ556:CQ560)</f>
        <v>0</v>
      </c>
    </row>
    <row r="556" s="83" customFormat="1" ht="24" customHeight="1" outlineLevel="2" spans="1:95">
      <c r="A556" s="122"/>
      <c r="B556" s="123"/>
      <c r="C556" s="124"/>
      <c r="D556" s="122"/>
      <c r="E556" s="123"/>
      <c r="F556" s="123"/>
      <c r="G556" s="123"/>
      <c r="H556" s="125"/>
      <c r="I556" s="125"/>
      <c r="J556" s="125">
        <f t="shared" si="6007"/>
        <v>0</v>
      </c>
      <c r="K556" s="125">
        <v>1</v>
      </c>
      <c r="L556" s="150"/>
      <c r="M556" s="151">
        <f>IFERROR(VLOOKUP($L556,'2-2 引出数据_合同数据仓库'!$B$2:$BP$1000,3,FALSE),0)</f>
        <v>0</v>
      </c>
      <c r="N556" s="125"/>
      <c r="O556" s="151">
        <f>IFERROR(VLOOKUP((LEFT(VLOOKUP($L556,'2-2 引出数据_合同数据仓库'!$B$2:$BP$1000,64,FALSE),15)&amp;(RIGHT(VLOOKUP($L556,'2-2 引出数据_合同数据仓库'!$B$2:$BP$1000,64,FALSE),4)+1)),'2-2 引出数据_合同数据仓库'!$B$2:$BP$1000,3,FALSE),0)</f>
        <v>0</v>
      </c>
      <c r="P556" s="125"/>
      <c r="Q556" s="125">
        <f>IFERROR(VLOOKUP($L556,'2-2 引出数据_合同数据仓库'!$B$2:$BP$1000,28,FALSE),0)</f>
        <v>0</v>
      </c>
      <c r="R556" s="125">
        <f>IFERROR(VLOOKUP($L556,'2-2 引出数据_合同数据仓库'!$B$2:$BP$1000,29,FALSE),0)</f>
        <v>0</v>
      </c>
      <c r="S556" s="125">
        <f>IFERROR(VLOOKUP($L556,'2-2 引出数据_合同数据仓库'!$B$2:$BP$1000,4,FALSE),0)</f>
        <v>0</v>
      </c>
      <c r="T556" s="125"/>
      <c r="U556" s="125">
        <f>IFERROR(VLOOKUP($L556,'2-2 引出数据_合同数据仓库'!$B$2:$BP$1000,15,FALSE),0)</f>
        <v>0</v>
      </c>
      <c r="V556" s="125">
        <f t="shared" ref="V556:V559" si="6233">U556/(S556-R556+1)*365</f>
        <v>0</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0</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0</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0</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0</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0</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0</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0</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0</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0</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0</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0</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0</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0</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0</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0</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0</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0</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0</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0</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0</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0</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0</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0</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0</v>
      </c>
    </row>
    <row r="557" s="83" customFormat="1" ht="24"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引出数据_合同数据仓库'!$B$2:$BP$1000,3,FALSE),0)</f>
        <v>0</v>
      </c>
      <c r="N557" s="125"/>
      <c r="O557" s="151">
        <f>IFERROR(VLOOKUP((LEFT(VLOOKUP($L557,'2-2 引出数据_合同数据仓库'!$B$2:$BP$1000,64,FALSE),15)&amp;(RIGHT(VLOOKUP($L557,'2-2 引出数据_合同数据仓库'!$B$2:$BP$1000,64,FALSE),4)+1)),'2-2 引出数据_合同数据仓库'!$B$2:$BP$1000,3,FALSE),0)</f>
        <v>0</v>
      </c>
      <c r="P557" s="125"/>
      <c r="Q557" s="125">
        <f>IFERROR(VLOOKUP($L557,'2-2 引出数据_合同数据仓库'!$B$2:$BP$1000,28,FALSE),0)</f>
        <v>0</v>
      </c>
      <c r="R557" s="125">
        <f>IFERROR(VLOOKUP($L557,'2-2 引出数据_合同数据仓库'!$B$2:$BP$1000,29,FALSE),0)</f>
        <v>0</v>
      </c>
      <c r="S557" s="125">
        <f>IFERROR(VLOOKUP($L557,'2-2 引出数据_合同数据仓库'!$B$2:$BP$1000,4,FALSE),0)</f>
        <v>0</v>
      </c>
      <c r="T557" s="125"/>
      <c r="U557" s="125">
        <f>IFERROR(VLOOKUP($L557,'2-2 引出数据_合同数据仓库'!$B$2:$BP$1000,15,FALSE),0)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引出数据_合同数据仓库'!$B$2:$BP$1000,3,FALSE),0)</f>
        <v>0</v>
      </c>
      <c r="N558" s="125"/>
      <c r="O558" s="151">
        <f>IFERROR(VLOOKUP((LEFT(VLOOKUP($L558,'2-2 引出数据_合同数据仓库'!$B$2:$BP$1000,64,FALSE),15)&amp;(RIGHT(VLOOKUP($L558,'2-2 引出数据_合同数据仓库'!$B$2:$BP$1000,64,FALSE),4)+1)),'2-2 引出数据_合同数据仓库'!$B$2:$BP$1000,3,FALSE),0)</f>
        <v>0</v>
      </c>
      <c r="P558" s="125"/>
      <c r="Q558" s="125">
        <f>IFERROR(VLOOKUP($L558,'2-2 引出数据_合同数据仓库'!$B$2:$BP$1000,28,FALSE),0)</f>
        <v>0</v>
      </c>
      <c r="R558" s="125">
        <f>IFERROR(VLOOKUP($L558,'2-2 引出数据_合同数据仓库'!$B$2:$BP$1000,29,FALSE),0)</f>
        <v>0</v>
      </c>
      <c r="S558" s="125">
        <f>IFERROR(VLOOKUP($L558,'2-2 引出数据_合同数据仓库'!$B$2:$BP$1000,4,FALSE),0)</f>
        <v>0</v>
      </c>
      <c r="T558" s="125"/>
      <c r="U558" s="125">
        <f>IFERROR(VLOOKUP($L558,'2-2 引出数据_合同数据仓库'!$B$2:$BP$1000,15,FALSE),0)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customHeight="1" outlineLevel="2" spans="1:95">
      <c r="A559" s="122"/>
      <c r="B559" s="123"/>
      <c r="C559" s="124"/>
      <c r="D559" s="122"/>
      <c r="E559" s="123"/>
      <c r="F559" s="123"/>
      <c r="G559" s="123"/>
      <c r="H559" s="125"/>
      <c r="I559" s="125"/>
      <c r="J559" s="125">
        <f t="shared" si="6007"/>
        <v>0</v>
      </c>
      <c r="K559" s="125">
        <f t="shared" si="6304"/>
        <v>4</v>
      </c>
      <c r="L559" s="150"/>
      <c r="M559" s="151">
        <f>IFERROR(VLOOKUP($L559,'2-2 引出数据_合同数据仓库'!$B$2:$BP$1000,3,FALSE),0)</f>
        <v>0</v>
      </c>
      <c r="N559" s="125"/>
      <c r="O559" s="151">
        <f>IFERROR(VLOOKUP((LEFT(VLOOKUP($L559,'2-2 引出数据_合同数据仓库'!$B$2:$BP$1000,64,FALSE),15)&amp;(RIGHT(VLOOKUP($L559,'2-2 引出数据_合同数据仓库'!$B$2:$BP$1000,64,FALSE),4)+1)),'2-2 引出数据_合同数据仓库'!$B$2:$BP$1000,3,FALSE),0)</f>
        <v>0</v>
      </c>
      <c r="P559" s="125"/>
      <c r="Q559" s="125">
        <f>IFERROR(VLOOKUP($L559,'2-2 引出数据_合同数据仓库'!$B$2:$BP$1000,28,FALSE),0)</f>
        <v>0</v>
      </c>
      <c r="R559" s="125">
        <f>IFERROR(VLOOKUP($L559,'2-2 引出数据_合同数据仓库'!$B$2:$BP$1000,29,FALSE),0)</f>
        <v>0</v>
      </c>
      <c r="S559" s="125">
        <f>IFERROR(VLOOKUP($L559,'2-2 引出数据_合同数据仓库'!$B$2:$BP$1000,4,FALSE),0)</f>
        <v>0</v>
      </c>
      <c r="T559" s="125"/>
      <c r="U559" s="125">
        <f>IFERROR(VLOOKUP($L559,'2-2 引出数据_合同数据仓库'!$B$2:$BP$1000,15,FALSE),0)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customHeight="1" outlineLevel="4" spans="1:95">
      <c r="A560" s="126" t="s">
        <v>2821</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customHeight="1" outlineLevel="1" spans="1:95">
      <c r="A561" s="22"/>
      <c r="B561" s="112" t="s">
        <v>799</v>
      </c>
      <c r="C561" s="113" t="s">
        <v>2243</v>
      </c>
      <c r="D561" s="22" t="s">
        <v>2244</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引出数据_合同数据仓库'!$B$2:$BP$1000,3,FALSE),0)</f>
        <v>0</v>
      </c>
      <c r="N562" s="125"/>
      <c r="O562" s="151">
        <f>IFERROR(VLOOKUP((LEFT(VLOOKUP($L562,'2-2 引出数据_合同数据仓库'!$B$2:$BP$1000,64,FALSE),15)&amp;(RIGHT(VLOOKUP($L562,'2-2 引出数据_合同数据仓库'!$B$2:$BP$1000,64,FALSE),4)+1)),'2-2 引出数据_合同数据仓库'!$B$2:$BP$1000,3,FALSE),0)</f>
        <v>0</v>
      </c>
      <c r="P562" s="125"/>
      <c r="Q562" s="125">
        <f>IFERROR(VLOOKUP($L562,'2-2 引出数据_合同数据仓库'!$B$2:$BP$1000,28,FALSE),0)</f>
        <v>0</v>
      </c>
      <c r="R562" s="125">
        <f>IFERROR(VLOOKUP($L562,'2-2 引出数据_合同数据仓库'!$B$2:$BP$1000,29,FALSE),0)</f>
        <v>0</v>
      </c>
      <c r="S562" s="125">
        <f>IFERROR(VLOOKUP($L562,'2-2 引出数据_合同数据仓库'!$B$2:$BP$1000,4,FALSE),0)</f>
        <v>0</v>
      </c>
      <c r="T562" s="125"/>
      <c r="U562" s="125">
        <f>IFERROR(VLOOKUP($L562,'2-2 引出数据_合同数据仓库'!$B$2:$BP$1000,15,FALSE),0)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引出数据_合同数据仓库'!$B$2:$BP$1000,3,FALSE),0)</f>
        <v>0</v>
      </c>
      <c r="N563" s="125"/>
      <c r="O563" s="151">
        <f>IFERROR(VLOOKUP((LEFT(VLOOKUP($L563,'2-2 引出数据_合同数据仓库'!$B$2:$BP$1000,64,FALSE),15)&amp;(RIGHT(VLOOKUP($L563,'2-2 引出数据_合同数据仓库'!$B$2:$BP$1000,64,FALSE),4)+1)),'2-2 引出数据_合同数据仓库'!$B$2:$BP$1000,3,FALSE),0)</f>
        <v>0</v>
      </c>
      <c r="P563" s="125"/>
      <c r="Q563" s="125">
        <f>IFERROR(VLOOKUP($L563,'2-2 引出数据_合同数据仓库'!$B$2:$BP$1000,28,FALSE),0)</f>
        <v>0</v>
      </c>
      <c r="R563" s="125">
        <f>IFERROR(VLOOKUP($L563,'2-2 引出数据_合同数据仓库'!$B$2:$BP$1000,29,FALSE),0)</f>
        <v>0</v>
      </c>
      <c r="S563" s="125">
        <f>IFERROR(VLOOKUP($L563,'2-2 引出数据_合同数据仓库'!$B$2:$BP$1000,4,FALSE),0)</f>
        <v>0</v>
      </c>
      <c r="T563" s="125"/>
      <c r="U563" s="125">
        <f>IFERROR(VLOOKUP($L563,'2-2 引出数据_合同数据仓库'!$B$2:$BP$1000,15,FALSE),0)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引出数据_合同数据仓库'!$B$2:$BP$1000,3,FALSE),0)</f>
        <v>0</v>
      </c>
      <c r="N564" s="125"/>
      <c r="O564" s="151">
        <f>IFERROR(VLOOKUP((LEFT(VLOOKUP($L564,'2-2 引出数据_合同数据仓库'!$B$2:$BP$1000,64,FALSE),15)&amp;(RIGHT(VLOOKUP($L564,'2-2 引出数据_合同数据仓库'!$B$2:$BP$1000,64,FALSE),4)+1)),'2-2 引出数据_合同数据仓库'!$B$2:$BP$1000,3,FALSE),0)</f>
        <v>0</v>
      </c>
      <c r="P564" s="125"/>
      <c r="Q564" s="125">
        <f>IFERROR(VLOOKUP($L564,'2-2 引出数据_合同数据仓库'!$B$2:$BP$1000,28,FALSE),0)</f>
        <v>0</v>
      </c>
      <c r="R564" s="125">
        <f>IFERROR(VLOOKUP($L564,'2-2 引出数据_合同数据仓库'!$B$2:$BP$1000,29,FALSE),0)</f>
        <v>0</v>
      </c>
      <c r="S564" s="125">
        <f>IFERROR(VLOOKUP($L564,'2-2 引出数据_合同数据仓库'!$B$2:$BP$1000,4,FALSE),0)</f>
        <v>0</v>
      </c>
      <c r="T564" s="125"/>
      <c r="U564" s="125">
        <f>IFERROR(VLOOKUP($L564,'2-2 引出数据_合同数据仓库'!$B$2:$BP$1000,15,FALSE),0)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customHeight="1" outlineLevel="2" spans="1:95">
      <c r="A565" s="122"/>
      <c r="B565" s="123"/>
      <c r="C565" s="124"/>
      <c r="D565" s="122"/>
      <c r="E565" s="123"/>
      <c r="F565" s="123"/>
      <c r="G565" s="123"/>
      <c r="H565" s="125"/>
      <c r="I565" s="125"/>
      <c r="J565" s="125">
        <f t="shared" si="6007"/>
        <v>0</v>
      </c>
      <c r="K565" s="125">
        <f t="shared" si="6376"/>
        <v>4</v>
      </c>
      <c r="L565" s="150"/>
      <c r="M565" s="151">
        <f>IFERROR(VLOOKUP($L565,'2-2 引出数据_合同数据仓库'!$B$2:$BP$1000,3,FALSE),0)</f>
        <v>0</v>
      </c>
      <c r="N565" s="125"/>
      <c r="O565" s="151">
        <f>IFERROR(VLOOKUP((LEFT(VLOOKUP($L565,'2-2 引出数据_合同数据仓库'!$B$2:$BP$1000,64,FALSE),15)&amp;(RIGHT(VLOOKUP($L565,'2-2 引出数据_合同数据仓库'!$B$2:$BP$1000,64,FALSE),4)+1)),'2-2 引出数据_合同数据仓库'!$B$2:$BP$1000,3,FALSE),0)</f>
        <v>0</v>
      </c>
      <c r="P565" s="125"/>
      <c r="Q565" s="125">
        <f>IFERROR(VLOOKUP($L565,'2-2 引出数据_合同数据仓库'!$B$2:$BP$1000,28,FALSE),0)</f>
        <v>0</v>
      </c>
      <c r="R565" s="125">
        <f>IFERROR(VLOOKUP($L565,'2-2 引出数据_合同数据仓库'!$B$2:$BP$1000,29,FALSE),0)</f>
        <v>0</v>
      </c>
      <c r="S565" s="125">
        <f>IFERROR(VLOOKUP($L565,'2-2 引出数据_合同数据仓库'!$B$2:$BP$1000,4,FALSE),0)</f>
        <v>0</v>
      </c>
      <c r="T565" s="125"/>
      <c r="U565" s="125">
        <f>IFERROR(VLOOKUP($L565,'2-2 引出数据_合同数据仓库'!$B$2:$BP$1000,15,FALSE),0)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customHeight="1" outlineLevel="4" spans="1:95">
      <c r="A566" s="126" t="s">
        <v>2821</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customHeight="1" outlineLevel="1" spans="1:95">
      <c r="A567" s="22"/>
      <c r="B567" s="112" t="s">
        <v>799</v>
      </c>
      <c r="C567" s="113" t="s">
        <v>2249</v>
      </c>
      <c r="D567" s="22" t="s">
        <v>2250</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引出数据_合同数据仓库'!$B$2:$BP$1000,3,FALSE),0)</f>
        <v>0</v>
      </c>
      <c r="N568" s="125"/>
      <c r="O568" s="151">
        <f>IFERROR(VLOOKUP((LEFT(VLOOKUP($L568,'2-2 引出数据_合同数据仓库'!$B$2:$BP$1000,64,FALSE),15)&amp;(RIGHT(VLOOKUP($L568,'2-2 引出数据_合同数据仓库'!$B$2:$BP$1000,64,FALSE),4)+1)),'2-2 引出数据_合同数据仓库'!$B$2:$BP$1000,3,FALSE),0)</f>
        <v>0</v>
      </c>
      <c r="P568" s="125"/>
      <c r="Q568" s="125">
        <f>IFERROR(VLOOKUP($L568,'2-2 引出数据_合同数据仓库'!$B$2:$BP$1000,28,FALSE),0)</f>
        <v>0</v>
      </c>
      <c r="R568" s="125">
        <f>IFERROR(VLOOKUP($L568,'2-2 引出数据_合同数据仓库'!$B$2:$BP$1000,29,FALSE),0)</f>
        <v>0</v>
      </c>
      <c r="S568" s="125">
        <f>IFERROR(VLOOKUP($L568,'2-2 引出数据_合同数据仓库'!$B$2:$BP$1000,4,FALSE),0)</f>
        <v>0</v>
      </c>
      <c r="T568" s="125"/>
      <c r="U568" s="125">
        <f>IFERROR(VLOOKUP($L568,'2-2 引出数据_合同数据仓库'!$B$2:$BP$1000,15,FALSE),0)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引出数据_合同数据仓库'!$B$2:$BP$1000,3,FALSE),0)</f>
        <v>0</v>
      </c>
      <c r="N569" s="125"/>
      <c r="O569" s="151">
        <f>IFERROR(VLOOKUP((LEFT(VLOOKUP($L569,'2-2 引出数据_合同数据仓库'!$B$2:$BP$1000,64,FALSE),15)&amp;(RIGHT(VLOOKUP($L569,'2-2 引出数据_合同数据仓库'!$B$2:$BP$1000,64,FALSE),4)+1)),'2-2 引出数据_合同数据仓库'!$B$2:$BP$1000,3,FALSE),0)</f>
        <v>0</v>
      </c>
      <c r="P569" s="125"/>
      <c r="Q569" s="125">
        <f>IFERROR(VLOOKUP($L569,'2-2 引出数据_合同数据仓库'!$B$2:$BP$1000,28,FALSE),0)</f>
        <v>0</v>
      </c>
      <c r="R569" s="125">
        <f>IFERROR(VLOOKUP($L569,'2-2 引出数据_合同数据仓库'!$B$2:$BP$1000,29,FALSE),0)</f>
        <v>0</v>
      </c>
      <c r="S569" s="125">
        <f>IFERROR(VLOOKUP($L569,'2-2 引出数据_合同数据仓库'!$B$2:$BP$1000,4,FALSE),0)</f>
        <v>0</v>
      </c>
      <c r="T569" s="125"/>
      <c r="U569" s="125">
        <f>IFERROR(VLOOKUP($L569,'2-2 引出数据_合同数据仓库'!$B$2:$BP$1000,15,FALSE),0)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引出数据_合同数据仓库'!$B$2:$BP$1000,3,FALSE),0)</f>
        <v>0</v>
      </c>
      <c r="N570" s="125"/>
      <c r="O570" s="151">
        <f>IFERROR(VLOOKUP((LEFT(VLOOKUP($L570,'2-2 引出数据_合同数据仓库'!$B$2:$BP$1000,64,FALSE),15)&amp;(RIGHT(VLOOKUP($L570,'2-2 引出数据_合同数据仓库'!$B$2:$BP$1000,64,FALSE),4)+1)),'2-2 引出数据_合同数据仓库'!$B$2:$BP$1000,3,FALSE),0)</f>
        <v>0</v>
      </c>
      <c r="P570" s="125"/>
      <c r="Q570" s="125">
        <f>IFERROR(VLOOKUP($L570,'2-2 引出数据_合同数据仓库'!$B$2:$BP$1000,28,FALSE),0)</f>
        <v>0</v>
      </c>
      <c r="R570" s="125">
        <f>IFERROR(VLOOKUP($L570,'2-2 引出数据_合同数据仓库'!$B$2:$BP$1000,29,FALSE),0)</f>
        <v>0</v>
      </c>
      <c r="S570" s="125">
        <f>IFERROR(VLOOKUP($L570,'2-2 引出数据_合同数据仓库'!$B$2:$BP$1000,4,FALSE),0)</f>
        <v>0</v>
      </c>
      <c r="T570" s="125"/>
      <c r="U570" s="125">
        <f>IFERROR(VLOOKUP($L570,'2-2 引出数据_合同数据仓库'!$B$2:$BP$1000,15,FALSE),0)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customHeight="1" outlineLevel="2" spans="1:95">
      <c r="A571" s="122"/>
      <c r="B571" s="123"/>
      <c r="C571" s="124"/>
      <c r="D571" s="122"/>
      <c r="E571" s="123"/>
      <c r="F571" s="123"/>
      <c r="G571" s="123"/>
      <c r="H571" s="125"/>
      <c r="I571" s="125"/>
      <c r="J571" s="125">
        <f t="shared" si="6007"/>
        <v>0</v>
      </c>
      <c r="K571" s="125">
        <f t="shared" si="6448"/>
        <v>4</v>
      </c>
      <c r="L571" s="150"/>
      <c r="M571" s="151">
        <f>IFERROR(VLOOKUP($L571,'2-2 引出数据_合同数据仓库'!$B$2:$BP$1000,3,FALSE),0)</f>
        <v>0</v>
      </c>
      <c r="N571" s="125"/>
      <c r="O571" s="151">
        <f>IFERROR(VLOOKUP((LEFT(VLOOKUP($L571,'2-2 引出数据_合同数据仓库'!$B$2:$BP$1000,64,FALSE),15)&amp;(RIGHT(VLOOKUP($L571,'2-2 引出数据_合同数据仓库'!$B$2:$BP$1000,64,FALSE),4)+1)),'2-2 引出数据_合同数据仓库'!$B$2:$BP$1000,3,FALSE),0)</f>
        <v>0</v>
      </c>
      <c r="P571" s="125"/>
      <c r="Q571" s="125">
        <f>IFERROR(VLOOKUP($L571,'2-2 引出数据_合同数据仓库'!$B$2:$BP$1000,28,FALSE),0)</f>
        <v>0</v>
      </c>
      <c r="R571" s="125">
        <f>IFERROR(VLOOKUP($L571,'2-2 引出数据_合同数据仓库'!$B$2:$BP$1000,29,FALSE),0)</f>
        <v>0</v>
      </c>
      <c r="S571" s="125">
        <f>IFERROR(VLOOKUP($L571,'2-2 引出数据_合同数据仓库'!$B$2:$BP$1000,4,FALSE),0)</f>
        <v>0</v>
      </c>
      <c r="T571" s="125"/>
      <c r="U571" s="125">
        <f>IFERROR(VLOOKUP($L571,'2-2 引出数据_合同数据仓库'!$B$2:$BP$1000,15,FALSE),0)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customHeight="1" outlineLevel="4" spans="1:95">
      <c r="A572" s="126" t="s">
        <v>2821</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customHeight="1" outlineLevel="1" spans="1:95">
      <c r="A573" s="22"/>
      <c r="B573" s="112" t="s">
        <v>799</v>
      </c>
      <c r="C573" s="113" t="s">
        <v>2263</v>
      </c>
      <c r="D573" s="22" t="s">
        <v>2264</v>
      </c>
      <c r="E573" s="112"/>
      <c r="F573" s="112"/>
      <c r="G573" s="112"/>
      <c r="H573" s="114">
        <f>X573+AA573+AD573+AG573+AJ573+AM573+AP573+AS573+AV573+AY573+BB573+BE573</f>
        <v>0</v>
      </c>
      <c r="I573" s="114">
        <f>Y573+AB573+AE573+AH573+AK573+AN573+AQ573+AT573+AW573+AZ573+BC573+BF573</f>
        <v>0</v>
      </c>
      <c r="J573" s="114">
        <f t="shared" si="6007"/>
        <v>0</v>
      </c>
      <c r="K573" s="114"/>
      <c r="L573" s="147"/>
      <c r="M573" s="147"/>
      <c r="N573" s="147"/>
      <c r="O573" s="147"/>
      <c r="P573" s="114"/>
      <c r="Q573" s="114"/>
      <c r="R573" s="114"/>
      <c r="S573" s="114"/>
      <c r="T573" s="114"/>
      <c r="U573" s="114"/>
      <c r="V573" s="114"/>
      <c r="W573" s="114"/>
      <c r="X573" s="114">
        <f>VLOOKUP($C573,'1 预算编制表单'!$C:$BJ,27,FALSE)</f>
        <v>0</v>
      </c>
      <c r="Y573" s="114">
        <f>X573-Z573</f>
        <v>0</v>
      </c>
      <c r="Z573" s="114">
        <f>SUM(Z574:Z578)</f>
        <v>0</v>
      </c>
      <c r="AA573" s="114">
        <f>VLOOKUP($C573,'1 预算编制表单'!$C:$BJ,30,FALSE)</f>
        <v>0</v>
      </c>
      <c r="AB573" s="114">
        <f>AA573-AC573</f>
        <v>0</v>
      </c>
      <c r="AC573" s="114">
        <f>SUM(AC574:AC578)</f>
        <v>0</v>
      </c>
      <c r="AD573" s="114">
        <f>VLOOKUP($C573,'1 预算编制表单'!$C:$BJ,33,FALSE)</f>
        <v>0</v>
      </c>
      <c r="AE573" s="114">
        <f>AD573-AF573</f>
        <v>0</v>
      </c>
      <c r="AF573" s="114">
        <f>SUM(AF574:AF578)</f>
        <v>0</v>
      </c>
      <c r="AG573" s="114">
        <f>VLOOKUP($C573,'1 预算编制表单'!$C:$BJ,36,FALSE)</f>
        <v>0</v>
      </c>
      <c r="AH573" s="114">
        <f>AG573-AI573</f>
        <v>0</v>
      </c>
      <c r="AI573" s="114">
        <f>SUM(AI574:AI578)</f>
        <v>0</v>
      </c>
      <c r="AJ573" s="114">
        <f>VLOOKUP($C573,'1 预算编制表单'!$C:$BJ,39,FALSE)</f>
        <v>0</v>
      </c>
      <c r="AK573" s="114">
        <f>AJ573-AL573</f>
        <v>0</v>
      </c>
      <c r="AL573" s="114">
        <f>SUM(AL574:AL578)</f>
        <v>0</v>
      </c>
      <c r="AM573" s="114">
        <f>VLOOKUP($C573,'1 预算编制表单'!$C:$BJ,42,FALSE)</f>
        <v>0</v>
      </c>
      <c r="AN573" s="114">
        <f>AM573-AO573</f>
        <v>0</v>
      </c>
      <c r="AO573" s="114">
        <f>SUM(AO574:AO578)</f>
        <v>0</v>
      </c>
      <c r="AP573" s="114">
        <f>VLOOKUP($C573,'1 预算编制表单'!$C:$BJ,45,FALSE)</f>
        <v>0</v>
      </c>
      <c r="AQ573" s="114">
        <f>AP573-AR573</f>
        <v>0</v>
      </c>
      <c r="AR573" s="114">
        <f>SUM(AR574:AR578)</f>
        <v>0</v>
      </c>
      <c r="AS573" s="114">
        <f>VLOOKUP($C573,'1 预算编制表单'!$C:$BJ,48,FALSE)</f>
        <v>0</v>
      </c>
      <c r="AT573" s="114">
        <f>AS573-AU573</f>
        <v>0</v>
      </c>
      <c r="AU573" s="114">
        <f>SUM(AU574:AU578)</f>
        <v>0</v>
      </c>
      <c r="AV573" s="114">
        <f>VLOOKUP($C573,'1 预算编制表单'!$C:$BJ,51,FALSE)</f>
        <v>0</v>
      </c>
      <c r="AW573" s="114">
        <f>AV573-AX573</f>
        <v>0</v>
      </c>
      <c r="AX573" s="114">
        <f>SUM(AX574:AX578)</f>
        <v>0</v>
      </c>
      <c r="AY573" s="114">
        <f>VLOOKUP($C573,'1 预算编制表单'!$C:$BJ,54,FALSE)</f>
        <v>0</v>
      </c>
      <c r="AZ573" s="114">
        <f>AY573-BA573</f>
        <v>0</v>
      </c>
      <c r="BA573" s="114">
        <f>SUM(BA574:BA578)</f>
        <v>0</v>
      </c>
      <c r="BB573" s="114">
        <f>VLOOKUP($C573,'1 预算编制表单'!$C:$BJ,57,FALSE)</f>
        <v>0</v>
      </c>
      <c r="BC573" s="114">
        <f>BB573-BD573</f>
        <v>0</v>
      </c>
      <c r="BD573" s="114">
        <f>SUM(BD574:BD578)</f>
        <v>0</v>
      </c>
      <c r="BE573" s="114">
        <f>VLOOKUP($C573,'1 预算编制表单'!$C:$BJ,60,FALSE)</f>
        <v>0</v>
      </c>
      <c r="BF573" s="114">
        <f>BE573-BG573</f>
        <v>0</v>
      </c>
      <c r="BG573" s="114">
        <f>SUM(BG574:BG578)</f>
        <v>0</v>
      </c>
      <c r="BH573" s="114">
        <f>VLOOKUP($C573,'1 预算编制表单'!$C:$BJ,27,FALSE)</f>
        <v>0</v>
      </c>
      <c r="BI573" s="114">
        <f>BH573-BJ573</f>
        <v>0</v>
      </c>
      <c r="BJ573" s="114">
        <f>SUM(BJ574:BJ578)</f>
        <v>0</v>
      </c>
      <c r="BK573" s="114">
        <f>VLOOKUP($C573,'1 预算编制表单'!$C:$BJ,30,FALSE)</f>
        <v>0</v>
      </c>
      <c r="BL573" s="114">
        <f>BK573-BM573</f>
        <v>0</v>
      </c>
      <c r="BM573" s="114">
        <f>SUM(BM574:BM578)</f>
        <v>0</v>
      </c>
      <c r="BN573" s="114">
        <f>VLOOKUP($C573,'1 预算编制表单'!$C:$BJ,33,FALSE)</f>
        <v>0</v>
      </c>
      <c r="BO573" s="114">
        <f>BN573-BP573</f>
        <v>0</v>
      </c>
      <c r="BP573" s="114">
        <f>SUM(BP574:BP578)</f>
        <v>0</v>
      </c>
      <c r="BQ573" s="114">
        <f>VLOOKUP($C573,'1 预算编制表单'!$C:$BJ,36,FALSE)</f>
        <v>0</v>
      </c>
      <c r="BR573" s="114">
        <f>BQ573-BS573</f>
        <v>0</v>
      </c>
      <c r="BS573" s="114">
        <f>SUM(BS574:BS578)</f>
        <v>0</v>
      </c>
      <c r="BT573" s="114">
        <f>VLOOKUP($C573,'1 预算编制表单'!$C:$BJ,39,FALSE)</f>
        <v>0</v>
      </c>
      <c r="BU573" s="114">
        <f>BT573-BV573</f>
        <v>0</v>
      </c>
      <c r="BV573" s="114">
        <f>SUM(BV574:BV578)</f>
        <v>0</v>
      </c>
      <c r="BW573" s="114">
        <f>VLOOKUP($C573,'1 预算编制表单'!$C:$BJ,42,FALSE)</f>
        <v>0</v>
      </c>
      <c r="BX573" s="114">
        <f>BW573-BY573</f>
        <v>0</v>
      </c>
      <c r="BY573" s="114">
        <f>SUM(BY574:BY578)</f>
        <v>0</v>
      </c>
      <c r="BZ573" s="114">
        <f>VLOOKUP($C573,'1 预算编制表单'!$C:$BJ,45,FALSE)</f>
        <v>0</v>
      </c>
      <c r="CA573" s="114">
        <f>BZ573-CB573</f>
        <v>0</v>
      </c>
      <c r="CB573" s="114">
        <f>SUM(CB574:CB578)</f>
        <v>0</v>
      </c>
      <c r="CC573" s="114">
        <f>VLOOKUP($C573,'1 预算编制表单'!$C:$BJ,48,FALSE)</f>
        <v>0</v>
      </c>
      <c r="CD573" s="114">
        <f>CC573-CE573</f>
        <v>0</v>
      </c>
      <c r="CE573" s="114">
        <f>SUM(CE574:CE578)</f>
        <v>0</v>
      </c>
      <c r="CF573" s="114">
        <f>VLOOKUP($C573,'1 预算编制表单'!$C:$BJ,51,FALSE)</f>
        <v>0</v>
      </c>
      <c r="CG573" s="114">
        <f>CF573-CH573</f>
        <v>0</v>
      </c>
      <c r="CH573" s="114">
        <f>SUM(CH574:CH578)</f>
        <v>0</v>
      </c>
      <c r="CI573" s="114">
        <f>VLOOKUP($C573,'1 预算编制表单'!$C:$BJ,54,FALSE)</f>
        <v>0</v>
      </c>
      <c r="CJ573" s="114">
        <f>CI573-CK573</f>
        <v>0</v>
      </c>
      <c r="CK573" s="114">
        <f>SUM(CK574:CK578)</f>
        <v>0</v>
      </c>
      <c r="CL573" s="114">
        <f>VLOOKUP($C573,'1 预算编制表单'!$C:$BJ,57,FALSE)</f>
        <v>0</v>
      </c>
      <c r="CM573" s="114">
        <f>CL573-CN573</f>
        <v>0</v>
      </c>
      <c r="CN573" s="114">
        <f>SUM(CN574:CN578)</f>
        <v>0</v>
      </c>
      <c r="CO573" s="114">
        <f>VLOOKUP($C573,'1 预算编制表单'!$C:$BJ,60,FALSE)</f>
        <v>0</v>
      </c>
      <c r="CP573" s="114">
        <f>CO573-CQ573</f>
        <v>0</v>
      </c>
      <c r="CQ573" s="114">
        <f>SUM(CQ574:CQ578)</f>
        <v>0</v>
      </c>
    </row>
    <row r="574" s="83" customFormat="1" ht="24" customHeight="1" outlineLevel="2" spans="1:95">
      <c r="A574" s="122"/>
      <c r="B574" s="123"/>
      <c r="C574" s="124"/>
      <c r="D574" s="122"/>
      <c r="E574" s="123"/>
      <c r="F574" s="123"/>
      <c r="G574" s="123"/>
      <c r="H574" s="125"/>
      <c r="I574" s="125"/>
      <c r="J574" s="125">
        <f t="shared" si="6007"/>
        <v>0</v>
      </c>
      <c r="K574" s="125">
        <v>1</v>
      </c>
      <c r="L574" s="150"/>
      <c r="M574" s="151">
        <f>IFERROR(VLOOKUP($L574,'2-2 引出数据_合同数据仓库'!$B$2:$BP$1000,3,FALSE),0)</f>
        <v>0</v>
      </c>
      <c r="N574" s="125"/>
      <c r="O574" s="151">
        <f>IFERROR(VLOOKUP((LEFT(VLOOKUP($L574,'2-2 引出数据_合同数据仓库'!$B$2:$BP$1000,64,FALSE),15)&amp;(RIGHT(VLOOKUP($L574,'2-2 引出数据_合同数据仓库'!$B$2:$BP$1000,64,FALSE),4)+1)),'2-2 引出数据_合同数据仓库'!$B$2:$BP$1000,3,FALSE),0)</f>
        <v>0</v>
      </c>
      <c r="P574" s="125"/>
      <c r="Q574" s="125">
        <f>IFERROR(VLOOKUP($L574,'2-2 引出数据_合同数据仓库'!$B$2:$BP$1000,28,FALSE),0)</f>
        <v>0</v>
      </c>
      <c r="R574" s="125">
        <f>IFERROR(VLOOKUP($L574,'2-2 引出数据_合同数据仓库'!$B$2:$BP$1000,29,FALSE),0)</f>
        <v>0</v>
      </c>
      <c r="S574" s="125">
        <f>IFERROR(VLOOKUP($L574,'2-2 引出数据_合同数据仓库'!$B$2:$BP$1000,4,FALSE),0)</f>
        <v>0</v>
      </c>
      <c r="T574" s="125"/>
      <c r="U574" s="125">
        <f>IFERROR(VLOOKUP($L574,'2-2 引出数据_合同数据仓库'!$B$2:$BP$1000,15,FALSE),0)</f>
        <v>0</v>
      </c>
      <c r="V574" s="125">
        <f t="shared" ref="V574:V577" si="6449">U574/(S574-R574+1)*365</f>
        <v>0</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0</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0</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0</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0</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0</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0</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0</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0</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0</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0</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0</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0</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0</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0</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0</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0</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0</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0</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0</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0</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0</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0</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0</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customHeight="1" outlineLevel="2" spans="1:95">
      <c r="A575" s="122"/>
      <c r="B575" s="123"/>
      <c r="C575" s="124"/>
      <c r="D575" s="122"/>
      <c r="E575" s="123"/>
      <c r="F575" s="123"/>
      <c r="G575" s="123"/>
      <c r="H575" s="125"/>
      <c r="I575" s="125"/>
      <c r="J575" s="125">
        <f t="shared" si="6007"/>
        <v>0</v>
      </c>
      <c r="K575" s="125">
        <f t="shared" ref="K575:K577" si="6520">K574+1</f>
        <v>2</v>
      </c>
      <c r="L575" s="150"/>
      <c r="M575" s="151">
        <f>IFERROR(VLOOKUP($L575,'2-2 引出数据_合同数据仓库'!$B$2:$BP$1000,3,FALSE),0)</f>
        <v>0</v>
      </c>
      <c r="N575" s="125"/>
      <c r="O575" s="151">
        <f>IFERROR(VLOOKUP((LEFT(VLOOKUP($L575,'2-2 引出数据_合同数据仓库'!$B$2:$BP$1000,64,FALSE),15)&amp;(RIGHT(VLOOKUP($L575,'2-2 引出数据_合同数据仓库'!$B$2:$BP$1000,64,FALSE),4)+1)),'2-2 引出数据_合同数据仓库'!$B$2:$BP$1000,3,FALSE),0)</f>
        <v>0</v>
      </c>
      <c r="P575" s="125"/>
      <c r="Q575" s="125">
        <f>IFERROR(VLOOKUP($L575,'2-2 引出数据_合同数据仓库'!$B$2:$BP$1000,28,FALSE),0)</f>
        <v>0</v>
      </c>
      <c r="R575" s="125">
        <f>IFERROR(VLOOKUP($L575,'2-2 引出数据_合同数据仓库'!$B$2:$BP$1000,29,FALSE),0)</f>
        <v>0</v>
      </c>
      <c r="S575" s="125">
        <f>IFERROR(VLOOKUP($L575,'2-2 引出数据_合同数据仓库'!$B$2:$BP$1000,4,FALSE),0)</f>
        <v>0</v>
      </c>
      <c r="T575" s="125"/>
      <c r="U575" s="125">
        <f>IFERROR(VLOOKUP($L575,'2-2 引出数据_合同数据仓库'!$B$2:$BP$1000,15,FALSE),0)</f>
        <v>0</v>
      </c>
      <c r="V575" s="125">
        <f t="shared" si="6449"/>
        <v>0</v>
      </c>
      <c r="W575" s="125"/>
      <c r="X575" s="157">
        <v>45658</v>
      </c>
      <c r="Y575" s="157">
        <f t="shared" si="6450"/>
        <v>45688</v>
      </c>
      <c r="Z575" s="161">
        <f t="shared" si="6451"/>
        <v>0</v>
      </c>
      <c r="AA575" s="157">
        <f t="shared" si="6452"/>
        <v>45689</v>
      </c>
      <c r="AB575" s="157">
        <f t="shared" si="6453"/>
        <v>45716</v>
      </c>
      <c r="AC575" s="161">
        <f t="shared" si="6454"/>
        <v>0</v>
      </c>
      <c r="AD575" s="157">
        <f t="shared" si="6455"/>
        <v>45717</v>
      </c>
      <c r="AE575" s="157">
        <f t="shared" si="6456"/>
        <v>45747</v>
      </c>
      <c r="AF575" s="161">
        <f t="shared" si="6457"/>
        <v>0</v>
      </c>
      <c r="AG575" s="157">
        <f t="shared" si="6458"/>
        <v>45748</v>
      </c>
      <c r="AH575" s="157">
        <f t="shared" si="6459"/>
        <v>45777</v>
      </c>
      <c r="AI575" s="161">
        <f t="shared" si="6460"/>
        <v>0</v>
      </c>
      <c r="AJ575" s="157">
        <f t="shared" si="6461"/>
        <v>45778</v>
      </c>
      <c r="AK575" s="157">
        <f t="shared" si="6462"/>
        <v>45808</v>
      </c>
      <c r="AL575" s="161">
        <f t="shared" si="6463"/>
        <v>0</v>
      </c>
      <c r="AM575" s="157">
        <f t="shared" si="6464"/>
        <v>45809</v>
      </c>
      <c r="AN575" s="157">
        <f t="shared" si="6465"/>
        <v>45838</v>
      </c>
      <c r="AO575" s="161">
        <f t="shared" si="6466"/>
        <v>0</v>
      </c>
      <c r="AP575" s="157">
        <f t="shared" si="6467"/>
        <v>45839</v>
      </c>
      <c r="AQ575" s="157">
        <f t="shared" si="6468"/>
        <v>45869</v>
      </c>
      <c r="AR575" s="161">
        <f t="shared" si="6469"/>
        <v>0</v>
      </c>
      <c r="AS575" s="157">
        <f t="shared" si="6470"/>
        <v>45870</v>
      </c>
      <c r="AT575" s="157">
        <f t="shared" si="6471"/>
        <v>45900</v>
      </c>
      <c r="AU575" s="161">
        <f t="shared" si="6472"/>
        <v>0</v>
      </c>
      <c r="AV575" s="157">
        <f t="shared" si="6473"/>
        <v>45901</v>
      </c>
      <c r="AW575" s="157">
        <f t="shared" si="6474"/>
        <v>45930</v>
      </c>
      <c r="AX575" s="161">
        <f t="shared" si="6475"/>
        <v>0</v>
      </c>
      <c r="AY575" s="157">
        <f t="shared" si="6476"/>
        <v>45931</v>
      </c>
      <c r="AZ575" s="157">
        <f t="shared" si="6477"/>
        <v>45961</v>
      </c>
      <c r="BA575" s="161">
        <f t="shared" si="6478"/>
        <v>0</v>
      </c>
      <c r="BB575" s="157">
        <f t="shared" si="6479"/>
        <v>45962</v>
      </c>
      <c r="BC575" s="157">
        <f t="shared" si="6480"/>
        <v>45991</v>
      </c>
      <c r="BD575" s="161">
        <f t="shared" si="6481"/>
        <v>0</v>
      </c>
      <c r="BE575" s="157">
        <f t="shared" si="6482"/>
        <v>45992</v>
      </c>
      <c r="BF575" s="157">
        <f t="shared" si="6483"/>
        <v>46022</v>
      </c>
      <c r="BG575" s="161">
        <f t="shared" si="6484"/>
        <v>0</v>
      </c>
      <c r="BH575" s="157">
        <v>46023</v>
      </c>
      <c r="BI575" s="157">
        <f t="shared" si="6485"/>
        <v>46053</v>
      </c>
      <c r="BJ575" s="161">
        <f t="shared" si="6486"/>
        <v>0</v>
      </c>
      <c r="BK575" s="157">
        <f t="shared" si="6487"/>
        <v>46054</v>
      </c>
      <c r="BL575" s="157">
        <f t="shared" si="6488"/>
        <v>46081</v>
      </c>
      <c r="BM575" s="161">
        <f t="shared" si="6489"/>
        <v>0</v>
      </c>
      <c r="BN575" s="157">
        <f t="shared" si="6490"/>
        <v>46082</v>
      </c>
      <c r="BO575" s="157">
        <f t="shared" si="6491"/>
        <v>46112</v>
      </c>
      <c r="BP575" s="161">
        <f t="shared" si="6492"/>
        <v>0</v>
      </c>
      <c r="BQ575" s="157">
        <f t="shared" si="6493"/>
        <v>46113</v>
      </c>
      <c r="BR575" s="157">
        <f t="shared" si="6494"/>
        <v>46142</v>
      </c>
      <c r="BS575" s="161">
        <f t="shared" si="6495"/>
        <v>0</v>
      </c>
      <c r="BT575" s="157">
        <f t="shared" si="6496"/>
        <v>46143</v>
      </c>
      <c r="BU575" s="157">
        <f t="shared" si="6497"/>
        <v>46173</v>
      </c>
      <c r="BV575" s="161">
        <f t="shared" si="6498"/>
        <v>0</v>
      </c>
      <c r="BW575" s="157">
        <f t="shared" si="6499"/>
        <v>46174</v>
      </c>
      <c r="BX575" s="157">
        <f t="shared" si="6500"/>
        <v>46203</v>
      </c>
      <c r="BY575" s="161">
        <f t="shared" si="6501"/>
        <v>0</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customHeight="1" outlineLevel="2" spans="1:95">
      <c r="A576" s="122"/>
      <c r="B576" s="123"/>
      <c r="C576" s="124"/>
      <c r="D576" s="122"/>
      <c r="E576" s="123"/>
      <c r="F576" s="123"/>
      <c r="G576" s="123"/>
      <c r="H576" s="125"/>
      <c r="I576" s="125"/>
      <c r="J576" s="125">
        <f t="shared" si="6007"/>
        <v>0</v>
      </c>
      <c r="K576" s="125">
        <f t="shared" si="6520"/>
        <v>3</v>
      </c>
      <c r="L576" s="150"/>
      <c r="M576" s="151">
        <f>IFERROR(VLOOKUP($L576,'2-2 引出数据_合同数据仓库'!$B$2:$BP$1000,3,FALSE),0)</f>
        <v>0</v>
      </c>
      <c r="N576" s="125"/>
      <c r="O576" s="151">
        <f>IFERROR(VLOOKUP((LEFT(VLOOKUP($L576,'2-2 引出数据_合同数据仓库'!$B$2:$BP$1000,64,FALSE),15)&amp;(RIGHT(VLOOKUP($L576,'2-2 引出数据_合同数据仓库'!$B$2:$BP$1000,64,FALSE),4)+1)),'2-2 引出数据_合同数据仓库'!$B$2:$BP$1000,3,FALSE),0)</f>
        <v>0</v>
      </c>
      <c r="P576" s="125"/>
      <c r="Q576" s="125">
        <f>IFERROR(VLOOKUP($L576,'2-2 引出数据_合同数据仓库'!$B$2:$BP$1000,28,FALSE),0)</f>
        <v>0</v>
      </c>
      <c r="R576" s="125">
        <f>IFERROR(VLOOKUP($L576,'2-2 引出数据_合同数据仓库'!$B$2:$BP$1000,29,FALSE),0)</f>
        <v>0</v>
      </c>
      <c r="S576" s="125">
        <f>IFERROR(VLOOKUP($L576,'2-2 引出数据_合同数据仓库'!$B$2:$BP$1000,4,FALSE),0)</f>
        <v>0</v>
      </c>
      <c r="T576" s="125"/>
      <c r="U576" s="125">
        <f>IFERROR(VLOOKUP($L576,'2-2 引出数据_合同数据仓库'!$B$2:$BP$1000,15,FALSE),0)</f>
        <v>0</v>
      </c>
      <c r="V576" s="125">
        <f t="shared" si="6449"/>
        <v>0</v>
      </c>
      <c r="W576" s="125"/>
      <c r="X576" s="157">
        <v>45658</v>
      </c>
      <c r="Y576" s="157">
        <f t="shared" si="6450"/>
        <v>45688</v>
      </c>
      <c r="Z576" s="161">
        <f t="shared" si="6451"/>
        <v>0</v>
      </c>
      <c r="AA576" s="157">
        <f t="shared" si="6452"/>
        <v>45689</v>
      </c>
      <c r="AB576" s="157">
        <f t="shared" si="6453"/>
        <v>45716</v>
      </c>
      <c r="AC576" s="161">
        <f t="shared" si="6454"/>
        <v>0</v>
      </c>
      <c r="AD576" s="157">
        <f t="shared" si="6455"/>
        <v>45717</v>
      </c>
      <c r="AE576" s="157">
        <f t="shared" si="6456"/>
        <v>45747</v>
      </c>
      <c r="AF576" s="161">
        <f t="shared" si="6457"/>
        <v>0</v>
      </c>
      <c r="AG576" s="157">
        <f t="shared" si="6458"/>
        <v>45748</v>
      </c>
      <c r="AH576" s="157">
        <f t="shared" si="6459"/>
        <v>45777</v>
      </c>
      <c r="AI576" s="161">
        <f t="shared" si="6460"/>
        <v>0</v>
      </c>
      <c r="AJ576" s="157">
        <f t="shared" si="6461"/>
        <v>45778</v>
      </c>
      <c r="AK576" s="157">
        <f t="shared" si="6462"/>
        <v>45808</v>
      </c>
      <c r="AL576" s="161">
        <f t="shared" si="6463"/>
        <v>0</v>
      </c>
      <c r="AM576" s="157">
        <f t="shared" si="6464"/>
        <v>45809</v>
      </c>
      <c r="AN576" s="157">
        <f t="shared" si="6465"/>
        <v>45838</v>
      </c>
      <c r="AO576" s="161">
        <f t="shared" si="6466"/>
        <v>0</v>
      </c>
      <c r="AP576" s="157">
        <f t="shared" si="6467"/>
        <v>45839</v>
      </c>
      <c r="AQ576" s="157">
        <f t="shared" si="6468"/>
        <v>45869</v>
      </c>
      <c r="AR576" s="161">
        <f t="shared" si="6469"/>
        <v>0</v>
      </c>
      <c r="AS576" s="157">
        <f t="shared" si="6470"/>
        <v>45870</v>
      </c>
      <c r="AT576" s="157">
        <f t="shared" si="6471"/>
        <v>45900</v>
      </c>
      <c r="AU576" s="161">
        <f t="shared" si="6472"/>
        <v>0</v>
      </c>
      <c r="AV576" s="157">
        <f t="shared" si="6473"/>
        <v>45901</v>
      </c>
      <c r="AW576" s="157">
        <f t="shared" si="6474"/>
        <v>45930</v>
      </c>
      <c r="AX576" s="161">
        <f t="shared" si="6475"/>
        <v>0</v>
      </c>
      <c r="AY576" s="157">
        <f t="shared" si="6476"/>
        <v>45931</v>
      </c>
      <c r="AZ576" s="157">
        <f t="shared" si="6477"/>
        <v>45961</v>
      </c>
      <c r="BA576" s="161">
        <f t="shared" si="6478"/>
        <v>0</v>
      </c>
      <c r="BB576" s="157">
        <f t="shared" si="6479"/>
        <v>45962</v>
      </c>
      <c r="BC576" s="157">
        <f t="shared" si="6480"/>
        <v>45991</v>
      </c>
      <c r="BD576" s="161">
        <f t="shared" si="6481"/>
        <v>0</v>
      </c>
      <c r="BE576" s="157">
        <f t="shared" si="6482"/>
        <v>45992</v>
      </c>
      <c r="BF576" s="157">
        <f t="shared" si="6483"/>
        <v>46022</v>
      </c>
      <c r="BG576" s="161">
        <f t="shared" si="6484"/>
        <v>0</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customHeight="1" outlineLevel="2" spans="1:95">
      <c r="A577" s="122"/>
      <c r="B577" s="123"/>
      <c r="C577" s="124"/>
      <c r="D577" s="122"/>
      <c r="E577" s="123"/>
      <c r="F577" s="123"/>
      <c r="G577" s="123"/>
      <c r="H577" s="125"/>
      <c r="I577" s="125"/>
      <c r="J577" s="125">
        <f t="shared" si="6007"/>
        <v>0</v>
      </c>
      <c r="K577" s="125">
        <f t="shared" si="6520"/>
        <v>4</v>
      </c>
      <c r="L577" s="150"/>
      <c r="M577" s="151">
        <f>IFERROR(VLOOKUP($L577,'2-2 引出数据_合同数据仓库'!$B$2:$BP$1000,3,FALSE),0)</f>
        <v>0</v>
      </c>
      <c r="N577" s="125"/>
      <c r="O577" s="151">
        <f>IFERROR(VLOOKUP((LEFT(VLOOKUP($L577,'2-2 引出数据_合同数据仓库'!$B$2:$BP$1000,64,FALSE),15)&amp;(RIGHT(VLOOKUP($L577,'2-2 引出数据_合同数据仓库'!$B$2:$BP$1000,64,FALSE),4)+1)),'2-2 引出数据_合同数据仓库'!$B$2:$BP$1000,3,FALSE),0)</f>
        <v>0</v>
      </c>
      <c r="P577" s="125"/>
      <c r="Q577" s="125">
        <f>IFERROR(VLOOKUP($L577,'2-2 引出数据_合同数据仓库'!$B$2:$BP$1000,28,FALSE),0)</f>
        <v>0</v>
      </c>
      <c r="R577" s="125">
        <f>IFERROR(VLOOKUP($L577,'2-2 引出数据_合同数据仓库'!$B$2:$BP$1000,29,FALSE),0)</f>
        <v>0</v>
      </c>
      <c r="S577" s="125">
        <f>IFERROR(VLOOKUP($L577,'2-2 引出数据_合同数据仓库'!$B$2:$BP$1000,4,FALSE),0)</f>
        <v>0</v>
      </c>
      <c r="T577" s="125"/>
      <c r="U577" s="125">
        <f>IFERROR(VLOOKUP($L577,'2-2 引出数据_合同数据仓库'!$B$2:$BP$1000,15,FALSE),0)</f>
        <v>0</v>
      </c>
      <c r="V577" s="125">
        <f t="shared" si="6449"/>
        <v>0</v>
      </c>
      <c r="W577" s="125"/>
      <c r="X577" s="157">
        <v>45658</v>
      </c>
      <c r="Y577" s="157">
        <f t="shared" si="6450"/>
        <v>45688</v>
      </c>
      <c r="Z577" s="161">
        <f t="shared" si="6451"/>
        <v>0</v>
      </c>
      <c r="AA577" s="157">
        <f t="shared" si="6452"/>
        <v>45689</v>
      </c>
      <c r="AB577" s="157">
        <f t="shared" si="6453"/>
        <v>45716</v>
      </c>
      <c r="AC577" s="161">
        <f t="shared" si="6454"/>
        <v>0</v>
      </c>
      <c r="AD577" s="157">
        <f t="shared" si="6455"/>
        <v>45717</v>
      </c>
      <c r="AE577" s="157">
        <f t="shared" si="6456"/>
        <v>45747</v>
      </c>
      <c r="AF577" s="161">
        <f t="shared" si="6457"/>
        <v>0</v>
      </c>
      <c r="AG577" s="157">
        <f t="shared" si="6458"/>
        <v>45748</v>
      </c>
      <c r="AH577" s="157">
        <f t="shared" si="6459"/>
        <v>45777</v>
      </c>
      <c r="AI577" s="161">
        <f t="shared" si="6460"/>
        <v>0</v>
      </c>
      <c r="AJ577" s="157">
        <f t="shared" si="6461"/>
        <v>45778</v>
      </c>
      <c r="AK577" s="157">
        <f t="shared" si="6462"/>
        <v>45808</v>
      </c>
      <c r="AL577" s="161">
        <f t="shared" si="6463"/>
        <v>0</v>
      </c>
      <c r="AM577" s="157">
        <f t="shared" si="6464"/>
        <v>45809</v>
      </c>
      <c r="AN577" s="157">
        <f t="shared" si="6465"/>
        <v>45838</v>
      </c>
      <c r="AO577" s="161">
        <f t="shared" si="6466"/>
        <v>0</v>
      </c>
      <c r="AP577" s="157">
        <f t="shared" si="6467"/>
        <v>45839</v>
      </c>
      <c r="AQ577" s="157">
        <f t="shared" si="6468"/>
        <v>45869</v>
      </c>
      <c r="AR577" s="161">
        <f t="shared" si="6469"/>
        <v>0</v>
      </c>
      <c r="AS577" s="157">
        <f t="shared" si="6470"/>
        <v>45870</v>
      </c>
      <c r="AT577" s="157">
        <f t="shared" si="6471"/>
        <v>45900</v>
      </c>
      <c r="AU577" s="161">
        <f t="shared" si="6472"/>
        <v>0</v>
      </c>
      <c r="AV577" s="157">
        <f t="shared" si="6473"/>
        <v>45901</v>
      </c>
      <c r="AW577" s="157">
        <f t="shared" si="6474"/>
        <v>45930</v>
      </c>
      <c r="AX577" s="161">
        <f t="shared" si="6475"/>
        <v>0</v>
      </c>
      <c r="AY577" s="157">
        <f t="shared" si="6476"/>
        <v>45931</v>
      </c>
      <c r="AZ577" s="157">
        <f t="shared" si="6477"/>
        <v>45961</v>
      </c>
      <c r="BA577" s="161">
        <f t="shared" si="6478"/>
        <v>0</v>
      </c>
      <c r="BB577" s="157">
        <f t="shared" si="6479"/>
        <v>45962</v>
      </c>
      <c r="BC577" s="157">
        <f t="shared" si="6480"/>
        <v>45991</v>
      </c>
      <c r="BD577" s="161">
        <f t="shared" si="6481"/>
        <v>0</v>
      </c>
      <c r="BE577" s="157">
        <f t="shared" si="6482"/>
        <v>45992</v>
      </c>
      <c r="BF577" s="157">
        <f t="shared" si="6483"/>
        <v>46022</v>
      </c>
      <c r="BG577" s="161">
        <f t="shared" si="6484"/>
        <v>0</v>
      </c>
      <c r="BH577" s="157">
        <v>46023</v>
      </c>
      <c r="BI577" s="157">
        <f t="shared" si="6485"/>
        <v>46053</v>
      </c>
      <c r="BJ577" s="161">
        <f t="shared" si="6486"/>
        <v>0</v>
      </c>
      <c r="BK577" s="157">
        <f t="shared" si="6487"/>
        <v>46054</v>
      </c>
      <c r="BL577" s="157">
        <f t="shared" si="6488"/>
        <v>46081</v>
      </c>
      <c r="BM577" s="161">
        <f t="shared" si="6489"/>
        <v>0</v>
      </c>
      <c r="BN577" s="157">
        <f t="shared" si="6490"/>
        <v>46082</v>
      </c>
      <c r="BO577" s="157">
        <f t="shared" si="6491"/>
        <v>46112</v>
      </c>
      <c r="BP577" s="161">
        <f t="shared" si="6492"/>
        <v>0</v>
      </c>
      <c r="BQ577" s="157">
        <f t="shared" si="6493"/>
        <v>46113</v>
      </c>
      <c r="BR577" s="157">
        <f t="shared" si="6494"/>
        <v>46142</v>
      </c>
      <c r="BS577" s="161">
        <f t="shared" si="6495"/>
        <v>0</v>
      </c>
      <c r="BT577" s="157">
        <f t="shared" si="6496"/>
        <v>46143</v>
      </c>
      <c r="BU577" s="157">
        <f t="shared" si="6497"/>
        <v>46173</v>
      </c>
      <c r="BV577" s="161">
        <f t="shared" si="6498"/>
        <v>0</v>
      </c>
      <c r="BW577" s="157">
        <f t="shared" si="6499"/>
        <v>46174</v>
      </c>
      <c r="BX577" s="157">
        <f t="shared" si="6500"/>
        <v>46203</v>
      </c>
      <c r="BY577" s="161">
        <f t="shared" si="6501"/>
        <v>0</v>
      </c>
      <c r="BZ577" s="157">
        <f t="shared" si="6502"/>
        <v>46204</v>
      </c>
      <c r="CA577" s="157">
        <f t="shared" si="6503"/>
        <v>46234</v>
      </c>
      <c r="CB577" s="161">
        <f t="shared" si="6504"/>
        <v>0</v>
      </c>
      <c r="CC577" s="157">
        <f t="shared" si="6505"/>
        <v>46235</v>
      </c>
      <c r="CD577" s="157">
        <f t="shared" si="6506"/>
        <v>46265</v>
      </c>
      <c r="CE577" s="161">
        <f t="shared" si="6507"/>
        <v>0</v>
      </c>
      <c r="CF577" s="157">
        <f t="shared" si="6508"/>
        <v>46266</v>
      </c>
      <c r="CG577" s="157">
        <f t="shared" si="6509"/>
        <v>46295</v>
      </c>
      <c r="CH577" s="161">
        <f t="shared" si="6510"/>
        <v>0</v>
      </c>
      <c r="CI577" s="157">
        <f t="shared" si="6511"/>
        <v>46296</v>
      </c>
      <c r="CJ577" s="157">
        <f t="shared" si="6512"/>
        <v>46326</v>
      </c>
      <c r="CK577" s="161">
        <f t="shared" si="6513"/>
        <v>0</v>
      </c>
      <c r="CL577" s="157">
        <f t="shared" si="6514"/>
        <v>46327</v>
      </c>
      <c r="CM577" s="157">
        <f t="shared" si="6515"/>
        <v>46356</v>
      </c>
      <c r="CN577" s="161">
        <f t="shared" si="6516"/>
        <v>0</v>
      </c>
      <c r="CO577" s="157">
        <f t="shared" si="6517"/>
        <v>46357</v>
      </c>
      <c r="CP577" s="157">
        <f t="shared" si="6518"/>
        <v>46387</v>
      </c>
      <c r="CQ577" s="161">
        <f t="shared" si="6519"/>
        <v>0</v>
      </c>
    </row>
    <row r="578" s="83" customFormat="1" ht="24" customHeight="1" outlineLevel="4" spans="1:95">
      <c r="A578" s="126" t="s">
        <v>2821</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customHeight="1" outlineLevel="1" spans="1:95">
      <c r="A579" s="22"/>
      <c r="B579" s="112" t="s">
        <v>799</v>
      </c>
      <c r="C579" s="113" t="s">
        <v>2281</v>
      </c>
      <c r="D579" s="22" t="s">
        <v>2282</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引出数据_合同数据仓库'!$B$2:$BP$1000,3,FALSE),0)</f>
        <v>0</v>
      </c>
      <c r="N580" s="125"/>
      <c r="O580" s="151">
        <f>IFERROR(VLOOKUP((LEFT(VLOOKUP($L580,'2-2 引出数据_合同数据仓库'!$B$2:$BP$1000,64,FALSE),15)&amp;(RIGHT(VLOOKUP($L580,'2-2 引出数据_合同数据仓库'!$B$2:$BP$1000,64,FALSE),4)+1)),'2-2 引出数据_合同数据仓库'!$B$2:$BP$1000,3,FALSE),0)</f>
        <v>0</v>
      </c>
      <c r="P580" s="125"/>
      <c r="Q580" s="125">
        <f>IFERROR(VLOOKUP($L580,'2-2 引出数据_合同数据仓库'!$B$2:$BP$1000,28,FALSE),0)</f>
        <v>0</v>
      </c>
      <c r="R580" s="125">
        <f>IFERROR(VLOOKUP($L580,'2-2 引出数据_合同数据仓库'!$B$2:$BP$1000,29,FALSE),0)</f>
        <v>0</v>
      </c>
      <c r="S580" s="125">
        <f>IFERROR(VLOOKUP($L580,'2-2 引出数据_合同数据仓库'!$B$2:$BP$1000,4,FALSE),0)</f>
        <v>0</v>
      </c>
      <c r="T580" s="125"/>
      <c r="U580" s="125">
        <f>IFERROR(VLOOKUP($L580,'2-2 引出数据_合同数据仓库'!$B$2:$BP$1000,15,FALSE),0)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引出数据_合同数据仓库'!$B$2:$BP$1000,3,FALSE),0)</f>
        <v>0</v>
      </c>
      <c r="N581" s="125"/>
      <c r="O581" s="151">
        <f>IFERROR(VLOOKUP((LEFT(VLOOKUP($L581,'2-2 引出数据_合同数据仓库'!$B$2:$BP$1000,64,FALSE),15)&amp;(RIGHT(VLOOKUP($L581,'2-2 引出数据_合同数据仓库'!$B$2:$BP$1000,64,FALSE),4)+1)),'2-2 引出数据_合同数据仓库'!$B$2:$BP$1000,3,FALSE),0)</f>
        <v>0</v>
      </c>
      <c r="P581" s="125"/>
      <c r="Q581" s="125">
        <f>IFERROR(VLOOKUP($L581,'2-2 引出数据_合同数据仓库'!$B$2:$BP$1000,28,FALSE),0)</f>
        <v>0</v>
      </c>
      <c r="R581" s="125">
        <f>IFERROR(VLOOKUP($L581,'2-2 引出数据_合同数据仓库'!$B$2:$BP$1000,29,FALSE),0)</f>
        <v>0</v>
      </c>
      <c r="S581" s="125">
        <f>IFERROR(VLOOKUP($L581,'2-2 引出数据_合同数据仓库'!$B$2:$BP$1000,4,FALSE),0)</f>
        <v>0</v>
      </c>
      <c r="T581" s="125"/>
      <c r="U581" s="125">
        <f>IFERROR(VLOOKUP($L581,'2-2 引出数据_合同数据仓库'!$B$2:$BP$1000,15,FALSE),0)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引出数据_合同数据仓库'!$B$2:$BP$1000,3,FALSE),0)</f>
        <v>0</v>
      </c>
      <c r="N582" s="125"/>
      <c r="O582" s="151">
        <f>IFERROR(VLOOKUP((LEFT(VLOOKUP($L582,'2-2 引出数据_合同数据仓库'!$B$2:$BP$1000,64,FALSE),15)&amp;(RIGHT(VLOOKUP($L582,'2-2 引出数据_合同数据仓库'!$B$2:$BP$1000,64,FALSE),4)+1)),'2-2 引出数据_合同数据仓库'!$B$2:$BP$1000,3,FALSE),0)</f>
        <v>0</v>
      </c>
      <c r="P582" s="125"/>
      <c r="Q582" s="125">
        <f>IFERROR(VLOOKUP($L582,'2-2 引出数据_合同数据仓库'!$B$2:$BP$1000,28,FALSE),0)</f>
        <v>0</v>
      </c>
      <c r="R582" s="125">
        <f>IFERROR(VLOOKUP($L582,'2-2 引出数据_合同数据仓库'!$B$2:$BP$1000,29,FALSE),0)</f>
        <v>0</v>
      </c>
      <c r="S582" s="125">
        <f>IFERROR(VLOOKUP($L582,'2-2 引出数据_合同数据仓库'!$B$2:$BP$1000,4,FALSE),0)</f>
        <v>0</v>
      </c>
      <c r="T582" s="125"/>
      <c r="U582" s="125">
        <f>IFERROR(VLOOKUP($L582,'2-2 引出数据_合同数据仓库'!$B$2:$BP$1000,15,FALSE),0)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customHeight="1" outlineLevel="2" spans="1:95">
      <c r="A583" s="122"/>
      <c r="B583" s="123"/>
      <c r="C583" s="124"/>
      <c r="D583" s="122"/>
      <c r="E583" s="123"/>
      <c r="F583" s="123"/>
      <c r="G583" s="123"/>
      <c r="H583" s="125"/>
      <c r="I583" s="125"/>
      <c r="J583" s="125">
        <f t="shared" si="6007"/>
        <v>0</v>
      </c>
      <c r="K583" s="125">
        <f t="shared" si="6592"/>
        <v>4</v>
      </c>
      <c r="L583" s="150"/>
      <c r="M583" s="151">
        <f>IFERROR(VLOOKUP($L583,'2-2 引出数据_合同数据仓库'!$B$2:$BP$1000,3,FALSE),0)</f>
        <v>0</v>
      </c>
      <c r="N583" s="125"/>
      <c r="O583" s="151">
        <f>IFERROR(VLOOKUP((LEFT(VLOOKUP($L583,'2-2 引出数据_合同数据仓库'!$B$2:$BP$1000,64,FALSE),15)&amp;(RIGHT(VLOOKUP($L583,'2-2 引出数据_合同数据仓库'!$B$2:$BP$1000,64,FALSE),4)+1)),'2-2 引出数据_合同数据仓库'!$B$2:$BP$1000,3,FALSE),0)</f>
        <v>0</v>
      </c>
      <c r="P583" s="125"/>
      <c r="Q583" s="125">
        <f>IFERROR(VLOOKUP($L583,'2-2 引出数据_合同数据仓库'!$B$2:$BP$1000,28,FALSE),0)</f>
        <v>0</v>
      </c>
      <c r="R583" s="125">
        <f>IFERROR(VLOOKUP($L583,'2-2 引出数据_合同数据仓库'!$B$2:$BP$1000,29,FALSE),0)</f>
        <v>0</v>
      </c>
      <c r="S583" s="125">
        <f>IFERROR(VLOOKUP($L583,'2-2 引出数据_合同数据仓库'!$B$2:$BP$1000,4,FALSE),0)</f>
        <v>0</v>
      </c>
      <c r="T583" s="125"/>
      <c r="U583" s="125">
        <f>IFERROR(VLOOKUP($L583,'2-2 引出数据_合同数据仓库'!$B$2:$BP$1000,15,FALSE),0)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customHeight="1" outlineLevel="4" spans="1:95">
      <c r="A584" s="126" t="s">
        <v>2821</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customHeight="1" outlineLevel="1" spans="1:95">
      <c r="A585" s="22"/>
      <c r="B585" s="112" t="s">
        <v>799</v>
      </c>
      <c r="C585" s="113" t="s">
        <v>2287</v>
      </c>
      <c r="D585" s="22" t="s">
        <v>2288</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引出数据_合同数据仓库'!$B$2:$BP$1000,3,FALSE),0)</f>
        <v>0</v>
      </c>
      <c r="N586" s="125"/>
      <c r="O586" s="151">
        <f>IFERROR(VLOOKUP((LEFT(VLOOKUP($L586,'2-2 引出数据_合同数据仓库'!$B$2:$BP$1000,64,FALSE),15)&amp;(RIGHT(VLOOKUP($L586,'2-2 引出数据_合同数据仓库'!$B$2:$BP$1000,64,FALSE),4)+1)),'2-2 引出数据_合同数据仓库'!$B$2:$BP$1000,3,FALSE),0)</f>
        <v>0</v>
      </c>
      <c r="P586" s="125"/>
      <c r="Q586" s="125">
        <f>IFERROR(VLOOKUP($L586,'2-2 引出数据_合同数据仓库'!$B$2:$BP$1000,28,FALSE),0)</f>
        <v>0</v>
      </c>
      <c r="R586" s="125">
        <f>IFERROR(VLOOKUP($L586,'2-2 引出数据_合同数据仓库'!$B$2:$BP$1000,29,FALSE),0)</f>
        <v>0</v>
      </c>
      <c r="S586" s="125">
        <f>IFERROR(VLOOKUP($L586,'2-2 引出数据_合同数据仓库'!$B$2:$BP$1000,4,FALSE),0)</f>
        <v>0</v>
      </c>
      <c r="T586" s="125"/>
      <c r="U586" s="125">
        <f>IFERROR(VLOOKUP($L586,'2-2 引出数据_合同数据仓库'!$B$2:$BP$1000,15,FALSE),0)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引出数据_合同数据仓库'!$B$2:$BP$1000,3,FALSE),0)</f>
        <v>0</v>
      </c>
      <c r="N587" s="125"/>
      <c r="O587" s="151">
        <f>IFERROR(VLOOKUP((LEFT(VLOOKUP($L587,'2-2 引出数据_合同数据仓库'!$B$2:$BP$1000,64,FALSE),15)&amp;(RIGHT(VLOOKUP($L587,'2-2 引出数据_合同数据仓库'!$B$2:$BP$1000,64,FALSE),4)+1)),'2-2 引出数据_合同数据仓库'!$B$2:$BP$1000,3,FALSE),0)</f>
        <v>0</v>
      </c>
      <c r="P587" s="125"/>
      <c r="Q587" s="125">
        <f>IFERROR(VLOOKUP($L587,'2-2 引出数据_合同数据仓库'!$B$2:$BP$1000,28,FALSE),0)</f>
        <v>0</v>
      </c>
      <c r="R587" s="125">
        <f>IFERROR(VLOOKUP($L587,'2-2 引出数据_合同数据仓库'!$B$2:$BP$1000,29,FALSE),0)</f>
        <v>0</v>
      </c>
      <c r="S587" s="125">
        <f>IFERROR(VLOOKUP($L587,'2-2 引出数据_合同数据仓库'!$B$2:$BP$1000,4,FALSE),0)</f>
        <v>0</v>
      </c>
      <c r="T587" s="125"/>
      <c r="U587" s="125">
        <f>IFERROR(VLOOKUP($L587,'2-2 引出数据_合同数据仓库'!$B$2:$BP$1000,15,FALSE),0)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引出数据_合同数据仓库'!$B$2:$BP$1000,3,FALSE),0)</f>
        <v>0</v>
      </c>
      <c r="N588" s="125"/>
      <c r="O588" s="151">
        <f>IFERROR(VLOOKUP((LEFT(VLOOKUP($L588,'2-2 引出数据_合同数据仓库'!$B$2:$BP$1000,64,FALSE),15)&amp;(RIGHT(VLOOKUP($L588,'2-2 引出数据_合同数据仓库'!$B$2:$BP$1000,64,FALSE),4)+1)),'2-2 引出数据_合同数据仓库'!$B$2:$BP$1000,3,FALSE),0)</f>
        <v>0</v>
      </c>
      <c r="P588" s="125"/>
      <c r="Q588" s="125">
        <f>IFERROR(VLOOKUP($L588,'2-2 引出数据_合同数据仓库'!$B$2:$BP$1000,28,FALSE),0)</f>
        <v>0</v>
      </c>
      <c r="R588" s="125">
        <f>IFERROR(VLOOKUP($L588,'2-2 引出数据_合同数据仓库'!$B$2:$BP$1000,29,FALSE),0)</f>
        <v>0</v>
      </c>
      <c r="S588" s="125">
        <f>IFERROR(VLOOKUP($L588,'2-2 引出数据_合同数据仓库'!$B$2:$BP$1000,4,FALSE),0)</f>
        <v>0</v>
      </c>
      <c r="T588" s="125"/>
      <c r="U588" s="125">
        <f>IFERROR(VLOOKUP($L588,'2-2 引出数据_合同数据仓库'!$B$2:$BP$1000,15,FALSE),0)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customHeight="1" outlineLevel="2" spans="1:95">
      <c r="A589" s="122"/>
      <c r="B589" s="123"/>
      <c r="C589" s="124"/>
      <c r="D589" s="122"/>
      <c r="E589" s="123"/>
      <c r="F589" s="123"/>
      <c r="G589" s="123"/>
      <c r="H589" s="125"/>
      <c r="I589" s="125"/>
      <c r="J589" s="125">
        <f t="shared" si="6664"/>
        <v>0</v>
      </c>
      <c r="K589" s="125">
        <f t="shared" si="6665"/>
        <v>4</v>
      </c>
      <c r="L589" s="150"/>
      <c r="M589" s="151">
        <f>IFERROR(VLOOKUP($L589,'2-2 引出数据_合同数据仓库'!$B$2:$BP$1000,3,FALSE),0)</f>
        <v>0</v>
      </c>
      <c r="N589" s="125"/>
      <c r="O589" s="151">
        <f>IFERROR(VLOOKUP((LEFT(VLOOKUP($L589,'2-2 引出数据_合同数据仓库'!$B$2:$BP$1000,64,FALSE),15)&amp;(RIGHT(VLOOKUP($L589,'2-2 引出数据_合同数据仓库'!$B$2:$BP$1000,64,FALSE),4)+1)),'2-2 引出数据_合同数据仓库'!$B$2:$BP$1000,3,FALSE),0)</f>
        <v>0</v>
      </c>
      <c r="P589" s="125"/>
      <c r="Q589" s="125">
        <f>IFERROR(VLOOKUP($L589,'2-2 引出数据_合同数据仓库'!$B$2:$BP$1000,28,FALSE),0)</f>
        <v>0</v>
      </c>
      <c r="R589" s="125">
        <f>IFERROR(VLOOKUP($L589,'2-2 引出数据_合同数据仓库'!$B$2:$BP$1000,29,FALSE),0)</f>
        <v>0</v>
      </c>
      <c r="S589" s="125">
        <f>IFERROR(VLOOKUP($L589,'2-2 引出数据_合同数据仓库'!$B$2:$BP$1000,4,FALSE),0)</f>
        <v>0</v>
      </c>
      <c r="T589" s="125"/>
      <c r="U589" s="125">
        <f>IFERROR(VLOOKUP($L589,'2-2 引出数据_合同数据仓库'!$B$2:$BP$1000,15,FALSE),0)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customHeight="1" outlineLevel="4" spans="1:95">
      <c r="A590" s="126" t="s">
        <v>2821</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customHeight="1" outlineLevel="1" spans="1:95">
      <c r="A591" s="22"/>
      <c r="B591" s="112" t="s">
        <v>799</v>
      </c>
      <c r="C591" s="113" t="s">
        <v>2300</v>
      </c>
      <c r="D591" s="22" t="s">
        <v>2301</v>
      </c>
      <c r="E591" s="22"/>
      <c r="F591" s="22"/>
      <c r="G591" s="112" t="s">
        <v>1851</v>
      </c>
      <c r="H591" s="114">
        <f t="shared" ref="H591:H605" si="6666">X591+AA591+AD591+AG591+AJ591+AM591+AP591+AS591+AV591+AY591+BB591+BE591</f>
        <v>153649.811320754</v>
      </c>
      <c r="I591" s="114">
        <f t="shared" ref="I591:I605" si="6667">Y591+AB591+AE591+AH591+AK591+AN591+AQ591+AT591+AW591+AZ591+BC591+BF591</f>
        <v>153649.811320754</v>
      </c>
      <c r="J591" s="114">
        <f t="shared" si="6664"/>
        <v>0</v>
      </c>
      <c r="K591" s="114"/>
      <c r="L591" s="147"/>
      <c r="M591" s="147"/>
      <c r="N591" s="147"/>
      <c r="O591" s="147"/>
      <c r="P591" s="114"/>
      <c r="Q591" s="114"/>
      <c r="R591" s="114"/>
      <c r="S591" s="114"/>
      <c r="T591" s="114"/>
      <c r="U591" s="114"/>
      <c r="V591" s="114"/>
      <c r="W591" s="114"/>
      <c r="X591" s="114">
        <f>VLOOKUP($C591,'1 预算编制表单'!$C:$BJ,27,FALSE)</f>
        <v>12804.1509433962</v>
      </c>
      <c r="Y591" s="114">
        <f>X591-Z591</f>
        <v>12804.1509433962</v>
      </c>
      <c r="Z591" s="114">
        <f>SUM(Z592:Z596)</f>
        <v>0</v>
      </c>
      <c r="AA591" s="114">
        <f>VLOOKUP($C591,'1 预算编制表单'!$C:$BJ,30,FALSE)</f>
        <v>12804.1509433962</v>
      </c>
      <c r="AB591" s="114">
        <f>AA591-AC591</f>
        <v>12804.1509433962</v>
      </c>
      <c r="AC591" s="114">
        <f>SUM(AC592:AC596)</f>
        <v>0</v>
      </c>
      <c r="AD591" s="114">
        <f>VLOOKUP($C591,'1 预算编制表单'!$C:$BJ,33,FALSE)</f>
        <v>12804.1509433962</v>
      </c>
      <c r="AE591" s="114">
        <f>AD591-AF591</f>
        <v>12804.1509433962</v>
      </c>
      <c r="AF591" s="114">
        <f>SUM(AF592:AF596)</f>
        <v>0</v>
      </c>
      <c r="AG591" s="114">
        <f>VLOOKUP($C591,'1 预算编制表单'!$C:$BJ,36,FALSE)</f>
        <v>12804.1509433962</v>
      </c>
      <c r="AH591" s="114">
        <f>AG591-AI591</f>
        <v>12804.1509433962</v>
      </c>
      <c r="AI591" s="114">
        <f>SUM(AI592:AI596)</f>
        <v>0</v>
      </c>
      <c r="AJ591" s="114">
        <f>VLOOKUP($C591,'1 预算编制表单'!$C:$BJ,39,FALSE)</f>
        <v>12804.1509433962</v>
      </c>
      <c r="AK591" s="114">
        <f>AJ591-AL591</f>
        <v>12804.1509433962</v>
      </c>
      <c r="AL591" s="114">
        <f>SUM(AL592:AL596)</f>
        <v>0</v>
      </c>
      <c r="AM591" s="114">
        <f>VLOOKUP($C591,'1 预算编制表单'!$C:$BJ,42,FALSE)</f>
        <v>12804.1509433962</v>
      </c>
      <c r="AN591" s="114">
        <f>AM591-AO591</f>
        <v>12804.1509433962</v>
      </c>
      <c r="AO591" s="114">
        <f>SUM(AO592:AO596)</f>
        <v>0</v>
      </c>
      <c r="AP591" s="114">
        <f>VLOOKUP($C591,'1 预算编制表单'!$C:$BJ,45,FALSE)</f>
        <v>12804.1509433962</v>
      </c>
      <c r="AQ591" s="114">
        <f>AP591-AR591</f>
        <v>12804.1509433962</v>
      </c>
      <c r="AR591" s="114">
        <f>SUM(AR592:AR596)</f>
        <v>0</v>
      </c>
      <c r="AS591" s="114">
        <f>VLOOKUP($C591,'1 预算编制表单'!$C:$BJ,48,FALSE)</f>
        <v>12804.1509433962</v>
      </c>
      <c r="AT591" s="114">
        <f>AS591-AU591</f>
        <v>12804.1509433962</v>
      </c>
      <c r="AU591" s="114">
        <f>SUM(AU592:AU596)</f>
        <v>0</v>
      </c>
      <c r="AV591" s="114">
        <f>VLOOKUP($C591,'1 预算编制表单'!$C:$BJ,51,FALSE)</f>
        <v>12804.1509433962</v>
      </c>
      <c r="AW591" s="114">
        <f>AV591-AX591</f>
        <v>12804.1509433962</v>
      </c>
      <c r="AX591" s="114">
        <f>SUM(AX592:AX596)</f>
        <v>0</v>
      </c>
      <c r="AY591" s="114">
        <f>VLOOKUP($C591,'1 预算编制表单'!$C:$BJ,54,FALSE)</f>
        <v>12804.1509433962</v>
      </c>
      <c r="AZ591" s="114">
        <f>AY591-BA591</f>
        <v>12804.1509433962</v>
      </c>
      <c r="BA591" s="114">
        <f>SUM(BA592:BA596)</f>
        <v>0</v>
      </c>
      <c r="BB591" s="114">
        <f>VLOOKUP($C591,'1 预算编制表单'!$C:$BJ,57,FALSE)</f>
        <v>12804.1509433962</v>
      </c>
      <c r="BC591" s="114">
        <f>BB591-BD591</f>
        <v>12804.1509433962</v>
      </c>
      <c r="BD591" s="114">
        <f>SUM(BD592:BD596)</f>
        <v>0</v>
      </c>
      <c r="BE591" s="114">
        <f>VLOOKUP($C591,'1 预算编制表单'!$C:$BJ,60,FALSE)</f>
        <v>12804.1509433962</v>
      </c>
      <c r="BF591" s="114">
        <f>BE591-BG591</f>
        <v>12804.1509433962</v>
      </c>
      <c r="BG591" s="114">
        <f>SUM(BG592:BG596)</f>
        <v>0</v>
      </c>
      <c r="BH591" s="114">
        <f>VLOOKUP($C591,'1 预算编制表单'!$C:$BJ,27,FALSE)</f>
        <v>12804.1509433962</v>
      </c>
      <c r="BI591" s="114">
        <f>BH591-BJ591</f>
        <v>12804.1509433962</v>
      </c>
      <c r="BJ591" s="114">
        <f>SUM(BJ592:BJ596)</f>
        <v>0</v>
      </c>
      <c r="BK591" s="114">
        <f>VLOOKUP($C591,'1 预算编制表单'!$C:$BJ,30,FALSE)</f>
        <v>12804.1509433962</v>
      </c>
      <c r="BL591" s="114">
        <f>BK591-BM591</f>
        <v>12804.1509433962</v>
      </c>
      <c r="BM591" s="114">
        <f>SUM(BM592:BM596)</f>
        <v>0</v>
      </c>
      <c r="BN591" s="114">
        <f>VLOOKUP($C591,'1 预算编制表单'!$C:$BJ,33,FALSE)</f>
        <v>12804.1509433962</v>
      </c>
      <c r="BO591" s="114">
        <f>BN591-BP591</f>
        <v>12804.1509433962</v>
      </c>
      <c r="BP591" s="114">
        <f>SUM(BP592:BP596)</f>
        <v>0</v>
      </c>
      <c r="BQ591" s="114">
        <f>VLOOKUP($C591,'1 预算编制表单'!$C:$BJ,36,FALSE)</f>
        <v>12804.1509433962</v>
      </c>
      <c r="BR591" s="114">
        <f>BQ591-BS591</f>
        <v>12804.1509433962</v>
      </c>
      <c r="BS591" s="114">
        <f>SUM(BS592:BS596)</f>
        <v>0</v>
      </c>
      <c r="BT591" s="114">
        <f>VLOOKUP($C591,'1 预算编制表单'!$C:$BJ,39,FALSE)</f>
        <v>12804.1509433962</v>
      </c>
      <c r="BU591" s="114">
        <f>BT591-BV591</f>
        <v>12804.1509433962</v>
      </c>
      <c r="BV591" s="114">
        <f>SUM(BV592:BV596)</f>
        <v>0</v>
      </c>
      <c r="BW591" s="114">
        <f>VLOOKUP($C591,'1 预算编制表单'!$C:$BJ,42,FALSE)</f>
        <v>12804.1509433962</v>
      </c>
      <c r="BX591" s="114">
        <f>BW591-BY591</f>
        <v>12804.1509433962</v>
      </c>
      <c r="BY591" s="114">
        <f>SUM(BY592:BY596)</f>
        <v>0</v>
      </c>
      <c r="BZ591" s="114">
        <f>VLOOKUP($C591,'1 预算编制表单'!$C:$BJ,45,FALSE)</f>
        <v>12804.1509433962</v>
      </c>
      <c r="CA591" s="114">
        <f>BZ591-CB591</f>
        <v>12804.1509433962</v>
      </c>
      <c r="CB591" s="114">
        <f>SUM(CB592:CB596)</f>
        <v>0</v>
      </c>
      <c r="CC591" s="114">
        <f>VLOOKUP($C591,'1 预算编制表单'!$C:$BJ,48,FALSE)</f>
        <v>12804.1509433962</v>
      </c>
      <c r="CD591" s="114">
        <f>CC591-CE591</f>
        <v>12804.1509433962</v>
      </c>
      <c r="CE591" s="114">
        <f>SUM(CE592:CE596)</f>
        <v>0</v>
      </c>
      <c r="CF591" s="114">
        <f>VLOOKUP($C591,'1 预算编制表单'!$C:$BJ,51,FALSE)</f>
        <v>12804.1509433962</v>
      </c>
      <c r="CG591" s="114">
        <f>CF591-CH591</f>
        <v>12804.1509433962</v>
      </c>
      <c r="CH591" s="114">
        <f>SUM(CH592:CH596)</f>
        <v>0</v>
      </c>
      <c r="CI591" s="114">
        <f>VLOOKUP($C591,'1 预算编制表单'!$C:$BJ,54,FALSE)</f>
        <v>12804.1509433962</v>
      </c>
      <c r="CJ591" s="114">
        <f>CI591-CK591</f>
        <v>12804.1509433962</v>
      </c>
      <c r="CK591" s="114">
        <f>SUM(CK592:CK596)</f>
        <v>0</v>
      </c>
      <c r="CL591" s="114">
        <f>VLOOKUP($C591,'1 预算编制表单'!$C:$BJ,57,FALSE)</f>
        <v>12804.1509433962</v>
      </c>
      <c r="CM591" s="114">
        <f>CL591-CN591</f>
        <v>12804.1509433962</v>
      </c>
      <c r="CN591" s="114">
        <f>SUM(CN592:CN596)</f>
        <v>0</v>
      </c>
      <c r="CO591" s="114">
        <f>VLOOKUP($C591,'1 预算编制表单'!$C:$BJ,60,FALSE)</f>
        <v>12804.1509433962</v>
      </c>
      <c r="CP591" s="114">
        <f>CO591-CQ591</f>
        <v>12804.1509433962</v>
      </c>
      <c r="CQ591" s="114">
        <f>SUM(CQ592:CQ596)</f>
        <v>0</v>
      </c>
    </row>
    <row r="592" s="83" customFormat="1" ht="24" customHeight="1" outlineLevel="2" spans="1:95">
      <c r="A592" s="122"/>
      <c r="B592" s="123"/>
      <c r="C592" s="124"/>
      <c r="D592" s="122"/>
      <c r="E592" s="123"/>
      <c r="F592" s="123"/>
      <c r="G592" s="123"/>
      <c r="H592" s="125"/>
      <c r="I592" s="125"/>
      <c r="J592" s="125">
        <f t="shared" si="6664"/>
        <v>0</v>
      </c>
      <c r="K592" s="125">
        <v>1</v>
      </c>
      <c r="L592" s="150"/>
      <c r="M592" s="151">
        <f>IFERROR(VLOOKUP($L592,'2-2 引出数据_合同数据仓库'!$B$2:$BP$1000,3,FALSE),0)</f>
        <v>0</v>
      </c>
      <c r="N592" s="125"/>
      <c r="O592" s="151">
        <f>IFERROR(VLOOKUP((LEFT(VLOOKUP($L592,'2-2 引出数据_合同数据仓库'!$B$2:$BP$1000,64,FALSE),15)&amp;(RIGHT(VLOOKUP($L592,'2-2 引出数据_合同数据仓库'!$B$2:$BP$1000,64,FALSE),4)+1)),'2-2 引出数据_合同数据仓库'!$B$2:$BP$1000,3,FALSE),0)</f>
        <v>0</v>
      </c>
      <c r="P592" s="125"/>
      <c r="Q592" s="125">
        <f>IFERROR(VLOOKUP($L592,'2-2 引出数据_合同数据仓库'!$B$2:$BP$1000,28,FALSE),0)</f>
        <v>0</v>
      </c>
      <c r="R592" s="125">
        <f>IFERROR(VLOOKUP($L592,'2-2 引出数据_合同数据仓库'!$B$2:$BP$1000,29,FALSE),0)</f>
        <v>0</v>
      </c>
      <c r="S592" s="125">
        <f>IFERROR(VLOOKUP($L592,'2-2 引出数据_合同数据仓库'!$B$2:$BP$1000,4,FALSE),0)</f>
        <v>0</v>
      </c>
      <c r="T592" s="125"/>
      <c r="U592" s="125">
        <f>IFERROR(VLOOKUP($L592,'2-2 引出数据_合同数据仓库'!$B$2:$BP$1000,15,FALSE),0)</f>
        <v>0</v>
      </c>
      <c r="V592" s="125">
        <f t="shared" ref="V592:V595" si="6668">U592/(S592-R592+1)*365</f>
        <v>0</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0</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0</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0</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0</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0</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0</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0</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0</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0</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0</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0</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引出数据_合同数据仓库'!$B$2:$BP$1000,3,FALSE),0)</f>
        <v>0</v>
      </c>
      <c r="N593" s="125"/>
      <c r="O593" s="151">
        <f>IFERROR(VLOOKUP((LEFT(VLOOKUP($L593,'2-2 引出数据_合同数据仓库'!$B$2:$BP$1000,64,FALSE),15)&amp;(RIGHT(VLOOKUP($L593,'2-2 引出数据_合同数据仓库'!$B$2:$BP$1000,64,FALSE),4)+1)),'2-2 引出数据_合同数据仓库'!$B$2:$BP$1000,3,FALSE),0)</f>
        <v>0</v>
      </c>
      <c r="P593" s="125"/>
      <c r="Q593" s="125">
        <f>IFERROR(VLOOKUP($L593,'2-2 引出数据_合同数据仓库'!$B$2:$BP$1000,28,FALSE),0)</f>
        <v>0</v>
      </c>
      <c r="R593" s="125">
        <f>IFERROR(VLOOKUP($L593,'2-2 引出数据_合同数据仓库'!$B$2:$BP$1000,29,FALSE),0)</f>
        <v>0</v>
      </c>
      <c r="S593" s="125">
        <f>IFERROR(VLOOKUP($L593,'2-2 引出数据_合同数据仓库'!$B$2:$BP$1000,4,FALSE),0)</f>
        <v>0</v>
      </c>
      <c r="T593" s="125"/>
      <c r="U593" s="125">
        <f>IFERROR(VLOOKUP($L593,'2-2 引出数据_合同数据仓库'!$B$2:$BP$1000,15,FALSE),0)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引出数据_合同数据仓库'!$B$2:$BP$1000,3,FALSE),0)</f>
        <v>0</v>
      </c>
      <c r="N594" s="125"/>
      <c r="O594" s="151">
        <f>IFERROR(VLOOKUP((LEFT(VLOOKUP($L594,'2-2 引出数据_合同数据仓库'!$B$2:$BP$1000,64,FALSE),15)&amp;(RIGHT(VLOOKUP($L594,'2-2 引出数据_合同数据仓库'!$B$2:$BP$1000,64,FALSE),4)+1)),'2-2 引出数据_合同数据仓库'!$B$2:$BP$1000,3,FALSE),0)</f>
        <v>0</v>
      </c>
      <c r="P594" s="125"/>
      <c r="Q594" s="125">
        <f>IFERROR(VLOOKUP($L594,'2-2 引出数据_合同数据仓库'!$B$2:$BP$1000,28,FALSE),0)</f>
        <v>0</v>
      </c>
      <c r="R594" s="125">
        <f>IFERROR(VLOOKUP($L594,'2-2 引出数据_合同数据仓库'!$B$2:$BP$1000,29,FALSE),0)</f>
        <v>0</v>
      </c>
      <c r="S594" s="125">
        <f>IFERROR(VLOOKUP($L594,'2-2 引出数据_合同数据仓库'!$B$2:$BP$1000,4,FALSE),0)</f>
        <v>0</v>
      </c>
      <c r="T594" s="125"/>
      <c r="U594" s="125">
        <f>IFERROR(VLOOKUP($L594,'2-2 引出数据_合同数据仓库'!$B$2:$BP$1000,15,FALSE),0)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customHeight="1" outlineLevel="2" spans="1:95">
      <c r="A595" s="122"/>
      <c r="B595" s="123"/>
      <c r="C595" s="124"/>
      <c r="D595" s="122"/>
      <c r="E595" s="123"/>
      <c r="F595" s="123"/>
      <c r="G595" s="123"/>
      <c r="H595" s="125"/>
      <c r="I595" s="125"/>
      <c r="J595" s="125">
        <f t="shared" si="6664"/>
        <v>0</v>
      </c>
      <c r="K595" s="125">
        <f t="shared" si="6739"/>
        <v>4</v>
      </c>
      <c r="L595" s="150"/>
      <c r="M595" s="151">
        <f>IFERROR(VLOOKUP($L595,'2-2 引出数据_合同数据仓库'!$B$2:$BP$1000,3,FALSE),0)</f>
        <v>0</v>
      </c>
      <c r="N595" s="125"/>
      <c r="O595" s="151">
        <f>IFERROR(VLOOKUP((LEFT(VLOOKUP($L595,'2-2 引出数据_合同数据仓库'!$B$2:$BP$1000,64,FALSE),15)&amp;(RIGHT(VLOOKUP($L595,'2-2 引出数据_合同数据仓库'!$B$2:$BP$1000,64,FALSE),4)+1)),'2-2 引出数据_合同数据仓库'!$B$2:$BP$1000,3,FALSE),0)</f>
        <v>0</v>
      </c>
      <c r="P595" s="125"/>
      <c r="Q595" s="125">
        <f>IFERROR(VLOOKUP($L595,'2-2 引出数据_合同数据仓库'!$B$2:$BP$1000,28,FALSE),0)</f>
        <v>0</v>
      </c>
      <c r="R595" s="125">
        <f>IFERROR(VLOOKUP($L595,'2-2 引出数据_合同数据仓库'!$B$2:$BP$1000,29,FALSE),0)</f>
        <v>0</v>
      </c>
      <c r="S595" s="125">
        <f>IFERROR(VLOOKUP($L595,'2-2 引出数据_合同数据仓库'!$B$2:$BP$1000,4,FALSE),0)</f>
        <v>0</v>
      </c>
      <c r="T595" s="125"/>
      <c r="U595" s="125">
        <f>IFERROR(VLOOKUP($L595,'2-2 引出数据_合同数据仓库'!$B$2:$BP$1000,15,FALSE),0)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customHeight="1" outlineLevel="4" spans="1:95">
      <c r="A596" s="126" t="s">
        <v>2821</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customHeight="1" spans="1:95">
      <c r="A597" s="108"/>
      <c r="B597" s="109" t="s">
        <v>794</v>
      </c>
      <c r="C597" s="110">
        <v>1.4</v>
      </c>
      <c r="D597" s="108" t="s">
        <v>215</v>
      </c>
      <c r="E597" s="108"/>
      <c r="F597" s="108"/>
      <c r="G597" s="109"/>
      <c r="H597" s="167">
        <f t="shared" si="6666"/>
        <v>0</v>
      </c>
      <c r="I597" s="167">
        <f t="shared" si="6667"/>
        <v>0</v>
      </c>
      <c r="J597" s="167">
        <f t="shared" si="6664"/>
        <v>0</v>
      </c>
      <c r="K597" s="167"/>
      <c r="L597" s="168"/>
      <c r="M597" s="168"/>
      <c r="N597" s="167"/>
      <c r="O597" s="168"/>
      <c r="P597" s="167"/>
      <c r="Q597" s="167"/>
      <c r="R597" s="167"/>
      <c r="S597" s="167"/>
      <c r="T597" s="167"/>
      <c r="U597" s="167"/>
      <c r="V597" s="167"/>
      <c r="W597" s="167"/>
      <c r="X597" s="167">
        <f>VLOOKUP($C597,'1 预算编制表单'!$C:$BJ,27,FALSE)</f>
        <v>0</v>
      </c>
      <c r="Y597" s="167">
        <f t="shared" ref="Y597:BG597" si="6740">Y598+Y599+Y600+Y601+Y602</f>
        <v>0</v>
      </c>
      <c r="Z597" s="167">
        <f t="shared" si="6740"/>
        <v>0</v>
      </c>
      <c r="AA597" s="167">
        <f>VLOOKUP($C597,'1 预算编制表单'!$C:$BJ,30,FALSE)</f>
        <v>0</v>
      </c>
      <c r="AB597" s="167">
        <f t="shared" si="6740"/>
        <v>0</v>
      </c>
      <c r="AC597" s="167">
        <f t="shared" si="6740"/>
        <v>0</v>
      </c>
      <c r="AD597" s="167">
        <f>VLOOKUP($C597,'1 预算编制表单'!$C:$BJ,33,FALSE)</f>
        <v>0</v>
      </c>
      <c r="AE597" s="167">
        <f t="shared" si="6740"/>
        <v>0</v>
      </c>
      <c r="AF597" s="167">
        <f t="shared" si="6740"/>
        <v>0</v>
      </c>
      <c r="AG597" s="167">
        <f>VLOOKUP($C597,'1 预算编制表单'!$C:$BJ,36,FALSE)</f>
        <v>0</v>
      </c>
      <c r="AH597" s="167">
        <f t="shared" si="6740"/>
        <v>0</v>
      </c>
      <c r="AI597" s="167">
        <f t="shared" si="6740"/>
        <v>0</v>
      </c>
      <c r="AJ597" s="167">
        <f>VLOOKUP($C597,'1 预算编制表单'!$C:$BJ,39,FALSE)</f>
        <v>0</v>
      </c>
      <c r="AK597" s="167">
        <f t="shared" si="6740"/>
        <v>0</v>
      </c>
      <c r="AL597" s="167">
        <f t="shared" si="6740"/>
        <v>0</v>
      </c>
      <c r="AM597" s="167">
        <f>VLOOKUP($C597,'1 预算编制表单'!$C:$BJ,42,FALSE)</f>
        <v>0</v>
      </c>
      <c r="AN597" s="167">
        <f t="shared" si="6740"/>
        <v>0</v>
      </c>
      <c r="AO597" s="167">
        <f t="shared" si="6740"/>
        <v>0</v>
      </c>
      <c r="AP597" s="167">
        <f>VLOOKUP($C597,'1 预算编制表单'!$C:$BJ,45,FALSE)</f>
        <v>0</v>
      </c>
      <c r="AQ597" s="167">
        <f t="shared" si="6740"/>
        <v>0</v>
      </c>
      <c r="AR597" s="167">
        <f t="shared" si="6740"/>
        <v>0</v>
      </c>
      <c r="AS597" s="167">
        <f>VLOOKUP($C597,'1 预算编制表单'!$C:$BJ,48,FALSE)</f>
        <v>0</v>
      </c>
      <c r="AT597" s="167">
        <f t="shared" si="6740"/>
        <v>0</v>
      </c>
      <c r="AU597" s="167">
        <f t="shared" si="6740"/>
        <v>0</v>
      </c>
      <c r="AV597" s="167">
        <f>VLOOKUP($C597,'1 预算编制表单'!$C:$BJ,51,FALSE)</f>
        <v>0</v>
      </c>
      <c r="AW597" s="167">
        <f t="shared" si="6740"/>
        <v>0</v>
      </c>
      <c r="AX597" s="167">
        <f t="shared" si="6740"/>
        <v>0</v>
      </c>
      <c r="AY597" s="167">
        <f>VLOOKUP($C597,'1 预算编制表单'!$C:$BJ,54,FALSE)</f>
        <v>0</v>
      </c>
      <c r="AZ597" s="167">
        <f t="shared" si="6740"/>
        <v>0</v>
      </c>
      <c r="BA597" s="167">
        <f t="shared" si="6740"/>
        <v>0</v>
      </c>
      <c r="BB597" s="167">
        <f>VLOOKUP($C597,'1 预算编制表单'!$C:$BJ,57,FALSE)</f>
        <v>0</v>
      </c>
      <c r="BC597" s="167">
        <f t="shared" si="6740"/>
        <v>0</v>
      </c>
      <c r="BD597" s="167">
        <f t="shared" si="6740"/>
        <v>0</v>
      </c>
      <c r="BE597" s="167">
        <f>VLOOKUP($C597,'1 预算编制表单'!$C:$BJ,60,FALSE)</f>
        <v>0</v>
      </c>
      <c r="BF597" s="167">
        <f t="shared" si="6740"/>
        <v>0</v>
      </c>
      <c r="BG597" s="167">
        <f t="shared" si="6740"/>
        <v>0</v>
      </c>
      <c r="BH597" s="167">
        <f>VLOOKUP($C597,'1 预算编制表单'!$C:$BJ,27,FALSE)</f>
        <v>0</v>
      </c>
      <c r="BI597" s="167">
        <f t="shared" ref="BI597:BM597" si="6741">BI598+BI599+BI600+BI601+BI602</f>
        <v>0</v>
      </c>
      <c r="BJ597" s="167">
        <f t="shared" si="6741"/>
        <v>0</v>
      </c>
      <c r="BK597" s="167">
        <f>VLOOKUP($C597,'1 预算编制表单'!$C:$BJ,30,FALSE)</f>
        <v>0</v>
      </c>
      <c r="BL597" s="167">
        <f t="shared" si="6741"/>
        <v>0</v>
      </c>
      <c r="BM597" s="167">
        <f t="shared" si="6741"/>
        <v>0</v>
      </c>
      <c r="BN597" s="167">
        <f>VLOOKUP($C597,'1 预算编制表单'!$C:$BJ,33,FALSE)</f>
        <v>0</v>
      </c>
      <c r="BO597" s="167">
        <f t="shared" ref="BO597:BS597" si="6742">BO598+BO599+BO600+BO601+BO602</f>
        <v>0</v>
      </c>
      <c r="BP597" s="167">
        <f t="shared" si="6742"/>
        <v>0</v>
      </c>
      <c r="BQ597" s="167">
        <f>VLOOKUP($C597,'1 预算编制表单'!$C:$BJ,36,FALSE)</f>
        <v>0</v>
      </c>
      <c r="BR597" s="167">
        <f t="shared" si="6742"/>
        <v>0</v>
      </c>
      <c r="BS597" s="167">
        <f t="shared" si="6742"/>
        <v>0</v>
      </c>
      <c r="BT597" s="167">
        <f>VLOOKUP($C597,'1 预算编制表单'!$C:$BJ,39,FALSE)</f>
        <v>0</v>
      </c>
      <c r="BU597" s="167">
        <f t="shared" ref="BU597:BY597" si="6743">BU598+BU599+BU600+BU601+BU602</f>
        <v>0</v>
      </c>
      <c r="BV597" s="167">
        <f t="shared" si="6743"/>
        <v>0</v>
      </c>
      <c r="BW597" s="167">
        <f>VLOOKUP($C597,'1 预算编制表单'!$C:$BJ,42,FALSE)</f>
        <v>0</v>
      </c>
      <c r="BX597" s="167">
        <f t="shared" si="6743"/>
        <v>0</v>
      </c>
      <c r="BY597" s="167">
        <f t="shared" si="6743"/>
        <v>0</v>
      </c>
      <c r="BZ597" s="167">
        <f>VLOOKUP($C597,'1 预算编制表单'!$C:$BJ,45,FALSE)</f>
        <v>0</v>
      </c>
      <c r="CA597" s="167">
        <f t="shared" ref="CA597:CE597" si="6744">CA598+CA599+CA600+CA601+CA602</f>
        <v>0</v>
      </c>
      <c r="CB597" s="167">
        <f t="shared" si="6744"/>
        <v>0</v>
      </c>
      <c r="CC597" s="167">
        <f>VLOOKUP($C597,'1 预算编制表单'!$C:$BJ,48,FALSE)</f>
        <v>0</v>
      </c>
      <c r="CD597" s="167">
        <f t="shared" si="6744"/>
        <v>0</v>
      </c>
      <c r="CE597" s="167">
        <f t="shared" si="6744"/>
        <v>0</v>
      </c>
      <c r="CF597" s="167">
        <f>VLOOKUP($C597,'1 预算编制表单'!$C:$BJ,51,FALSE)</f>
        <v>0</v>
      </c>
      <c r="CG597" s="167">
        <f t="shared" ref="CG597:CK597" si="6745">CG598+CG599+CG600+CG601+CG602</f>
        <v>0</v>
      </c>
      <c r="CH597" s="167">
        <f t="shared" si="6745"/>
        <v>0</v>
      </c>
      <c r="CI597" s="167">
        <f>VLOOKUP($C597,'1 预算编制表单'!$C:$BJ,54,FALSE)</f>
        <v>0</v>
      </c>
      <c r="CJ597" s="167">
        <f t="shared" si="6745"/>
        <v>0</v>
      </c>
      <c r="CK597" s="167">
        <f t="shared" si="6745"/>
        <v>0</v>
      </c>
      <c r="CL597" s="167">
        <f>VLOOKUP($C597,'1 预算编制表单'!$C:$BJ,57,FALSE)</f>
        <v>0</v>
      </c>
      <c r="CM597" s="167">
        <f t="shared" ref="CM597:CQ597" si="6746">CM598+CM599+CM600+CM601+CM602</f>
        <v>0</v>
      </c>
      <c r="CN597" s="167">
        <f t="shared" si="6746"/>
        <v>0</v>
      </c>
      <c r="CO597" s="167">
        <f>VLOOKUP($C597,'1 预算编制表单'!$C:$BJ,60,FALSE)</f>
        <v>0</v>
      </c>
      <c r="CP597" s="167">
        <f t="shared" si="6746"/>
        <v>0</v>
      </c>
      <c r="CQ597" s="167">
        <f t="shared" si="6746"/>
        <v>0</v>
      </c>
    </row>
    <row r="598" s="86" customFormat="1" ht="24" customHeight="1" outlineLevel="1" spans="1:95">
      <c r="A598" s="169"/>
      <c r="B598" s="170" t="s">
        <v>794</v>
      </c>
      <c r="C598" s="171" t="s">
        <v>84</v>
      </c>
      <c r="D598" s="169" t="s">
        <v>85</v>
      </c>
      <c r="E598" s="170" t="s">
        <v>2302</v>
      </c>
      <c r="F598" s="170"/>
      <c r="G598" s="170" t="s">
        <v>1851</v>
      </c>
      <c r="H598" s="172">
        <f t="shared" si="6666"/>
        <v>0</v>
      </c>
      <c r="I598" s="172">
        <f t="shared" si="6667"/>
        <v>0</v>
      </c>
      <c r="J598" s="172">
        <f t="shared" si="6664"/>
        <v>0</v>
      </c>
      <c r="K598" s="172"/>
      <c r="L598" s="173"/>
      <c r="M598" s="173"/>
      <c r="N598" s="172"/>
      <c r="O598" s="173"/>
      <c r="P598" s="172"/>
      <c r="Q598" s="172"/>
      <c r="R598" s="172"/>
      <c r="S598" s="172"/>
      <c r="T598" s="172"/>
      <c r="U598" s="172"/>
      <c r="V598" s="172"/>
      <c r="W598" s="172"/>
      <c r="X598" s="172">
        <f>VLOOKUP($C598,'1 预算编制表单'!$C:$BJ,27,FALSE)</f>
        <v>0</v>
      </c>
      <c r="Y598" s="172">
        <f t="shared" ref="Y598:Y602" si="6747">X598-Z598</f>
        <v>0</v>
      </c>
      <c r="Z598" s="172">
        <f>报销单计算表!B10</f>
        <v>0</v>
      </c>
      <c r="AA598" s="172">
        <f>VLOOKUP($C598,'1 预算编制表单'!$C:$BJ,30,FALSE)</f>
        <v>0</v>
      </c>
      <c r="AB598" s="172">
        <f t="shared" ref="AB598:AB602" si="6748">AA598-AC598</f>
        <v>0</v>
      </c>
      <c r="AC598" s="172">
        <f>报销单计算表!C10</f>
        <v>0</v>
      </c>
      <c r="AD598" s="172">
        <f>VLOOKUP($C598,'1 预算编制表单'!$C:$BJ,33,FALSE)</f>
        <v>0</v>
      </c>
      <c r="AE598" s="172">
        <f t="shared" ref="AE598:AE602" si="6749">AD598-AF598</f>
        <v>0</v>
      </c>
      <c r="AF598" s="172">
        <f>报销单计算表!D10</f>
        <v>0</v>
      </c>
      <c r="AG598" s="172">
        <f>VLOOKUP($C598,'1 预算编制表单'!$C:$BJ,36,FALSE)</f>
        <v>0</v>
      </c>
      <c r="AH598" s="172">
        <f t="shared" ref="AH598:AH602" si="6750">AG598-AI598</f>
        <v>0</v>
      </c>
      <c r="AI598" s="172">
        <f>报销单计算表!E10</f>
        <v>0</v>
      </c>
      <c r="AJ598" s="172">
        <f>VLOOKUP($C598,'1 预算编制表单'!$C:$BJ,39,FALSE)</f>
        <v>0</v>
      </c>
      <c r="AK598" s="172">
        <f t="shared" ref="AK598:AK602" si="6751">AJ598-AL598</f>
        <v>0</v>
      </c>
      <c r="AL598" s="172">
        <f>报销单计算表!F10</f>
        <v>0</v>
      </c>
      <c r="AM598" s="172">
        <f>VLOOKUP($C598,'1 预算编制表单'!$C:$BJ,42,FALSE)</f>
        <v>0</v>
      </c>
      <c r="AN598" s="172">
        <f t="shared" ref="AN598:AN602" si="6752">AM598-AO598</f>
        <v>0</v>
      </c>
      <c r="AO598" s="172">
        <f>报销单计算表!G10</f>
        <v>0</v>
      </c>
      <c r="AP598" s="172">
        <f>VLOOKUP($C598,'1 预算编制表单'!$C:$BJ,45,FALSE)</f>
        <v>0</v>
      </c>
      <c r="AQ598" s="172">
        <f t="shared" ref="AQ598:AQ602" si="6753">AP598-AR598</f>
        <v>0</v>
      </c>
      <c r="AR598" s="172">
        <f>报销单计算表!H10</f>
        <v>0</v>
      </c>
      <c r="AS598" s="172">
        <f>VLOOKUP($C598,'1 预算编制表单'!$C:$BJ,48,FALSE)</f>
        <v>0</v>
      </c>
      <c r="AT598" s="172">
        <f t="shared" ref="AT598:AT602" si="6754">AS598-AU598</f>
        <v>0</v>
      </c>
      <c r="AU598" s="172">
        <f>报销单计算表!I10</f>
        <v>0</v>
      </c>
      <c r="AV598" s="172">
        <f>VLOOKUP($C598,'1 预算编制表单'!$C:$BJ,51,FALSE)</f>
        <v>0</v>
      </c>
      <c r="AW598" s="172">
        <f t="shared" ref="AW598:AW602" si="6755">AV598-AX598</f>
        <v>0</v>
      </c>
      <c r="AX598" s="172">
        <f>报销单计算表!J10</f>
        <v>0</v>
      </c>
      <c r="AY598" s="172">
        <f>VLOOKUP($C598,'1 预算编制表单'!$C:$BJ,54,FALSE)</f>
        <v>0</v>
      </c>
      <c r="AZ598" s="172">
        <f t="shared" ref="AZ598:AZ602" si="6756">AY598-BA598</f>
        <v>0</v>
      </c>
      <c r="BA598" s="172">
        <f>报销单计算表!K10</f>
        <v>0</v>
      </c>
      <c r="BB598" s="172">
        <f>VLOOKUP($C598,'1 预算编制表单'!$C:$BJ,57,FALSE)</f>
        <v>0</v>
      </c>
      <c r="BC598" s="172">
        <f t="shared" ref="BC598:BC602" si="6757">BB598-BD598</f>
        <v>0</v>
      </c>
      <c r="BD598" s="172">
        <f>报销单计算表!L10</f>
        <v>0</v>
      </c>
      <c r="BE598" s="172">
        <f>VLOOKUP($C598,'1 预算编制表单'!$C:$BJ,60,FALSE)</f>
        <v>0</v>
      </c>
      <c r="BF598" s="172">
        <f t="shared" ref="BF598:BF602" si="6758">BE598-BG598</f>
        <v>0</v>
      </c>
      <c r="BG598" s="172">
        <f>报销单计算表!M10</f>
        <v>0</v>
      </c>
      <c r="BH598" s="172">
        <f>VLOOKUP($C598,'1 预算编制表单'!$C:$BJ,27,FALSE)</f>
        <v>0</v>
      </c>
      <c r="BI598" s="172">
        <f t="shared" ref="BI598:BI602" si="6759">BH598-BJ598</f>
        <v>0</v>
      </c>
      <c r="BJ598" s="172"/>
      <c r="BK598" s="172">
        <f>VLOOKUP($C598,'1 预算编制表单'!$C:$BJ,30,FALSE)</f>
        <v>0</v>
      </c>
      <c r="BL598" s="172">
        <f t="shared" ref="BL598:BL602" si="6760">BK598-BM598</f>
        <v>0</v>
      </c>
      <c r="BM598" s="172"/>
      <c r="BN598" s="172">
        <f>VLOOKUP($C598,'1 预算编制表单'!$C:$BJ,33,FALSE)</f>
        <v>0</v>
      </c>
      <c r="BO598" s="172">
        <f t="shared" ref="BO598:BO602" si="6761">BN598-BP598</f>
        <v>0</v>
      </c>
      <c r="BP598" s="172"/>
      <c r="BQ598" s="172">
        <f>VLOOKUP($C598,'1 预算编制表单'!$C:$BJ,36,FALSE)</f>
        <v>0</v>
      </c>
      <c r="BR598" s="172">
        <f t="shared" ref="BR598:BR602" si="6762">BQ598-BS598</f>
        <v>0</v>
      </c>
      <c r="BS598" s="172"/>
      <c r="BT598" s="172">
        <f>VLOOKUP($C598,'1 预算编制表单'!$C:$BJ,39,FALSE)</f>
        <v>0</v>
      </c>
      <c r="BU598" s="172">
        <f t="shared" ref="BU598:BU602" si="6763">BT598-BV598</f>
        <v>0</v>
      </c>
      <c r="BV598" s="172"/>
      <c r="BW598" s="172">
        <f>VLOOKUP($C598,'1 预算编制表单'!$C:$BJ,42,FALSE)</f>
        <v>0</v>
      </c>
      <c r="BX598" s="172">
        <f t="shared" ref="BX598:BX602" si="6764">BW598-BY598</f>
        <v>0</v>
      </c>
      <c r="BY598" s="172"/>
      <c r="BZ598" s="172">
        <f>VLOOKUP($C598,'1 预算编制表单'!$C:$BJ,45,FALSE)</f>
        <v>0</v>
      </c>
      <c r="CA598" s="172">
        <f t="shared" ref="CA598:CA602" si="6765">BZ598-CB598</f>
        <v>0</v>
      </c>
      <c r="CB598" s="172"/>
      <c r="CC598" s="172">
        <f>VLOOKUP($C598,'1 预算编制表单'!$C:$BJ,48,FALSE)</f>
        <v>0</v>
      </c>
      <c r="CD598" s="172">
        <f t="shared" ref="CD598:CD602" si="6766">CC598-CE598</f>
        <v>0</v>
      </c>
      <c r="CE598" s="172"/>
      <c r="CF598" s="172">
        <f>VLOOKUP($C598,'1 预算编制表单'!$C:$BJ,51,FALSE)</f>
        <v>0</v>
      </c>
      <c r="CG598" s="172">
        <f t="shared" ref="CG598:CG602" si="6767">CF598-CH598</f>
        <v>0</v>
      </c>
      <c r="CH598" s="172"/>
      <c r="CI598" s="172">
        <f>VLOOKUP($C598,'1 预算编制表单'!$C:$BJ,54,FALSE)</f>
        <v>0</v>
      </c>
      <c r="CJ598" s="172">
        <f t="shared" ref="CJ598:CJ602" si="6768">CI598-CK598</f>
        <v>0</v>
      </c>
      <c r="CK598" s="172"/>
      <c r="CL598" s="172">
        <f>VLOOKUP($C598,'1 预算编制表单'!$C:$BJ,57,FALSE)</f>
        <v>0</v>
      </c>
      <c r="CM598" s="172">
        <f t="shared" ref="CM598:CM602" si="6769">CL598-CN598</f>
        <v>0</v>
      </c>
      <c r="CN598" s="172"/>
      <c r="CO598" s="172">
        <f>VLOOKUP($C598,'1 预算编制表单'!$C:$BJ,60,FALSE)</f>
        <v>0</v>
      </c>
      <c r="CP598" s="172">
        <f t="shared" ref="CP598:CP602" si="6770">CO598-CQ598</f>
        <v>0</v>
      </c>
      <c r="CQ598" s="172"/>
    </row>
    <row r="599" s="86" customFormat="1" ht="24" customHeight="1" outlineLevel="1" spans="1:95">
      <c r="A599" s="169"/>
      <c r="B599" s="170" t="s">
        <v>794</v>
      </c>
      <c r="C599" s="171" t="s">
        <v>88</v>
      </c>
      <c r="D599" s="169" t="s">
        <v>89</v>
      </c>
      <c r="E599" s="170" t="s">
        <v>2306</v>
      </c>
      <c r="F599" s="170"/>
      <c r="G599" s="170" t="s">
        <v>1851</v>
      </c>
      <c r="H599" s="172">
        <f t="shared" si="6666"/>
        <v>0</v>
      </c>
      <c r="I599" s="172">
        <f t="shared" si="6667"/>
        <v>0</v>
      </c>
      <c r="J599" s="172">
        <f t="shared" si="6664"/>
        <v>0</v>
      </c>
      <c r="K599" s="172"/>
      <c r="L599" s="173"/>
      <c r="M599" s="173"/>
      <c r="N599" s="172"/>
      <c r="O599" s="173"/>
      <c r="P599" s="172"/>
      <c r="Q599" s="172"/>
      <c r="R599" s="172"/>
      <c r="S599" s="172"/>
      <c r="T599" s="172"/>
      <c r="U599" s="172"/>
      <c r="V599" s="172"/>
      <c r="W599" s="172"/>
      <c r="X599" s="172">
        <f>VLOOKUP($C599,'1 预算编制表单'!$C:$BJ,27,FALSE)</f>
        <v>0</v>
      </c>
      <c r="Y599" s="172">
        <f t="shared" si="6747"/>
        <v>0</v>
      </c>
      <c r="Z599" s="172">
        <f>报销单计算表!B11</f>
        <v>0</v>
      </c>
      <c r="AA599" s="172">
        <f>VLOOKUP($C599,'1 预算编制表单'!$C:$BJ,30,FALSE)</f>
        <v>0</v>
      </c>
      <c r="AB599" s="172">
        <f t="shared" si="6748"/>
        <v>0</v>
      </c>
      <c r="AC599" s="172">
        <f>报销单计算表!C11</f>
        <v>0</v>
      </c>
      <c r="AD599" s="172">
        <f>VLOOKUP($C599,'1 预算编制表单'!$C:$BJ,33,FALSE)</f>
        <v>0</v>
      </c>
      <c r="AE599" s="172">
        <f t="shared" si="6749"/>
        <v>0</v>
      </c>
      <c r="AF599" s="172">
        <f>报销单计算表!D11</f>
        <v>0</v>
      </c>
      <c r="AG599" s="172">
        <f>VLOOKUP($C599,'1 预算编制表单'!$C:$BJ,36,FALSE)</f>
        <v>0</v>
      </c>
      <c r="AH599" s="172">
        <f t="shared" si="6750"/>
        <v>0</v>
      </c>
      <c r="AI599" s="172">
        <f>报销单计算表!E11</f>
        <v>0</v>
      </c>
      <c r="AJ599" s="172">
        <f>VLOOKUP($C599,'1 预算编制表单'!$C:$BJ,39,FALSE)</f>
        <v>0</v>
      </c>
      <c r="AK599" s="172">
        <f t="shared" si="6751"/>
        <v>0</v>
      </c>
      <c r="AL599" s="172">
        <f>报销单计算表!F11</f>
        <v>0</v>
      </c>
      <c r="AM599" s="172">
        <f>VLOOKUP($C599,'1 预算编制表单'!$C:$BJ,42,FALSE)</f>
        <v>0</v>
      </c>
      <c r="AN599" s="172">
        <f t="shared" si="6752"/>
        <v>0</v>
      </c>
      <c r="AO599" s="172">
        <f>报销单计算表!G11</f>
        <v>0</v>
      </c>
      <c r="AP599" s="172">
        <f>VLOOKUP($C599,'1 预算编制表单'!$C:$BJ,45,FALSE)</f>
        <v>0</v>
      </c>
      <c r="AQ599" s="172">
        <f t="shared" si="6753"/>
        <v>0</v>
      </c>
      <c r="AR599" s="172">
        <f>报销单计算表!H11</f>
        <v>0</v>
      </c>
      <c r="AS599" s="172">
        <f>VLOOKUP($C599,'1 预算编制表单'!$C:$BJ,48,FALSE)</f>
        <v>0</v>
      </c>
      <c r="AT599" s="172">
        <f t="shared" si="6754"/>
        <v>0</v>
      </c>
      <c r="AU599" s="172">
        <f>报销单计算表!I11</f>
        <v>0</v>
      </c>
      <c r="AV599" s="172">
        <f>VLOOKUP($C599,'1 预算编制表单'!$C:$BJ,51,FALSE)</f>
        <v>0</v>
      </c>
      <c r="AW599" s="172">
        <f t="shared" si="6755"/>
        <v>0</v>
      </c>
      <c r="AX599" s="172">
        <f>报销单计算表!J11</f>
        <v>0</v>
      </c>
      <c r="AY599" s="172">
        <f>VLOOKUP($C599,'1 预算编制表单'!$C:$BJ,54,FALSE)</f>
        <v>0</v>
      </c>
      <c r="AZ599" s="172">
        <f t="shared" si="6756"/>
        <v>0</v>
      </c>
      <c r="BA599" s="172">
        <f>报销单计算表!K11</f>
        <v>0</v>
      </c>
      <c r="BB599" s="172">
        <f>VLOOKUP($C599,'1 预算编制表单'!$C:$BJ,57,FALSE)</f>
        <v>0</v>
      </c>
      <c r="BC599" s="172">
        <f t="shared" si="6757"/>
        <v>0</v>
      </c>
      <c r="BD599" s="172">
        <f>报销单计算表!L11</f>
        <v>0</v>
      </c>
      <c r="BE599" s="172">
        <f>VLOOKUP($C599,'1 预算编制表单'!$C:$BJ,60,FALSE)</f>
        <v>0</v>
      </c>
      <c r="BF599" s="172">
        <f t="shared" si="6758"/>
        <v>0</v>
      </c>
      <c r="BG599" s="172">
        <f>报销单计算表!M11</f>
        <v>0</v>
      </c>
      <c r="BH599" s="172">
        <f>VLOOKUP($C599,'1 预算编制表单'!$C:$BJ,27,FALSE)</f>
        <v>0</v>
      </c>
      <c r="BI599" s="172">
        <f t="shared" si="6759"/>
        <v>0</v>
      </c>
      <c r="BJ599" s="172"/>
      <c r="BK599" s="172">
        <f>VLOOKUP($C599,'1 预算编制表单'!$C:$BJ,30,FALSE)</f>
        <v>0</v>
      </c>
      <c r="BL599" s="172">
        <f t="shared" si="6760"/>
        <v>0</v>
      </c>
      <c r="BM599" s="172"/>
      <c r="BN599" s="172">
        <f>VLOOKUP($C599,'1 预算编制表单'!$C:$BJ,33,FALSE)</f>
        <v>0</v>
      </c>
      <c r="BO599" s="172">
        <f t="shared" si="6761"/>
        <v>0</v>
      </c>
      <c r="BP599" s="172"/>
      <c r="BQ599" s="172">
        <f>VLOOKUP($C599,'1 预算编制表单'!$C:$BJ,36,FALSE)</f>
        <v>0</v>
      </c>
      <c r="BR599" s="172">
        <f t="shared" si="6762"/>
        <v>0</v>
      </c>
      <c r="BS599" s="172"/>
      <c r="BT599" s="172">
        <f>VLOOKUP($C599,'1 预算编制表单'!$C:$BJ,39,FALSE)</f>
        <v>0</v>
      </c>
      <c r="BU599" s="172">
        <f t="shared" si="6763"/>
        <v>0</v>
      </c>
      <c r="BV599" s="172"/>
      <c r="BW599" s="172">
        <f>VLOOKUP($C599,'1 预算编制表单'!$C:$BJ,42,FALSE)</f>
        <v>0</v>
      </c>
      <c r="BX599" s="172">
        <f t="shared" si="6764"/>
        <v>0</v>
      </c>
      <c r="BY599" s="172"/>
      <c r="BZ599" s="172">
        <f>VLOOKUP($C599,'1 预算编制表单'!$C:$BJ,45,FALSE)</f>
        <v>0</v>
      </c>
      <c r="CA599" s="172">
        <f t="shared" si="6765"/>
        <v>0</v>
      </c>
      <c r="CB599" s="172"/>
      <c r="CC599" s="172">
        <f>VLOOKUP($C599,'1 预算编制表单'!$C:$BJ,48,FALSE)</f>
        <v>0</v>
      </c>
      <c r="CD599" s="172">
        <f t="shared" si="6766"/>
        <v>0</v>
      </c>
      <c r="CE599" s="172"/>
      <c r="CF599" s="172">
        <f>VLOOKUP($C599,'1 预算编制表单'!$C:$BJ,51,FALSE)</f>
        <v>0</v>
      </c>
      <c r="CG599" s="172">
        <f t="shared" si="6767"/>
        <v>0</v>
      </c>
      <c r="CH599" s="172"/>
      <c r="CI599" s="172">
        <f>VLOOKUP($C599,'1 预算编制表单'!$C:$BJ,54,FALSE)</f>
        <v>0</v>
      </c>
      <c r="CJ599" s="172">
        <f t="shared" si="6768"/>
        <v>0</v>
      </c>
      <c r="CK599" s="172"/>
      <c r="CL599" s="172">
        <f>VLOOKUP($C599,'1 预算编制表单'!$C:$BJ,57,FALSE)</f>
        <v>0</v>
      </c>
      <c r="CM599" s="172">
        <f t="shared" si="6769"/>
        <v>0</v>
      </c>
      <c r="CN599" s="172"/>
      <c r="CO599" s="172">
        <f>VLOOKUP($C599,'1 预算编制表单'!$C:$BJ,60,FALSE)</f>
        <v>0</v>
      </c>
      <c r="CP599" s="172">
        <f t="shared" si="6770"/>
        <v>0</v>
      </c>
      <c r="CQ599" s="172"/>
    </row>
    <row r="600" s="86" customFormat="1" ht="24" customHeight="1" outlineLevel="1" spans="1:95">
      <c r="A600" s="169"/>
      <c r="B600" s="170" t="s">
        <v>794</v>
      </c>
      <c r="C600" s="171" t="s">
        <v>96</v>
      </c>
      <c r="D600" s="169" t="s">
        <v>97</v>
      </c>
      <c r="E600" s="170" t="s">
        <v>2310</v>
      </c>
      <c r="F600" s="170"/>
      <c r="G600" s="170" t="s">
        <v>1851</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customHeight="1" outlineLevel="1" spans="1:95">
      <c r="A601" s="169"/>
      <c r="B601" s="170" t="s">
        <v>794</v>
      </c>
      <c r="C601" s="171" t="s">
        <v>92</v>
      </c>
      <c r="D601" s="169" t="s">
        <v>93</v>
      </c>
      <c r="E601" s="170" t="s">
        <v>2312</v>
      </c>
      <c r="F601" s="170" t="s">
        <v>1625</v>
      </c>
      <c r="G601" s="170" t="s">
        <v>1851</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customHeight="1" outlineLevel="1" spans="1:95">
      <c r="A602" s="22"/>
      <c r="B602" s="112" t="s">
        <v>794</v>
      </c>
      <c r="C602" s="113" t="s">
        <v>100</v>
      </c>
      <c r="D602" s="22" t="s">
        <v>101</v>
      </c>
      <c r="E602" s="112" t="s">
        <v>2315</v>
      </c>
      <c r="F602" s="112"/>
      <c r="G602" s="112" t="s">
        <v>1851</v>
      </c>
      <c r="H602" s="114">
        <f t="shared" si="6666"/>
        <v>0</v>
      </c>
      <c r="I602" s="114">
        <f t="shared" si="6667"/>
        <v>0</v>
      </c>
      <c r="J602" s="114">
        <f t="shared" si="6664"/>
        <v>0</v>
      </c>
      <c r="K602" s="114"/>
      <c r="L602" s="147"/>
      <c r="M602" s="147"/>
      <c r="N602" s="114"/>
      <c r="O602" s="147"/>
      <c r="P602" s="114"/>
      <c r="Q602" s="114"/>
      <c r="R602" s="114"/>
      <c r="S602" s="114"/>
      <c r="T602" s="114"/>
      <c r="U602" s="114"/>
      <c r="V602" s="114"/>
      <c r="W602" s="114"/>
      <c r="X602" s="114">
        <f>VLOOKUP($C602,'1 预算编制表单'!$C:$BJ,27,FALSE)</f>
        <v>0</v>
      </c>
      <c r="Y602" s="114">
        <f t="shared" si="6747"/>
        <v>0</v>
      </c>
      <c r="Z602" s="114"/>
      <c r="AA602" s="114">
        <f>VLOOKUP($C602,'1 预算编制表单'!$C:$BJ,30,FALSE)</f>
        <v>0</v>
      </c>
      <c r="AB602" s="114">
        <f t="shared" si="6748"/>
        <v>0</v>
      </c>
      <c r="AC602" s="114"/>
      <c r="AD602" s="114">
        <f>VLOOKUP($C602,'1 预算编制表单'!$C:$BJ,33,FALSE)</f>
        <v>0</v>
      </c>
      <c r="AE602" s="114">
        <f t="shared" si="6749"/>
        <v>0</v>
      </c>
      <c r="AF602" s="114"/>
      <c r="AG602" s="114">
        <f>VLOOKUP($C602,'1 预算编制表单'!$C:$BJ,36,FALSE)</f>
        <v>0</v>
      </c>
      <c r="AH602" s="114">
        <f t="shared" si="6750"/>
        <v>0</v>
      </c>
      <c r="AI602" s="114"/>
      <c r="AJ602" s="114">
        <f>VLOOKUP($C602,'1 预算编制表单'!$C:$BJ,39,FALSE)</f>
        <v>0</v>
      </c>
      <c r="AK602" s="114">
        <f t="shared" si="6751"/>
        <v>0</v>
      </c>
      <c r="AL602" s="114"/>
      <c r="AM602" s="114">
        <f>VLOOKUP($C602,'1 预算编制表单'!$C:$BJ,42,FALSE)</f>
        <v>0</v>
      </c>
      <c r="AN602" s="114">
        <f t="shared" si="6752"/>
        <v>0</v>
      </c>
      <c r="AO602" s="114"/>
      <c r="AP602" s="114">
        <f>VLOOKUP($C602,'1 预算编制表单'!$C:$BJ,45,FALSE)</f>
        <v>0</v>
      </c>
      <c r="AQ602" s="114">
        <f t="shared" si="6753"/>
        <v>0</v>
      </c>
      <c r="AR602" s="114"/>
      <c r="AS602" s="114">
        <f>VLOOKUP($C602,'1 预算编制表单'!$C:$BJ,48,FALSE)</f>
        <v>0</v>
      </c>
      <c r="AT602" s="114">
        <f t="shared" si="6754"/>
        <v>0</v>
      </c>
      <c r="AU602" s="114"/>
      <c r="AV602" s="114">
        <f>VLOOKUP($C602,'1 预算编制表单'!$C:$BJ,51,FALSE)</f>
        <v>0</v>
      </c>
      <c r="AW602" s="114">
        <f t="shared" si="6755"/>
        <v>0</v>
      </c>
      <c r="AX602" s="114"/>
      <c r="AY602" s="114">
        <f>VLOOKUP($C602,'1 预算编制表单'!$C:$BJ,54,FALSE)</f>
        <v>0</v>
      </c>
      <c r="AZ602" s="114">
        <f t="shared" si="6756"/>
        <v>0</v>
      </c>
      <c r="BA602" s="114"/>
      <c r="BB602" s="114">
        <f>VLOOKUP($C602,'1 预算编制表单'!$C:$BJ,57,FALSE)</f>
        <v>0</v>
      </c>
      <c r="BC602" s="114">
        <f t="shared" si="6757"/>
        <v>0</v>
      </c>
      <c r="BD602" s="114"/>
      <c r="BE602" s="114">
        <f>VLOOKUP($C602,'1 预算编制表单'!$C:$BJ,60,FALSE)</f>
        <v>0</v>
      </c>
      <c r="BF602" s="114">
        <f t="shared" si="6758"/>
        <v>0</v>
      </c>
      <c r="BG602" s="114"/>
      <c r="BH602" s="114">
        <f>VLOOKUP($C602,'1 预算编制表单'!$C:$BJ,27,FALSE)</f>
        <v>0</v>
      </c>
      <c r="BI602" s="114">
        <f t="shared" si="6759"/>
        <v>0</v>
      </c>
      <c r="BJ602" s="114"/>
      <c r="BK602" s="114">
        <f>VLOOKUP($C602,'1 预算编制表单'!$C:$BJ,30,FALSE)</f>
        <v>0</v>
      </c>
      <c r="BL602" s="114">
        <f t="shared" si="6760"/>
        <v>0</v>
      </c>
      <c r="BM602" s="114"/>
      <c r="BN602" s="114">
        <f>VLOOKUP($C602,'1 预算编制表单'!$C:$BJ,33,FALSE)</f>
        <v>0</v>
      </c>
      <c r="BO602" s="114">
        <f t="shared" si="6761"/>
        <v>0</v>
      </c>
      <c r="BP602" s="114"/>
      <c r="BQ602" s="114">
        <f>VLOOKUP($C602,'1 预算编制表单'!$C:$BJ,36,FALSE)</f>
        <v>0</v>
      </c>
      <c r="BR602" s="114">
        <f t="shared" si="6762"/>
        <v>0</v>
      </c>
      <c r="BS602" s="114"/>
      <c r="BT602" s="114">
        <f>VLOOKUP($C602,'1 预算编制表单'!$C:$BJ,39,FALSE)</f>
        <v>0</v>
      </c>
      <c r="BU602" s="114">
        <f t="shared" si="6763"/>
        <v>0</v>
      </c>
      <c r="BV602" s="114"/>
      <c r="BW602" s="114">
        <f>VLOOKUP($C602,'1 预算编制表单'!$C:$BJ,42,FALSE)</f>
        <v>0</v>
      </c>
      <c r="BX602" s="114">
        <f t="shared" si="6764"/>
        <v>0</v>
      </c>
      <c r="BY602" s="114"/>
      <c r="BZ602" s="114">
        <f>VLOOKUP($C602,'1 预算编制表单'!$C:$BJ,45,FALSE)</f>
        <v>0</v>
      </c>
      <c r="CA602" s="114">
        <f t="shared" si="6765"/>
        <v>0</v>
      </c>
      <c r="CB602" s="114"/>
      <c r="CC602" s="114">
        <f>VLOOKUP($C602,'1 预算编制表单'!$C:$BJ,48,FALSE)</f>
        <v>0</v>
      </c>
      <c r="CD602" s="114">
        <f t="shared" si="6766"/>
        <v>0</v>
      </c>
      <c r="CE602" s="114"/>
      <c r="CF602" s="114">
        <f>VLOOKUP($C602,'1 预算编制表单'!$C:$BJ,51,FALSE)</f>
        <v>0</v>
      </c>
      <c r="CG602" s="114">
        <f t="shared" si="6767"/>
        <v>0</v>
      </c>
      <c r="CH602" s="114"/>
      <c r="CI602" s="114">
        <f>VLOOKUP($C602,'1 预算编制表单'!$C:$BJ,54,FALSE)</f>
        <v>0</v>
      </c>
      <c r="CJ602" s="114">
        <f t="shared" si="6768"/>
        <v>0</v>
      </c>
      <c r="CK602" s="114"/>
      <c r="CL602" s="114">
        <f>VLOOKUP($C602,'1 预算编制表单'!$C:$BJ,57,FALSE)</f>
        <v>0</v>
      </c>
      <c r="CM602" s="114">
        <f t="shared" si="6769"/>
        <v>0</v>
      </c>
      <c r="CN602" s="114"/>
      <c r="CO602" s="114">
        <f>VLOOKUP($C602,'1 预算编制表单'!$C:$BJ,60,FALSE)</f>
        <v>0</v>
      </c>
      <c r="CP602" s="114">
        <f t="shared" si="6770"/>
        <v>0</v>
      </c>
      <c r="CQ602" s="114"/>
    </row>
    <row r="603" ht="24" customHeight="1" spans="1:95">
      <c r="A603" s="108"/>
      <c r="B603" s="109" t="s">
        <v>794</v>
      </c>
      <c r="C603" s="110">
        <v>1.5</v>
      </c>
      <c r="D603" s="108" t="s">
        <v>216</v>
      </c>
      <c r="E603" s="108"/>
      <c r="F603" s="108"/>
      <c r="G603" s="109"/>
      <c r="H603" s="167">
        <f t="shared" si="6666"/>
        <v>129600</v>
      </c>
      <c r="I603" s="167">
        <f t="shared" si="6667"/>
        <v>102941.11</v>
      </c>
      <c r="J603" s="167">
        <f t="shared" si="6664"/>
        <v>26658.89</v>
      </c>
      <c r="K603" s="167"/>
      <c r="L603" s="168"/>
      <c r="M603" s="168"/>
      <c r="N603" s="167"/>
      <c r="O603" s="168"/>
      <c r="P603" s="167"/>
      <c r="Q603" s="167"/>
      <c r="R603" s="167"/>
      <c r="S603" s="167"/>
      <c r="T603" s="167"/>
      <c r="U603" s="167"/>
      <c r="V603" s="167"/>
      <c r="W603" s="167"/>
      <c r="X603" s="167">
        <f>VLOOKUP($C603,'1 预算编制表单'!$C:$BJ,27,FALSE)</f>
        <v>10800</v>
      </c>
      <c r="Y603" s="167">
        <f t="shared" ref="Y603:BG603" si="6771">Y604+Y605+Y608+Y609+Y611+Y612+Y613+Y614+Y615</f>
        <v>2259.4</v>
      </c>
      <c r="Z603" s="167">
        <f t="shared" si="6771"/>
        <v>8540.6</v>
      </c>
      <c r="AA603" s="167">
        <f>VLOOKUP($C603,'1 预算编制表单'!$C:$BJ,30,FALSE)</f>
        <v>10800</v>
      </c>
      <c r="AB603" s="167">
        <f t="shared" si="6771"/>
        <v>-6068</v>
      </c>
      <c r="AC603" s="167">
        <f t="shared" si="6771"/>
        <v>16868</v>
      </c>
      <c r="AD603" s="167">
        <f>VLOOKUP($C603,'1 预算编制表单'!$C:$BJ,33,FALSE)</f>
        <v>10800</v>
      </c>
      <c r="AE603" s="167">
        <f t="shared" si="6771"/>
        <v>10800</v>
      </c>
      <c r="AF603" s="167">
        <f t="shared" si="6771"/>
        <v>0</v>
      </c>
      <c r="AG603" s="167">
        <f>VLOOKUP($C603,'1 预算编制表单'!$C:$BJ,36,FALSE)</f>
        <v>10800</v>
      </c>
      <c r="AH603" s="167">
        <f t="shared" si="6771"/>
        <v>9549.71</v>
      </c>
      <c r="AI603" s="167">
        <f t="shared" si="6771"/>
        <v>1250.29</v>
      </c>
      <c r="AJ603" s="167">
        <f>VLOOKUP($C603,'1 预算编制表单'!$C:$BJ,39,FALSE)</f>
        <v>10800</v>
      </c>
      <c r="AK603" s="167">
        <f t="shared" si="6771"/>
        <v>10800</v>
      </c>
      <c r="AL603" s="167">
        <f t="shared" si="6771"/>
        <v>0</v>
      </c>
      <c r="AM603" s="167">
        <f>VLOOKUP($C603,'1 预算编制表单'!$C:$BJ,42,FALSE)</f>
        <v>10800</v>
      </c>
      <c r="AN603" s="167">
        <f t="shared" si="6771"/>
        <v>10800</v>
      </c>
      <c r="AO603" s="167">
        <f t="shared" si="6771"/>
        <v>0</v>
      </c>
      <c r="AP603" s="167">
        <f>VLOOKUP($C603,'1 预算编制表单'!$C:$BJ,45,FALSE)</f>
        <v>10800</v>
      </c>
      <c r="AQ603" s="167">
        <f t="shared" si="6771"/>
        <v>10800</v>
      </c>
      <c r="AR603" s="167">
        <f t="shared" si="6771"/>
        <v>0</v>
      </c>
      <c r="AS603" s="167">
        <f>VLOOKUP($C603,'1 预算编制表单'!$C:$BJ,48,FALSE)</f>
        <v>10800</v>
      </c>
      <c r="AT603" s="167">
        <f t="shared" si="6771"/>
        <v>10800</v>
      </c>
      <c r="AU603" s="167">
        <f t="shared" si="6771"/>
        <v>0</v>
      </c>
      <c r="AV603" s="167">
        <f>VLOOKUP($C603,'1 预算编制表单'!$C:$BJ,51,FALSE)</f>
        <v>10800</v>
      </c>
      <c r="AW603" s="167">
        <f t="shared" si="6771"/>
        <v>10800</v>
      </c>
      <c r="AX603" s="167">
        <f t="shared" si="6771"/>
        <v>0</v>
      </c>
      <c r="AY603" s="167">
        <f>VLOOKUP($C603,'1 预算编制表单'!$C:$BJ,54,FALSE)</f>
        <v>10800</v>
      </c>
      <c r="AZ603" s="167">
        <f t="shared" si="6771"/>
        <v>10800</v>
      </c>
      <c r="BA603" s="167">
        <f t="shared" si="6771"/>
        <v>0</v>
      </c>
      <c r="BB603" s="167">
        <f>VLOOKUP($C603,'1 预算编制表单'!$C:$BJ,57,FALSE)</f>
        <v>10800</v>
      </c>
      <c r="BC603" s="167">
        <f t="shared" si="6771"/>
        <v>10800</v>
      </c>
      <c r="BD603" s="167">
        <f t="shared" si="6771"/>
        <v>0</v>
      </c>
      <c r="BE603" s="167">
        <f>VLOOKUP($C603,'1 预算编制表单'!$C:$BJ,60,FALSE)</f>
        <v>10800</v>
      </c>
      <c r="BF603" s="167">
        <f t="shared" si="6771"/>
        <v>10800</v>
      </c>
      <c r="BG603" s="167">
        <f t="shared" si="6771"/>
        <v>0</v>
      </c>
      <c r="BH603" s="167">
        <f>VLOOKUP($C603,'1 预算编制表单'!$C:$BJ,27,FALSE)</f>
        <v>10800</v>
      </c>
      <c r="BI603" s="167">
        <f t="shared" ref="BI603:BM603" si="6772">BI604+BI605+BI608+BI609+BI611+BI612+BI613+BI614+BI615</f>
        <v>10800</v>
      </c>
      <c r="BJ603" s="167">
        <f t="shared" si="6772"/>
        <v>0</v>
      </c>
      <c r="BK603" s="167">
        <f>VLOOKUP($C603,'1 预算编制表单'!$C:$BJ,30,FALSE)</f>
        <v>10800</v>
      </c>
      <c r="BL603" s="167">
        <f t="shared" si="6772"/>
        <v>10800</v>
      </c>
      <c r="BM603" s="167">
        <f t="shared" si="6772"/>
        <v>0</v>
      </c>
      <c r="BN603" s="167">
        <f>VLOOKUP($C603,'1 预算编制表单'!$C:$BJ,33,FALSE)</f>
        <v>10800</v>
      </c>
      <c r="BO603" s="167">
        <f t="shared" ref="BO603:BS603" si="6773">BO604+BO605+BO608+BO609+BO611+BO612+BO613+BO614+BO615</f>
        <v>10800</v>
      </c>
      <c r="BP603" s="167">
        <f t="shared" si="6773"/>
        <v>0</v>
      </c>
      <c r="BQ603" s="167">
        <f>VLOOKUP($C603,'1 预算编制表单'!$C:$BJ,36,FALSE)</f>
        <v>10800</v>
      </c>
      <c r="BR603" s="167">
        <f t="shared" si="6773"/>
        <v>10800</v>
      </c>
      <c r="BS603" s="167">
        <f t="shared" si="6773"/>
        <v>0</v>
      </c>
      <c r="BT603" s="167">
        <f>VLOOKUP($C603,'1 预算编制表单'!$C:$BJ,39,FALSE)</f>
        <v>10800</v>
      </c>
      <c r="BU603" s="167">
        <f t="shared" ref="BU603:BY603" si="6774">BU604+BU605+BU608+BU609+BU611+BU612+BU613+BU614+BU615</f>
        <v>10800</v>
      </c>
      <c r="BV603" s="167">
        <f t="shared" si="6774"/>
        <v>0</v>
      </c>
      <c r="BW603" s="167">
        <f>VLOOKUP($C603,'1 预算编制表单'!$C:$BJ,42,FALSE)</f>
        <v>10800</v>
      </c>
      <c r="BX603" s="167">
        <f t="shared" si="6774"/>
        <v>10800</v>
      </c>
      <c r="BY603" s="167">
        <f t="shared" si="6774"/>
        <v>0</v>
      </c>
      <c r="BZ603" s="167">
        <f>VLOOKUP($C603,'1 预算编制表单'!$C:$BJ,45,FALSE)</f>
        <v>10800</v>
      </c>
      <c r="CA603" s="167">
        <f t="shared" ref="CA603:CE603" si="6775">CA604+CA605+CA608+CA609+CA611+CA612+CA613+CA614+CA615</f>
        <v>10800</v>
      </c>
      <c r="CB603" s="167">
        <f t="shared" si="6775"/>
        <v>0</v>
      </c>
      <c r="CC603" s="167">
        <f>VLOOKUP($C603,'1 预算编制表单'!$C:$BJ,48,FALSE)</f>
        <v>10800</v>
      </c>
      <c r="CD603" s="167">
        <f t="shared" si="6775"/>
        <v>10800</v>
      </c>
      <c r="CE603" s="167">
        <f t="shared" si="6775"/>
        <v>0</v>
      </c>
      <c r="CF603" s="167">
        <f>VLOOKUP($C603,'1 预算编制表单'!$C:$BJ,51,FALSE)</f>
        <v>10800</v>
      </c>
      <c r="CG603" s="167">
        <f t="shared" ref="CG603:CK603" si="6776">CG604+CG605+CG608+CG609+CG611+CG612+CG613+CG614+CG615</f>
        <v>10800</v>
      </c>
      <c r="CH603" s="167">
        <f t="shared" si="6776"/>
        <v>0</v>
      </c>
      <c r="CI603" s="167">
        <f>VLOOKUP($C603,'1 预算编制表单'!$C:$BJ,54,FALSE)</f>
        <v>10800</v>
      </c>
      <c r="CJ603" s="167">
        <f t="shared" si="6776"/>
        <v>10800</v>
      </c>
      <c r="CK603" s="167">
        <f t="shared" si="6776"/>
        <v>0</v>
      </c>
      <c r="CL603" s="167">
        <f>VLOOKUP($C603,'1 预算编制表单'!$C:$BJ,57,FALSE)</f>
        <v>10800</v>
      </c>
      <c r="CM603" s="167">
        <f t="shared" ref="CM603:CQ603" si="6777">CM604+CM605+CM608+CM609+CM611+CM612+CM613+CM614+CM615</f>
        <v>10800</v>
      </c>
      <c r="CN603" s="167">
        <f t="shared" si="6777"/>
        <v>0</v>
      </c>
      <c r="CO603" s="167">
        <f>VLOOKUP($C603,'1 预算编制表单'!$C:$BJ,60,FALSE)</f>
        <v>10800</v>
      </c>
      <c r="CP603" s="167">
        <f t="shared" si="6777"/>
        <v>10800</v>
      </c>
      <c r="CQ603" s="167">
        <f t="shared" si="6777"/>
        <v>0</v>
      </c>
    </row>
    <row r="604" ht="24" customHeight="1" outlineLevel="1" spans="1:95">
      <c r="A604" s="22"/>
      <c r="B604" s="112" t="s">
        <v>794</v>
      </c>
      <c r="C604" s="113" t="s">
        <v>135</v>
      </c>
      <c r="D604" s="22" t="s">
        <v>136</v>
      </c>
      <c r="E604" s="112" t="s">
        <v>2316</v>
      </c>
      <c r="F604" s="112"/>
      <c r="G604" s="112" t="s">
        <v>943</v>
      </c>
      <c r="H604" s="114">
        <f t="shared" si="6666"/>
        <v>0</v>
      </c>
      <c r="I604" s="114">
        <f t="shared" si="6667"/>
        <v>0</v>
      </c>
      <c r="J604" s="114">
        <f t="shared" si="6664"/>
        <v>0</v>
      </c>
      <c r="K604" s="114"/>
      <c r="L604" s="147"/>
      <c r="M604" s="147"/>
      <c r="N604" s="114"/>
      <c r="O604" s="147"/>
      <c r="P604" s="114"/>
      <c r="Q604" s="114"/>
      <c r="R604" s="114"/>
      <c r="S604" s="114"/>
      <c r="T604" s="114"/>
      <c r="U604" s="114"/>
      <c r="V604" s="114"/>
      <c r="W604" s="114"/>
      <c r="X604" s="114">
        <f>VLOOKUP($C604,'1 预算编制表单'!$C:$BJ,27,FALSE)</f>
        <v>0</v>
      </c>
      <c r="Y604" s="114">
        <f>X604-Z604</f>
        <v>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0</v>
      </c>
      <c r="BI604" s="114">
        <f>BH604-BJ604</f>
        <v>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customHeight="1" outlineLevel="1" spans="1:95">
      <c r="A605" s="22"/>
      <c r="B605" s="112" t="s">
        <v>794</v>
      </c>
      <c r="C605" s="113" t="s">
        <v>137</v>
      </c>
      <c r="D605" s="22" t="s">
        <v>2841</v>
      </c>
      <c r="E605" s="112" t="s">
        <v>2317</v>
      </c>
      <c r="F605" s="112"/>
      <c r="G605" s="112" t="s">
        <v>1851</v>
      </c>
      <c r="H605" s="114">
        <f t="shared" si="6666"/>
        <v>60000</v>
      </c>
      <c r="I605" s="114">
        <f t="shared" si="6667"/>
        <v>58749.71</v>
      </c>
      <c r="J605" s="114">
        <f t="shared" si="6664"/>
        <v>1250.29</v>
      </c>
      <c r="K605" s="114"/>
      <c r="L605" s="147"/>
      <c r="M605" s="147"/>
      <c r="N605" s="114"/>
      <c r="O605" s="147"/>
      <c r="P605" s="114"/>
      <c r="Q605" s="114"/>
      <c r="R605" s="114"/>
      <c r="S605" s="114"/>
      <c r="T605" s="114"/>
      <c r="U605" s="114"/>
      <c r="V605" s="114"/>
      <c r="W605" s="114"/>
      <c r="X605" s="117">
        <f>SUM(X606:X607)</f>
        <v>5000</v>
      </c>
      <c r="Y605" s="117">
        <f>X605-Z605</f>
        <v>5000</v>
      </c>
      <c r="Z605" s="117">
        <f>SUM(Z606:Z607)</f>
        <v>0</v>
      </c>
      <c r="AA605" s="117">
        <f>AA606</f>
        <v>5000</v>
      </c>
      <c r="AB605" s="117">
        <f>AA605-AC605</f>
        <v>5000</v>
      </c>
      <c r="AC605" s="117">
        <f>SUM(AC606:AC607)</f>
        <v>0</v>
      </c>
      <c r="AD605" s="117">
        <f>AD606</f>
        <v>5000</v>
      </c>
      <c r="AE605" s="117">
        <f>AD605-AF605</f>
        <v>5000</v>
      </c>
      <c r="AF605" s="117">
        <f>SUM(AF606:AF607)</f>
        <v>0</v>
      </c>
      <c r="AG605" s="117">
        <f>AG606</f>
        <v>5000</v>
      </c>
      <c r="AH605" s="117">
        <f>AG605-AI605</f>
        <v>3749.71</v>
      </c>
      <c r="AI605" s="117">
        <f>SUM(AI606:AI607)</f>
        <v>1250.29</v>
      </c>
      <c r="AJ605" s="117">
        <f>AJ606</f>
        <v>5000</v>
      </c>
      <c r="AK605" s="117">
        <f>AJ605-AL605</f>
        <v>5000</v>
      </c>
      <c r="AL605" s="117">
        <f>SUM(AL606:AL607)</f>
        <v>0</v>
      </c>
      <c r="AM605" s="117">
        <f>AM606</f>
        <v>5000</v>
      </c>
      <c r="AN605" s="117">
        <f>AM605-AO605</f>
        <v>5000</v>
      </c>
      <c r="AO605" s="117">
        <f>SUM(AO606:AO607)</f>
        <v>0</v>
      </c>
      <c r="AP605" s="117">
        <f>AP606</f>
        <v>5000</v>
      </c>
      <c r="AQ605" s="117">
        <f>AP605-AR605</f>
        <v>5000</v>
      </c>
      <c r="AR605" s="117">
        <f>SUM(AR606:AR607)</f>
        <v>0</v>
      </c>
      <c r="AS605" s="117">
        <f>AS606</f>
        <v>5000</v>
      </c>
      <c r="AT605" s="117">
        <f>AS605-AU605</f>
        <v>5000</v>
      </c>
      <c r="AU605" s="117">
        <f>SUM(AU606:AU607)</f>
        <v>0</v>
      </c>
      <c r="AV605" s="117">
        <f>AV606</f>
        <v>5000</v>
      </c>
      <c r="AW605" s="117">
        <f>AV605-AX605</f>
        <v>5000</v>
      </c>
      <c r="AX605" s="117">
        <f>SUM(AX606:AX607)</f>
        <v>0</v>
      </c>
      <c r="AY605" s="117">
        <f>AY606</f>
        <v>5000</v>
      </c>
      <c r="AZ605" s="117">
        <f>AY605-BA605</f>
        <v>5000</v>
      </c>
      <c r="BA605" s="117">
        <f>SUM(BA606:BA607)</f>
        <v>0</v>
      </c>
      <c r="BB605" s="117">
        <f>BB606</f>
        <v>5000</v>
      </c>
      <c r="BC605" s="117">
        <f>BB605-BD605</f>
        <v>5000</v>
      </c>
      <c r="BD605" s="117">
        <f>SUM(BD606:BD607)</f>
        <v>0</v>
      </c>
      <c r="BE605" s="117">
        <f>BE606</f>
        <v>5000</v>
      </c>
      <c r="BF605" s="117">
        <f>BE605-BG605</f>
        <v>5000</v>
      </c>
      <c r="BG605" s="117">
        <f>SUM(BG606:BG607)</f>
        <v>0</v>
      </c>
      <c r="BH605" s="114">
        <f>VLOOKUP($C605,'1 预算编制表单'!$C:$BJ,27,FALSE)</f>
        <v>5000</v>
      </c>
      <c r="BI605" s="114">
        <f>BH605-BJ605</f>
        <v>5000</v>
      </c>
      <c r="BJ605" s="114"/>
      <c r="BK605" s="114">
        <f>VLOOKUP($C605,'1 预算编制表单'!$C:$BJ,30,FALSE)</f>
        <v>5000</v>
      </c>
      <c r="BL605" s="114">
        <f>BK605-BM605</f>
        <v>5000</v>
      </c>
      <c r="BM605" s="114"/>
      <c r="BN605" s="114">
        <f>VLOOKUP($C605,'1 预算编制表单'!$C:$BJ,33,FALSE)</f>
        <v>5000</v>
      </c>
      <c r="BO605" s="114">
        <f>BN605-BP605</f>
        <v>5000</v>
      </c>
      <c r="BP605" s="114"/>
      <c r="BQ605" s="114">
        <f>VLOOKUP($C605,'1 预算编制表单'!$C:$BJ,36,FALSE)</f>
        <v>5000</v>
      </c>
      <c r="BR605" s="114">
        <f>BQ605-BS605</f>
        <v>5000</v>
      </c>
      <c r="BS605" s="114"/>
      <c r="BT605" s="114">
        <f>VLOOKUP($C605,'1 预算编制表单'!$C:$BJ,39,FALSE)</f>
        <v>5000</v>
      </c>
      <c r="BU605" s="114">
        <f>BT605-BV605</f>
        <v>5000</v>
      </c>
      <c r="BV605" s="114"/>
      <c r="BW605" s="114">
        <f>VLOOKUP($C605,'1 预算编制表单'!$C:$BJ,42,FALSE)</f>
        <v>5000</v>
      </c>
      <c r="BX605" s="114">
        <f>BW605-BY605</f>
        <v>5000</v>
      </c>
      <c r="BY605" s="114"/>
      <c r="BZ605" s="114">
        <f>VLOOKUP($C605,'1 预算编制表单'!$C:$BJ,45,FALSE)</f>
        <v>5000</v>
      </c>
      <c r="CA605" s="114">
        <f>BZ605-CB605</f>
        <v>5000</v>
      </c>
      <c r="CB605" s="114"/>
      <c r="CC605" s="114">
        <f>VLOOKUP($C605,'1 预算编制表单'!$C:$BJ,48,FALSE)</f>
        <v>5000</v>
      </c>
      <c r="CD605" s="114">
        <f>CC605-CE605</f>
        <v>5000</v>
      </c>
      <c r="CE605" s="114"/>
      <c r="CF605" s="114">
        <f>VLOOKUP($C605,'1 预算编制表单'!$C:$BJ,51,FALSE)</f>
        <v>5000</v>
      </c>
      <c r="CG605" s="114">
        <f>CF605-CH605</f>
        <v>5000</v>
      </c>
      <c r="CH605" s="114"/>
      <c r="CI605" s="114">
        <f>VLOOKUP($C605,'1 预算编制表单'!$C:$BJ,54,FALSE)</f>
        <v>5000</v>
      </c>
      <c r="CJ605" s="114">
        <f>CI605-CK605</f>
        <v>5000</v>
      </c>
      <c r="CK605" s="114"/>
      <c r="CL605" s="114">
        <f>VLOOKUP($C605,'1 预算编制表单'!$C:$BJ,57,FALSE)</f>
        <v>5000</v>
      </c>
      <c r="CM605" s="114">
        <f>CL605-CN605</f>
        <v>5000</v>
      </c>
      <c r="CN605" s="114"/>
      <c r="CO605" s="114">
        <f>VLOOKUP($C605,'1 预算编制表单'!$C:$BJ,60,FALSE)</f>
        <v>5000</v>
      </c>
      <c r="CP605" s="114">
        <f>CO605-CQ605</f>
        <v>5000</v>
      </c>
      <c r="CQ605" s="114"/>
    </row>
    <row r="606" s="85" customFormat="1" ht="24" customHeight="1" outlineLevel="2" spans="1:95">
      <c r="A606" s="131"/>
      <c r="B606" s="132"/>
      <c r="C606" s="133" t="s">
        <v>2842</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5000</v>
      </c>
      <c r="Y606" s="134">
        <f>X606-Z606</f>
        <v>5000</v>
      </c>
      <c r="Z606" s="134">
        <f>SUMIF(物资过程计算表!$B:$B,$C605,物资过程计算表!$D:$D)</f>
        <v>0</v>
      </c>
      <c r="AA606" s="134">
        <f>VLOOKUP($C605,'1 预算编制表单'!$C:$BJ,30,FALSE)</f>
        <v>5000</v>
      </c>
      <c r="AB606" s="134"/>
      <c r="AC606" s="134">
        <f>SUMIF(物资过程计算表!$B:$B,$C605,物资过程计算表!E:E)</f>
        <v>0</v>
      </c>
      <c r="AD606" s="134">
        <f>VLOOKUP($C605,'1 预算编制表单'!$C:$BJ,33,FALSE)</f>
        <v>5000</v>
      </c>
      <c r="AE606" s="134"/>
      <c r="AF606" s="134">
        <f>SUMIF(物资过程计算表!$B:$B,$C605,物资过程计算表!F:F)</f>
        <v>0</v>
      </c>
      <c r="AG606" s="134">
        <f>VLOOKUP($C605,'1 预算编制表单'!$C:$BJ,36,FALSE)</f>
        <v>5000</v>
      </c>
      <c r="AH606" s="134"/>
      <c r="AI606" s="134">
        <f>SUMIF(物资过程计算表!$B:$B,$C605,物资过程计算表!G:G)</f>
        <v>1250.29</v>
      </c>
      <c r="AJ606" s="134">
        <f>VLOOKUP($C605,'1 预算编制表单'!$C:$BJ,39,FALSE)</f>
        <v>5000</v>
      </c>
      <c r="AK606" s="134"/>
      <c r="AL606" s="134">
        <f>SUMIF(物资过程计算表!$B:$B,$C605,物资过程计算表!H:H)</f>
        <v>0</v>
      </c>
      <c r="AM606" s="134">
        <f>VLOOKUP($C605,'1 预算编制表单'!$C:$BJ,42,FALSE)</f>
        <v>5000</v>
      </c>
      <c r="AN606" s="134"/>
      <c r="AO606" s="134">
        <f>SUMIF(物资过程计算表!$B:$B,$C605,物资过程计算表!I:I)</f>
        <v>0</v>
      </c>
      <c r="AP606" s="134">
        <f>VLOOKUP($C605,'1 预算编制表单'!$C:$BJ,45,FALSE)</f>
        <v>5000</v>
      </c>
      <c r="AQ606" s="134"/>
      <c r="AR606" s="134">
        <f>SUMIF(物资过程计算表!$B:$B,$C605,物资过程计算表!J:J)</f>
        <v>0</v>
      </c>
      <c r="AS606" s="134">
        <f>VLOOKUP($C605,'1 预算编制表单'!$C:$BJ,48,FALSE)</f>
        <v>5000</v>
      </c>
      <c r="AT606" s="134"/>
      <c r="AU606" s="134">
        <f>SUMIF(物资过程计算表!$B:$B,$C605,物资过程计算表!K:K)</f>
        <v>0</v>
      </c>
      <c r="AV606" s="134">
        <f>VLOOKUP($C605,'1 预算编制表单'!$C:$BJ,51,FALSE)</f>
        <v>5000</v>
      </c>
      <c r="AW606" s="134"/>
      <c r="AX606" s="134">
        <f>SUMIF(物资过程计算表!$B:$B,$C605,物资过程计算表!L:L)</f>
        <v>0</v>
      </c>
      <c r="AY606" s="134">
        <f>VLOOKUP($C605,'1 预算编制表单'!$C:$BJ,54,FALSE)</f>
        <v>5000</v>
      </c>
      <c r="AZ606" s="134"/>
      <c r="BA606" s="134">
        <f>SUMIF(物资过程计算表!$B:$B,$C605,物资过程计算表!M:M)</f>
        <v>0</v>
      </c>
      <c r="BB606" s="134">
        <f>VLOOKUP($C605,'1 预算编制表单'!$C:$BJ,57,FALSE)</f>
        <v>5000</v>
      </c>
      <c r="BC606" s="134"/>
      <c r="BD606" s="134">
        <f>SUMIF(物资过程计算表!$B:$B,$C605,物资过程计算表!N:N)</f>
        <v>0</v>
      </c>
      <c r="BE606" s="134">
        <f>VLOOKUP($C605,'1 预算编制表单'!$C:$BJ,60,FALSE)</f>
        <v>5000</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customHeight="1" outlineLevel="2" spans="1:95">
      <c r="A607" s="131"/>
      <c r="B607" s="132"/>
      <c r="C607" s="133" t="s">
        <v>2843</v>
      </c>
      <c r="D607" s="131" t="s">
        <v>2844</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0</v>
      </c>
      <c r="AA607" s="134"/>
      <c r="AB607" s="134"/>
      <c r="AC607" s="134">
        <f>报销单计算表!C2</f>
        <v>0</v>
      </c>
      <c r="AD607" s="134"/>
      <c r="AE607" s="134"/>
      <c r="AF607" s="134">
        <f>报销单计算表!D2</f>
        <v>0</v>
      </c>
      <c r="AG607" s="134"/>
      <c r="AH607" s="134"/>
      <c r="AI607" s="134">
        <f>报销单计算表!E2</f>
        <v>0</v>
      </c>
      <c r="AJ607" s="134"/>
      <c r="AK607" s="134"/>
      <c r="AL607" s="134">
        <f>报销单计算表!F2</f>
        <v>0</v>
      </c>
      <c r="AM607" s="134"/>
      <c r="AN607" s="134"/>
      <c r="AO607" s="134">
        <f>报销单计算表!G2</f>
        <v>0</v>
      </c>
      <c r="AP607" s="134"/>
      <c r="AQ607" s="134"/>
      <c r="AR607" s="134">
        <f>报销单计算表!H2</f>
        <v>0</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customHeight="1" outlineLevel="1" spans="1:95">
      <c r="A608" s="169"/>
      <c r="B608" s="170" t="s">
        <v>794</v>
      </c>
      <c r="C608" s="171" t="s">
        <v>141</v>
      </c>
      <c r="D608" s="169" t="s">
        <v>142</v>
      </c>
      <c r="E608" s="170" t="s">
        <v>2318</v>
      </c>
      <c r="F608" s="170"/>
      <c r="G608" s="170" t="s">
        <v>1851</v>
      </c>
      <c r="H608" s="172">
        <f t="shared" ref="H608:J609" si="6778">X608+AA608+AD608+AG608+AJ608+AM608+AP608+AS608+AV608+AY608+BB608+BE608</f>
        <v>9600</v>
      </c>
      <c r="I608" s="172">
        <f t="shared" si="6778"/>
        <v>9600</v>
      </c>
      <c r="J608" s="172">
        <f t="shared" si="6778"/>
        <v>0</v>
      </c>
      <c r="K608" s="172"/>
      <c r="L608" s="173"/>
      <c r="M608" s="173"/>
      <c r="N608" s="172"/>
      <c r="O608" s="173"/>
      <c r="P608" s="172"/>
      <c r="Q608" s="172"/>
      <c r="R608" s="172"/>
      <c r="S608" s="172"/>
      <c r="T608" s="172"/>
      <c r="U608" s="172"/>
      <c r="V608" s="172"/>
      <c r="W608" s="172"/>
      <c r="X608" s="172">
        <f>VLOOKUP($C608,'1 预算编制表单'!$C:$BJ,27,FALSE)</f>
        <v>800</v>
      </c>
      <c r="Y608" s="172">
        <f>X608-Z608</f>
        <v>800</v>
      </c>
      <c r="Z608" s="172">
        <f>报销单计算表!B5</f>
        <v>0</v>
      </c>
      <c r="AA608" s="172">
        <f>VLOOKUP($C608,'1 预算编制表单'!$C:$BJ,30,FALSE)</f>
        <v>800</v>
      </c>
      <c r="AB608" s="172">
        <f>AA608-AC608</f>
        <v>800</v>
      </c>
      <c r="AC608" s="172">
        <f>报销单计算表!C5</f>
        <v>0</v>
      </c>
      <c r="AD608" s="172">
        <f>VLOOKUP($C608,'1 预算编制表单'!$C:$BJ,33,FALSE)</f>
        <v>800</v>
      </c>
      <c r="AE608" s="172">
        <f>AD608-AF608</f>
        <v>800</v>
      </c>
      <c r="AF608" s="172">
        <f>报销单计算表!D5</f>
        <v>0</v>
      </c>
      <c r="AG608" s="172">
        <f>VLOOKUP($C608,'1 预算编制表单'!$C:$BJ,36,FALSE)</f>
        <v>800</v>
      </c>
      <c r="AH608" s="172">
        <f>AG608-AI608</f>
        <v>800</v>
      </c>
      <c r="AI608" s="172">
        <f>报销单计算表!E5</f>
        <v>0</v>
      </c>
      <c r="AJ608" s="172">
        <f>VLOOKUP($C608,'1 预算编制表单'!$C:$BJ,39,FALSE)</f>
        <v>800</v>
      </c>
      <c r="AK608" s="172">
        <f>AJ608-AL608</f>
        <v>800</v>
      </c>
      <c r="AL608" s="172">
        <f>报销单计算表!F5</f>
        <v>0</v>
      </c>
      <c r="AM608" s="172">
        <f>VLOOKUP($C608,'1 预算编制表单'!$C:$BJ,42,FALSE)</f>
        <v>800</v>
      </c>
      <c r="AN608" s="172">
        <f>AM608-AO608</f>
        <v>800</v>
      </c>
      <c r="AO608" s="172">
        <f>报销单计算表!G5</f>
        <v>0</v>
      </c>
      <c r="AP608" s="172">
        <f>VLOOKUP($C608,'1 预算编制表单'!$C:$BJ,45,FALSE)</f>
        <v>800</v>
      </c>
      <c r="AQ608" s="172">
        <f>AP608-AR608</f>
        <v>800</v>
      </c>
      <c r="AR608" s="172">
        <f>报销单计算表!H5</f>
        <v>0</v>
      </c>
      <c r="AS608" s="172">
        <f>VLOOKUP($C608,'1 预算编制表单'!$C:$BJ,48,FALSE)</f>
        <v>800</v>
      </c>
      <c r="AT608" s="172">
        <f>AS608-AU608</f>
        <v>800</v>
      </c>
      <c r="AU608" s="172">
        <f>报销单计算表!I5</f>
        <v>0</v>
      </c>
      <c r="AV608" s="172">
        <f>VLOOKUP($C608,'1 预算编制表单'!$C:$BJ,51,FALSE)</f>
        <v>800</v>
      </c>
      <c r="AW608" s="172">
        <f>AV608-AX608</f>
        <v>800</v>
      </c>
      <c r="AX608" s="172">
        <f>报销单计算表!J5</f>
        <v>0</v>
      </c>
      <c r="AY608" s="172">
        <f>VLOOKUP($C608,'1 预算编制表单'!$C:$BJ,54,FALSE)</f>
        <v>800</v>
      </c>
      <c r="AZ608" s="172">
        <f>AY608-BA608</f>
        <v>800</v>
      </c>
      <c r="BA608" s="172">
        <f>报销单计算表!K5</f>
        <v>0</v>
      </c>
      <c r="BB608" s="172">
        <f>VLOOKUP($C608,'1 预算编制表单'!$C:$BJ,57,FALSE)</f>
        <v>800</v>
      </c>
      <c r="BC608" s="172">
        <f>BB608-BD608</f>
        <v>800</v>
      </c>
      <c r="BD608" s="172">
        <f>报销单计算表!L5</f>
        <v>0</v>
      </c>
      <c r="BE608" s="172">
        <f>VLOOKUP($C608,'1 预算编制表单'!$C:$BJ,60,FALSE)</f>
        <v>800</v>
      </c>
      <c r="BF608" s="172">
        <f>BE608-BG608</f>
        <v>800</v>
      </c>
      <c r="BG608" s="172">
        <f>报销单计算表!M5</f>
        <v>0</v>
      </c>
      <c r="BH608" s="172">
        <f>VLOOKUP($C608,'1 预算编制表单'!$C:$BJ,27,FALSE)</f>
        <v>800</v>
      </c>
      <c r="BI608" s="172">
        <f>BH608-BJ608</f>
        <v>800</v>
      </c>
      <c r="BJ608" s="172"/>
      <c r="BK608" s="172">
        <f>VLOOKUP($C608,'1 预算编制表单'!$C:$BJ,30,FALSE)</f>
        <v>800</v>
      </c>
      <c r="BL608" s="172">
        <f>BK608-BM608</f>
        <v>800</v>
      </c>
      <c r="BM608" s="172"/>
      <c r="BN608" s="172">
        <f>VLOOKUP($C608,'1 预算编制表单'!$C:$BJ,33,FALSE)</f>
        <v>800</v>
      </c>
      <c r="BO608" s="172">
        <f>BN608-BP608</f>
        <v>800</v>
      </c>
      <c r="BP608" s="172"/>
      <c r="BQ608" s="172">
        <f>VLOOKUP($C608,'1 预算编制表单'!$C:$BJ,36,FALSE)</f>
        <v>800</v>
      </c>
      <c r="BR608" s="172">
        <f>BQ608-BS608</f>
        <v>800</v>
      </c>
      <c r="BS608" s="172"/>
      <c r="BT608" s="172">
        <f>VLOOKUP($C608,'1 预算编制表单'!$C:$BJ,39,FALSE)</f>
        <v>800</v>
      </c>
      <c r="BU608" s="172">
        <f>BT608-BV608</f>
        <v>800</v>
      </c>
      <c r="BV608" s="172"/>
      <c r="BW608" s="172">
        <f>VLOOKUP($C608,'1 预算编制表单'!$C:$BJ,42,FALSE)</f>
        <v>800</v>
      </c>
      <c r="BX608" s="172">
        <f>BW608-BY608</f>
        <v>800</v>
      </c>
      <c r="BY608" s="172"/>
      <c r="BZ608" s="172">
        <f>VLOOKUP($C608,'1 预算编制表单'!$C:$BJ,45,FALSE)</f>
        <v>800</v>
      </c>
      <c r="CA608" s="172">
        <f>BZ608-CB608</f>
        <v>800</v>
      </c>
      <c r="CB608" s="172"/>
      <c r="CC608" s="172">
        <f>VLOOKUP($C608,'1 预算编制表单'!$C:$BJ,48,FALSE)</f>
        <v>800</v>
      </c>
      <c r="CD608" s="172">
        <f>CC608-CE608</f>
        <v>800</v>
      </c>
      <c r="CE608" s="172"/>
      <c r="CF608" s="172">
        <f>VLOOKUP($C608,'1 预算编制表单'!$C:$BJ,51,FALSE)</f>
        <v>800</v>
      </c>
      <c r="CG608" s="172">
        <f>CF608-CH608</f>
        <v>800</v>
      </c>
      <c r="CH608" s="172"/>
      <c r="CI608" s="172">
        <f>VLOOKUP($C608,'1 预算编制表单'!$C:$BJ,54,FALSE)</f>
        <v>800</v>
      </c>
      <c r="CJ608" s="172">
        <f>CI608-CK608</f>
        <v>800</v>
      </c>
      <c r="CK608" s="172"/>
      <c r="CL608" s="172">
        <f>VLOOKUP($C608,'1 预算编制表单'!$C:$BJ,57,FALSE)</f>
        <v>800</v>
      </c>
      <c r="CM608" s="172">
        <f>CL608-CN608</f>
        <v>800</v>
      </c>
      <c r="CN608" s="172"/>
      <c r="CO608" s="172">
        <f>VLOOKUP($C608,'1 预算编制表单'!$C:$BJ,60,FALSE)</f>
        <v>800</v>
      </c>
      <c r="CP608" s="172">
        <f>CO608-CQ608</f>
        <v>800</v>
      </c>
      <c r="CQ608" s="172"/>
    </row>
    <row r="609" s="86" customFormat="1" ht="24" customHeight="1" outlineLevel="1" spans="1:95">
      <c r="A609" s="169"/>
      <c r="B609" s="170" t="s">
        <v>794</v>
      </c>
      <c r="C609" s="171" t="s">
        <v>102</v>
      </c>
      <c r="D609" s="169" t="s">
        <v>103</v>
      </c>
      <c r="E609" s="170" t="s">
        <v>2319</v>
      </c>
      <c r="F609" s="170"/>
      <c r="G609" s="170" t="s">
        <v>1851</v>
      </c>
      <c r="H609" s="172">
        <f t="shared" si="6778"/>
        <v>0</v>
      </c>
      <c r="I609" s="172">
        <f t="shared" si="6778"/>
        <v>0</v>
      </c>
      <c r="J609" s="172">
        <f t="shared" si="6778"/>
        <v>0</v>
      </c>
      <c r="K609" s="172"/>
      <c r="L609" s="173"/>
      <c r="M609" s="173"/>
      <c r="N609" s="172"/>
      <c r="O609" s="173"/>
      <c r="P609" s="172"/>
      <c r="Q609" s="172"/>
      <c r="R609" s="172"/>
      <c r="S609" s="172"/>
      <c r="T609" s="172"/>
      <c r="U609" s="172"/>
      <c r="V609" s="172"/>
      <c r="W609" s="172"/>
      <c r="X609" s="172">
        <f>VLOOKUP($C609,'1 预算编制表单'!$C:$BJ,27,FALSE)</f>
        <v>0</v>
      </c>
      <c r="Y609" s="172">
        <f>X609-Z609</f>
        <v>0</v>
      </c>
      <c r="Z609" s="172">
        <f>报销单计算表!B3+Z610</f>
        <v>0</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2" customFormat="1" ht="24" customHeight="1" outlineLevel="2" spans="1:95">
      <c r="A610" s="131"/>
      <c r="B610" s="132"/>
      <c r="C610" s="133" t="s">
        <v>2845</v>
      </c>
      <c r="D610" s="131" t="s">
        <v>2846</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0</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customHeight="1" outlineLevel="1" spans="1:95">
      <c r="A611" s="22"/>
      <c r="B611" s="112" t="s">
        <v>794</v>
      </c>
      <c r="C611" s="113" t="s">
        <v>143</v>
      </c>
      <c r="D611" s="22" t="s">
        <v>144</v>
      </c>
      <c r="E611" s="112"/>
      <c r="F611" s="112"/>
      <c r="G611" s="112" t="s">
        <v>1851</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customHeight="1" outlineLevel="1" spans="1:95">
      <c r="A612" s="169"/>
      <c r="B612" s="170" t="s">
        <v>794</v>
      </c>
      <c r="C612" s="171" t="s">
        <v>147</v>
      </c>
      <c r="D612" s="169" t="s">
        <v>148</v>
      </c>
      <c r="E612" s="170" t="s">
        <v>2320</v>
      </c>
      <c r="F612" s="170"/>
      <c r="G612" s="170" t="s">
        <v>1851</v>
      </c>
      <c r="H612" s="172">
        <f t="shared" si="6779"/>
        <v>0</v>
      </c>
      <c r="I612" s="172">
        <f t="shared" si="6780"/>
        <v>0</v>
      </c>
      <c r="J612" s="172">
        <f t="shared" si="6781"/>
        <v>0</v>
      </c>
      <c r="K612" s="172"/>
      <c r="L612" s="173"/>
      <c r="M612" s="173"/>
      <c r="N612" s="172"/>
      <c r="O612" s="173"/>
      <c r="P612" s="172"/>
      <c r="Q612" s="172"/>
      <c r="R612" s="172"/>
      <c r="S612" s="172"/>
      <c r="T612" s="172"/>
      <c r="U612" s="172"/>
      <c r="V612" s="172"/>
      <c r="W612" s="172"/>
      <c r="X612" s="172">
        <f>VLOOKUP($C612,'1 预算编制表单'!$C:$BJ,27,FALSE)</f>
        <v>0</v>
      </c>
      <c r="Y612" s="172">
        <f>X612-Z612</f>
        <v>0</v>
      </c>
      <c r="Z612" s="172">
        <f>报销单计算表!B4</f>
        <v>0</v>
      </c>
      <c r="AA612" s="172">
        <f>VLOOKUP($C612,'1 预算编制表单'!$C:$BJ,30,FALSE)</f>
        <v>0</v>
      </c>
      <c r="AB612" s="172">
        <f>AA612-AC612</f>
        <v>0</v>
      </c>
      <c r="AC612" s="172">
        <f>报销单计算表!C4</f>
        <v>0</v>
      </c>
      <c r="AD612" s="172">
        <f>VLOOKUP($C612,'1 预算编制表单'!$C:$BJ,33,FALSE)</f>
        <v>0</v>
      </c>
      <c r="AE612" s="172">
        <f>AD612-AF612</f>
        <v>0</v>
      </c>
      <c r="AF612" s="172">
        <f>报销单计算表!D4</f>
        <v>0</v>
      </c>
      <c r="AG612" s="172">
        <f>VLOOKUP($C612,'1 预算编制表单'!$C:$BJ,36,FALSE)</f>
        <v>0</v>
      </c>
      <c r="AH612" s="172">
        <f>AG612-AI612</f>
        <v>0</v>
      </c>
      <c r="AI612" s="172">
        <f>报销单计算表!E4</f>
        <v>0</v>
      </c>
      <c r="AJ612" s="172">
        <f>VLOOKUP($C612,'1 预算编制表单'!$C:$BJ,39,FALSE)</f>
        <v>0</v>
      </c>
      <c r="AK612" s="172">
        <f>AJ612-AL612</f>
        <v>0</v>
      </c>
      <c r="AL612" s="172">
        <f>报销单计算表!F4</f>
        <v>0</v>
      </c>
      <c r="AM612" s="172">
        <f>VLOOKUP($C612,'1 预算编制表单'!$C:$BJ,42,FALSE)</f>
        <v>0</v>
      </c>
      <c r="AN612" s="172">
        <f>AM612-AO612</f>
        <v>0</v>
      </c>
      <c r="AO612" s="172">
        <f>报销单计算表!G4</f>
        <v>0</v>
      </c>
      <c r="AP612" s="172">
        <f>VLOOKUP($C612,'1 预算编制表单'!$C:$BJ,45,FALSE)</f>
        <v>0</v>
      </c>
      <c r="AQ612" s="172">
        <f>AP612-AR612</f>
        <v>0</v>
      </c>
      <c r="AR612" s="172">
        <f>报销单计算表!H4</f>
        <v>0</v>
      </c>
      <c r="AS612" s="172">
        <f>VLOOKUP($C612,'1 预算编制表单'!$C:$BJ,48,FALSE)</f>
        <v>0</v>
      </c>
      <c r="AT612" s="172">
        <f>AS612-AU612</f>
        <v>0</v>
      </c>
      <c r="AU612" s="172">
        <f>报销单计算表!I4</f>
        <v>0</v>
      </c>
      <c r="AV612" s="172">
        <f>VLOOKUP($C612,'1 预算编制表单'!$C:$BJ,51,FALSE)</f>
        <v>0</v>
      </c>
      <c r="AW612" s="172">
        <f>AV612-AX612</f>
        <v>0</v>
      </c>
      <c r="AX612" s="172">
        <f>报销单计算表!J4</f>
        <v>0</v>
      </c>
      <c r="AY612" s="172">
        <f>VLOOKUP($C612,'1 预算编制表单'!$C:$BJ,54,FALSE)</f>
        <v>0</v>
      </c>
      <c r="AZ612" s="172">
        <f>AY612-BA612</f>
        <v>0</v>
      </c>
      <c r="BA612" s="172">
        <f>报销单计算表!K4</f>
        <v>0</v>
      </c>
      <c r="BB612" s="172">
        <f>VLOOKUP($C612,'1 预算编制表单'!$C:$BJ,57,FALSE)</f>
        <v>0</v>
      </c>
      <c r="BC612" s="172">
        <f>BB612-BD612</f>
        <v>0</v>
      </c>
      <c r="BD612" s="172">
        <f>报销单计算表!L4</f>
        <v>0</v>
      </c>
      <c r="BE612" s="172">
        <f>VLOOKUP($C612,'1 预算编制表单'!$C:$BJ,60,FALSE)</f>
        <v>0</v>
      </c>
      <c r="BF612" s="172">
        <f>BE612-BG612</f>
        <v>0</v>
      </c>
      <c r="BG612" s="172">
        <f>报销单计算表!M4</f>
        <v>0</v>
      </c>
      <c r="BH612" s="172">
        <f>VLOOKUP($C612,'1 预算编制表单'!$C:$BJ,27,FALSE)</f>
        <v>0</v>
      </c>
      <c r="BI612" s="172">
        <f>BH612-BJ612</f>
        <v>0</v>
      </c>
      <c r="BJ612" s="172"/>
      <c r="BK612" s="172">
        <f>VLOOKUP($C612,'1 预算编制表单'!$C:$BJ,30,FALSE)</f>
        <v>0</v>
      </c>
      <c r="BL612" s="172">
        <f>BK612-BM612</f>
        <v>0</v>
      </c>
      <c r="BM612" s="172"/>
      <c r="BN612" s="172">
        <f>VLOOKUP($C612,'1 预算编制表单'!$C:$BJ,33,FALSE)</f>
        <v>0</v>
      </c>
      <c r="BO612" s="172">
        <f>BN612-BP612</f>
        <v>0</v>
      </c>
      <c r="BP612" s="172"/>
      <c r="BQ612" s="172">
        <f>VLOOKUP($C612,'1 预算编制表单'!$C:$BJ,36,FALSE)</f>
        <v>0</v>
      </c>
      <c r="BR612" s="172">
        <f>BQ612-BS612</f>
        <v>0</v>
      </c>
      <c r="BS612" s="172"/>
      <c r="BT612" s="172">
        <f>VLOOKUP($C612,'1 预算编制表单'!$C:$BJ,39,FALSE)</f>
        <v>0</v>
      </c>
      <c r="BU612" s="172">
        <f>BT612-BV612</f>
        <v>0</v>
      </c>
      <c r="BV612" s="172"/>
      <c r="BW612" s="172">
        <f>VLOOKUP($C612,'1 预算编制表单'!$C:$BJ,42,FALSE)</f>
        <v>0</v>
      </c>
      <c r="BX612" s="172">
        <f>BW612-BY612</f>
        <v>0</v>
      </c>
      <c r="BY612" s="172"/>
      <c r="BZ612" s="172">
        <f>VLOOKUP($C612,'1 预算编制表单'!$C:$BJ,45,FALSE)</f>
        <v>0</v>
      </c>
      <c r="CA612" s="172">
        <f>BZ612-CB612</f>
        <v>0</v>
      </c>
      <c r="CB612" s="172"/>
      <c r="CC612" s="172">
        <f>VLOOKUP($C612,'1 预算编制表单'!$C:$BJ,48,FALSE)</f>
        <v>0</v>
      </c>
      <c r="CD612" s="172">
        <f>CC612-CE612</f>
        <v>0</v>
      </c>
      <c r="CE612" s="172"/>
      <c r="CF612" s="172">
        <f>VLOOKUP($C612,'1 预算编制表单'!$C:$BJ,51,FALSE)</f>
        <v>0</v>
      </c>
      <c r="CG612" s="172">
        <f>CF612-CH612</f>
        <v>0</v>
      </c>
      <c r="CH612" s="172"/>
      <c r="CI612" s="172">
        <f>VLOOKUP($C612,'1 预算编制表单'!$C:$BJ,54,FALSE)</f>
        <v>0</v>
      </c>
      <c r="CJ612" s="172">
        <f>CI612-CK612</f>
        <v>0</v>
      </c>
      <c r="CK612" s="172"/>
      <c r="CL612" s="172">
        <f>VLOOKUP($C612,'1 预算编制表单'!$C:$BJ,57,FALSE)</f>
        <v>0</v>
      </c>
      <c r="CM612" s="172">
        <f>CL612-CN612</f>
        <v>0</v>
      </c>
      <c r="CN612" s="172"/>
      <c r="CO612" s="172">
        <f>VLOOKUP($C612,'1 预算编制表单'!$C:$BJ,60,FALSE)</f>
        <v>0</v>
      </c>
      <c r="CP612" s="172">
        <f>CO612-CQ612</f>
        <v>0</v>
      </c>
      <c r="CQ612" s="172"/>
    </row>
    <row r="613" ht="24" customHeight="1" outlineLevel="1" spans="1:95">
      <c r="A613" s="22"/>
      <c r="B613" s="112" t="s">
        <v>794</v>
      </c>
      <c r="C613" s="113" t="s">
        <v>153</v>
      </c>
      <c r="D613" s="22" t="s">
        <v>154</v>
      </c>
      <c r="E613" s="112" t="s">
        <v>2321</v>
      </c>
      <c r="F613" s="112"/>
      <c r="G613" s="112" t="s">
        <v>1851</v>
      </c>
      <c r="H613" s="114">
        <f t="shared" si="6779"/>
        <v>0</v>
      </c>
      <c r="I613" s="114">
        <f t="shared" si="6780"/>
        <v>0</v>
      </c>
      <c r="J613" s="114">
        <f t="shared" si="6781"/>
        <v>0</v>
      </c>
      <c r="K613" s="114"/>
      <c r="L613" s="147"/>
      <c r="M613" s="147"/>
      <c r="N613" s="114"/>
      <c r="O613" s="147"/>
      <c r="P613" s="114"/>
      <c r="Q613" s="114"/>
      <c r="R613" s="114"/>
      <c r="S613" s="114"/>
      <c r="T613" s="114"/>
      <c r="U613" s="114"/>
      <c r="V613" s="114"/>
      <c r="W613" s="114"/>
      <c r="X613" s="114">
        <f>VLOOKUP($C613,'1 预算编制表单'!$C:$BJ,27,FALSE)</f>
        <v>0</v>
      </c>
      <c r="Y613" s="114">
        <f>X613-Z613</f>
        <v>0</v>
      </c>
      <c r="Z613" s="114"/>
      <c r="AA613" s="114">
        <f>VLOOKUP($C613,'1 预算编制表单'!$C:$BJ,30,FALSE)</f>
        <v>0</v>
      </c>
      <c r="AB613" s="114">
        <f>AA613-AC613</f>
        <v>0</v>
      </c>
      <c r="AC613" s="114"/>
      <c r="AD613" s="114">
        <f>VLOOKUP($C613,'1 预算编制表单'!$C:$BJ,33,FALSE)</f>
        <v>0</v>
      </c>
      <c r="AE613" s="114">
        <f>AD613-AF613</f>
        <v>0</v>
      </c>
      <c r="AF613" s="114"/>
      <c r="AG613" s="114">
        <f>VLOOKUP($C613,'1 预算编制表单'!$C:$BJ,36,FALSE)</f>
        <v>0</v>
      </c>
      <c r="AH613" s="114">
        <f>AG613-AI613</f>
        <v>0</v>
      </c>
      <c r="AI613" s="114"/>
      <c r="AJ613" s="114">
        <f>VLOOKUP($C613,'1 预算编制表单'!$C:$BJ,39,FALSE)</f>
        <v>0</v>
      </c>
      <c r="AK613" s="114">
        <f>AJ613-AL613</f>
        <v>0</v>
      </c>
      <c r="AL613" s="114"/>
      <c r="AM613" s="114">
        <f>VLOOKUP($C613,'1 预算编制表单'!$C:$BJ,42,FALSE)</f>
        <v>0</v>
      </c>
      <c r="AN613" s="114">
        <f>AM613-AO613</f>
        <v>0</v>
      </c>
      <c r="AO613" s="114"/>
      <c r="AP613" s="114">
        <f>VLOOKUP($C613,'1 预算编制表单'!$C:$BJ,45,FALSE)</f>
        <v>0</v>
      </c>
      <c r="AQ613" s="114">
        <f>AP613-AR613</f>
        <v>0</v>
      </c>
      <c r="AR613" s="114"/>
      <c r="AS613" s="114">
        <f>VLOOKUP($C613,'1 预算编制表单'!$C:$BJ,48,FALSE)</f>
        <v>0</v>
      </c>
      <c r="AT613" s="114">
        <f>AS613-AU613</f>
        <v>0</v>
      </c>
      <c r="AU613" s="114"/>
      <c r="AV613" s="114">
        <f>VLOOKUP($C613,'1 预算编制表单'!$C:$BJ,51,FALSE)</f>
        <v>0</v>
      </c>
      <c r="AW613" s="114">
        <f>AV613-AX613</f>
        <v>0</v>
      </c>
      <c r="AX613" s="114"/>
      <c r="AY613" s="114">
        <f>VLOOKUP($C613,'1 预算编制表单'!$C:$BJ,54,FALSE)</f>
        <v>0</v>
      </c>
      <c r="AZ613" s="114">
        <f>AY613-BA613</f>
        <v>0</v>
      </c>
      <c r="BA613" s="114"/>
      <c r="BB613" s="114">
        <f>VLOOKUP($C613,'1 预算编制表单'!$C:$BJ,57,FALSE)</f>
        <v>0</v>
      </c>
      <c r="BC613" s="114">
        <f>BB613-BD613</f>
        <v>0</v>
      </c>
      <c r="BD613" s="114"/>
      <c r="BE613" s="114">
        <f>VLOOKUP($C613,'1 预算编制表单'!$C:$BJ,60,FALSE)</f>
        <v>0</v>
      </c>
      <c r="BF613" s="114">
        <f>BE613-BG613</f>
        <v>0</v>
      </c>
      <c r="BG613" s="114"/>
      <c r="BH613" s="114">
        <f>VLOOKUP($C613,'1 预算编制表单'!$C:$BJ,27,FALSE)</f>
        <v>0</v>
      </c>
      <c r="BI613" s="114">
        <f>BH613-BJ613</f>
        <v>0</v>
      </c>
      <c r="BJ613" s="114"/>
      <c r="BK613" s="114">
        <f>VLOOKUP($C613,'1 预算编制表单'!$C:$BJ,30,FALSE)</f>
        <v>0</v>
      </c>
      <c r="BL613" s="114">
        <f>BK613-BM613</f>
        <v>0</v>
      </c>
      <c r="BM613" s="114"/>
      <c r="BN613" s="114">
        <f>VLOOKUP($C613,'1 预算编制表单'!$C:$BJ,33,FALSE)</f>
        <v>0</v>
      </c>
      <c r="BO613" s="114">
        <f>BN613-BP613</f>
        <v>0</v>
      </c>
      <c r="BP613" s="114"/>
      <c r="BQ613" s="114">
        <f>VLOOKUP($C613,'1 预算编制表单'!$C:$BJ,36,FALSE)</f>
        <v>0</v>
      </c>
      <c r="BR613" s="114">
        <f>BQ613-BS613</f>
        <v>0</v>
      </c>
      <c r="BS613" s="114"/>
      <c r="BT613" s="114">
        <f>VLOOKUP($C613,'1 预算编制表单'!$C:$BJ,39,FALSE)</f>
        <v>0</v>
      </c>
      <c r="BU613" s="114">
        <f>BT613-BV613</f>
        <v>0</v>
      </c>
      <c r="BV613" s="114"/>
      <c r="BW613" s="114">
        <f>VLOOKUP($C613,'1 预算编制表单'!$C:$BJ,42,FALSE)</f>
        <v>0</v>
      </c>
      <c r="BX613" s="114">
        <f>BW613-BY613</f>
        <v>0</v>
      </c>
      <c r="BY613" s="114"/>
      <c r="BZ613" s="114">
        <f>VLOOKUP($C613,'1 预算编制表单'!$C:$BJ,45,FALSE)</f>
        <v>0</v>
      </c>
      <c r="CA613" s="114">
        <f>BZ613-CB613</f>
        <v>0</v>
      </c>
      <c r="CB613" s="114"/>
      <c r="CC613" s="114">
        <f>VLOOKUP($C613,'1 预算编制表单'!$C:$BJ,48,FALSE)</f>
        <v>0</v>
      </c>
      <c r="CD613" s="114">
        <f>CC613-CE613</f>
        <v>0</v>
      </c>
      <c r="CE613" s="114"/>
      <c r="CF613" s="114">
        <f>VLOOKUP($C613,'1 预算编制表单'!$C:$BJ,51,FALSE)</f>
        <v>0</v>
      </c>
      <c r="CG613" s="114">
        <f>CF613-CH613</f>
        <v>0</v>
      </c>
      <c r="CH613" s="114"/>
      <c r="CI613" s="114">
        <f>VLOOKUP($C613,'1 预算编制表单'!$C:$BJ,54,FALSE)</f>
        <v>0</v>
      </c>
      <c r="CJ613" s="114">
        <f>CI613-CK613</f>
        <v>0</v>
      </c>
      <c r="CK613" s="114"/>
      <c r="CL613" s="114">
        <f>VLOOKUP($C613,'1 预算编制表单'!$C:$BJ,57,FALSE)</f>
        <v>0</v>
      </c>
      <c r="CM613" s="114">
        <f>CL613-CN613</f>
        <v>0</v>
      </c>
      <c r="CN613" s="114"/>
      <c r="CO613" s="114">
        <f>VLOOKUP($C613,'1 预算编制表单'!$C:$BJ,60,FALSE)</f>
        <v>0</v>
      </c>
      <c r="CP613" s="114">
        <f>CO613-CQ613</f>
        <v>0</v>
      </c>
      <c r="CQ613" s="114"/>
    </row>
    <row r="614" ht="24" customHeight="1" outlineLevel="1" spans="1:95">
      <c r="A614" s="22"/>
      <c r="B614" s="112" t="s">
        <v>794</v>
      </c>
      <c r="C614" s="113" t="s">
        <v>157</v>
      </c>
      <c r="D614" s="22" t="s">
        <v>158</v>
      </c>
      <c r="E614" s="112" t="s">
        <v>2322</v>
      </c>
      <c r="F614" s="112"/>
      <c r="G614" s="112" t="s">
        <v>1851</v>
      </c>
      <c r="H614" s="114">
        <f t="shared" si="6779"/>
        <v>60000</v>
      </c>
      <c r="I614" s="114">
        <f t="shared" si="6780"/>
        <v>60000</v>
      </c>
      <c r="J614" s="114">
        <f t="shared" si="6781"/>
        <v>0</v>
      </c>
      <c r="K614" s="114"/>
      <c r="L614" s="147"/>
      <c r="M614" s="147"/>
      <c r="N614" s="114"/>
      <c r="O614" s="147"/>
      <c r="P614" s="114"/>
      <c r="Q614" s="114"/>
      <c r="R614" s="114"/>
      <c r="S614" s="114"/>
      <c r="T614" s="114"/>
      <c r="U614" s="114"/>
      <c r="V614" s="114"/>
      <c r="W614" s="114"/>
      <c r="X614" s="114">
        <f>VLOOKUP($C614,'1 预算编制表单'!$C:$BJ,27,FALSE)</f>
        <v>5000</v>
      </c>
      <c r="Y614" s="114">
        <f>X614-Z614</f>
        <v>5000</v>
      </c>
      <c r="Z614" s="114"/>
      <c r="AA614" s="114">
        <f>VLOOKUP($C614,'1 预算编制表单'!$C:$BJ,30,FALSE)</f>
        <v>5000</v>
      </c>
      <c r="AB614" s="114">
        <f>AA614-AC614</f>
        <v>5000</v>
      </c>
      <c r="AC614" s="114"/>
      <c r="AD614" s="114">
        <f>VLOOKUP($C614,'1 预算编制表单'!$C:$BJ,33,FALSE)</f>
        <v>5000</v>
      </c>
      <c r="AE614" s="114">
        <f>AD614-AF614</f>
        <v>5000</v>
      </c>
      <c r="AF614" s="114"/>
      <c r="AG614" s="114">
        <f>VLOOKUP($C614,'1 预算编制表单'!$C:$BJ,36,FALSE)</f>
        <v>5000</v>
      </c>
      <c r="AH614" s="114">
        <f>AG614-AI614</f>
        <v>5000</v>
      </c>
      <c r="AI614" s="114"/>
      <c r="AJ614" s="114">
        <f>VLOOKUP($C614,'1 预算编制表单'!$C:$BJ,39,FALSE)</f>
        <v>5000</v>
      </c>
      <c r="AK614" s="114">
        <f>AJ614-AL614</f>
        <v>5000</v>
      </c>
      <c r="AL614" s="114"/>
      <c r="AM614" s="114">
        <f>VLOOKUP($C614,'1 预算编制表单'!$C:$BJ,42,FALSE)</f>
        <v>5000</v>
      </c>
      <c r="AN614" s="114">
        <f>AM614-AO614</f>
        <v>5000</v>
      </c>
      <c r="AO614" s="114"/>
      <c r="AP614" s="114">
        <f>VLOOKUP($C614,'1 预算编制表单'!$C:$BJ,45,FALSE)</f>
        <v>5000</v>
      </c>
      <c r="AQ614" s="114">
        <f>AP614-AR614</f>
        <v>5000</v>
      </c>
      <c r="AR614" s="114"/>
      <c r="AS614" s="114">
        <f>VLOOKUP($C614,'1 预算编制表单'!$C:$BJ,48,FALSE)</f>
        <v>5000</v>
      </c>
      <c r="AT614" s="114">
        <f>AS614-AU614</f>
        <v>5000</v>
      </c>
      <c r="AU614" s="114"/>
      <c r="AV614" s="114">
        <f>VLOOKUP($C614,'1 预算编制表单'!$C:$BJ,51,FALSE)</f>
        <v>5000</v>
      </c>
      <c r="AW614" s="114">
        <f>AV614-AX614</f>
        <v>5000</v>
      </c>
      <c r="AX614" s="114"/>
      <c r="AY614" s="114">
        <f>VLOOKUP($C614,'1 预算编制表单'!$C:$BJ,54,FALSE)</f>
        <v>5000</v>
      </c>
      <c r="AZ614" s="114">
        <f>AY614-BA614</f>
        <v>5000</v>
      </c>
      <c r="BA614" s="114"/>
      <c r="BB614" s="114">
        <f>VLOOKUP($C614,'1 预算编制表单'!$C:$BJ,57,FALSE)</f>
        <v>5000</v>
      </c>
      <c r="BC614" s="114">
        <f>BB614-BD614</f>
        <v>5000</v>
      </c>
      <c r="BD614" s="114"/>
      <c r="BE614" s="114">
        <f>VLOOKUP($C614,'1 预算编制表单'!$C:$BJ,60,FALSE)</f>
        <v>5000</v>
      </c>
      <c r="BF614" s="114">
        <f>BE614-BG614</f>
        <v>5000</v>
      </c>
      <c r="BG614" s="114"/>
      <c r="BH614" s="114">
        <f>VLOOKUP($C614,'1 预算编制表单'!$C:$BJ,27,FALSE)</f>
        <v>5000</v>
      </c>
      <c r="BI614" s="114">
        <f>BH614-BJ614</f>
        <v>5000</v>
      </c>
      <c r="BJ614" s="114"/>
      <c r="BK614" s="114">
        <f>VLOOKUP($C614,'1 预算编制表单'!$C:$BJ,30,FALSE)</f>
        <v>5000</v>
      </c>
      <c r="BL614" s="114">
        <f>BK614-BM614</f>
        <v>5000</v>
      </c>
      <c r="BM614" s="114"/>
      <c r="BN614" s="114">
        <f>VLOOKUP($C614,'1 预算编制表单'!$C:$BJ,33,FALSE)</f>
        <v>5000</v>
      </c>
      <c r="BO614" s="114">
        <f>BN614-BP614</f>
        <v>5000</v>
      </c>
      <c r="BP614" s="114"/>
      <c r="BQ614" s="114">
        <f>VLOOKUP($C614,'1 预算编制表单'!$C:$BJ,36,FALSE)</f>
        <v>5000</v>
      </c>
      <c r="BR614" s="114">
        <f>BQ614-BS614</f>
        <v>5000</v>
      </c>
      <c r="BS614" s="114"/>
      <c r="BT614" s="114">
        <f>VLOOKUP($C614,'1 预算编制表单'!$C:$BJ,39,FALSE)</f>
        <v>5000</v>
      </c>
      <c r="BU614" s="114">
        <f>BT614-BV614</f>
        <v>5000</v>
      </c>
      <c r="BV614" s="114"/>
      <c r="BW614" s="114">
        <f>VLOOKUP($C614,'1 预算编制表单'!$C:$BJ,42,FALSE)</f>
        <v>5000</v>
      </c>
      <c r="BX614" s="114">
        <f>BW614-BY614</f>
        <v>5000</v>
      </c>
      <c r="BY614" s="114"/>
      <c r="BZ614" s="114">
        <f>VLOOKUP($C614,'1 预算编制表单'!$C:$BJ,45,FALSE)</f>
        <v>5000</v>
      </c>
      <c r="CA614" s="114">
        <f>BZ614-CB614</f>
        <v>5000</v>
      </c>
      <c r="CB614" s="114"/>
      <c r="CC614" s="114">
        <f>VLOOKUP($C614,'1 预算编制表单'!$C:$BJ,48,FALSE)</f>
        <v>5000</v>
      </c>
      <c r="CD614" s="114">
        <f>CC614-CE614</f>
        <v>5000</v>
      </c>
      <c r="CE614" s="114"/>
      <c r="CF614" s="114">
        <f>VLOOKUP($C614,'1 预算编制表单'!$C:$BJ,51,FALSE)</f>
        <v>5000</v>
      </c>
      <c r="CG614" s="114">
        <f>CF614-CH614</f>
        <v>5000</v>
      </c>
      <c r="CH614" s="114"/>
      <c r="CI614" s="114">
        <f>VLOOKUP($C614,'1 预算编制表单'!$C:$BJ,54,FALSE)</f>
        <v>5000</v>
      </c>
      <c r="CJ614" s="114">
        <f>CI614-CK614</f>
        <v>5000</v>
      </c>
      <c r="CK614" s="114"/>
      <c r="CL614" s="114">
        <f>VLOOKUP($C614,'1 预算编制表单'!$C:$BJ,57,FALSE)</f>
        <v>5000</v>
      </c>
      <c r="CM614" s="114">
        <f>CL614-CN614</f>
        <v>5000</v>
      </c>
      <c r="CN614" s="114"/>
      <c r="CO614" s="114">
        <f>VLOOKUP($C614,'1 预算编制表单'!$C:$BJ,60,FALSE)</f>
        <v>5000</v>
      </c>
      <c r="CP614" s="114">
        <f>CO614-CQ614</f>
        <v>5000</v>
      </c>
      <c r="CQ614" s="114"/>
    </row>
    <row r="615" s="86" customFormat="1" ht="24" customHeight="1" outlineLevel="1" spans="1:95">
      <c r="A615" s="169"/>
      <c r="B615" s="170" t="s">
        <v>794</v>
      </c>
      <c r="C615" s="171" t="s">
        <v>78</v>
      </c>
      <c r="D615" s="169" t="s">
        <v>79</v>
      </c>
      <c r="E615" s="170" t="s">
        <v>2323</v>
      </c>
      <c r="F615" s="170"/>
      <c r="G615" s="170" t="s">
        <v>1851</v>
      </c>
      <c r="H615" s="172">
        <f t="shared" si="6779"/>
        <v>0</v>
      </c>
      <c r="I615" s="172">
        <f t="shared" si="6780"/>
        <v>-25408.6</v>
      </c>
      <c r="J615" s="172">
        <f t="shared" si="6781"/>
        <v>25408.6</v>
      </c>
      <c r="K615" s="172"/>
      <c r="L615" s="173"/>
      <c r="M615" s="173"/>
      <c r="N615" s="172"/>
      <c r="O615" s="173"/>
      <c r="P615" s="172"/>
      <c r="Q615" s="172"/>
      <c r="R615" s="172"/>
      <c r="S615" s="172"/>
      <c r="T615" s="172"/>
      <c r="U615" s="172"/>
      <c r="V615" s="172"/>
      <c r="W615" s="172"/>
      <c r="X615" s="172">
        <f>VLOOKUP($C615,'1 预算编制表单'!$C:$BJ,27,FALSE)</f>
        <v>0</v>
      </c>
      <c r="Y615" s="172">
        <f>X615-Z615</f>
        <v>-8540.6</v>
      </c>
      <c r="Z615" s="172">
        <f>报销单计算表!B8</f>
        <v>8540.6</v>
      </c>
      <c r="AA615" s="172">
        <f>VLOOKUP($C615,'1 预算编制表单'!$C:$BJ,30,FALSE)</f>
        <v>0</v>
      </c>
      <c r="AB615" s="172">
        <f>AA615-AC615</f>
        <v>-16868</v>
      </c>
      <c r="AC615" s="172">
        <f>报销单计算表!C8</f>
        <v>16868</v>
      </c>
      <c r="AD615" s="172">
        <f>VLOOKUP($C615,'1 预算编制表单'!$C:$BJ,33,FALSE)</f>
        <v>0</v>
      </c>
      <c r="AE615" s="172">
        <f>AD615-AF615</f>
        <v>0</v>
      </c>
      <c r="AF615" s="172">
        <f>报销单计算表!D8</f>
        <v>0</v>
      </c>
      <c r="AG615" s="172">
        <f>VLOOKUP($C615,'1 预算编制表单'!$C:$BJ,36,FALSE)</f>
        <v>0</v>
      </c>
      <c r="AH615" s="172">
        <f>AG615-AI615</f>
        <v>0</v>
      </c>
      <c r="AI615" s="172">
        <f>报销单计算表!E8</f>
        <v>0</v>
      </c>
      <c r="AJ615" s="172">
        <f>VLOOKUP($C615,'1 预算编制表单'!$C:$BJ,39,FALSE)</f>
        <v>0</v>
      </c>
      <c r="AK615" s="172">
        <f>AJ615-AL615</f>
        <v>0</v>
      </c>
      <c r="AL615" s="172">
        <f>报销单计算表!F8</f>
        <v>0</v>
      </c>
      <c r="AM615" s="172">
        <f>VLOOKUP($C615,'1 预算编制表单'!$C:$BJ,42,FALSE)</f>
        <v>0</v>
      </c>
      <c r="AN615" s="172">
        <f>AM615-AO615</f>
        <v>0</v>
      </c>
      <c r="AO615" s="172">
        <f>报销单计算表!G8</f>
        <v>0</v>
      </c>
      <c r="AP615" s="172">
        <f>VLOOKUP($C615,'1 预算编制表单'!$C:$BJ,45,FALSE)</f>
        <v>0</v>
      </c>
      <c r="AQ615" s="172">
        <f>AP615-AR615</f>
        <v>0</v>
      </c>
      <c r="AR615" s="172">
        <f>报销单计算表!H8</f>
        <v>0</v>
      </c>
      <c r="AS615" s="172">
        <f>VLOOKUP($C615,'1 预算编制表单'!$C:$BJ,48,FALSE)</f>
        <v>0</v>
      </c>
      <c r="AT615" s="172">
        <f>AS615-AU615</f>
        <v>0</v>
      </c>
      <c r="AU615" s="172">
        <f>报销单计算表!I8</f>
        <v>0</v>
      </c>
      <c r="AV615" s="172">
        <f>VLOOKUP($C615,'1 预算编制表单'!$C:$BJ,51,FALSE)</f>
        <v>0</v>
      </c>
      <c r="AW615" s="172">
        <f>AV615-AX615</f>
        <v>0</v>
      </c>
      <c r="AX615" s="172">
        <f>报销单计算表!J8</f>
        <v>0</v>
      </c>
      <c r="AY615" s="172">
        <f>VLOOKUP($C615,'1 预算编制表单'!$C:$BJ,54,FALSE)</f>
        <v>0</v>
      </c>
      <c r="AZ615" s="172">
        <f>AY615-BA615</f>
        <v>0</v>
      </c>
      <c r="BA615" s="172">
        <f>报销单计算表!K8</f>
        <v>0</v>
      </c>
      <c r="BB615" s="172">
        <f>VLOOKUP($C615,'1 预算编制表单'!$C:$BJ,57,FALSE)</f>
        <v>0</v>
      </c>
      <c r="BC615" s="172">
        <f>BB615-BD615</f>
        <v>0</v>
      </c>
      <c r="BD615" s="172">
        <f>报销单计算表!L8</f>
        <v>0</v>
      </c>
      <c r="BE615" s="172">
        <f>VLOOKUP($C615,'1 预算编制表单'!$C:$BJ,60,FALSE)</f>
        <v>0</v>
      </c>
      <c r="BF615" s="172">
        <f>BE615-BG615</f>
        <v>0</v>
      </c>
      <c r="BG615" s="172">
        <f>报销单计算表!M8</f>
        <v>0</v>
      </c>
      <c r="BH615" s="172">
        <f>VLOOKUP($C615,'1 预算编制表单'!$C:$BJ,27,FALSE)</f>
        <v>0</v>
      </c>
      <c r="BI615" s="172">
        <f>BH615-BJ615</f>
        <v>0</v>
      </c>
      <c r="BJ615" s="172"/>
      <c r="BK615" s="172">
        <f>VLOOKUP($C615,'1 预算编制表单'!$C:$BJ,30,FALSE)</f>
        <v>0</v>
      </c>
      <c r="BL615" s="172">
        <f>BK615-BM615</f>
        <v>0</v>
      </c>
      <c r="BM615" s="172"/>
      <c r="BN615" s="172">
        <f>VLOOKUP($C615,'1 预算编制表单'!$C:$BJ,33,FALSE)</f>
        <v>0</v>
      </c>
      <c r="BO615" s="172">
        <f>BN615-BP615</f>
        <v>0</v>
      </c>
      <c r="BP615" s="172"/>
      <c r="BQ615" s="172">
        <f>VLOOKUP($C615,'1 预算编制表单'!$C:$BJ,36,FALSE)</f>
        <v>0</v>
      </c>
      <c r="BR615" s="172">
        <f>BQ615-BS615</f>
        <v>0</v>
      </c>
      <c r="BS615" s="172"/>
      <c r="BT615" s="172">
        <f>VLOOKUP($C615,'1 预算编制表单'!$C:$BJ,39,FALSE)</f>
        <v>0</v>
      </c>
      <c r="BU615" s="172">
        <f>BT615-BV615</f>
        <v>0</v>
      </c>
      <c r="BV615" s="172"/>
      <c r="BW615" s="172">
        <f>VLOOKUP($C615,'1 预算编制表单'!$C:$BJ,42,FALSE)</f>
        <v>0</v>
      </c>
      <c r="BX615" s="172">
        <f>BW615-BY615</f>
        <v>0</v>
      </c>
      <c r="BY615" s="172"/>
      <c r="BZ615" s="172">
        <f>VLOOKUP($C615,'1 预算编制表单'!$C:$BJ,45,FALSE)</f>
        <v>0</v>
      </c>
      <c r="CA615" s="172">
        <f>BZ615-CB615</f>
        <v>0</v>
      </c>
      <c r="CB615" s="172"/>
      <c r="CC615" s="172">
        <f>VLOOKUP($C615,'1 预算编制表单'!$C:$BJ,48,FALSE)</f>
        <v>0</v>
      </c>
      <c r="CD615" s="172">
        <f>CC615-CE615</f>
        <v>0</v>
      </c>
      <c r="CE615" s="172"/>
      <c r="CF615" s="172">
        <f>VLOOKUP($C615,'1 预算编制表单'!$C:$BJ,51,FALSE)</f>
        <v>0</v>
      </c>
      <c r="CG615" s="172">
        <f>CF615-CH615</f>
        <v>0</v>
      </c>
      <c r="CH615" s="172"/>
      <c r="CI615" s="172">
        <f>VLOOKUP($C615,'1 预算编制表单'!$C:$BJ,54,FALSE)</f>
        <v>0</v>
      </c>
      <c r="CJ615" s="172">
        <f>CI615-CK615</f>
        <v>0</v>
      </c>
      <c r="CK615" s="172"/>
      <c r="CL615" s="172">
        <f>VLOOKUP($C615,'1 预算编制表单'!$C:$BJ,57,FALSE)</f>
        <v>0</v>
      </c>
      <c r="CM615" s="172">
        <f>CL615-CN615</f>
        <v>0</v>
      </c>
      <c r="CN615" s="172"/>
      <c r="CO615" s="172">
        <f>VLOOKUP($C615,'1 预算编制表单'!$C:$BJ,60,FALSE)</f>
        <v>0</v>
      </c>
      <c r="CP615" s="172">
        <f>CO615-CQ615</f>
        <v>0</v>
      </c>
      <c r="CQ615" s="172"/>
    </row>
    <row r="616" ht="24" customHeight="1" spans="1:95">
      <c r="A616" s="108"/>
      <c r="B616" s="109" t="s">
        <v>794</v>
      </c>
      <c r="C616" s="110">
        <v>1.6</v>
      </c>
      <c r="D616" s="108" t="s">
        <v>217</v>
      </c>
      <c r="E616" s="108"/>
      <c r="F616" s="108" t="s">
        <v>2324</v>
      </c>
      <c r="G616" s="109"/>
      <c r="H616" s="167">
        <f t="shared" si="6779"/>
        <v>201509.433962264</v>
      </c>
      <c r="I616" s="167">
        <f t="shared" si="6780"/>
        <v>201140.933962264</v>
      </c>
      <c r="J616" s="167">
        <f t="shared" si="6781"/>
        <v>368.5</v>
      </c>
      <c r="K616" s="167"/>
      <c r="L616" s="168"/>
      <c r="M616" s="168"/>
      <c r="N616" s="167"/>
      <c r="O616" s="168"/>
      <c r="P616" s="167"/>
      <c r="Q616" s="167"/>
      <c r="R616" s="167"/>
      <c r="S616" s="167"/>
      <c r="T616" s="167"/>
      <c r="U616" s="167"/>
      <c r="V616" s="167"/>
      <c r="W616" s="167"/>
      <c r="X616" s="167">
        <f>VLOOKUP($C616,'1 预算编制表单'!$C:$BJ,27,FALSE)</f>
        <v>201509.433962264</v>
      </c>
      <c r="Y616" s="167">
        <f t="shared" ref="Y616:AC616" si="6782">Y617+Y618+Y619+Y620+Y621</f>
        <v>201509.433962264</v>
      </c>
      <c r="Z616" s="167">
        <f t="shared" si="6782"/>
        <v>0</v>
      </c>
      <c r="AA616" s="167">
        <f>VLOOKUP($C616,'1 预算编制表单'!$C:$BJ,30,FALSE)</f>
        <v>0</v>
      </c>
      <c r="AB616" s="167">
        <f t="shared" si="6782"/>
        <v>0</v>
      </c>
      <c r="AC616" s="167">
        <f t="shared" si="6782"/>
        <v>0</v>
      </c>
      <c r="AD616" s="167">
        <f>VLOOKUP($C616,'1 预算编制表单'!$C:$BJ,33,FALSE)</f>
        <v>0</v>
      </c>
      <c r="AE616" s="167">
        <f t="shared" ref="AE616:AI616" si="6783">AE617+AE618+AE619+AE620+AE621</f>
        <v>0</v>
      </c>
      <c r="AF616" s="167">
        <f t="shared" si="6783"/>
        <v>0</v>
      </c>
      <c r="AG616" s="167">
        <f>VLOOKUP($C616,'1 预算编制表单'!$C:$BJ,36,FALSE)</f>
        <v>0</v>
      </c>
      <c r="AH616" s="167">
        <f t="shared" si="6783"/>
        <v>-368.5</v>
      </c>
      <c r="AI616" s="167">
        <f t="shared" si="6783"/>
        <v>368.5</v>
      </c>
      <c r="AJ616" s="167">
        <f>VLOOKUP($C616,'1 预算编制表单'!$C:$BJ,39,FALSE)</f>
        <v>0</v>
      </c>
      <c r="AK616" s="167">
        <f t="shared" ref="AK616:AO616" si="6784">AK617+AK618+AK619+AK620+AK621</f>
        <v>0</v>
      </c>
      <c r="AL616" s="167">
        <f t="shared" si="6784"/>
        <v>0</v>
      </c>
      <c r="AM616" s="167">
        <f>VLOOKUP($C616,'1 预算编制表单'!$C:$BJ,42,FALSE)</f>
        <v>0</v>
      </c>
      <c r="AN616" s="167">
        <f t="shared" si="6784"/>
        <v>0</v>
      </c>
      <c r="AO616" s="167">
        <f t="shared" si="6784"/>
        <v>0</v>
      </c>
      <c r="AP616" s="167">
        <f>VLOOKUP($C616,'1 预算编制表单'!$C:$BJ,45,FALSE)</f>
        <v>0</v>
      </c>
      <c r="AQ616" s="167">
        <f t="shared" ref="AQ616:AU616" si="6785">AQ617+AQ618+AQ619+AQ620+AQ621</f>
        <v>0</v>
      </c>
      <c r="AR616" s="167">
        <f t="shared" si="6785"/>
        <v>0</v>
      </c>
      <c r="AS616" s="167">
        <f>VLOOKUP($C616,'1 预算编制表单'!$C:$BJ,48,FALSE)</f>
        <v>0</v>
      </c>
      <c r="AT616" s="167">
        <f t="shared" si="6785"/>
        <v>0</v>
      </c>
      <c r="AU616" s="167">
        <f t="shared" si="6785"/>
        <v>0</v>
      </c>
      <c r="AV616" s="167">
        <f>VLOOKUP($C616,'1 预算编制表单'!$C:$BJ,51,FALSE)</f>
        <v>0</v>
      </c>
      <c r="AW616" s="167">
        <f t="shared" ref="AW616:BA616" si="6786">AW617+AW618+AW619+AW620+AW621</f>
        <v>0</v>
      </c>
      <c r="AX616" s="167">
        <f t="shared" si="6786"/>
        <v>0</v>
      </c>
      <c r="AY616" s="167">
        <f>VLOOKUP($C616,'1 预算编制表单'!$C:$BJ,54,FALSE)</f>
        <v>0</v>
      </c>
      <c r="AZ616" s="167">
        <f t="shared" si="6786"/>
        <v>0</v>
      </c>
      <c r="BA616" s="167">
        <f t="shared" si="6786"/>
        <v>0</v>
      </c>
      <c r="BB616" s="167">
        <f>VLOOKUP($C616,'1 预算编制表单'!$C:$BJ,57,FALSE)</f>
        <v>0</v>
      </c>
      <c r="BC616" s="167">
        <f t="shared" ref="BC616:BG616" si="6787">BC617+BC618+BC619+BC620+BC621</f>
        <v>0</v>
      </c>
      <c r="BD616" s="167">
        <f t="shared" si="6787"/>
        <v>0</v>
      </c>
      <c r="BE616" s="167">
        <f>VLOOKUP($C616,'1 预算编制表单'!$C:$BJ,60,FALSE)</f>
        <v>0</v>
      </c>
      <c r="BF616" s="167">
        <f t="shared" si="6787"/>
        <v>0</v>
      </c>
      <c r="BG616" s="167">
        <f t="shared" si="6787"/>
        <v>0</v>
      </c>
      <c r="BH616" s="167">
        <f>VLOOKUP($C616,'1 预算编制表单'!$C:$BJ,27,FALSE)</f>
        <v>201509.433962264</v>
      </c>
      <c r="BI616" s="167">
        <f t="shared" ref="BI616:BM616" si="6788">BI617+BI618+BI619+BI620+BI621</f>
        <v>201509.433962264</v>
      </c>
      <c r="BJ616" s="167">
        <f t="shared" si="6788"/>
        <v>0</v>
      </c>
      <c r="BK616" s="167">
        <f>VLOOKUP($C616,'1 预算编制表单'!$C:$BJ,30,FALSE)</f>
        <v>0</v>
      </c>
      <c r="BL616" s="167">
        <f t="shared" si="6788"/>
        <v>0</v>
      </c>
      <c r="BM616" s="167">
        <f t="shared" si="6788"/>
        <v>0</v>
      </c>
      <c r="BN616" s="167">
        <f>VLOOKUP($C616,'1 预算编制表单'!$C:$BJ,33,FALSE)</f>
        <v>0</v>
      </c>
      <c r="BO616" s="167">
        <f t="shared" ref="BO616:BS616" si="6789">BO617+BO618+BO619+BO620+BO621</f>
        <v>0</v>
      </c>
      <c r="BP616" s="167">
        <f t="shared" si="6789"/>
        <v>0</v>
      </c>
      <c r="BQ616" s="167">
        <f>VLOOKUP($C616,'1 预算编制表单'!$C:$BJ,36,FALSE)</f>
        <v>0</v>
      </c>
      <c r="BR616" s="167">
        <f t="shared" si="6789"/>
        <v>0</v>
      </c>
      <c r="BS616" s="167">
        <f t="shared" si="6789"/>
        <v>0</v>
      </c>
      <c r="BT616" s="167">
        <f>VLOOKUP($C616,'1 预算编制表单'!$C:$BJ,39,FALSE)</f>
        <v>0</v>
      </c>
      <c r="BU616" s="167">
        <f t="shared" ref="BU616:BY616" si="6790">BU617+BU618+BU619+BU620+BU621</f>
        <v>0</v>
      </c>
      <c r="BV616" s="167">
        <f t="shared" si="6790"/>
        <v>0</v>
      </c>
      <c r="BW616" s="167">
        <f>VLOOKUP($C616,'1 预算编制表单'!$C:$BJ,42,FALSE)</f>
        <v>0</v>
      </c>
      <c r="BX616" s="167">
        <f t="shared" si="6790"/>
        <v>0</v>
      </c>
      <c r="BY616" s="167">
        <f t="shared" si="6790"/>
        <v>0</v>
      </c>
      <c r="BZ616" s="167">
        <f>VLOOKUP($C616,'1 预算编制表单'!$C:$BJ,45,FALSE)</f>
        <v>0</v>
      </c>
      <c r="CA616" s="167">
        <f t="shared" ref="CA616:CE616" si="6791">CA617+CA618+CA619+CA620+CA621</f>
        <v>0</v>
      </c>
      <c r="CB616" s="167">
        <f t="shared" si="6791"/>
        <v>0</v>
      </c>
      <c r="CC616" s="167">
        <f>VLOOKUP($C616,'1 预算编制表单'!$C:$BJ,48,FALSE)</f>
        <v>0</v>
      </c>
      <c r="CD616" s="167">
        <f t="shared" si="6791"/>
        <v>0</v>
      </c>
      <c r="CE616" s="167">
        <f t="shared" si="6791"/>
        <v>0</v>
      </c>
      <c r="CF616" s="167">
        <f>VLOOKUP($C616,'1 预算编制表单'!$C:$BJ,51,FALSE)</f>
        <v>0</v>
      </c>
      <c r="CG616" s="167">
        <f t="shared" ref="CG616:CK616" si="6792">CG617+CG618+CG619+CG620+CG621</f>
        <v>0</v>
      </c>
      <c r="CH616" s="167">
        <f t="shared" si="6792"/>
        <v>0</v>
      </c>
      <c r="CI616" s="167">
        <f>VLOOKUP($C616,'1 预算编制表单'!$C:$BJ,54,FALSE)</f>
        <v>0</v>
      </c>
      <c r="CJ616" s="167">
        <f t="shared" si="6792"/>
        <v>0</v>
      </c>
      <c r="CK616" s="167">
        <f t="shared" si="6792"/>
        <v>0</v>
      </c>
      <c r="CL616" s="167">
        <f>VLOOKUP($C616,'1 预算编制表单'!$C:$BJ,57,FALSE)</f>
        <v>0</v>
      </c>
      <c r="CM616" s="167">
        <f t="shared" ref="CM616:CQ616" si="6793">CM617+CM618+CM619+CM620+CM621</f>
        <v>0</v>
      </c>
      <c r="CN616" s="167">
        <f t="shared" si="6793"/>
        <v>0</v>
      </c>
      <c r="CO616" s="167">
        <f>VLOOKUP($C616,'1 预算编制表单'!$C:$BJ,60,FALSE)</f>
        <v>0</v>
      </c>
      <c r="CP616" s="167">
        <f t="shared" si="6793"/>
        <v>0</v>
      </c>
      <c r="CQ616" s="167">
        <f t="shared" si="6793"/>
        <v>0</v>
      </c>
    </row>
    <row r="617" ht="24" customHeight="1" outlineLevel="1" spans="1:95">
      <c r="A617" s="22"/>
      <c r="B617" s="112" t="s">
        <v>794</v>
      </c>
      <c r="C617" s="113" t="s">
        <v>2325</v>
      </c>
      <c r="D617" s="22" t="s">
        <v>2326</v>
      </c>
      <c r="E617" s="22"/>
      <c r="F617" s="22"/>
      <c r="G617" s="112"/>
      <c r="H617" s="114">
        <f t="shared" si="6779"/>
        <v>0</v>
      </c>
      <c r="I617" s="114">
        <f t="shared" si="6780"/>
        <v>-368.5</v>
      </c>
      <c r="J617" s="114">
        <f t="shared" si="6781"/>
        <v>368.5</v>
      </c>
      <c r="K617" s="114"/>
      <c r="L617" s="147"/>
      <c r="M617" s="147"/>
      <c r="N617" s="114"/>
      <c r="O617" s="147"/>
      <c r="P617" s="114"/>
      <c r="Q617" s="114"/>
      <c r="R617" s="114"/>
      <c r="S617" s="114"/>
      <c r="T617" s="114"/>
      <c r="U617" s="114"/>
      <c r="V617" s="114"/>
      <c r="W617" s="114"/>
      <c r="X617" s="117">
        <f>VLOOKUP($C617,'1 预算编制表单'!$C:$BJ,27,FALSE)</f>
        <v>0</v>
      </c>
      <c r="Y617" s="117">
        <f>X617-Z617</f>
        <v>0</v>
      </c>
      <c r="Z617" s="117">
        <f>SUMIF(物资过程计算表!$B:$B,$C617,物资过程计算表!$D:$D)</f>
        <v>0</v>
      </c>
      <c r="AA617" s="117">
        <f>VLOOKUP($C617,'1 预算编制表单'!$C:$BJ,30,FALSE)</f>
        <v>0</v>
      </c>
      <c r="AB617" s="117">
        <f>AA617-AC617</f>
        <v>0</v>
      </c>
      <c r="AC617" s="117">
        <f>SUMIF(物资过程计算表!$B:$B,$C617,物资过程计算表!E:E)</f>
        <v>0</v>
      </c>
      <c r="AD617" s="117">
        <f>VLOOKUP($C617,'1 预算编制表单'!$C:$BJ,33,FALSE)</f>
        <v>0</v>
      </c>
      <c r="AE617" s="117">
        <f>AD617-AF617</f>
        <v>0</v>
      </c>
      <c r="AF617" s="117">
        <f>SUMIF(物资过程计算表!$B:$B,$C617,物资过程计算表!F:F)</f>
        <v>0</v>
      </c>
      <c r="AG617" s="117">
        <f>VLOOKUP($C617,'1 预算编制表单'!$C:$BJ,36,FALSE)</f>
        <v>0</v>
      </c>
      <c r="AH617" s="117">
        <f>AG617-AI617</f>
        <v>-368.5</v>
      </c>
      <c r="AI617" s="117">
        <f>SUMIF(物资过程计算表!$B:$B,$C617,物资过程计算表!G:G)</f>
        <v>368.5</v>
      </c>
      <c r="AJ617" s="117">
        <f>VLOOKUP($C617,'1 预算编制表单'!$C:$BJ,39,FALSE)</f>
        <v>0</v>
      </c>
      <c r="AK617" s="117">
        <f>AJ617-AL617</f>
        <v>0</v>
      </c>
      <c r="AL617" s="117">
        <f>SUMIF(物资过程计算表!$B:$B,$C617,物资过程计算表!H:H)</f>
        <v>0</v>
      </c>
      <c r="AM617" s="117">
        <f>VLOOKUP($C617,'1 预算编制表单'!$C:$BJ,42,FALSE)</f>
        <v>0</v>
      </c>
      <c r="AN617" s="117">
        <f>AM617-AO617</f>
        <v>0</v>
      </c>
      <c r="AO617" s="117">
        <f>SUMIF(物资过程计算表!$B:$B,$C617,物资过程计算表!I:I)</f>
        <v>0</v>
      </c>
      <c r="AP617" s="117">
        <f>VLOOKUP($C617,'1 预算编制表单'!$C:$BJ,45,FALSE)</f>
        <v>0</v>
      </c>
      <c r="AQ617" s="117">
        <f>AP617-AR617</f>
        <v>0</v>
      </c>
      <c r="AR617" s="117">
        <f>SUMIF(物资过程计算表!$B:$B,$C617,物资过程计算表!J:J)</f>
        <v>0</v>
      </c>
      <c r="AS617" s="117">
        <f>VLOOKUP($C617,'1 预算编制表单'!$C:$BJ,48,FALSE)</f>
        <v>0</v>
      </c>
      <c r="AT617" s="117">
        <f>AS617-AU617</f>
        <v>0</v>
      </c>
      <c r="AU617" s="117">
        <f>SUMIF(物资过程计算表!$B:$B,$C617,物资过程计算表!K:K)</f>
        <v>0</v>
      </c>
      <c r="AV617" s="117">
        <f>VLOOKUP($C617,'1 预算编制表单'!$C:$BJ,51,FALSE)</f>
        <v>0</v>
      </c>
      <c r="AW617" s="117">
        <f>AV617-AX617</f>
        <v>0</v>
      </c>
      <c r="AX617" s="117">
        <f>SUMIF(物资过程计算表!$B:$B,$C617,物资过程计算表!L:L)</f>
        <v>0</v>
      </c>
      <c r="AY617" s="117">
        <f>VLOOKUP($C617,'1 预算编制表单'!$C:$BJ,54,FALSE)</f>
        <v>0</v>
      </c>
      <c r="AZ617" s="117">
        <f>AY617-BA617</f>
        <v>0</v>
      </c>
      <c r="BA617" s="117">
        <f>SUMIF(物资过程计算表!$B:$B,$C617,物资过程计算表!M:M)</f>
        <v>0</v>
      </c>
      <c r="BB617" s="117">
        <f>VLOOKUP($C617,'1 预算编制表单'!$C:$BJ,57,FALSE)</f>
        <v>0</v>
      </c>
      <c r="BC617" s="117">
        <f>BB617-BD617</f>
        <v>0</v>
      </c>
      <c r="BD617" s="117">
        <f>SUMIF(物资过程计算表!$B:$B,$C617,物资过程计算表!N:N)</f>
        <v>0</v>
      </c>
      <c r="BE617" s="117">
        <f>VLOOKUP($C617,'1 预算编制表单'!$C:$BJ,60,FALSE)</f>
        <v>0</v>
      </c>
      <c r="BF617" s="117">
        <f>BE617-BG617</f>
        <v>0</v>
      </c>
      <c r="BG617" s="117">
        <f>SUMIF(物资过程计算表!$B:$B,$C617,物资过程计算表!O:O)</f>
        <v>0</v>
      </c>
      <c r="BH617" s="114">
        <f>VLOOKUP($C617,'1 预算编制表单'!$C:$BJ,27,FALSE)</f>
        <v>0</v>
      </c>
      <c r="BI617" s="114">
        <f t="shared" ref="BI617:BI621" si="6794">BH617-BJ617</f>
        <v>0</v>
      </c>
      <c r="BJ617" s="114"/>
      <c r="BK617" s="114">
        <f>VLOOKUP($C617,'1 预算编制表单'!$C:$BJ,30,FALSE)</f>
        <v>0</v>
      </c>
      <c r="BL617" s="114">
        <f t="shared" ref="BL617:BL621" si="6795">BK617-BM617</f>
        <v>0</v>
      </c>
      <c r="BM617" s="114"/>
      <c r="BN617" s="114">
        <f>VLOOKUP($C617,'1 预算编制表单'!$C:$BJ,33,FALSE)</f>
        <v>0</v>
      </c>
      <c r="BO617" s="114">
        <f t="shared" ref="BO617:BO621" si="6796">BN617-BP617</f>
        <v>0</v>
      </c>
      <c r="BP617" s="114"/>
      <c r="BQ617" s="114">
        <f>VLOOKUP($C617,'1 预算编制表单'!$C:$BJ,36,FALSE)</f>
        <v>0</v>
      </c>
      <c r="BR617" s="114">
        <f t="shared" ref="BR617:BR621" si="6797">BQ617-BS617</f>
        <v>0</v>
      </c>
      <c r="BS617" s="114"/>
      <c r="BT617" s="114">
        <f>VLOOKUP($C617,'1 预算编制表单'!$C:$BJ,39,FALSE)</f>
        <v>0</v>
      </c>
      <c r="BU617" s="114">
        <f t="shared" ref="BU617:BU621" si="6798">BT617-BV617</f>
        <v>0</v>
      </c>
      <c r="BV617" s="114"/>
      <c r="BW617" s="114">
        <f>VLOOKUP($C617,'1 预算编制表单'!$C:$BJ,42,FALSE)</f>
        <v>0</v>
      </c>
      <c r="BX617" s="114">
        <f t="shared" ref="BX617:BX621" si="6799">BW617-BY617</f>
        <v>0</v>
      </c>
      <c r="BY617" s="114"/>
      <c r="BZ617" s="114">
        <f>VLOOKUP($C617,'1 预算编制表单'!$C:$BJ,45,FALSE)</f>
        <v>0</v>
      </c>
      <c r="CA617" s="114">
        <f t="shared" ref="CA617:CA621" si="6800">BZ617-CB617</f>
        <v>0</v>
      </c>
      <c r="CB617" s="114"/>
      <c r="CC617" s="114">
        <f>VLOOKUP($C617,'1 预算编制表单'!$C:$BJ,48,FALSE)</f>
        <v>0</v>
      </c>
      <c r="CD617" s="114">
        <f t="shared" ref="CD617:CD621" si="6801">CC617-CE617</f>
        <v>0</v>
      </c>
      <c r="CE617" s="114"/>
      <c r="CF617" s="114">
        <f>VLOOKUP($C617,'1 预算编制表单'!$C:$BJ,51,FALSE)</f>
        <v>0</v>
      </c>
      <c r="CG617" s="114">
        <f t="shared" ref="CG617:CG621" si="6802">CF617-CH617</f>
        <v>0</v>
      </c>
      <c r="CH617" s="114"/>
      <c r="CI617" s="114">
        <f>VLOOKUP($C617,'1 预算编制表单'!$C:$BJ,54,FALSE)</f>
        <v>0</v>
      </c>
      <c r="CJ617" s="114">
        <f t="shared" ref="CJ617:CJ621" si="6803">CI617-CK617</f>
        <v>0</v>
      </c>
      <c r="CK617" s="114"/>
      <c r="CL617" s="114">
        <f>VLOOKUP($C617,'1 预算编制表单'!$C:$BJ,57,FALSE)</f>
        <v>0</v>
      </c>
      <c r="CM617" s="114">
        <f t="shared" ref="CM617:CM621" si="6804">CL617-CN617</f>
        <v>0</v>
      </c>
      <c r="CN617" s="114"/>
      <c r="CO617" s="114">
        <f>VLOOKUP($C617,'1 预算编制表单'!$C:$BJ,60,FALSE)</f>
        <v>0</v>
      </c>
      <c r="CP617" s="114">
        <f t="shared" ref="CP617:CP621" si="6805">CO617-CQ617</f>
        <v>0</v>
      </c>
      <c r="CQ617" s="114"/>
    </row>
    <row r="618" ht="24" customHeight="1" outlineLevel="1" spans="1:95">
      <c r="A618" s="22"/>
      <c r="B618" s="112" t="s">
        <v>794</v>
      </c>
      <c r="C618" s="113" t="s">
        <v>2379</v>
      </c>
      <c r="D618" s="22" t="s">
        <v>2380</v>
      </c>
      <c r="E618" s="112" t="s">
        <v>2381</v>
      </c>
      <c r="F618" s="112" t="s">
        <v>1625</v>
      </c>
      <c r="G618" s="112" t="s">
        <v>943</v>
      </c>
      <c r="H618" s="114">
        <f t="shared" si="6779"/>
        <v>60000</v>
      </c>
      <c r="I618" s="114">
        <f t="shared" si="6780"/>
        <v>60000</v>
      </c>
      <c r="J618" s="114">
        <f t="shared" si="6781"/>
        <v>0</v>
      </c>
      <c r="K618" s="114"/>
      <c r="L618" s="147"/>
      <c r="M618" s="147"/>
      <c r="N618" s="114"/>
      <c r="O618" s="147"/>
      <c r="P618" s="114"/>
      <c r="Q618" s="114"/>
      <c r="R618" s="114"/>
      <c r="S618" s="114"/>
      <c r="T618" s="114"/>
      <c r="U618" s="114"/>
      <c r="V618" s="114"/>
      <c r="W618" s="114"/>
      <c r="X618" s="114">
        <f>VLOOKUP($C618,'1 预算编制表单'!$C:$BJ,27,FALSE)</f>
        <v>60000</v>
      </c>
      <c r="Y618" s="114">
        <f t="shared" ref="Y618:Y621" si="6806">X618-Z618</f>
        <v>60000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60000</v>
      </c>
      <c r="BI618" s="114">
        <f t="shared" si="6794"/>
        <v>60000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customHeight="1" outlineLevel="1" spans="1:95">
      <c r="A619" s="22"/>
      <c r="B619" s="112" t="s">
        <v>794</v>
      </c>
      <c r="C619" s="113" t="s">
        <v>2382</v>
      </c>
      <c r="D619" s="22" t="s">
        <v>2383</v>
      </c>
      <c r="E619" s="112" t="s">
        <v>2384</v>
      </c>
      <c r="F619" s="112" t="s">
        <v>1625</v>
      </c>
      <c r="G619" s="112" t="s">
        <v>943</v>
      </c>
      <c r="H619" s="114">
        <f t="shared" si="6779"/>
        <v>0</v>
      </c>
      <c r="I619" s="114">
        <f t="shared" si="6780"/>
        <v>0</v>
      </c>
      <c r="J619" s="114">
        <f t="shared" si="6781"/>
        <v>0</v>
      </c>
      <c r="K619" s="114"/>
      <c r="L619" s="147"/>
      <c r="M619" s="147"/>
      <c r="N619" s="114"/>
      <c r="O619" s="147"/>
      <c r="P619" s="114"/>
      <c r="Q619" s="114"/>
      <c r="R619" s="114"/>
      <c r="S619" s="114"/>
      <c r="T619" s="114"/>
      <c r="U619" s="114"/>
      <c r="V619" s="114"/>
      <c r="W619" s="114"/>
      <c r="X619" s="114">
        <f>VLOOKUP($C619,'1 预算编制表单'!$C:$BJ,27,FALSE)</f>
        <v>0</v>
      </c>
      <c r="Y619" s="114">
        <f t="shared" si="6806"/>
        <v>0</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0</v>
      </c>
      <c r="BI619" s="114">
        <f t="shared" si="6794"/>
        <v>0</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24" customHeight="1" outlineLevel="1" spans="1:95">
      <c r="A620" s="22"/>
      <c r="B620" s="112" t="s">
        <v>794</v>
      </c>
      <c r="C620" s="113" t="s">
        <v>2385</v>
      </c>
      <c r="D620" s="22" t="s">
        <v>2386</v>
      </c>
      <c r="E620" s="22"/>
      <c r="F620" s="112" t="s">
        <v>1625</v>
      </c>
      <c r="G620" s="112" t="s">
        <v>943</v>
      </c>
      <c r="H620" s="114">
        <f t="shared" si="6779"/>
        <v>141509.433962264</v>
      </c>
      <c r="I620" s="114">
        <f t="shared" si="6780"/>
        <v>141509.433962264</v>
      </c>
      <c r="J620" s="114">
        <f t="shared" si="6781"/>
        <v>0</v>
      </c>
      <c r="K620" s="114"/>
      <c r="L620" s="147"/>
      <c r="M620" s="147"/>
      <c r="N620" s="114"/>
      <c r="O620" s="147"/>
      <c r="P620" s="114"/>
      <c r="Q620" s="114"/>
      <c r="R620" s="114"/>
      <c r="S620" s="114"/>
      <c r="T620" s="114"/>
      <c r="U620" s="114"/>
      <c r="V620" s="114"/>
      <c r="W620" s="114"/>
      <c r="X620" s="114">
        <f>VLOOKUP($C620,'1 预算编制表单'!$C:$BJ,27,FALSE)</f>
        <v>141509.433962264</v>
      </c>
      <c r="Y620" s="114">
        <f t="shared" si="6806"/>
        <v>141509.433962264</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141509.433962264</v>
      </c>
      <c r="BI620" s="114">
        <f t="shared" si="6794"/>
        <v>141509.433962264</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24" customHeight="1" outlineLevel="1" spans="1:95">
      <c r="A621" s="22"/>
      <c r="B621" s="112" t="s">
        <v>794</v>
      </c>
      <c r="C621" s="113" t="s">
        <v>2387</v>
      </c>
      <c r="D621" s="22" t="s">
        <v>2388</v>
      </c>
      <c r="E621" s="22"/>
      <c r="F621" s="112" t="s">
        <v>1625</v>
      </c>
      <c r="G621" s="112" t="s">
        <v>943</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193"/>
  <sheetViews>
    <sheetView zoomScale="70" zoomScaleNormal="70" topLeftCell="A186" workbookViewId="0">
      <selection activeCell="Q186" sqref="Q186"/>
    </sheetView>
  </sheetViews>
  <sheetFormatPr defaultColWidth="9" defaultRowHeight="13.5"/>
  <cols>
    <col min="1" max="8" width="9" style="65"/>
    <col min="9" max="9" width="9.375" style="65"/>
    <col min="10" max="16384" width="9" style="65"/>
  </cols>
  <sheetData>
    <row r="1" ht="32.45" customHeight="1" spans="1:13">
      <c r="A1" s="77" t="s">
        <v>2847</v>
      </c>
      <c r="B1" s="66"/>
      <c r="C1" s="66"/>
      <c r="D1" s="66"/>
      <c r="E1" s="66"/>
      <c r="F1" s="66"/>
      <c r="G1" s="66"/>
      <c r="H1" s="66"/>
      <c r="I1" s="66"/>
      <c r="J1" s="66"/>
      <c r="K1" s="66"/>
      <c r="L1" s="66"/>
      <c r="M1" s="66"/>
    </row>
    <row r="2" ht="14.25" spans="1:13">
      <c r="A2" s="77" t="s">
        <v>2848</v>
      </c>
      <c r="B2" s="66"/>
      <c r="C2" s="66"/>
      <c r="D2" s="66"/>
      <c r="E2" s="66"/>
      <c r="F2" s="66"/>
      <c r="G2" s="66"/>
      <c r="H2" s="66"/>
      <c r="I2" s="66"/>
      <c r="J2" s="66"/>
      <c r="K2" s="66"/>
      <c r="L2" s="66"/>
      <c r="M2" s="66"/>
    </row>
    <row r="3" ht="14.25" spans="1:13">
      <c r="A3" s="77" t="s">
        <v>2849</v>
      </c>
      <c r="B3" s="66"/>
      <c r="C3" s="66"/>
      <c r="D3" s="66"/>
      <c r="E3" s="66"/>
      <c r="F3" s="66"/>
      <c r="G3" s="66"/>
      <c r="H3" s="66"/>
      <c r="I3" s="66"/>
      <c r="J3" s="66"/>
      <c r="K3" s="66"/>
      <c r="L3" s="66"/>
      <c r="M3" s="66"/>
    </row>
    <row r="4" ht="28.5" spans="1:13">
      <c r="A4" s="78" t="s">
        <v>2850</v>
      </c>
      <c r="B4" s="78" t="s">
        <v>2851</v>
      </c>
      <c r="C4" s="78" t="s">
        <v>2852</v>
      </c>
      <c r="D4" s="78" t="s">
        <v>2853</v>
      </c>
      <c r="E4" s="78" t="s">
        <v>2854</v>
      </c>
      <c r="F4" s="78" t="s">
        <v>2855</v>
      </c>
      <c r="G4" s="78" t="s">
        <v>1242</v>
      </c>
      <c r="H4" s="78" t="s">
        <v>2856</v>
      </c>
      <c r="I4" s="78" t="s">
        <v>2857</v>
      </c>
      <c r="J4" s="78" t="s">
        <v>2858</v>
      </c>
      <c r="K4" s="78" t="s">
        <v>2859</v>
      </c>
      <c r="L4" s="78" t="s">
        <v>2860</v>
      </c>
      <c r="M4" s="78" t="s">
        <v>2861</v>
      </c>
    </row>
    <row r="5" ht="242.25" spans="1:13">
      <c r="A5" s="79" t="s">
        <v>2862</v>
      </c>
      <c r="B5" s="79" t="s">
        <v>2863</v>
      </c>
      <c r="C5" s="79" t="s">
        <v>2864</v>
      </c>
      <c r="D5" s="79" t="s">
        <v>2865</v>
      </c>
      <c r="E5" s="79" t="s">
        <v>2864</v>
      </c>
      <c r="F5" s="80">
        <v>3264.8</v>
      </c>
      <c r="G5" s="80">
        <v>1</v>
      </c>
      <c r="H5" s="80">
        <v>3264.8</v>
      </c>
      <c r="I5" s="80">
        <v>3264.8</v>
      </c>
      <c r="J5" s="79" t="s">
        <v>2866</v>
      </c>
      <c r="K5" s="79" t="s">
        <v>2867</v>
      </c>
      <c r="L5" s="79" t="s">
        <v>2868</v>
      </c>
      <c r="M5" s="79" t="s">
        <v>2869</v>
      </c>
    </row>
    <row r="6" ht="242.25" spans="1:13">
      <c r="A6" s="79" t="s">
        <v>2870</v>
      </c>
      <c r="B6" s="79" t="s">
        <v>2871</v>
      </c>
      <c r="C6" s="79" t="s">
        <v>2872</v>
      </c>
      <c r="D6" s="79" t="s">
        <v>2873</v>
      </c>
      <c r="E6" s="79" t="s">
        <v>1794</v>
      </c>
      <c r="F6" s="80">
        <v>12</v>
      </c>
      <c r="G6" s="80">
        <v>3</v>
      </c>
      <c r="H6" s="80">
        <v>36</v>
      </c>
      <c r="I6" s="80">
        <v>47837.64</v>
      </c>
      <c r="J6" s="79" t="s">
        <v>2874</v>
      </c>
      <c r="K6" s="79" t="s">
        <v>2875</v>
      </c>
      <c r="L6" s="79" t="s">
        <v>2868</v>
      </c>
      <c r="M6" s="79" t="s">
        <v>2876</v>
      </c>
    </row>
    <row r="7" ht="242.25" spans="1:13">
      <c r="A7" s="79" t="s">
        <v>2870</v>
      </c>
      <c r="B7" s="79" t="s">
        <v>2877</v>
      </c>
      <c r="C7" s="79" t="s">
        <v>2878</v>
      </c>
      <c r="D7" s="79" t="s">
        <v>2879</v>
      </c>
      <c r="E7" s="79" t="s">
        <v>2880</v>
      </c>
      <c r="F7" s="80">
        <v>5.6</v>
      </c>
      <c r="G7" s="80">
        <v>18</v>
      </c>
      <c r="H7" s="80">
        <v>100.8</v>
      </c>
      <c r="I7" s="80">
        <v>47837.64</v>
      </c>
      <c r="J7" s="79" t="s">
        <v>2874</v>
      </c>
      <c r="K7" s="79" t="s">
        <v>2875</v>
      </c>
      <c r="L7" s="79" t="s">
        <v>2868</v>
      </c>
      <c r="M7" s="79" t="s">
        <v>2881</v>
      </c>
    </row>
    <row r="8" ht="242.25" spans="1:13">
      <c r="A8" s="79" t="s">
        <v>2870</v>
      </c>
      <c r="B8" s="79" t="s">
        <v>2882</v>
      </c>
      <c r="C8" s="79" t="s">
        <v>2883</v>
      </c>
      <c r="D8" s="79" t="s">
        <v>2884</v>
      </c>
      <c r="E8" s="79" t="s">
        <v>1822</v>
      </c>
      <c r="F8" s="80">
        <v>16.09</v>
      </c>
      <c r="G8" s="80">
        <v>243</v>
      </c>
      <c r="H8" s="80">
        <v>3909.87</v>
      </c>
      <c r="I8" s="80">
        <v>47837.64</v>
      </c>
      <c r="J8" s="79" t="s">
        <v>2874</v>
      </c>
      <c r="K8" s="79" t="s">
        <v>2875</v>
      </c>
      <c r="L8" s="79" t="s">
        <v>2868</v>
      </c>
      <c r="M8" s="79" t="s">
        <v>2885</v>
      </c>
    </row>
    <row r="9" ht="242.25" spans="1:13">
      <c r="A9" s="79" t="s">
        <v>2870</v>
      </c>
      <c r="B9" s="79" t="s">
        <v>2886</v>
      </c>
      <c r="C9" s="79" t="s">
        <v>2887</v>
      </c>
      <c r="D9" s="79" t="s">
        <v>2888</v>
      </c>
      <c r="E9" s="79" t="s">
        <v>2889</v>
      </c>
      <c r="F9" s="80">
        <v>4.3</v>
      </c>
      <c r="G9" s="80">
        <v>6</v>
      </c>
      <c r="H9" s="80">
        <v>25.8</v>
      </c>
      <c r="I9" s="80">
        <v>47837.64</v>
      </c>
      <c r="J9" s="79" t="s">
        <v>2874</v>
      </c>
      <c r="K9" s="79" t="s">
        <v>2875</v>
      </c>
      <c r="L9" s="79" t="s">
        <v>2868</v>
      </c>
      <c r="M9" s="79" t="s">
        <v>2890</v>
      </c>
    </row>
    <row r="10" ht="242.25" spans="1:13">
      <c r="A10" s="79" t="s">
        <v>2870</v>
      </c>
      <c r="B10" s="79" t="s">
        <v>2891</v>
      </c>
      <c r="C10" s="79" t="s">
        <v>2892</v>
      </c>
      <c r="D10" s="79" t="s">
        <v>2893</v>
      </c>
      <c r="E10" s="79" t="s">
        <v>2894</v>
      </c>
      <c r="F10" s="80">
        <v>17.2</v>
      </c>
      <c r="G10" s="80">
        <v>7</v>
      </c>
      <c r="H10" s="80">
        <v>120.4</v>
      </c>
      <c r="I10" s="80">
        <v>47837.64</v>
      </c>
      <c r="J10" s="79" t="s">
        <v>2874</v>
      </c>
      <c r="K10" s="79" t="s">
        <v>2875</v>
      </c>
      <c r="L10" s="79" t="s">
        <v>2868</v>
      </c>
      <c r="M10" s="79" t="s">
        <v>2895</v>
      </c>
    </row>
    <row r="11" ht="242.25" spans="1:13">
      <c r="A11" s="79" t="s">
        <v>2870</v>
      </c>
      <c r="B11" s="79" t="s">
        <v>2896</v>
      </c>
      <c r="C11" s="79" t="s">
        <v>2897</v>
      </c>
      <c r="D11" s="79" t="s">
        <v>2898</v>
      </c>
      <c r="E11" s="79" t="s">
        <v>1834</v>
      </c>
      <c r="F11" s="80">
        <v>148</v>
      </c>
      <c r="G11" s="80">
        <v>10</v>
      </c>
      <c r="H11" s="80">
        <v>1480</v>
      </c>
      <c r="I11" s="80">
        <v>47837.64</v>
      </c>
      <c r="J11" s="79" t="s">
        <v>2874</v>
      </c>
      <c r="K11" s="79" t="s">
        <v>2875</v>
      </c>
      <c r="L11" s="79" t="s">
        <v>2868</v>
      </c>
      <c r="M11" s="79" t="s">
        <v>2899</v>
      </c>
    </row>
    <row r="12" ht="242.25" spans="1:13">
      <c r="A12" s="79" t="s">
        <v>2870</v>
      </c>
      <c r="B12" s="79" t="s">
        <v>2900</v>
      </c>
      <c r="C12" s="79" t="s">
        <v>2901</v>
      </c>
      <c r="D12" s="79" t="s">
        <v>2902</v>
      </c>
      <c r="E12" s="79" t="s">
        <v>1796</v>
      </c>
      <c r="F12" s="80">
        <v>42</v>
      </c>
      <c r="G12" s="80">
        <v>6</v>
      </c>
      <c r="H12" s="80">
        <v>252</v>
      </c>
      <c r="I12" s="80">
        <v>47837.64</v>
      </c>
      <c r="J12" s="79" t="s">
        <v>2874</v>
      </c>
      <c r="K12" s="79" t="s">
        <v>2875</v>
      </c>
      <c r="L12" s="79" t="s">
        <v>2868</v>
      </c>
      <c r="M12" s="79" t="s">
        <v>2903</v>
      </c>
    </row>
    <row r="13" ht="242.25" spans="1:13">
      <c r="A13" s="79" t="s">
        <v>2870</v>
      </c>
      <c r="B13" s="79" t="s">
        <v>2904</v>
      </c>
      <c r="C13" s="79" t="s">
        <v>2905</v>
      </c>
      <c r="D13" s="79" t="s">
        <v>2906</v>
      </c>
      <c r="E13" s="79" t="s">
        <v>2907</v>
      </c>
      <c r="F13" s="80">
        <v>60</v>
      </c>
      <c r="G13" s="80">
        <v>10</v>
      </c>
      <c r="H13" s="80">
        <v>600</v>
      </c>
      <c r="I13" s="80">
        <v>47837.64</v>
      </c>
      <c r="J13" s="79" t="s">
        <v>2874</v>
      </c>
      <c r="K13" s="79" t="s">
        <v>2875</v>
      </c>
      <c r="L13" s="79" t="s">
        <v>2868</v>
      </c>
      <c r="M13" s="79" t="s">
        <v>2908</v>
      </c>
    </row>
    <row r="14" ht="242.25" spans="1:13">
      <c r="A14" s="79" t="s">
        <v>2870</v>
      </c>
      <c r="B14" s="79" t="s">
        <v>2909</v>
      </c>
      <c r="C14" s="79" t="s">
        <v>2910</v>
      </c>
      <c r="D14" s="79" t="s">
        <v>2911</v>
      </c>
      <c r="E14" s="79" t="s">
        <v>2912</v>
      </c>
      <c r="F14" s="80">
        <v>4.7</v>
      </c>
      <c r="G14" s="80">
        <v>40</v>
      </c>
      <c r="H14" s="80">
        <v>188</v>
      </c>
      <c r="I14" s="80">
        <v>47837.64</v>
      </c>
      <c r="J14" s="79" t="s">
        <v>2874</v>
      </c>
      <c r="K14" s="79" t="s">
        <v>2875</v>
      </c>
      <c r="L14" s="79" t="s">
        <v>2868</v>
      </c>
      <c r="M14" s="79" t="s">
        <v>2913</v>
      </c>
    </row>
    <row r="15" ht="242.25" spans="1:13">
      <c r="A15" s="79" t="s">
        <v>2870</v>
      </c>
      <c r="B15" s="79" t="s">
        <v>2914</v>
      </c>
      <c r="C15" s="79" t="s">
        <v>2915</v>
      </c>
      <c r="D15" s="79" t="s">
        <v>2906</v>
      </c>
      <c r="E15" s="79" t="s">
        <v>2916</v>
      </c>
      <c r="F15" s="80">
        <v>135</v>
      </c>
      <c r="G15" s="80">
        <v>28</v>
      </c>
      <c r="H15" s="80">
        <v>3780</v>
      </c>
      <c r="I15" s="80">
        <v>47837.64</v>
      </c>
      <c r="J15" s="79" t="s">
        <v>2874</v>
      </c>
      <c r="K15" s="79" t="s">
        <v>2875</v>
      </c>
      <c r="L15" s="79" t="s">
        <v>2868</v>
      </c>
      <c r="M15" s="79" t="s">
        <v>2917</v>
      </c>
    </row>
    <row r="16" ht="242.25" spans="1:13">
      <c r="A16" s="79" t="s">
        <v>2870</v>
      </c>
      <c r="B16" s="79" t="s">
        <v>2918</v>
      </c>
      <c r="C16" s="79" t="s">
        <v>2919</v>
      </c>
      <c r="D16" s="79" t="s">
        <v>2893</v>
      </c>
      <c r="E16" s="79" t="s">
        <v>1789</v>
      </c>
      <c r="F16" s="80">
        <v>5.5</v>
      </c>
      <c r="G16" s="80">
        <v>16</v>
      </c>
      <c r="H16" s="80">
        <v>88</v>
      </c>
      <c r="I16" s="80">
        <v>47837.64</v>
      </c>
      <c r="J16" s="79" t="s">
        <v>2874</v>
      </c>
      <c r="K16" s="79" t="s">
        <v>2875</v>
      </c>
      <c r="L16" s="79" t="s">
        <v>2868</v>
      </c>
      <c r="M16" s="79" t="s">
        <v>2920</v>
      </c>
    </row>
    <row r="17" ht="242.25" spans="1:13">
      <c r="A17" s="79" t="s">
        <v>2870</v>
      </c>
      <c r="B17" s="79" t="s">
        <v>2921</v>
      </c>
      <c r="C17" s="79" t="s">
        <v>2922</v>
      </c>
      <c r="D17" s="79" t="s">
        <v>2923</v>
      </c>
      <c r="E17" s="79" t="s">
        <v>2924</v>
      </c>
      <c r="F17" s="80">
        <v>6</v>
      </c>
      <c r="G17" s="80">
        <v>5</v>
      </c>
      <c r="H17" s="80">
        <v>30</v>
      </c>
      <c r="I17" s="80">
        <v>47837.64</v>
      </c>
      <c r="J17" s="79" t="s">
        <v>2874</v>
      </c>
      <c r="K17" s="79" t="s">
        <v>2875</v>
      </c>
      <c r="L17" s="79" t="s">
        <v>2868</v>
      </c>
      <c r="M17" s="79" t="s">
        <v>2925</v>
      </c>
    </row>
    <row r="18" ht="242.25" spans="1:13">
      <c r="A18" s="79" t="s">
        <v>2870</v>
      </c>
      <c r="B18" s="79" t="s">
        <v>2926</v>
      </c>
      <c r="C18" s="79" t="s">
        <v>2927</v>
      </c>
      <c r="D18" s="79" t="s">
        <v>2928</v>
      </c>
      <c r="E18" s="79" t="s">
        <v>2929</v>
      </c>
      <c r="F18" s="80">
        <v>24.46</v>
      </c>
      <c r="G18" s="80">
        <v>2</v>
      </c>
      <c r="H18" s="80">
        <v>48.92</v>
      </c>
      <c r="I18" s="80">
        <v>47837.64</v>
      </c>
      <c r="J18" s="79" t="s">
        <v>2874</v>
      </c>
      <c r="K18" s="79" t="s">
        <v>2875</v>
      </c>
      <c r="L18" s="79" t="s">
        <v>2868</v>
      </c>
      <c r="M18" s="79" t="s">
        <v>2930</v>
      </c>
    </row>
    <row r="19" ht="242.25" spans="1:13">
      <c r="A19" s="79" t="s">
        <v>2870</v>
      </c>
      <c r="B19" s="79" t="s">
        <v>2931</v>
      </c>
      <c r="C19" s="79" t="s">
        <v>2932</v>
      </c>
      <c r="D19" s="79" t="s">
        <v>2902</v>
      </c>
      <c r="E19" s="79" t="s">
        <v>1796</v>
      </c>
      <c r="F19" s="80">
        <v>45</v>
      </c>
      <c r="G19" s="80">
        <v>4</v>
      </c>
      <c r="H19" s="80">
        <v>180</v>
      </c>
      <c r="I19" s="80">
        <v>47837.64</v>
      </c>
      <c r="J19" s="79" t="s">
        <v>2874</v>
      </c>
      <c r="K19" s="79" t="s">
        <v>2875</v>
      </c>
      <c r="L19" s="79" t="s">
        <v>2868</v>
      </c>
      <c r="M19" s="79" t="s">
        <v>2933</v>
      </c>
    </row>
    <row r="20" ht="242.25" spans="1:13">
      <c r="A20" s="79" t="s">
        <v>2870</v>
      </c>
      <c r="B20" s="79" t="s">
        <v>2934</v>
      </c>
      <c r="C20" s="79" t="s">
        <v>2935</v>
      </c>
      <c r="D20" s="79" t="s">
        <v>2873</v>
      </c>
      <c r="E20" s="79" t="s">
        <v>1794</v>
      </c>
      <c r="F20" s="80">
        <v>30</v>
      </c>
      <c r="G20" s="80">
        <v>7</v>
      </c>
      <c r="H20" s="80">
        <v>210</v>
      </c>
      <c r="I20" s="80">
        <v>47837.64</v>
      </c>
      <c r="J20" s="79" t="s">
        <v>2874</v>
      </c>
      <c r="K20" s="79" t="s">
        <v>2875</v>
      </c>
      <c r="L20" s="79" t="s">
        <v>2868</v>
      </c>
      <c r="M20" s="79" t="s">
        <v>2936</v>
      </c>
    </row>
    <row r="21" ht="242.25" spans="1:13">
      <c r="A21" s="79" t="s">
        <v>2870</v>
      </c>
      <c r="B21" s="79" t="s">
        <v>2937</v>
      </c>
      <c r="C21" s="79" t="s">
        <v>2938</v>
      </c>
      <c r="D21" s="79" t="s">
        <v>2906</v>
      </c>
      <c r="E21" s="79" t="s">
        <v>2939</v>
      </c>
      <c r="F21" s="80">
        <v>115</v>
      </c>
      <c r="G21" s="80">
        <v>22</v>
      </c>
      <c r="H21" s="80">
        <v>2530</v>
      </c>
      <c r="I21" s="80">
        <v>47837.64</v>
      </c>
      <c r="J21" s="79" t="s">
        <v>2874</v>
      </c>
      <c r="K21" s="79" t="s">
        <v>2875</v>
      </c>
      <c r="L21" s="79" t="s">
        <v>2868</v>
      </c>
      <c r="M21" s="79" t="s">
        <v>2940</v>
      </c>
    </row>
    <row r="22" ht="242.25" spans="1:13">
      <c r="A22" s="79" t="s">
        <v>2870</v>
      </c>
      <c r="B22" s="79" t="s">
        <v>2941</v>
      </c>
      <c r="C22" s="79" t="s">
        <v>2942</v>
      </c>
      <c r="D22" s="79" t="s">
        <v>2873</v>
      </c>
      <c r="E22" s="79" t="s">
        <v>1794</v>
      </c>
      <c r="F22" s="80">
        <v>14</v>
      </c>
      <c r="G22" s="80">
        <v>3</v>
      </c>
      <c r="H22" s="80">
        <v>42</v>
      </c>
      <c r="I22" s="80">
        <v>47837.64</v>
      </c>
      <c r="J22" s="79" t="s">
        <v>2874</v>
      </c>
      <c r="K22" s="79" t="s">
        <v>2875</v>
      </c>
      <c r="L22" s="79" t="s">
        <v>2868</v>
      </c>
      <c r="M22" s="79" t="s">
        <v>2943</v>
      </c>
    </row>
    <row r="23" ht="242.25" spans="1:13">
      <c r="A23" s="79" t="s">
        <v>2870</v>
      </c>
      <c r="B23" s="79" t="s">
        <v>2944</v>
      </c>
      <c r="C23" s="79" t="s">
        <v>2945</v>
      </c>
      <c r="D23" s="79" t="s">
        <v>2946</v>
      </c>
      <c r="E23" s="79" t="s">
        <v>2947</v>
      </c>
      <c r="F23" s="80">
        <v>26</v>
      </c>
      <c r="G23" s="80">
        <v>1</v>
      </c>
      <c r="H23" s="80">
        <v>26</v>
      </c>
      <c r="I23" s="80">
        <v>47837.64</v>
      </c>
      <c r="J23" s="79" t="s">
        <v>2874</v>
      </c>
      <c r="K23" s="79" t="s">
        <v>2875</v>
      </c>
      <c r="L23" s="79" t="s">
        <v>2868</v>
      </c>
      <c r="M23" s="79" t="s">
        <v>2948</v>
      </c>
    </row>
    <row r="24" ht="242.25" spans="1:13">
      <c r="A24" s="79" t="s">
        <v>2870</v>
      </c>
      <c r="B24" s="79" t="s">
        <v>2949</v>
      </c>
      <c r="C24" s="79" t="s">
        <v>2950</v>
      </c>
      <c r="D24" s="79" t="s">
        <v>2951</v>
      </c>
      <c r="E24" s="79" t="s">
        <v>2952</v>
      </c>
      <c r="F24" s="80">
        <v>4.5</v>
      </c>
      <c r="G24" s="80">
        <v>8</v>
      </c>
      <c r="H24" s="80">
        <v>36</v>
      </c>
      <c r="I24" s="80">
        <v>47837.64</v>
      </c>
      <c r="J24" s="79" t="s">
        <v>2874</v>
      </c>
      <c r="K24" s="79" t="s">
        <v>2875</v>
      </c>
      <c r="L24" s="79" t="s">
        <v>2868</v>
      </c>
      <c r="M24" s="79" t="s">
        <v>2953</v>
      </c>
    </row>
    <row r="25" ht="242.25" spans="1:13">
      <c r="A25" s="79" t="s">
        <v>2870</v>
      </c>
      <c r="B25" s="79" t="s">
        <v>2954</v>
      </c>
      <c r="C25" s="79" t="s">
        <v>2955</v>
      </c>
      <c r="D25" s="79" t="s">
        <v>2884</v>
      </c>
      <c r="E25" s="79" t="s">
        <v>1822</v>
      </c>
      <c r="F25" s="80">
        <v>3.8</v>
      </c>
      <c r="G25" s="80">
        <v>55</v>
      </c>
      <c r="H25" s="80">
        <v>209</v>
      </c>
      <c r="I25" s="80">
        <v>47837.64</v>
      </c>
      <c r="J25" s="79" t="s">
        <v>2874</v>
      </c>
      <c r="K25" s="79" t="s">
        <v>2875</v>
      </c>
      <c r="L25" s="79" t="s">
        <v>2868</v>
      </c>
      <c r="M25" s="79" t="s">
        <v>2956</v>
      </c>
    </row>
    <row r="26" ht="242.25" spans="1:13">
      <c r="A26" s="79" t="s">
        <v>2870</v>
      </c>
      <c r="B26" s="79" t="s">
        <v>2957</v>
      </c>
      <c r="C26" s="79" t="s">
        <v>2958</v>
      </c>
      <c r="D26" s="79" t="s">
        <v>2884</v>
      </c>
      <c r="E26" s="79" t="s">
        <v>1822</v>
      </c>
      <c r="F26" s="80">
        <v>11.11</v>
      </c>
      <c r="G26" s="80">
        <v>126</v>
      </c>
      <c r="H26" s="80">
        <v>1399.86</v>
      </c>
      <c r="I26" s="80">
        <v>47837.64</v>
      </c>
      <c r="J26" s="79" t="s">
        <v>2874</v>
      </c>
      <c r="K26" s="79" t="s">
        <v>2875</v>
      </c>
      <c r="L26" s="79" t="s">
        <v>2868</v>
      </c>
      <c r="M26" s="79" t="s">
        <v>2959</v>
      </c>
    </row>
    <row r="27" ht="242.25" spans="1:13">
      <c r="A27" s="79" t="s">
        <v>2870</v>
      </c>
      <c r="B27" s="79" t="s">
        <v>2960</v>
      </c>
      <c r="C27" s="79" t="s">
        <v>2961</v>
      </c>
      <c r="D27" s="79" t="s">
        <v>2898</v>
      </c>
      <c r="E27" s="79" t="s">
        <v>1834</v>
      </c>
      <c r="F27" s="80">
        <v>130</v>
      </c>
      <c r="G27" s="80">
        <v>129</v>
      </c>
      <c r="H27" s="80">
        <v>16770</v>
      </c>
      <c r="I27" s="80">
        <v>47837.64</v>
      </c>
      <c r="J27" s="79" t="s">
        <v>2874</v>
      </c>
      <c r="K27" s="79" t="s">
        <v>2875</v>
      </c>
      <c r="L27" s="79" t="s">
        <v>2868</v>
      </c>
      <c r="M27" s="79" t="s">
        <v>2962</v>
      </c>
    </row>
    <row r="28" ht="242.25" spans="1:13">
      <c r="A28" s="79" t="s">
        <v>2870</v>
      </c>
      <c r="B28" s="79" t="s">
        <v>2963</v>
      </c>
      <c r="C28" s="79" t="s">
        <v>2964</v>
      </c>
      <c r="D28" s="79" t="s">
        <v>2965</v>
      </c>
      <c r="E28" s="79" t="s">
        <v>2966</v>
      </c>
      <c r="F28" s="80">
        <v>10</v>
      </c>
      <c r="G28" s="80">
        <v>2</v>
      </c>
      <c r="H28" s="80">
        <v>20</v>
      </c>
      <c r="I28" s="80">
        <v>47837.64</v>
      </c>
      <c r="J28" s="79" t="s">
        <v>2874</v>
      </c>
      <c r="K28" s="79" t="s">
        <v>2875</v>
      </c>
      <c r="L28" s="79" t="s">
        <v>2868</v>
      </c>
      <c r="M28" s="79" t="s">
        <v>2967</v>
      </c>
    </row>
    <row r="29" ht="242.25" spans="1:13">
      <c r="A29" s="79" t="s">
        <v>2870</v>
      </c>
      <c r="B29" s="79" t="s">
        <v>2968</v>
      </c>
      <c r="C29" s="79" t="s">
        <v>2969</v>
      </c>
      <c r="D29" s="79" t="s">
        <v>2970</v>
      </c>
      <c r="E29" s="79" t="s">
        <v>2971</v>
      </c>
      <c r="F29" s="80">
        <v>35</v>
      </c>
      <c r="G29" s="80">
        <v>3</v>
      </c>
      <c r="H29" s="80">
        <v>105</v>
      </c>
      <c r="I29" s="80">
        <v>47837.64</v>
      </c>
      <c r="J29" s="79" t="s">
        <v>2874</v>
      </c>
      <c r="K29" s="79" t="s">
        <v>2875</v>
      </c>
      <c r="L29" s="79" t="s">
        <v>2868</v>
      </c>
      <c r="M29" s="79" t="s">
        <v>2972</v>
      </c>
    </row>
    <row r="30" ht="242.25" spans="1:13">
      <c r="A30" s="79" t="s">
        <v>2870</v>
      </c>
      <c r="B30" s="79" t="s">
        <v>2973</v>
      </c>
      <c r="C30" s="79" t="s">
        <v>2974</v>
      </c>
      <c r="D30" s="79" t="s">
        <v>2975</v>
      </c>
      <c r="E30" s="79" t="s">
        <v>2976</v>
      </c>
      <c r="F30" s="80">
        <v>18</v>
      </c>
      <c r="G30" s="80">
        <v>1</v>
      </c>
      <c r="H30" s="80">
        <v>18</v>
      </c>
      <c r="I30" s="80">
        <v>47837.64</v>
      </c>
      <c r="J30" s="79" t="s">
        <v>2874</v>
      </c>
      <c r="K30" s="79" t="s">
        <v>2875</v>
      </c>
      <c r="L30" s="79" t="s">
        <v>2868</v>
      </c>
      <c r="M30" s="79" t="s">
        <v>2977</v>
      </c>
    </row>
    <row r="31" ht="242.25" spans="1:13">
      <c r="A31" s="79" t="s">
        <v>2870</v>
      </c>
      <c r="B31" s="79" t="s">
        <v>2978</v>
      </c>
      <c r="C31" s="79" t="s">
        <v>2979</v>
      </c>
      <c r="D31" s="79" t="s">
        <v>2906</v>
      </c>
      <c r="E31" s="79" t="s">
        <v>2980</v>
      </c>
      <c r="F31" s="80">
        <v>28</v>
      </c>
      <c r="G31" s="80">
        <v>1</v>
      </c>
      <c r="H31" s="80">
        <v>28</v>
      </c>
      <c r="I31" s="80">
        <v>47837.64</v>
      </c>
      <c r="J31" s="79" t="s">
        <v>2874</v>
      </c>
      <c r="K31" s="79" t="s">
        <v>2875</v>
      </c>
      <c r="L31" s="79" t="s">
        <v>2868</v>
      </c>
      <c r="M31" s="79" t="s">
        <v>2981</v>
      </c>
    </row>
    <row r="32" ht="242.25" spans="1:13">
      <c r="A32" s="79" t="s">
        <v>2870</v>
      </c>
      <c r="B32" s="79" t="s">
        <v>2982</v>
      </c>
      <c r="C32" s="79" t="s">
        <v>2983</v>
      </c>
      <c r="D32" s="79" t="s">
        <v>2984</v>
      </c>
      <c r="E32" s="79" t="s">
        <v>2985</v>
      </c>
      <c r="F32" s="80">
        <v>0.51</v>
      </c>
      <c r="G32" s="80">
        <v>72</v>
      </c>
      <c r="H32" s="80">
        <v>36.72</v>
      </c>
      <c r="I32" s="80">
        <v>47837.64</v>
      </c>
      <c r="J32" s="79" t="s">
        <v>2874</v>
      </c>
      <c r="K32" s="79" t="s">
        <v>2875</v>
      </c>
      <c r="L32" s="79" t="s">
        <v>2868</v>
      </c>
      <c r="M32" s="79" t="s">
        <v>2986</v>
      </c>
    </row>
    <row r="33" ht="242.25" spans="1:13">
      <c r="A33" s="79" t="s">
        <v>2870</v>
      </c>
      <c r="B33" s="79" t="s">
        <v>2987</v>
      </c>
      <c r="C33" s="79" t="s">
        <v>2988</v>
      </c>
      <c r="D33" s="79" t="s">
        <v>2884</v>
      </c>
      <c r="E33" s="79" t="s">
        <v>1822</v>
      </c>
      <c r="F33" s="80">
        <v>2.5</v>
      </c>
      <c r="G33" s="80">
        <v>835</v>
      </c>
      <c r="H33" s="80">
        <v>2087.5</v>
      </c>
      <c r="I33" s="80">
        <v>47837.64</v>
      </c>
      <c r="J33" s="79" t="s">
        <v>2874</v>
      </c>
      <c r="K33" s="79" t="s">
        <v>2875</v>
      </c>
      <c r="L33" s="79" t="s">
        <v>2868</v>
      </c>
      <c r="M33" s="79" t="s">
        <v>2989</v>
      </c>
    </row>
    <row r="34" ht="242.25" spans="1:13">
      <c r="A34" s="79" t="s">
        <v>2870</v>
      </c>
      <c r="B34" s="79" t="s">
        <v>2990</v>
      </c>
      <c r="C34" s="79" t="s">
        <v>2991</v>
      </c>
      <c r="D34" s="79" t="s">
        <v>2906</v>
      </c>
      <c r="E34" s="79" t="s">
        <v>2992</v>
      </c>
      <c r="F34" s="80">
        <v>60</v>
      </c>
      <c r="G34" s="80">
        <v>10</v>
      </c>
      <c r="H34" s="80">
        <v>600</v>
      </c>
      <c r="I34" s="80">
        <v>47837.64</v>
      </c>
      <c r="J34" s="79" t="s">
        <v>2874</v>
      </c>
      <c r="K34" s="79" t="s">
        <v>2875</v>
      </c>
      <c r="L34" s="79" t="s">
        <v>2868</v>
      </c>
      <c r="M34" s="79" t="s">
        <v>2993</v>
      </c>
    </row>
    <row r="35" ht="242.25" spans="1:13">
      <c r="A35" s="79" t="s">
        <v>2870</v>
      </c>
      <c r="B35" s="79" t="s">
        <v>2994</v>
      </c>
      <c r="C35" s="79" t="s">
        <v>2995</v>
      </c>
      <c r="D35" s="79" t="s">
        <v>2996</v>
      </c>
      <c r="E35" s="79" t="s">
        <v>2997</v>
      </c>
      <c r="F35" s="80">
        <v>110</v>
      </c>
      <c r="G35" s="80">
        <v>116</v>
      </c>
      <c r="H35" s="80">
        <v>12760</v>
      </c>
      <c r="I35" s="80">
        <v>47837.64</v>
      </c>
      <c r="J35" s="79" t="s">
        <v>2874</v>
      </c>
      <c r="K35" s="79" t="s">
        <v>2875</v>
      </c>
      <c r="L35" s="79" t="s">
        <v>2868</v>
      </c>
      <c r="M35" s="79" t="s">
        <v>2998</v>
      </c>
    </row>
    <row r="36" ht="242.25" spans="1:13">
      <c r="A36" s="79" t="s">
        <v>2870</v>
      </c>
      <c r="B36" s="79" t="s">
        <v>2999</v>
      </c>
      <c r="C36" s="79" t="s">
        <v>3000</v>
      </c>
      <c r="D36" s="79" t="s">
        <v>2902</v>
      </c>
      <c r="E36" s="79" t="s">
        <v>3001</v>
      </c>
      <c r="F36" s="80">
        <v>16</v>
      </c>
      <c r="G36" s="80">
        <v>1</v>
      </c>
      <c r="H36" s="80">
        <v>16</v>
      </c>
      <c r="I36" s="80">
        <v>47837.64</v>
      </c>
      <c r="J36" s="79" t="s">
        <v>2874</v>
      </c>
      <c r="K36" s="79" t="s">
        <v>2875</v>
      </c>
      <c r="L36" s="79" t="s">
        <v>2868</v>
      </c>
      <c r="M36" s="79" t="s">
        <v>3002</v>
      </c>
    </row>
    <row r="37" ht="242.25" spans="1:13">
      <c r="A37" s="79" t="s">
        <v>2870</v>
      </c>
      <c r="B37" s="79" t="s">
        <v>3003</v>
      </c>
      <c r="C37" s="79" t="s">
        <v>3004</v>
      </c>
      <c r="D37" s="79" t="s">
        <v>2984</v>
      </c>
      <c r="E37" s="79" t="s">
        <v>2985</v>
      </c>
      <c r="F37" s="80">
        <v>11.53</v>
      </c>
      <c r="G37" s="80">
        <v>9</v>
      </c>
      <c r="H37" s="80">
        <v>103.77</v>
      </c>
      <c r="I37" s="80">
        <v>47837.64</v>
      </c>
      <c r="J37" s="79" t="s">
        <v>2874</v>
      </c>
      <c r="K37" s="79" t="s">
        <v>2875</v>
      </c>
      <c r="L37" s="79" t="s">
        <v>2868</v>
      </c>
      <c r="M37" s="79" t="s">
        <v>3005</v>
      </c>
    </row>
    <row r="38" ht="242.25" spans="1:13">
      <c r="A38" s="79" t="s">
        <v>3006</v>
      </c>
      <c r="B38" s="79" t="s">
        <v>3007</v>
      </c>
      <c r="C38" s="79" t="s">
        <v>3008</v>
      </c>
      <c r="D38" s="79" t="s">
        <v>2951</v>
      </c>
      <c r="E38" s="79" t="s">
        <v>3009</v>
      </c>
      <c r="F38" s="80">
        <v>8.5</v>
      </c>
      <c r="G38" s="80">
        <v>5</v>
      </c>
      <c r="H38" s="80">
        <v>42.5</v>
      </c>
      <c r="I38" s="80">
        <v>48115.48</v>
      </c>
      <c r="J38" s="79" t="s">
        <v>2874</v>
      </c>
      <c r="K38" s="79" t="s">
        <v>3010</v>
      </c>
      <c r="L38" s="79" t="s">
        <v>2868</v>
      </c>
      <c r="M38" s="79" t="s">
        <v>3011</v>
      </c>
    </row>
    <row r="39" ht="242.25" spans="1:13">
      <c r="A39" s="79" t="s">
        <v>3006</v>
      </c>
      <c r="B39" s="79" t="s">
        <v>2954</v>
      </c>
      <c r="C39" s="79" t="s">
        <v>2955</v>
      </c>
      <c r="D39" s="79" t="s">
        <v>2884</v>
      </c>
      <c r="E39" s="79" t="s">
        <v>1822</v>
      </c>
      <c r="F39" s="80">
        <v>3.8</v>
      </c>
      <c r="G39" s="80">
        <v>55</v>
      </c>
      <c r="H39" s="80">
        <v>209</v>
      </c>
      <c r="I39" s="80">
        <v>48115.48</v>
      </c>
      <c r="J39" s="79" t="s">
        <v>2874</v>
      </c>
      <c r="K39" s="79" t="s">
        <v>3010</v>
      </c>
      <c r="L39" s="79" t="s">
        <v>2868</v>
      </c>
      <c r="M39" s="79" t="s">
        <v>3012</v>
      </c>
    </row>
    <row r="40" ht="242.25" spans="1:13">
      <c r="A40" s="79" t="s">
        <v>3006</v>
      </c>
      <c r="B40" s="79" t="s">
        <v>3013</v>
      </c>
      <c r="C40" s="79" t="s">
        <v>3014</v>
      </c>
      <c r="D40" s="79" t="s">
        <v>2906</v>
      </c>
      <c r="E40" s="79" t="s">
        <v>3015</v>
      </c>
      <c r="F40" s="80">
        <v>28</v>
      </c>
      <c r="G40" s="80">
        <v>1</v>
      </c>
      <c r="H40" s="80">
        <v>28</v>
      </c>
      <c r="I40" s="80">
        <v>48115.48</v>
      </c>
      <c r="J40" s="79" t="s">
        <v>2874</v>
      </c>
      <c r="K40" s="79" t="s">
        <v>3010</v>
      </c>
      <c r="L40" s="79" t="s">
        <v>2868</v>
      </c>
      <c r="M40" s="79" t="s">
        <v>3016</v>
      </c>
    </row>
    <row r="41" ht="242.25" spans="1:13">
      <c r="A41" s="79" t="s">
        <v>3006</v>
      </c>
      <c r="B41" s="79" t="s">
        <v>3017</v>
      </c>
      <c r="C41" s="79" t="s">
        <v>3018</v>
      </c>
      <c r="D41" s="79" t="s">
        <v>2906</v>
      </c>
      <c r="E41" s="79" t="s">
        <v>2980</v>
      </c>
      <c r="F41" s="80">
        <v>12</v>
      </c>
      <c r="G41" s="80">
        <v>2</v>
      </c>
      <c r="H41" s="80">
        <v>24</v>
      </c>
      <c r="I41" s="80">
        <v>48115.48</v>
      </c>
      <c r="J41" s="79" t="s">
        <v>2874</v>
      </c>
      <c r="K41" s="79" t="s">
        <v>3010</v>
      </c>
      <c r="L41" s="79" t="s">
        <v>2868</v>
      </c>
      <c r="M41" s="79" t="s">
        <v>3019</v>
      </c>
    </row>
    <row r="42" ht="242.25" spans="1:13">
      <c r="A42" s="79" t="s">
        <v>3006</v>
      </c>
      <c r="B42" s="79" t="s">
        <v>2937</v>
      </c>
      <c r="C42" s="79" t="s">
        <v>2938</v>
      </c>
      <c r="D42" s="79" t="s">
        <v>2906</v>
      </c>
      <c r="E42" s="79" t="s">
        <v>2939</v>
      </c>
      <c r="F42" s="80">
        <v>115</v>
      </c>
      <c r="G42" s="80">
        <v>8</v>
      </c>
      <c r="H42" s="80">
        <v>920</v>
      </c>
      <c r="I42" s="80">
        <v>48115.48</v>
      </c>
      <c r="J42" s="79" t="s">
        <v>2874</v>
      </c>
      <c r="K42" s="79" t="s">
        <v>3010</v>
      </c>
      <c r="L42" s="79" t="s">
        <v>2868</v>
      </c>
      <c r="M42" s="79" t="s">
        <v>3020</v>
      </c>
    </row>
    <row r="43" ht="242.25" spans="1:13">
      <c r="A43" s="79" t="s">
        <v>3006</v>
      </c>
      <c r="B43" s="79" t="s">
        <v>2891</v>
      </c>
      <c r="C43" s="79" t="s">
        <v>2892</v>
      </c>
      <c r="D43" s="79" t="s">
        <v>2893</v>
      </c>
      <c r="E43" s="79" t="s">
        <v>2894</v>
      </c>
      <c r="F43" s="80">
        <v>17.2</v>
      </c>
      <c r="G43" s="80">
        <v>8</v>
      </c>
      <c r="H43" s="80">
        <v>137.6</v>
      </c>
      <c r="I43" s="80">
        <v>48115.48</v>
      </c>
      <c r="J43" s="79" t="s">
        <v>2874</v>
      </c>
      <c r="K43" s="79" t="s">
        <v>3010</v>
      </c>
      <c r="L43" s="79" t="s">
        <v>2868</v>
      </c>
      <c r="M43" s="79" t="s">
        <v>3021</v>
      </c>
    </row>
    <row r="44" ht="242.25" spans="1:13">
      <c r="A44" s="79" t="s">
        <v>3006</v>
      </c>
      <c r="B44" s="79" t="s">
        <v>2968</v>
      </c>
      <c r="C44" s="79" t="s">
        <v>2969</v>
      </c>
      <c r="D44" s="79" t="s">
        <v>2970</v>
      </c>
      <c r="E44" s="79" t="s">
        <v>2971</v>
      </c>
      <c r="F44" s="80">
        <v>35</v>
      </c>
      <c r="G44" s="80">
        <v>1</v>
      </c>
      <c r="H44" s="80">
        <v>35</v>
      </c>
      <c r="I44" s="80">
        <v>48115.48</v>
      </c>
      <c r="J44" s="79" t="s">
        <v>2874</v>
      </c>
      <c r="K44" s="79" t="s">
        <v>3010</v>
      </c>
      <c r="L44" s="79" t="s">
        <v>2868</v>
      </c>
      <c r="M44" s="79" t="s">
        <v>3022</v>
      </c>
    </row>
    <row r="45" ht="242.25" spans="1:13">
      <c r="A45" s="79" t="s">
        <v>3006</v>
      </c>
      <c r="B45" s="79" t="s">
        <v>3023</v>
      </c>
      <c r="C45" s="79" t="s">
        <v>3024</v>
      </c>
      <c r="D45" s="79" t="s">
        <v>2906</v>
      </c>
      <c r="E45" s="79" t="s">
        <v>2939</v>
      </c>
      <c r="F45" s="80">
        <v>13.18</v>
      </c>
      <c r="G45" s="80">
        <v>12</v>
      </c>
      <c r="H45" s="80">
        <v>158.16</v>
      </c>
      <c r="I45" s="80">
        <v>48115.48</v>
      </c>
      <c r="J45" s="79" t="s">
        <v>2874</v>
      </c>
      <c r="K45" s="79" t="s">
        <v>3010</v>
      </c>
      <c r="L45" s="79" t="s">
        <v>2868</v>
      </c>
      <c r="M45" s="79" t="s">
        <v>3025</v>
      </c>
    </row>
    <row r="46" ht="242.25" spans="1:13">
      <c r="A46" s="79" t="s">
        <v>3006</v>
      </c>
      <c r="B46" s="79" t="s">
        <v>3026</v>
      </c>
      <c r="C46" s="79" t="s">
        <v>3027</v>
      </c>
      <c r="D46" s="79" t="s">
        <v>2906</v>
      </c>
      <c r="E46" s="79" t="s">
        <v>3028</v>
      </c>
      <c r="F46" s="80">
        <v>5</v>
      </c>
      <c r="G46" s="80">
        <v>13</v>
      </c>
      <c r="H46" s="80">
        <v>65</v>
      </c>
      <c r="I46" s="80">
        <v>48115.48</v>
      </c>
      <c r="J46" s="79" t="s">
        <v>2874</v>
      </c>
      <c r="K46" s="79" t="s">
        <v>3010</v>
      </c>
      <c r="L46" s="79" t="s">
        <v>2868</v>
      </c>
      <c r="M46" s="79" t="s">
        <v>3029</v>
      </c>
    </row>
    <row r="47" ht="242.25" spans="1:13">
      <c r="A47" s="79" t="s">
        <v>3006</v>
      </c>
      <c r="B47" s="79" t="s">
        <v>2921</v>
      </c>
      <c r="C47" s="79" t="s">
        <v>2922</v>
      </c>
      <c r="D47" s="79" t="s">
        <v>2923</v>
      </c>
      <c r="E47" s="79" t="s">
        <v>2924</v>
      </c>
      <c r="F47" s="80">
        <v>6</v>
      </c>
      <c r="G47" s="80">
        <v>25</v>
      </c>
      <c r="H47" s="80">
        <v>150</v>
      </c>
      <c r="I47" s="80">
        <v>48115.48</v>
      </c>
      <c r="J47" s="79" t="s">
        <v>2874</v>
      </c>
      <c r="K47" s="79" t="s">
        <v>3010</v>
      </c>
      <c r="L47" s="79" t="s">
        <v>2868</v>
      </c>
      <c r="M47" s="79" t="s">
        <v>3030</v>
      </c>
    </row>
    <row r="48" ht="242.25" spans="1:13">
      <c r="A48" s="79" t="s">
        <v>3006</v>
      </c>
      <c r="B48" s="79" t="s">
        <v>3031</v>
      </c>
      <c r="C48" s="79" t="s">
        <v>3032</v>
      </c>
      <c r="D48" s="79" t="s">
        <v>2893</v>
      </c>
      <c r="E48" s="79" t="s">
        <v>2894</v>
      </c>
      <c r="F48" s="80">
        <v>13.5</v>
      </c>
      <c r="G48" s="80">
        <v>3</v>
      </c>
      <c r="H48" s="80">
        <v>40.5</v>
      </c>
      <c r="I48" s="80">
        <v>48115.48</v>
      </c>
      <c r="J48" s="79" t="s">
        <v>2874</v>
      </c>
      <c r="K48" s="79" t="s">
        <v>3010</v>
      </c>
      <c r="L48" s="79" t="s">
        <v>2868</v>
      </c>
      <c r="M48" s="79" t="s">
        <v>3033</v>
      </c>
    </row>
    <row r="49" ht="242.25" spans="1:13">
      <c r="A49" s="79" t="s">
        <v>3006</v>
      </c>
      <c r="B49" s="79" t="s">
        <v>2978</v>
      </c>
      <c r="C49" s="79" t="s">
        <v>2979</v>
      </c>
      <c r="D49" s="79" t="s">
        <v>2906</v>
      </c>
      <c r="E49" s="79" t="s">
        <v>2980</v>
      </c>
      <c r="F49" s="80">
        <v>28</v>
      </c>
      <c r="G49" s="80">
        <v>6</v>
      </c>
      <c r="H49" s="80">
        <v>168</v>
      </c>
      <c r="I49" s="80">
        <v>48115.48</v>
      </c>
      <c r="J49" s="79" t="s">
        <v>2874</v>
      </c>
      <c r="K49" s="79" t="s">
        <v>3010</v>
      </c>
      <c r="L49" s="79" t="s">
        <v>2868</v>
      </c>
      <c r="M49" s="79" t="s">
        <v>3034</v>
      </c>
    </row>
    <row r="50" ht="242.25" spans="1:13">
      <c r="A50" s="79" t="s">
        <v>3006</v>
      </c>
      <c r="B50" s="79" t="s">
        <v>3035</v>
      </c>
      <c r="C50" s="79" t="s">
        <v>3036</v>
      </c>
      <c r="D50" s="79" t="s">
        <v>2884</v>
      </c>
      <c r="E50" s="79" t="s">
        <v>1822</v>
      </c>
      <c r="F50" s="80">
        <v>17.2</v>
      </c>
      <c r="G50" s="80">
        <v>184</v>
      </c>
      <c r="H50" s="80">
        <v>3164.8</v>
      </c>
      <c r="I50" s="80">
        <v>48115.48</v>
      </c>
      <c r="J50" s="79" t="s">
        <v>2874</v>
      </c>
      <c r="K50" s="79" t="s">
        <v>3010</v>
      </c>
      <c r="L50" s="79" t="s">
        <v>2868</v>
      </c>
      <c r="M50" s="79" t="s">
        <v>3037</v>
      </c>
    </row>
    <row r="51" ht="242.25" spans="1:13">
      <c r="A51" s="79" t="s">
        <v>3006</v>
      </c>
      <c r="B51" s="79" t="s">
        <v>3038</v>
      </c>
      <c r="C51" s="79" t="s">
        <v>3039</v>
      </c>
      <c r="D51" s="79" t="s">
        <v>3040</v>
      </c>
      <c r="E51" s="79" t="s">
        <v>3041</v>
      </c>
      <c r="F51" s="80">
        <v>15.19</v>
      </c>
      <c r="G51" s="80">
        <v>10</v>
      </c>
      <c r="H51" s="80">
        <v>151.9</v>
      </c>
      <c r="I51" s="80">
        <v>48115.48</v>
      </c>
      <c r="J51" s="79" t="s">
        <v>2874</v>
      </c>
      <c r="K51" s="79" t="s">
        <v>3010</v>
      </c>
      <c r="L51" s="79" t="s">
        <v>2868</v>
      </c>
      <c r="M51" s="79" t="s">
        <v>3042</v>
      </c>
    </row>
    <row r="52" ht="242.25" spans="1:13">
      <c r="A52" s="79" t="s">
        <v>3006</v>
      </c>
      <c r="B52" s="79" t="s">
        <v>2949</v>
      </c>
      <c r="C52" s="79" t="s">
        <v>2950</v>
      </c>
      <c r="D52" s="79" t="s">
        <v>2951</v>
      </c>
      <c r="E52" s="79" t="s">
        <v>2952</v>
      </c>
      <c r="F52" s="80">
        <v>4.5</v>
      </c>
      <c r="G52" s="80">
        <v>29</v>
      </c>
      <c r="H52" s="80">
        <v>130.5</v>
      </c>
      <c r="I52" s="80">
        <v>48115.48</v>
      </c>
      <c r="J52" s="79" t="s">
        <v>2874</v>
      </c>
      <c r="K52" s="79" t="s">
        <v>3010</v>
      </c>
      <c r="L52" s="79" t="s">
        <v>2868</v>
      </c>
      <c r="M52" s="79" t="s">
        <v>3043</v>
      </c>
    </row>
    <row r="53" ht="242.25" spans="1:13">
      <c r="A53" s="79" t="s">
        <v>3006</v>
      </c>
      <c r="B53" s="79" t="s">
        <v>3044</v>
      </c>
      <c r="C53" s="79" t="s">
        <v>3045</v>
      </c>
      <c r="D53" s="79" t="s">
        <v>2906</v>
      </c>
      <c r="E53" s="79" t="s">
        <v>3046</v>
      </c>
      <c r="F53" s="80">
        <v>10.2</v>
      </c>
      <c r="G53" s="80">
        <v>10</v>
      </c>
      <c r="H53" s="80">
        <v>102</v>
      </c>
      <c r="I53" s="80">
        <v>48115.48</v>
      </c>
      <c r="J53" s="79" t="s">
        <v>2874</v>
      </c>
      <c r="K53" s="79" t="s">
        <v>3010</v>
      </c>
      <c r="L53" s="79" t="s">
        <v>2868</v>
      </c>
      <c r="M53" s="79" t="s">
        <v>3047</v>
      </c>
    </row>
    <row r="54" ht="242.25" spans="1:13">
      <c r="A54" s="79" t="s">
        <v>3006</v>
      </c>
      <c r="B54" s="79" t="s">
        <v>2886</v>
      </c>
      <c r="C54" s="79" t="s">
        <v>2887</v>
      </c>
      <c r="D54" s="79" t="s">
        <v>2888</v>
      </c>
      <c r="E54" s="79" t="s">
        <v>2889</v>
      </c>
      <c r="F54" s="80">
        <v>4.3</v>
      </c>
      <c r="G54" s="80">
        <v>32</v>
      </c>
      <c r="H54" s="80">
        <v>137.6</v>
      </c>
      <c r="I54" s="80">
        <v>48115.48</v>
      </c>
      <c r="J54" s="79" t="s">
        <v>2874</v>
      </c>
      <c r="K54" s="79" t="s">
        <v>3010</v>
      </c>
      <c r="L54" s="79" t="s">
        <v>2868</v>
      </c>
      <c r="M54" s="79" t="s">
        <v>3048</v>
      </c>
    </row>
    <row r="55" ht="242.25" spans="1:13">
      <c r="A55" s="79" t="s">
        <v>3006</v>
      </c>
      <c r="B55" s="79" t="s">
        <v>2914</v>
      </c>
      <c r="C55" s="79" t="s">
        <v>2915</v>
      </c>
      <c r="D55" s="79" t="s">
        <v>2906</v>
      </c>
      <c r="E55" s="79" t="s">
        <v>2916</v>
      </c>
      <c r="F55" s="80">
        <v>135</v>
      </c>
      <c r="G55" s="80">
        <v>15</v>
      </c>
      <c r="H55" s="80">
        <v>2025</v>
      </c>
      <c r="I55" s="80">
        <v>48115.48</v>
      </c>
      <c r="J55" s="79" t="s">
        <v>2874</v>
      </c>
      <c r="K55" s="79" t="s">
        <v>3010</v>
      </c>
      <c r="L55" s="79" t="s">
        <v>2868</v>
      </c>
      <c r="M55" s="79" t="s">
        <v>3049</v>
      </c>
    </row>
    <row r="56" ht="242.25" spans="1:13">
      <c r="A56" s="79" t="s">
        <v>3006</v>
      </c>
      <c r="B56" s="79" t="s">
        <v>2904</v>
      </c>
      <c r="C56" s="79" t="s">
        <v>2905</v>
      </c>
      <c r="D56" s="79" t="s">
        <v>2906</v>
      </c>
      <c r="E56" s="79" t="s">
        <v>2907</v>
      </c>
      <c r="F56" s="80">
        <v>60</v>
      </c>
      <c r="G56" s="80">
        <v>19</v>
      </c>
      <c r="H56" s="80">
        <v>1140</v>
      </c>
      <c r="I56" s="80">
        <v>48115.48</v>
      </c>
      <c r="J56" s="79" t="s">
        <v>2874</v>
      </c>
      <c r="K56" s="79" t="s">
        <v>3010</v>
      </c>
      <c r="L56" s="79" t="s">
        <v>2868</v>
      </c>
      <c r="M56" s="79" t="s">
        <v>3050</v>
      </c>
    </row>
    <row r="57" ht="242.25" spans="1:13">
      <c r="A57" s="79" t="s">
        <v>3006</v>
      </c>
      <c r="B57" s="79" t="s">
        <v>2960</v>
      </c>
      <c r="C57" s="79" t="s">
        <v>2961</v>
      </c>
      <c r="D57" s="79" t="s">
        <v>2898</v>
      </c>
      <c r="E57" s="79" t="s">
        <v>1834</v>
      </c>
      <c r="F57" s="80">
        <v>130</v>
      </c>
      <c r="G57" s="80">
        <v>92</v>
      </c>
      <c r="H57" s="80">
        <v>11960</v>
      </c>
      <c r="I57" s="80">
        <v>48115.48</v>
      </c>
      <c r="J57" s="79" t="s">
        <v>2874</v>
      </c>
      <c r="K57" s="79" t="s">
        <v>3010</v>
      </c>
      <c r="L57" s="79" t="s">
        <v>2868</v>
      </c>
      <c r="M57" s="79" t="s">
        <v>3051</v>
      </c>
    </row>
    <row r="58" ht="242.25" spans="1:13">
      <c r="A58" s="79" t="s">
        <v>3006</v>
      </c>
      <c r="B58" s="79" t="s">
        <v>2963</v>
      </c>
      <c r="C58" s="79" t="s">
        <v>2964</v>
      </c>
      <c r="D58" s="79" t="s">
        <v>2965</v>
      </c>
      <c r="E58" s="79" t="s">
        <v>2966</v>
      </c>
      <c r="F58" s="80">
        <v>10</v>
      </c>
      <c r="G58" s="80">
        <v>5</v>
      </c>
      <c r="H58" s="80">
        <v>50</v>
      </c>
      <c r="I58" s="80">
        <v>48115.48</v>
      </c>
      <c r="J58" s="79" t="s">
        <v>2874</v>
      </c>
      <c r="K58" s="79" t="s">
        <v>3010</v>
      </c>
      <c r="L58" s="79" t="s">
        <v>2868</v>
      </c>
      <c r="M58" s="79" t="s">
        <v>3052</v>
      </c>
    </row>
    <row r="59" ht="242.25" spans="1:13">
      <c r="A59" s="79" t="s">
        <v>3006</v>
      </c>
      <c r="B59" s="79" t="s">
        <v>2990</v>
      </c>
      <c r="C59" s="79" t="s">
        <v>2991</v>
      </c>
      <c r="D59" s="79" t="s">
        <v>2906</v>
      </c>
      <c r="E59" s="79" t="s">
        <v>2992</v>
      </c>
      <c r="F59" s="80">
        <v>60</v>
      </c>
      <c r="G59" s="80">
        <v>13</v>
      </c>
      <c r="H59" s="80">
        <v>780</v>
      </c>
      <c r="I59" s="80">
        <v>48115.48</v>
      </c>
      <c r="J59" s="79" t="s">
        <v>2874</v>
      </c>
      <c r="K59" s="79" t="s">
        <v>3010</v>
      </c>
      <c r="L59" s="79" t="s">
        <v>2868</v>
      </c>
      <c r="M59" s="79" t="s">
        <v>3053</v>
      </c>
    </row>
    <row r="60" ht="242.25" spans="1:13">
      <c r="A60" s="79" t="s">
        <v>3006</v>
      </c>
      <c r="B60" s="79" t="s">
        <v>2871</v>
      </c>
      <c r="C60" s="79" t="s">
        <v>2872</v>
      </c>
      <c r="D60" s="79" t="s">
        <v>2873</v>
      </c>
      <c r="E60" s="79" t="s">
        <v>1794</v>
      </c>
      <c r="F60" s="80">
        <v>12</v>
      </c>
      <c r="G60" s="80">
        <v>15</v>
      </c>
      <c r="H60" s="80">
        <v>180</v>
      </c>
      <c r="I60" s="80">
        <v>48115.48</v>
      </c>
      <c r="J60" s="79" t="s">
        <v>2874</v>
      </c>
      <c r="K60" s="79" t="s">
        <v>3010</v>
      </c>
      <c r="L60" s="79" t="s">
        <v>2868</v>
      </c>
      <c r="M60" s="79" t="s">
        <v>3054</v>
      </c>
    </row>
    <row r="61" ht="242.25" spans="1:13">
      <c r="A61" s="79" t="s">
        <v>3006</v>
      </c>
      <c r="B61" s="79" t="s">
        <v>2994</v>
      </c>
      <c r="C61" s="79" t="s">
        <v>2995</v>
      </c>
      <c r="D61" s="79" t="s">
        <v>2996</v>
      </c>
      <c r="E61" s="79" t="s">
        <v>2997</v>
      </c>
      <c r="F61" s="80">
        <v>110</v>
      </c>
      <c r="G61" s="80">
        <v>96</v>
      </c>
      <c r="H61" s="80">
        <v>10560</v>
      </c>
      <c r="I61" s="80">
        <v>48115.48</v>
      </c>
      <c r="J61" s="79" t="s">
        <v>2874</v>
      </c>
      <c r="K61" s="79" t="s">
        <v>3010</v>
      </c>
      <c r="L61" s="79" t="s">
        <v>2868</v>
      </c>
      <c r="M61" s="79" t="s">
        <v>3055</v>
      </c>
    </row>
    <row r="62" ht="242.25" spans="1:13">
      <c r="A62" s="79" t="s">
        <v>3006</v>
      </c>
      <c r="B62" s="79" t="s">
        <v>2896</v>
      </c>
      <c r="C62" s="79" t="s">
        <v>2897</v>
      </c>
      <c r="D62" s="79" t="s">
        <v>2898</v>
      </c>
      <c r="E62" s="79" t="s">
        <v>1834</v>
      </c>
      <c r="F62" s="80">
        <v>148</v>
      </c>
      <c r="G62" s="80">
        <v>50</v>
      </c>
      <c r="H62" s="80">
        <v>7400</v>
      </c>
      <c r="I62" s="80">
        <v>48115.48</v>
      </c>
      <c r="J62" s="79" t="s">
        <v>2874</v>
      </c>
      <c r="K62" s="79" t="s">
        <v>3010</v>
      </c>
      <c r="L62" s="79" t="s">
        <v>2868</v>
      </c>
      <c r="M62" s="79" t="s">
        <v>3056</v>
      </c>
    </row>
    <row r="63" ht="242.25" spans="1:13">
      <c r="A63" s="79" t="s">
        <v>3006</v>
      </c>
      <c r="B63" s="79" t="s">
        <v>3057</v>
      </c>
      <c r="C63" s="79" t="s">
        <v>3058</v>
      </c>
      <c r="D63" s="79" t="s">
        <v>2984</v>
      </c>
      <c r="E63" s="79" t="s">
        <v>3059</v>
      </c>
      <c r="F63" s="80">
        <v>11.5</v>
      </c>
      <c r="G63" s="80">
        <v>1</v>
      </c>
      <c r="H63" s="80">
        <v>11.5</v>
      </c>
      <c r="I63" s="80">
        <v>48115.48</v>
      </c>
      <c r="J63" s="79" t="s">
        <v>2874</v>
      </c>
      <c r="K63" s="79" t="s">
        <v>3010</v>
      </c>
      <c r="L63" s="79" t="s">
        <v>2868</v>
      </c>
      <c r="M63" s="79" t="s">
        <v>3060</v>
      </c>
    </row>
    <row r="64" ht="242.25" spans="1:13">
      <c r="A64" s="79" t="s">
        <v>3006</v>
      </c>
      <c r="B64" s="79" t="s">
        <v>2982</v>
      </c>
      <c r="C64" s="79" t="s">
        <v>2983</v>
      </c>
      <c r="D64" s="79" t="s">
        <v>2984</v>
      </c>
      <c r="E64" s="79" t="s">
        <v>2985</v>
      </c>
      <c r="F64" s="80">
        <v>0.51</v>
      </c>
      <c r="G64" s="80">
        <v>40</v>
      </c>
      <c r="H64" s="80">
        <v>20.4</v>
      </c>
      <c r="I64" s="80">
        <v>48115.48</v>
      </c>
      <c r="J64" s="79" t="s">
        <v>2874</v>
      </c>
      <c r="K64" s="79" t="s">
        <v>3010</v>
      </c>
      <c r="L64" s="79" t="s">
        <v>2868</v>
      </c>
      <c r="M64" s="79" t="s">
        <v>3061</v>
      </c>
    </row>
    <row r="65" ht="242.25" spans="1:13">
      <c r="A65" s="79" t="s">
        <v>3006</v>
      </c>
      <c r="B65" s="79" t="s">
        <v>3062</v>
      </c>
      <c r="C65" s="79" t="s">
        <v>3063</v>
      </c>
      <c r="D65" s="79" t="s">
        <v>2946</v>
      </c>
      <c r="E65" s="79" t="s">
        <v>3064</v>
      </c>
      <c r="F65" s="80">
        <v>6</v>
      </c>
      <c r="G65" s="80">
        <v>2</v>
      </c>
      <c r="H65" s="80">
        <v>12</v>
      </c>
      <c r="I65" s="80">
        <v>48115.48</v>
      </c>
      <c r="J65" s="79" t="s">
        <v>2874</v>
      </c>
      <c r="K65" s="79" t="s">
        <v>3010</v>
      </c>
      <c r="L65" s="79" t="s">
        <v>2868</v>
      </c>
      <c r="M65" s="79" t="s">
        <v>3065</v>
      </c>
    </row>
    <row r="66" ht="242.25" spans="1:13">
      <c r="A66" s="79" t="s">
        <v>3006</v>
      </c>
      <c r="B66" s="79" t="s">
        <v>2987</v>
      </c>
      <c r="C66" s="79" t="s">
        <v>2988</v>
      </c>
      <c r="D66" s="79" t="s">
        <v>2884</v>
      </c>
      <c r="E66" s="79" t="s">
        <v>1822</v>
      </c>
      <c r="F66" s="80">
        <v>2.5</v>
      </c>
      <c r="G66" s="80">
        <v>852</v>
      </c>
      <c r="H66" s="80">
        <v>2130</v>
      </c>
      <c r="I66" s="80">
        <v>48115.48</v>
      </c>
      <c r="J66" s="79" t="s">
        <v>2874</v>
      </c>
      <c r="K66" s="79" t="s">
        <v>3010</v>
      </c>
      <c r="L66" s="79" t="s">
        <v>2868</v>
      </c>
      <c r="M66" s="79" t="s">
        <v>3066</v>
      </c>
    </row>
    <row r="67" ht="242.25" spans="1:13">
      <c r="A67" s="79" t="s">
        <v>3006</v>
      </c>
      <c r="B67" s="79" t="s">
        <v>3067</v>
      </c>
      <c r="C67" s="79" t="s">
        <v>3068</v>
      </c>
      <c r="D67" s="79" t="s">
        <v>2946</v>
      </c>
      <c r="E67" s="79" t="s">
        <v>3064</v>
      </c>
      <c r="F67" s="80">
        <v>6</v>
      </c>
      <c r="G67" s="80">
        <v>3</v>
      </c>
      <c r="H67" s="80">
        <v>18</v>
      </c>
      <c r="I67" s="80">
        <v>48115.48</v>
      </c>
      <c r="J67" s="79" t="s">
        <v>2874</v>
      </c>
      <c r="K67" s="79" t="s">
        <v>3010</v>
      </c>
      <c r="L67" s="79" t="s">
        <v>2868</v>
      </c>
      <c r="M67" s="79" t="s">
        <v>3069</v>
      </c>
    </row>
    <row r="68" ht="242.25" spans="1:13">
      <c r="A68" s="79" t="s">
        <v>3006</v>
      </c>
      <c r="B68" s="79" t="s">
        <v>2882</v>
      </c>
      <c r="C68" s="79" t="s">
        <v>2883</v>
      </c>
      <c r="D68" s="79" t="s">
        <v>2884</v>
      </c>
      <c r="E68" s="79" t="s">
        <v>1822</v>
      </c>
      <c r="F68" s="80">
        <v>16.09</v>
      </c>
      <c r="G68" s="80">
        <v>230</v>
      </c>
      <c r="H68" s="80">
        <v>3700.7</v>
      </c>
      <c r="I68" s="80">
        <v>48115.48</v>
      </c>
      <c r="J68" s="79" t="s">
        <v>2874</v>
      </c>
      <c r="K68" s="79" t="s">
        <v>3010</v>
      </c>
      <c r="L68" s="79" t="s">
        <v>2868</v>
      </c>
      <c r="M68" s="79" t="s">
        <v>3070</v>
      </c>
    </row>
    <row r="69" ht="242.25" spans="1:13">
      <c r="A69" s="79" t="s">
        <v>3006</v>
      </c>
      <c r="B69" s="79" t="s">
        <v>2973</v>
      </c>
      <c r="C69" s="79" t="s">
        <v>2974</v>
      </c>
      <c r="D69" s="79" t="s">
        <v>2975</v>
      </c>
      <c r="E69" s="79" t="s">
        <v>2976</v>
      </c>
      <c r="F69" s="80">
        <v>18</v>
      </c>
      <c r="G69" s="80">
        <v>6</v>
      </c>
      <c r="H69" s="80">
        <v>108</v>
      </c>
      <c r="I69" s="80">
        <v>48115.48</v>
      </c>
      <c r="J69" s="79" t="s">
        <v>2874</v>
      </c>
      <c r="K69" s="79" t="s">
        <v>3010</v>
      </c>
      <c r="L69" s="79" t="s">
        <v>2868</v>
      </c>
      <c r="M69" s="79" t="s">
        <v>3071</v>
      </c>
    </row>
    <row r="70" ht="242.25" spans="1:13">
      <c r="A70" s="79" t="s">
        <v>3006</v>
      </c>
      <c r="B70" s="79" t="s">
        <v>2957</v>
      </c>
      <c r="C70" s="79" t="s">
        <v>2958</v>
      </c>
      <c r="D70" s="79" t="s">
        <v>2884</v>
      </c>
      <c r="E70" s="79" t="s">
        <v>1822</v>
      </c>
      <c r="F70" s="80">
        <v>11.11</v>
      </c>
      <c r="G70" s="80">
        <v>212</v>
      </c>
      <c r="H70" s="80">
        <v>2355.32</v>
      </c>
      <c r="I70" s="80">
        <v>48115.48</v>
      </c>
      <c r="J70" s="79" t="s">
        <v>2874</v>
      </c>
      <c r="K70" s="79" t="s">
        <v>3010</v>
      </c>
      <c r="L70" s="79" t="s">
        <v>2868</v>
      </c>
      <c r="M70" s="79" t="s">
        <v>3072</v>
      </c>
    </row>
    <row r="71" ht="242.25" spans="1:13">
      <c r="A71" s="79" t="s">
        <v>3073</v>
      </c>
      <c r="B71" s="79" t="s">
        <v>3074</v>
      </c>
      <c r="C71" s="79" t="s">
        <v>3075</v>
      </c>
      <c r="D71" s="79" t="s">
        <v>3076</v>
      </c>
      <c r="E71" s="79" t="s">
        <v>3077</v>
      </c>
      <c r="F71" s="80">
        <v>12098.5</v>
      </c>
      <c r="G71" s="80">
        <v>1</v>
      </c>
      <c r="H71" s="80">
        <v>12098.5</v>
      </c>
      <c r="I71" s="80">
        <v>12098.5</v>
      </c>
      <c r="J71" s="79" t="s">
        <v>3078</v>
      </c>
      <c r="K71" s="79" t="s">
        <v>3079</v>
      </c>
      <c r="L71" s="79" t="s">
        <v>2868</v>
      </c>
      <c r="M71" s="79" t="s">
        <v>3080</v>
      </c>
    </row>
    <row r="72" ht="242.25" spans="1:13">
      <c r="A72" s="79" t="s">
        <v>3081</v>
      </c>
      <c r="B72" s="79" t="s">
        <v>3082</v>
      </c>
      <c r="C72" s="79" t="s">
        <v>3083</v>
      </c>
      <c r="D72" s="79" t="s">
        <v>2951</v>
      </c>
      <c r="E72" s="79" t="s">
        <v>3084</v>
      </c>
      <c r="F72" s="80">
        <v>8.5</v>
      </c>
      <c r="G72" s="80">
        <v>11</v>
      </c>
      <c r="H72" s="80">
        <v>93.5</v>
      </c>
      <c r="I72" s="80">
        <v>56524.4</v>
      </c>
      <c r="J72" s="79" t="s">
        <v>2874</v>
      </c>
      <c r="K72" s="79" t="s">
        <v>3085</v>
      </c>
      <c r="L72" s="79" t="s">
        <v>2868</v>
      </c>
      <c r="M72" s="79" t="s">
        <v>3086</v>
      </c>
    </row>
    <row r="73" ht="242.25" spans="1:13">
      <c r="A73" s="79" t="s">
        <v>3081</v>
      </c>
      <c r="B73" s="79" t="s">
        <v>2918</v>
      </c>
      <c r="C73" s="79" t="s">
        <v>2919</v>
      </c>
      <c r="D73" s="79" t="s">
        <v>2893</v>
      </c>
      <c r="E73" s="79" t="s">
        <v>1789</v>
      </c>
      <c r="F73" s="80">
        <v>5.5</v>
      </c>
      <c r="G73" s="80">
        <v>40</v>
      </c>
      <c r="H73" s="80">
        <v>220</v>
      </c>
      <c r="I73" s="80">
        <v>56524.4</v>
      </c>
      <c r="J73" s="79" t="s">
        <v>2874</v>
      </c>
      <c r="K73" s="79" t="s">
        <v>3085</v>
      </c>
      <c r="L73" s="79" t="s">
        <v>2868</v>
      </c>
      <c r="M73" s="79" t="s">
        <v>3087</v>
      </c>
    </row>
    <row r="74" ht="242.25" spans="1:13">
      <c r="A74" s="79" t="s">
        <v>3081</v>
      </c>
      <c r="B74" s="79" t="s">
        <v>3088</v>
      </c>
      <c r="C74" s="79" t="s">
        <v>3089</v>
      </c>
      <c r="D74" s="79" t="s">
        <v>3090</v>
      </c>
      <c r="E74" s="79" t="s">
        <v>3091</v>
      </c>
      <c r="F74" s="80">
        <v>4</v>
      </c>
      <c r="G74" s="80">
        <v>5</v>
      </c>
      <c r="H74" s="80">
        <v>20</v>
      </c>
      <c r="I74" s="80">
        <v>56524.4</v>
      </c>
      <c r="J74" s="79" t="s">
        <v>2874</v>
      </c>
      <c r="K74" s="79" t="s">
        <v>3085</v>
      </c>
      <c r="L74" s="79" t="s">
        <v>2868</v>
      </c>
      <c r="M74" s="79" t="s">
        <v>3092</v>
      </c>
    </row>
    <row r="75" ht="242.25" spans="1:13">
      <c r="A75" s="79" t="s">
        <v>3081</v>
      </c>
      <c r="B75" s="79" t="s">
        <v>3093</v>
      </c>
      <c r="C75" s="79" t="s">
        <v>3094</v>
      </c>
      <c r="D75" s="79" t="s">
        <v>2902</v>
      </c>
      <c r="E75" s="79" t="s">
        <v>3001</v>
      </c>
      <c r="F75" s="80">
        <v>18</v>
      </c>
      <c r="G75" s="80">
        <v>10</v>
      </c>
      <c r="H75" s="80">
        <v>180</v>
      </c>
      <c r="I75" s="80">
        <v>56524.4</v>
      </c>
      <c r="J75" s="79" t="s">
        <v>2874</v>
      </c>
      <c r="K75" s="79" t="s">
        <v>3085</v>
      </c>
      <c r="L75" s="79" t="s">
        <v>2868</v>
      </c>
      <c r="M75" s="79" t="s">
        <v>3095</v>
      </c>
    </row>
    <row r="76" ht="242.25" spans="1:13">
      <c r="A76" s="79" t="s">
        <v>3081</v>
      </c>
      <c r="B76" s="79" t="s">
        <v>3013</v>
      </c>
      <c r="C76" s="79" t="s">
        <v>3014</v>
      </c>
      <c r="D76" s="79" t="s">
        <v>2906</v>
      </c>
      <c r="E76" s="79" t="s">
        <v>3015</v>
      </c>
      <c r="F76" s="80">
        <v>28</v>
      </c>
      <c r="G76" s="80">
        <v>2</v>
      </c>
      <c r="H76" s="80">
        <v>56</v>
      </c>
      <c r="I76" s="80">
        <v>56524.4</v>
      </c>
      <c r="J76" s="79" t="s">
        <v>2874</v>
      </c>
      <c r="K76" s="79" t="s">
        <v>3085</v>
      </c>
      <c r="L76" s="79" t="s">
        <v>2868</v>
      </c>
      <c r="M76" s="79" t="s">
        <v>3096</v>
      </c>
    </row>
    <row r="77" ht="242.25" spans="1:13">
      <c r="A77" s="79" t="s">
        <v>3081</v>
      </c>
      <c r="B77" s="79" t="s">
        <v>2937</v>
      </c>
      <c r="C77" s="79" t="s">
        <v>2938</v>
      </c>
      <c r="D77" s="79" t="s">
        <v>2906</v>
      </c>
      <c r="E77" s="79" t="s">
        <v>2939</v>
      </c>
      <c r="F77" s="80">
        <v>115</v>
      </c>
      <c r="G77" s="80">
        <v>16</v>
      </c>
      <c r="H77" s="80">
        <v>1840</v>
      </c>
      <c r="I77" s="80">
        <v>56524.4</v>
      </c>
      <c r="J77" s="79" t="s">
        <v>2874</v>
      </c>
      <c r="K77" s="79" t="s">
        <v>3085</v>
      </c>
      <c r="L77" s="79" t="s">
        <v>2868</v>
      </c>
      <c r="M77" s="79" t="s">
        <v>3097</v>
      </c>
    </row>
    <row r="78" ht="242.25" spans="1:13">
      <c r="A78" s="79" t="s">
        <v>3081</v>
      </c>
      <c r="B78" s="79" t="s">
        <v>3098</v>
      </c>
      <c r="C78" s="79" t="s">
        <v>3099</v>
      </c>
      <c r="D78" s="79" t="s">
        <v>2984</v>
      </c>
      <c r="E78" s="79" t="s">
        <v>3100</v>
      </c>
      <c r="F78" s="80">
        <v>1.7</v>
      </c>
      <c r="G78" s="80">
        <v>3</v>
      </c>
      <c r="H78" s="80">
        <v>5.1</v>
      </c>
      <c r="I78" s="80">
        <v>56524.4</v>
      </c>
      <c r="J78" s="79" t="s">
        <v>2874</v>
      </c>
      <c r="K78" s="79" t="s">
        <v>3085</v>
      </c>
      <c r="L78" s="79" t="s">
        <v>2868</v>
      </c>
      <c r="M78" s="79" t="s">
        <v>3101</v>
      </c>
    </row>
    <row r="79" ht="242.25" spans="1:13">
      <c r="A79" s="79" t="s">
        <v>3081</v>
      </c>
      <c r="B79" s="79" t="s">
        <v>2877</v>
      </c>
      <c r="C79" s="79" t="s">
        <v>2878</v>
      </c>
      <c r="D79" s="79" t="s">
        <v>2879</v>
      </c>
      <c r="E79" s="79" t="s">
        <v>2880</v>
      </c>
      <c r="F79" s="80">
        <v>5.6</v>
      </c>
      <c r="G79" s="80">
        <v>35</v>
      </c>
      <c r="H79" s="80">
        <v>196</v>
      </c>
      <c r="I79" s="80">
        <v>56524.4</v>
      </c>
      <c r="J79" s="79" t="s">
        <v>2874</v>
      </c>
      <c r="K79" s="79" t="s">
        <v>3085</v>
      </c>
      <c r="L79" s="79" t="s">
        <v>2868</v>
      </c>
      <c r="M79" s="79" t="s">
        <v>3102</v>
      </c>
    </row>
    <row r="80" ht="242.25" spans="1:13">
      <c r="A80" s="79" t="s">
        <v>3081</v>
      </c>
      <c r="B80" s="79" t="s">
        <v>2931</v>
      </c>
      <c r="C80" s="79" t="s">
        <v>2932</v>
      </c>
      <c r="D80" s="79" t="s">
        <v>2902</v>
      </c>
      <c r="E80" s="79" t="s">
        <v>1796</v>
      </c>
      <c r="F80" s="80">
        <v>45</v>
      </c>
      <c r="G80" s="80">
        <v>6</v>
      </c>
      <c r="H80" s="80">
        <v>270</v>
      </c>
      <c r="I80" s="80">
        <v>56524.4</v>
      </c>
      <c r="J80" s="79" t="s">
        <v>2874</v>
      </c>
      <c r="K80" s="79" t="s">
        <v>3085</v>
      </c>
      <c r="L80" s="79" t="s">
        <v>2868</v>
      </c>
      <c r="M80" s="79" t="s">
        <v>3103</v>
      </c>
    </row>
    <row r="81" ht="242.25" spans="1:13">
      <c r="A81" s="79" t="s">
        <v>3081</v>
      </c>
      <c r="B81" s="79" t="s">
        <v>2999</v>
      </c>
      <c r="C81" s="79" t="s">
        <v>3000</v>
      </c>
      <c r="D81" s="79" t="s">
        <v>2902</v>
      </c>
      <c r="E81" s="79" t="s">
        <v>3001</v>
      </c>
      <c r="F81" s="80">
        <v>16</v>
      </c>
      <c r="G81" s="80">
        <v>20</v>
      </c>
      <c r="H81" s="80">
        <v>320</v>
      </c>
      <c r="I81" s="80">
        <v>56524.4</v>
      </c>
      <c r="J81" s="79" t="s">
        <v>2874</v>
      </c>
      <c r="K81" s="79" t="s">
        <v>3085</v>
      </c>
      <c r="L81" s="79" t="s">
        <v>2868</v>
      </c>
      <c r="M81" s="79" t="s">
        <v>3104</v>
      </c>
    </row>
    <row r="82" ht="242.25" spans="1:13">
      <c r="A82" s="79" t="s">
        <v>3081</v>
      </c>
      <c r="B82" s="79" t="s">
        <v>2944</v>
      </c>
      <c r="C82" s="79" t="s">
        <v>2945</v>
      </c>
      <c r="D82" s="79" t="s">
        <v>2946</v>
      </c>
      <c r="E82" s="79" t="s">
        <v>2947</v>
      </c>
      <c r="F82" s="80">
        <v>26</v>
      </c>
      <c r="G82" s="80">
        <v>6</v>
      </c>
      <c r="H82" s="80">
        <v>156</v>
      </c>
      <c r="I82" s="80">
        <v>56524.4</v>
      </c>
      <c r="J82" s="79" t="s">
        <v>2874</v>
      </c>
      <c r="K82" s="79" t="s">
        <v>3085</v>
      </c>
      <c r="L82" s="79" t="s">
        <v>2868</v>
      </c>
      <c r="M82" s="79" t="s">
        <v>3105</v>
      </c>
    </row>
    <row r="83" ht="242.25" spans="1:13">
      <c r="A83" s="79" t="s">
        <v>3081</v>
      </c>
      <c r="B83" s="79" t="s">
        <v>3106</v>
      </c>
      <c r="C83" s="79" t="s">
        <v>3107</v>
      </c>
      <c r="D83" s="79" t="s">
        <v>2975</v>
      </c>
      <c r="E83" s="79" t="s">
        <v>3108</v>
      </c>
      <c r="F83" s="80">
        <v>50</v>
      </c>
      <c r="G83" s="80">
        <v>8</v>
      </c>
      <c r="H83" s="80">
        <v>400</v>
      </c>
      <c r="I83" s="80">
        <v>56524.4</v>
      </c>
      <c r="J83" s="79" t="s">
        <v>2874</v>
      </c>
      <c r="K83" s="79" t="s">
        <v>3085</v>
      </c>
      <c r="L83" s="79" t="s">
        <v>2868</v>
      </c>
      <c r="M83" s="79" t="s">
        <v>3109</v>
      </c>
    </row>
    <row r="84" ht="242.25" spans="1:13">
      <c r="A84" s="79" t="s">
        <v>3081</v>
      </c>
      <c r="B84" s="79" t="s">
        <v>3026</v>
      </c>
      <c r="C84" s="79" t="s">
        <v>3027</v>
      </c>
      <c r="D84" s="79" t="s">
        <v>2906</v>
      </c>
      <c r="E84" s="79" t="s">
        <v>3028</v>
      </c>
      <c r="F84" s="80">
        <v>5</v>
      </c>
      <c r="G84" s="80">
        <v>16</v>
      </c>
      <c r="H84" s="80">
        <v>80</v>
      </c>
      <c r="I84" s="80">
        <v>56524.4</v>
      </c>
      <c r="J84" s="79" t="s">
        <v>2874</v>
      </c>
      <c r="K84" s="79" t="s">
        <v>3085</v>
      </c>
      <c r="L84" s="79" t="s">
        <v>2868</v>
      </c>
      <c r="M84" s="79" t="s">
        <v>3110</v>
      </c>
    </row>
    <row r="85" ht="242.25" spans="1:13">
      <c r="A85" s="79" t="s">
        <v>3081</v>
      </c>
      <c r="B85" s="79" t="s">
        <v>2949</v>
      </c>
      <c r="C85" s="79" t="s">
        <v>2950</v>
      </c>
      <c r="D85" s="79" t="s">
        <v>2951</v>
      </c>
      <c r="E85" s="79" t="s">
        <v>2952</v>
      </c>
      <c r="F85" s="80">
        <v>4.5</v>
      </c>
      <c r="G85" s="80">
        <v>20</v>
      </c>
      <c r="H85" s="80">
        <v>90</v>
      </c>
      <c r="I85" s="80">
        <v>56524.4</v>
      </c>
      <c r="J85" s="79" t="s">
        <v>2874</v>
      </c>
      <c r="K85" s="79" t="s">
        <v>3085</v>
      </c>
      <c r="L85" s="79" t="s">
        <v>2868</v>
      </c>
      <c r="M85" s="79" t="s">
        <v>3111</v>
      </c>
    </row>
    <row r="86" ht="242.25" spans="1:13">
      <c r="A86" s="79" t="s">
        <v>3081</v>
      </c>
      <c r="B86" s="79" t="s">
        <v>2904</v>
      </c>
      <c r="C86" s="79" t="s">
        <v>2905</v>
      </c>
      <c r="D86" s="79" t="s">
        <v>2906</v>
      </c>
      <c r="E86" s="79" t="s">
        <v>2907</v>
      </c>
      <c r="F86" s="80">
        <v>60</v>
      </c>
      <c r="G86" s="80">
        <v>19</v>
      </c>
      <c r="H86" s="80">
        <v>1140</v>
      </c>
      <c r="I86" s="80">
        <v>56524.4</v>
      </c>
      <c r="J86" s="79" t="s">
        <v>2874</v>
      </c>
      <c r="K86" s="79" t="s">
        <v>3085</v>
      </c>
      <c r="L86" s="79" t="s">
        <v>2868</v>
      </c>
      <c r="M86" s="79" t="s">
        <v>3112</v>
      </c>
    </row>
    <row r="87" ht="242.25" spans="1:13">
      <c r="A87" s="79" t="s">
        <v>3081</v>
      </c>
      <c r="B87" s="79" t="s">
        <v>2960</v>
      </c>
      <c r="C87" s="79" t="s">
        <v>2961</v>
      </c>
      <c r="D87" s="79" t="s">
        <v>2898</v>
      </c>
      <c r="E87" s="79" t="s">
        <v>1834</v>
      </c>
      <c r="F87" s="80">
        <v>130</v>
      </c>
      <c r="G87" s="80">
        <v>108</v>
      </c>
      <c r="H87" s="80">
        <v>14040</v>
      </c>
      <c r="I87" s="80">
        <v>56524.4</v>
      </c>
      <c r="J87" s="79" t="s">
        <v>2874</v>
      </c>
      <c r="K87" s="79" t="s">
        <v>3085</v>
      </c>
      <c r="L87" s="79" t="s">
        <v>2868</v>
      </c>
      <c r="M87" s="79" t="s">
        <v>3113</v>
      </c>
    </row>
    <row r="88" ht="242.25" spans="1:13">
      <c r="A88" s="79" t="s">
        <v>3081</v>
      </c>
      <c r="B88" s="79" t="s">
        <v>2886</v>
      </c>
      <c r="C88" s="79" t="s">
        <v>2887</v>
      </c>
      <c r="D88" s="79" t="s">
        <v>2888</v>
      </c>
      <c r="E88" s="79" t="s">
        <v>2889</v>
      </c>
      <c r="F88" s="80">
        <v>4.3</v>
      </c>
      <c r="G88" s="80">
        <v>51</v>
      </c>
      <c r="H88" s="80">
        <v>219.3</v>
      </c>
      <c r="I88" s="80">
        <v>56524.4</v>
      </c>
      <c r="J88" s="79" t="s">
        <v>2874</v>
      </c>
      <c r="K88" s="79" t="s">
        <v>3085</v>
      </c>
      <c r="L88" s="79" t="s">
        <v>2868</v>
      </c>
      <c r="M88" s="79" t="s">
        <v>3114</v>
      </c>
    </row>
    <row r="89" ht="242.25" spans="1:13">
      <c r="A89" s="79" t="s">
        <v>3081</v>
      </c>
      <c r="B89" s="79" t="s">
        <v>2882</v>
      </c>
      <c r="C89" s="79" t="s">
        <v>2883</v>
      </c>
      <c r="D89" s="79" t="s">
        <v>2884</v>
      </c>
      <c r="E89" s="79" t="s">
        <v>1822</v>
      </c>
      <c r="F89" s="80">
        <v>16.09</v>
      </c>
      <c r="G89" s="80">
        <v>250</v>
      </c>
      <c r="H89" s="80">
        <v>4022.5</v>
      </c>
      <c r="I89" s="80">
        <v>56524.4</v>
      </c>
      <c r="J89" s="79" t="s">
        <v>2874</v>
      </c>
      <c r="K89" s="79" t="s">
        <v>3085</v>
      </c>
      <c r="L89" s="79" t="s">
        <v>2868</v>
      </c>
      <c r="M89" s="79" t="s">
        <v>3115</v>
      </c>
    </row>
    <row r="90" ht="242.25" spans="1:13">
      <c r="A90" s="79" t="s">
        <v>3081</v>
      </c>
      <c r="B90" s="79" t="s">
        <v>3035</v>
      </c>
      <c r="C90" s="79" t="s">
        <v>3036</v>
      </c>
      <c r="D90" s="79" t="s">
        <v>2884</v>
      </c>
      <c r="E90" s="79" t="s">
        <v>1822</v>
      </c>
      <c r="F90" s="80">
        <v>17.2</v>
      </c>
      <c r="G90" s="80">
        <v>194</v>
      </c>
      <c r="H90" s="80">
        <v>3336.8</v>
      </c>
      <c r="I90" s="80">
        <v>56524.4</v>
      </c>
      <c r="J90" s="79" t="s">
        <v>2874</v>
      </c>
      <c r="K90" s="79" t="s">
        <v>3085</v>
      </c>
      <c r="L90" s="79" t="s">
        <v>2868</v>
      </c>
      <c r="M90" s="79" t="s">
        <v>3116</v>
      </c>
    </row>
    <row r="91" ht="242.25" spans="1:13">
      <c r="A91" s="79" t="s">
        <v>3081</v>
      </c>
      <c r="B91" s="79" t="s">
        <v>3057</v>
      </c>
      <c r="C91" s="79" t="s">
        <v>3058</v>
      </c>
      <c r="D91" s="79" t="s">
        <v>2984</v>
      </c>
      <c r="E91" s="79" t="s">
        <v>3059</v>
      </c>
      <c r="F91" s="80">
        <v>11.5</v>
      </c>
      <c r="G91" s="80">
        <v>2</v>
      </c>
      <c r="H91" s="80">
        <v>23</v>
      </c>
      <c r="I91" s="80">
        <v>56524.4</v>
      </c>
      <c r="J91" s="79" t="s">
        <v>2874</v>
      </c>
      <c r="K91" s="79" t="s">
        <v>3085</v>
      </c>
      <c r="L91" s="79" t="s">
        <v>2868</v>
      </c>
      <c r="M91" s="79" t="s">
        <v>3117</v>
      </c>
    </row>
    <row r="92" ht="242.25" spans="1:13">
      <c r="A92" s="79" t="s">
        <v>3081</v>
      </c>
      <c r="B92" s="79" t="s">
        <v>3118</v>
      </c>
      <c r="C92" s="79" t="s">
        <v>3119</v>
      </c>
      <c r="D92" s="79" t="s">
        <v>3120</v>
      </c>
      <c r="E92" s="79" t="s">
        <v>3121</v>
      </c>
      <c r="F92" s="80">
        <v>33.5</v>
      </c>
      <c r="G92" s="80">
        <v>1</v>
      </c>
      <c r="H92" s="80">
        <v>33.5</v>
      </c>
      <c r="I92" s="80">
        <v>56524.4</v>
      </c>
      <c r="J92" s="79" t="s">
        <v>2874</v>
      </c>
      <c r="K92" s="79" t="s">
        <v>3085</v>
      </c>
      <c r="L92" s="79" t="s">
        <v>2868</v>
      </c>
      <c r="M92" s="79" t="s">
        <v>3122</v>
      </c>
    </row>
    <row r="93" ht="242.25" spans="1:13">
      <c r="A93" s="79" t="s">
        <v>3081</v>
      </c>
      <c r="B93" s="79" t="s">
        <v>2994</v>
      </c>
      <c r="C93" s="79" t="s">
        <v>2995</v>
      </c>
      <c r="D93" s="79" t="s">
        <v>2996</v>
      </c>
      <c r="E93" s="79" t="s">
        <v>2997</v>
      </c>
      <c r="F93" s="80">
        <v>110</v>
      </c>
      <c r="G93" s="80">
        <v>120</v>
      </c>
      <c r="H93" s="80">
        <v>13200</v>
      </c>
      <c r="I93" s="80">
        <v>56524.4</v>
      </c>
      <c r="J93" s="79" t="s">
        <v>2874</v>
      </c>
      <c r="K93" s="79" t="s">
        <v>3085</v>
      </c>
      <c r="L93" s="79" t="s">
        <v>2868</v>
      </c>
      <c r="M93" s="79" t="s">
        <v>3123</v>
      </c>
    </row>
    <row r="94" ht="242.25" spans="1:13">
      <c r="A94" s="79" t="s">
        <v>3081</v>
      </c>
      <c r="B94" s="79" t="s">
        <v>3062</v>
      </c>
      <c r="C94" s="79" t="s">
        <v>3063</v>
      </c>
      <c r="D94" s="79" t="s">
        <v>2946</v>
      </c>
      <c r="E94" s="79" t="s">
        <v>3064</v>
      </c>
      <c r="F94" s="80">
        <v>6</v>
      </c>
      <c r="G94" s="80">
        <v>2</v>
      </c>
      <c r="H94" s="80">
        <v>12</v>
      </c>
      <c r="I94" s="80">
        <v>56524.4</v>
      </c>
      <c r="J94" s="79" t="s">
        <v>2874</v>
      </c>
      <c r="K94" s="79" t="s">
        <v>3085</v>
      </c>
      <c r="L94" s="79" t="s">
        <v>2868</v>
      </c>
      <c r="M94" s="79" t="s">
        <v>3124</v>
      </c>
    </row>
    <row r="95" ht="242.25" spans="1:13">
      <c r="A95" s="79" t="s">
        <v>3081</v>
      </c>
      <c r="B95" s="79" t="s">
        <v>3038</v>
      </c>
      <c r="C95" s="79" t="s">
        <v>3039</v>
      </c>
      <c r="D95" s="79" t="s">
        <v>3040</v>
      </c>
      <c r="E95" s="79" t="s">
        <v>3041</v>
      </c>
      <c r="F95" s="80">
        <v>15.19</v>
      </c>
      <c r="G95" s="80">
        <v>6</v>
      </c>
      <c r="H95" s="80">
        <v>91.14</v>
      </c>
      <c r="I95" s="80">
        <v>56524.4</v>
      </c>
      <c r="J95" s="79" t="s">
        <v>2874</v>
      </c>
      <c r="K95" s="79" t="s">
        <v>3085</v>
      </c>
      <c r="L95" s="79" t="s">
        <v>2868</v>
      </c>
      <c r="M95" s="79" t="s">
        <v>3125</v>
      </c>
    </row>
    <row r="96" ht="242.25" spans="1:13">
      <c r="A96" s="79" t="s">
        <v>3081</v>
      </c>
      <c r="B96" s="79" t="s">
        <v>2909</v>
      </c>
      <c r="C96" s="79" t="s">
        <v>2910</v>
      </c>
      <c r="D96" s="79" t="s">
        <v>2911</v>
      </c>
      <c r="E96" s="79" t="s">
        <v>2912</v>
      </c>
      <c r="F96" s="80">
        <v>4.7</v>
      </c>
      <c r="G96" s="80">
        <v>69</v>
      </c>
      <c r="H96" s="80">
        <v>324.3</v>
      </c>
      <c r="I96" s="80">
        <v>56524.4</v>
      </c>
      <c r="J96" s="79" t="s">
        <v>2874</v>
      </c>
      <c r="K96" s="79" t="s">
        <v>3085</v>
      </c>
      <c r="L96" s="79" t="s">
        <v>2868</v>
      </c>
      <c r="M96" s="79" t="s">
        <v>3126</v>
      </c>
    </row>
    <row r="97" ht="242.25" spans="1:13">
      <c r="A97" s="79" t="s">
        <v>3081</v>
      </c>
      <c r="B97" s="79" t="s">
        <v>3127</v>
      </c>
      <c r="C97" s="79" t="s">
        <v>3128</v>
      </c>
      <c r="D97" s="79" t="s">
        <v>2946</v>
      </c>
      <c r="E97" s="79" t="s">
        <v>3064</v>
      </c>
      <c r="F97" s="80">
        <v>5</v>
      </c>
      <c r="G97" s="80">
        <v>2</v>
      </c>
      <c r="H97" s="80">
        <v>10</v>
      </c>
      <c r="I97" s="80">
        <v>56524.4</v>
      </c>
      <c r="J97" s="79" t="s">
        <v>2874</v>
      </c>
      <c r="K97" s="79" t="s">
        <v>3085</v>
      </c>
      <c r="L97" s="79" t="s">
        <v>2868</v>
      </c>
      <c r="M97" s="79" t="s">
        <v>3129</v>
      </c>
    </row>
    <row r="98" ht="242.25" spans="1:13">
      <c r="A98" s="79" t="s">
        <v>3081</v>
      </c>
      <c r="B98" s="79" t="s">
        <v>2891</v>
      </c>
      <c r="C98" s="79" t="s">
        <v>2892</v>
      </c>
      <c r="D98" s="79" t="s">
        <v>2893</v>
      </c>
      <c r="E98" s="79" t="s">
        <v>2894</v>
      </c>
      <c r="F98" s="80">
        <v>17.2</v>
      </c>
      <c r="G98" s="80">
        <v>32</v>
      </c>
      <c r="H98" s="80">
        <v>550.4</v>
      </c>
      <c r="I98" s="80">
        <v>56524.4</v>
      </c>
      <c r="J98" s="79" t="s">
        <v>2874</v>
      </c>
      <c r="K98" s="79" t="s">
        <v>3085</v>
      </c>
      <c r="L98" s="79" t="s">
        <v>2868</v>
      </c>
      <c r="M98" s="79" t="s">
        <v>3130</v>
      </c>
    </row>
    <row r="99" ht="242.25" spans="1:13">
      <c r="A99" s="79" t="s">
        <v>3081</v>
      </c>
      <c r="B99" s="79" t="s">
        <v>3131</v>
      </c>
      <c r="C99" s="79" t="s">
        <v>3132</v>
      </c>
      <c r="D99" s="79" t="s">
        <v>2906</v>
      </c>
      <c r="E99" s="79" t="s">
        <v>3133</v>
      </c>
      <c r="F99" s="80">
        <v>65</v>
      </c>
      <c r="G99" s="80">
        <v>1</v>
      </c>
      <c r="H99" s="80">
        <v>65</v>
      </c>
      <c r="I99" s="80">
        <v>56524.4</v>
      </c>
      <c r="J99" s="79" t="s">
        <v>2874</v>
      </c>
      <c r="K99" s="79" t="s">
        <v>3085</v>
      </c>
      <c r="L99" s="79" t="s">
        <v>2868</v>
      </c>
      <c r="M99" s="79" t="s">
        <v>3134</v>
      </c>
    </row>
    <row r="100" ht="242.25" spans="1:13">
      <c r="A100" s="79" t="s">
        <v>3081</v>
      </c>
      <c r="B100" s="79" t="s">
        <v>2987</v>
      </c>
      <c r="C100" s="79" t="s">
        <v>2988</v>
      </c>
      <c r="D100" s="79" t="s">
        <v>2884</v>
      </c>
      <c r="E100" s="79" t="s">
        <v>1822</v>
      </c>
      <c r="F100" s="80">
        <v>2.5</v>
      </c>
      <c r="G100" s="80">
        <v>839</v>
      </c>
      <c r="H100" s="80">
        <v>2097.5</v>
      </c>
      <c r="I100" s="80">
        <v>56524.4</v>
      </c>
      <c r="J100" s="79" t="s">
        <v>2874</v>
      </c>
      <c r="K100" s="79" t="s">
        <v>3085</v>
      </c>
      <c r="L100" s="79" t="s">
        <v>2868</v>
      </c>
      <c r="M100" s="79" t="s">
        <v>3135</v>
      </c>
    </row>
    <row r="101" ht="242.25" spans="1:13">
      <c r="A101" s="79" t="s">
        <v>3081</v>
      </c>
      <c r="B101" s="79" t="s">
        <v>2871</v>
      </c>
      <c r="C101" s="79" t="s">
        <v>2872</v>
      </c>
      <c r="D101" s="79" t="s">
        <v>2873</v>
      </c>
      <c r="E101" s="79" t="s">
        <v>1794</v>
      </c>
      <c r="F101" s="80">
        <v>12</v>
      </c>
      <c r="G101" s="80">
        <v>5</v>
      </c>
      <c r="H101" s="80">
        <v>60</v>
      </c>
      <c r="I101" s="80">
        <v>56524.4</v>
      </c>
      <c r="J101" s="79" t="s">
        <v>2874</v>
      </c>
      <c r="K101" s="79" t="s">
        <v>3085</v>
      </c>
      <c r="L101" s="79" t="s">
        <v>2868</v>
      </c>
      <c r="M101" s="79" t="s">
        <v>3136</v>
      </c>
    </row>
    <row r="102" ht="242.25" spans="1:13">
      <c r="A102" s="79" t="s">
        <v>3081</v>
      </c>
      <c r="B102" s="79" t="s">
        <v>2934</v>
      </c>
      <c r="C102" s="79" t="s">
        <v>2935</v>
      </c>
      <c r="D102" s="79" t="s">
        <v>2873</v>
      </c>
      <c r="E102" s="79" t="s">
        <v>1794</v>
      </c>
      <c r="F102" s="80">
        <v>30</v>
      </c>
      <c r="G102" s="80">
        <v>20</v>
      </c>
      <c r="H102" s="80">
        <v>600</v>
      </c>
      <c r="I102" s="80">
        <v>56524.4</v>
      </c>
      <c r="J102" s="79" t="s">
        <v>2874</v>
      </c>
      <c r="K102" s="79" t="s">
        <v>3085</v>
      </c>
      <c r="L102" s="79" t="s">
        <v>2868</v>
      </c>
      <c r="M102" s="79" t="s">
        <v>3137</v>
      </c>
    </row>
    <row r="103" ht="242.25" spans="1:13">
      <c r="A103" s="79" t="s">
        <v>3081</v>
      </c>
      <c r="B103" s="79" t="s">
        <v>2990</v>
      </c>
      <c r="C103" s="79" t="s">
        <v>2991</v>
      </c>
      <c r="D103" s="79" t="s">
        <v>2906</v>
      </c>
      <c r="E103" s="79" t="s">
        <v>2992</v>
      </c>
      <c r="F103" s="80">
        <v>60</v>
      </c>
      <c r="G103" s="80">
        <v>16</v>
      </c>
      <c r="H103" s="80">
        <v>960</v>
      </c>
      <c r="I103" s="80">
        <v>56524.4</v>
      </c>
      <c r="J103" s="79" t="s">
        <v>2874</v>
      </c>
      <c r="K103" s="79" t="s">
        <v>3085</v>
      </c>
      <c r="L103" s="79" t="s">
        <v>2868</v>
      </c>
      <c r="M103" s="79" t="s">
        <v>3138</v>
      </c>
    </row>
    <row r="104" ht="242.25" spans="1:13">
      <c r="A104" s="79" t="s">
        <v>3081</v>
      </c>
      <c r="B104" s="79" t="s">
        <v>3139</v>
      </c>
      <c r="C104" s="79" t="s">
        <v>3140</v>
      </c>
      <c r="D104" s="79" t="s">
        <v>3141</v>
      </c>
      <c r="E104" s="79" t="s">
        <v>3142</v>
      </c>
      <c r="F104" s="80">
        <v>43</v>
      </c>
      <c r="G104" s="80">
        <v>3</v>
      </c>
      <c r="H104" s="80">
        <v>129</v>
      </c>
      <c r="I104" s="80">
        <v>56524.4</v>
      </c>
      <c r="J104" s="79" t="s">
        <v>2874</v>
      </c>
      <c r="K104" s="79" t="s">
        <v>3085</v>
      </c>
      <c r="L104" s="79" t="s">
        <v>2868</v>
      </c>
      <c r="M104" s="79" t="s">
        <v>3143</v>
      </c>
    </row>
    <row r="105" ht="242.25" spans="1:13">
      <c r="A105" s="79" t="s">
        <v>3081</v>
      </c>
      <c r="B105" s="79" t="s">
        <v>2914</v>
      </c>
      <c r="C105" s="79" t="s">
        <v>2915</v>
      </c>
      <c r="D105" s="79" t="s">
        <v>2906</v>
      </c>
      <c r="E105" s="79" t="s">
        <v>2916</v>
      </c>
      <c r="F105" s="80">
        <v>135</v>
      </c>
      <c r="G105" s="80">
        <v>7</v>
      </c>
      <c r="H105" s="80">
        <v>945</v>
      </c>
      <c r="I105" s="80">
        <v>56524.4</v>
      </c>
      <c r="J105" s="79" t="s">
        <v>2874</v>
      </c>
      <c r="K105" s="79" t="s">
        <v>3085</v>
      </c>
      <c r="L105" s="79" t="s">
        <v>2868</v>
      </c>
      <c r="M105" s="79" t="s">
        <v>3144</v>
      </c>
    </row>
    <row r="106" ht="242.25" spans="1:13">
      <c r="A106" s="79" t="s">
        <v>3081</v>
      </c>
      <c r="B106" s="79" t="s">
        <v>2954</v>
      </c>
      <c r="C106" s="79" t="s">
        <v>2955</v>
      </c>
      <c r="D106" s="79" t="s">
        <v>2884</v>
      </c>
      <c r="E106" s="79" t="s">
        <v>1822</v>
      </c>
      <c r="F106" s="80">
        <v>3.8</v>
      </c>
      <c r="G106" s="80">
        <v>30</v>
      </c>
      <c r="H106" s="80">
        <v>114</v>
      </c>
      <c r="I106" s="80">
        <v>56524.4</v>
      </c>
      <c r="J106" s="79" t="s">
        <v>2874</v>
      </c>
      <c r="K106" s="79" t="s">
        <v>3085</v>
      </c>
      <c r="L106" s="79" t="s">
        <v>2868</v>
      </c>
      <c r="M106" s="79" t="s">
        <v>3145</v>
      </c>
    </row>
    <row r="107" ht="242.25" spans="1:13">
      <c r="A107" s="79" t="s">
        <v>3081</v>
      </c>
      <c r="B107" s="79" t="s">
        <v>3146</v>
      </c>
      <c r="C107" s="79" t="s">
        <v>3147</v>
      </c>
      <c r="D107" s="79" t="s">
        <v>3148</v>
      </c>
      <c r="E107" s="79" t="s">
        <v>3149</v>
      </c>
      <c r="F107" s="80">
        <v>6</v>
      </c>
      <c r="G107" s="80">
        <v>6</v>
      </c>
      <c r="H107" s="80">
        <v>36</v>
      </c>
      <c r="I107" s="80">
        <v>56524.4</v>
      </c>
      <c r="J107" s="79" t="s">
        <v>2874</v>
      </c>
      <c r="K107" s="79" t="s">
        <v>3085</v>
      </c>
      <c r="L107" s="79" t="s">
        <v>2868</v>
      </c>
      <c r="M107" s="79" t="s">
        <v>3150</v>
      </c>
    </row>
    <row r="108" ht="242.25" spans="1:13">
      <c r="A108" s="79" t="s">
        <v>3081</v>
      </c>
      <c r="B108" s="79" t="s">
        <v>2982</v>
      </c>
      <c r="C108" s="79" t="s">
        <v>2983</v>
      </c>
      <c r="D108" s="79" t="s">
        <v>2984</v>
      </c>
      <c r="E108" s="79" t="s">
        <v>2985</v>
      </c>
      <c r="F108" s="80">
        <v>0.51</v>
      </c>
      <c r="G108" s="80">
        <v>50</v>
      </c>
      <c r="H108" s="80">
        <v>25.5</v>
      </c>
      <c r="I108" s="80">
        <v>56524.4</v>
      </c>
      <c r="J108" s="79" t="s">
        <v>2874</v>
      </c>
      <c r="K108" s="79" t="s">
        <v>3085</v>
      </c>
      <c r="L108" s="79" t="s">
        <v>2868</v>
      </c>
      <c r="M108" s="79" t="s">
        <v>3151</v>
      </c>
    </row>
    <row r="109" ht="242.25" spans="1:13">
      <c r="A109" s="79" t="s">
        <v>3081</v>
      </c>
      <c r="B109" s="79" t="s">
        <v>2968</v>
      </c>
      <c r="C109" s="79" t="s">
        <v>2969</v>
      </c>
      <c r="D109" s="79" t="s">
        <v>2970</v>
      </c>
      <c r="E109" s="79" t="s">
        <v>2971</v>
      </c>
      <c r="F109" s="80">
        <v>35</v>
      </c>
      <c r="G109" s="80">
        <v>3</v>
      </c>
      <c r="H109" s="80">
        <v>105</v>
      </c>
      <c r="I109" s="80">
        <v>56524.4</v>
      </c>
      <c r="J109" s="79" t="s">
        <v>2874</v>
      </c>
      <c r="K109" s="79" t="s">
        <v>3085</v>
      </c>
      <c r="L109" s="79" t="s">
        <v>2868</v>
      </c>
      <c r="M109" s="79" t="s">
        <v>3152</v>
      </c>
    </row>
    <row r="110" ht="242.25" spans="1:13">
      <c r="A110" s="79" t="s">
        <v>3081</v>
      </c>
      <c r="B110" s="79" t="s">
        <v>3003</v>
      </c>
      <c r="C110" s="79" t="s">
        <v>3004</v>
      </c>
      <c r="D110" s="79" t="s">
        <v>2984</v>
      </c>
      <c r="E110" s="79" t="s">
        <v>2985</v>
      </c>
      <c r="F110" s="80">
        <v>11.53</v>
      </c>
      <c r="G110" s="80">
        <v>22</v>
      </c>
      <c r="H110" s="80">
        <v>253.66</v>
      </c>
      <c r="I110" s="80">
        <v>56524.4</v>
      </c>
      <c r="J110" s="79" t="s">
        <v>2874</v>
      </c>
      <c r="K110" s="79" t="s">
        <v>3085</v>
      </c>
      <c r="L110" s="79" t="s">
        <v>2868</v>
      </c>
      <c r="M110" s="79" t="s">
        <v>3153</v>
      </c>
    </row>
    <row r="111" ht="242.25" spans="1:13">
      <c r="A111" s="79" t="s">
        <v>3081</v>
      </c>
      <c r="B111" s="79" t="s">
        <v>3154</v>
      </c>
      <c r="C111" s="79" t="s">
        <v>3155</v>
      </c>
      <c r="D111" s="79" t="s">
        <v>3156</v>
      </c>
      <c r="E111" s="79" t="s">
        <v>3157</v>
      </c>
      <c r="F111" s="80">
        <v>35</v>
      </c>
      <c r="G111" s="80">
        <v>5</v>
      </c>
      <c r="H111" s="80">
        <v>175</v>
      </c>
      <c r="I111" s="80">
        <v>56524.4</v>
      </c>
      <c r="J111" s="79" t="s">
        <v>2874</v>
      </c>
      <c r="K111" s="79" t="s">
        <v>3085</v>
      </c>
      <c r="L111" s="79" t="s">
        <v>2868</v>
      </c>
      <c r="M111" s="79" t="s">
        <v>3158</v>
      </c>
    </row>
    <row r="112" ht="242.25" spans="1:13">
      <c r="A112" s="79" t="s">
        <v>3081</v>
      </c>
      <c r="B112" s="79" t="s">
        <v>2900</v>
      </c>
      <c r="C112" s="79" t="s">
        <v>2901</v>
      </c>
      <c r="D112" s="79" t="s">
        <v>2902</v>
      </c>
      <c r="E112" s="79" t="s">
        <v>1796</v>
      </c>
      <c r="F112" s="80">
        <v>42</v>
      </c>
      <c r="G112" s="80">
        <v>5</v>
      </c>
      <c r="H112" s="80">
        <v>210</v>
      </c>
      <c r="I112" s="80">
        <v>56524.4</v>
      </c>
      <c r="J112" s="79" t="s">
        <v>2874</v>
      </c>
      <c r="K112" s="79" t="s">
        <v>3085</v>
      </c>
      <c r="L112" s="79" t="s">
        <v>2868</v>
      </c>
      <c r="M112" s="79" t="s">
        <v>3159</v>
      </c>
    </row>
    <row r="113" ht="242.25" spans="1:13">
      <c r="A113" s="79" t="s">
        <v>3081</v>
      </c>
      <c r="B113" s="79" t="s">
        <v>2963</v>
      </c>
      <c r="C113" s="79" t="s">
        <v>2964</v>
      </c>
      <c r="D113" s="79" t="s">
        <v>2965</v>
      </c>
      <c r="E113" s="79" t="s">
        <v>2966</v>
      </c>
      <c r="F113" s="80">
        <v>10</v>
      </c>
      <c r="G113" s="80">
        <v>8</v>
      </c>
      <c r="H113" s="80">
        <v>80</v>
      </c>
      <c r="I113" s="80">
        <v>56524.4</v>
      </c>
      <c r="J113" s="79" t="s">
        <v>2874</v>
      </c>
      <c r="K113" s="79" t="s">
        <v>3085</v>
      </c>
      <c r="L113" s="79" t="s">
        <v>2868</v>
      </c>
      <c r="M113" s="79" t="s">
        <v>3160</v>
      </c>
    </row>
    <row r="114" ht="242.25" spans="1:13">
      <c r="A114" s="79" t="s">
        <v>3081</v>
      </c>
      <c r="B114" s="79" t="s">
        <v>3007</v>
      </c>
      <c r="C114" s="79" t="s">
        <v>3008</v>
      </c>
      <c r="D114" s="79" t="s">
        <v>2951</v>
      </c>
      <c r="E114" s="79" t="s">
        <v>3009</v>
      </c>
      <c r="F114" s="80">
        <v>8.5</v>
      </c>
      <c r="G114" s="80">
        <v>8</v>
      </c>
      <c r="H114" s="80">
        <v>68</v>
      </c>
      <c r="I114" s="80">
        <v>56524.4</v>
      </c>
      <c r="J114" s="79" t="s">
        <v>2874</v>
      </c>
      <c r="K114" s="79" t="s">
        <v>3085</v>
      </c>
      <c r="L114" s="79" t="s">
        <v>2868</v>
      </c>
      <c r="M114" s="79" t="s">
        <v>3161</v>
      </c>
    </row>
    <row r="115" ht="242.25" spans="1:13">
      <c r="A115" s="79" t="s">
        <v>3081</v>
      </c>
      <c r="B115" s="79" t="s">
        <v>3044</v>
      </c>
      <c r="C115" s="79" t="s">
        <v>3045</v>
      </c>
      <c r="D115" s="79" t="s">
        <v>2906</v>
      </c>
      <c r="E115" s="79" t="s">
        <v>3046</v>
      </c>
      <c r="F115" s="80">
        <v>10.2</v>
      </c>
      <c r="G115" s="80">
        <v>7</v>
      </c>
      <c r="H115" s="80">
        <v>71.4</v>
      </c>
      <c r="I115" s="80">
        <v>56524.4</v>
      </c>
      <c r="J115" s="79" t="s">
        <v>2874</v>
      </c>
      <c r="K115" s="79" t="s">
        <v>3085</v>
      </c>
      <c r="L115" s="79" t="s">
        <v>2868</v>
      </c>
      <c r="M115" s="79" t="s">
        <v>3162</v>
      </c>
    </row>
    <row r="116" ht="242.25" spans="1:13">
      <c r="A116" s="79" t="s">
        <v>3081</v>
      </c>
      <c r="B116" s="79" t="s">
        <v>2896</v>
      </c>
      <c r="C116" s="79" t="s">
        <v>2897</v>
      </c>
      <c r="D116" s="79" t="s">
        <v>2898</v>
      </c>
      <c r="E116" s="79" t="s">
        <v>1834</v>
      </c>
      <c r="F116" s="80">
        <v>148</v>
      </c>
      <c r="G116" s="80">
        <v>50</v>
      </c>
      <c r="H116" s="80">
        <v>7400</v>
      </c>
      <c r="I116" s="80">
        <v>56524.4</v>
      </c>
      <c r="J116" s="79" t="s">
        <v>2874</v>
      </c>
      <c r="K116" s="79" t="s">
        <v>3085</v>
      </c>
      <c r="L116" s="79" t="s">
        <v>2868</v>
      </c>
      <c r="M116" s="79" t="s">
        <v>3163</v>
      </c>
    </row>
    <row r="117" ht="242.25" spans="1:13">
      <c r="A117" s="79" t="s">
        <v>3081</v>
      </c>
      <c r="B117" s="79" t="s">
        <v>2921</v>
      </c>
      <c r="C117" s="79" t="s">
        <v>2922</v>
      </c>
      <c r="D117" s="79" t="s">
        <v>2923</v>
      </c>
      <c r="E117" s="79" t="s">
        <v>2924</v>
      </c>
      <c r="F117" s="80">
        <v>6</v>
      </c>
      <c r="G117" s="80">
        <v>8</v>
      </c>
      <c r="H117" s="80">
        <v>48</v>
      </c>
      <c r="I117" s="80">
        <v>56524.4</v>
      </c>
      <c r="J117" s="79" t="s">
        <v>2874</v>
      </c>
      <c r="K117" s="79" t="s">
        <v>3085</v>
      </c>
      <c r="L117" s="79" t="s">
        <v>2868</v>
      </c>
      <c r="M117" s="79" t="s">
        <v>3164</v>
      </c>
    </row>
    <row r="118" ht="242.25" spans="1:13">
      <c r="A118" s="79" t="s">
        <v>3081</v>
      </c>
      <c r="B118" s="79" t="s">
        <v>2957</v>
      </c>
      <c r="C118" s="79" t="s">
        <v>2958</v>
      </c>
      <c r="D118" s="79" t="s">
        <v>2884</v>
      </c>
      <c r="E118" s="79" t="s">
        <v>1822</v>
      </c>
      <c r="F118" s="80">
        <v>11.11</v>
      </c>
      <c r="G118" s="80">
        <v>180</v>
      </c>
      <c r="H118" s="80">
        <v>1999.8</v>
      </c>
      <c r="I118" s="80">
        <v>56524.4</v>
      </c>
      <c r="J118" s="79" t="s">
        <v>2874</v>
      </c>
      <c r="K118" s="79" t="s">
        <v>3085</v>
      </c>
      <c r="L118" s="79" t="s">
        <v>2868</v>
      </c>
      <c r="M118" s="79" t="s">
        <v>3165</v>
      </c>
    </row>
    <row r="119" ht="242.25" spans="1:13">
      <c r="A119" s="79" t="s">
        <v>3081</v>
      </c>
      <c r="B119" s="79" t="s">
        <v>2978</v>
      </c>
      <c r="C119" s="79" t="s">
        <v>2979</v>
      </c>
      <c r="D119" s="79" t="s">
        <v>2906</v>
      </c>
      <c r="E119" s="79" t="s">
        <v>2980</v>
      </c>
      <c r="F119" s="80">
        <v>28</v>
      </c>
      <c r="G119" s="80">
        <v>5</v>
      </c>
      <c r="H119" s="80">
        <v>140</v>
      </c>
      <c r="I119" s="80">
        <v>56524.4</v>
      </c>
      <c r="J119" s="79" t="s">
        <v>2874</v>
      </c>
      <c r="K119" s="79" t="s">
        <v>3085</v>
      </c>
      <c r="L119" s="79" t="s">
        <v>2868</v>
      </c>
      <c r="M119" s="79" t="s">
        <v>3166</v>
      </c>
    </row>
    <row r="120" ht="242.25" spans="1:13">
      <c r="A120" s="79" t="s">
        <v>3081</v>
      </c>
      <c r="B120" s="79" t="s">
        <v>3167</v>
      </c>
      <c r="C120" s="79" t="s">
        <v>3168</v>
      </c>
      <c r="D120" s="79" t="s">
        <v>3169</v>
      </c>
      <c r="E120" s="79" t="s">
        <v>1819</v>
      </c>
      <c r="F120" s="80">
        <v>6</v>
      </c>
      <c r="G120" s="80">
        <v>2</v>
      </c>
      <c r="H120" s="80">
        <v>12</v>
      </c>
      <c r="I120" s="80">
        <v>56524.4</v>
      </c>
      <c r="J120" s="79" t="s">
        <v>2874</v>
      </c>
      <c r="K120" s="79" t="s">
        <v>3085</v>
      </c>
      <c r="L120" s="79" t="s">
        <v>2868</v>
      </c>
      <c r="M120" s="79" t="s">
        <v>3170</v>
      </c>
    </row>
    <row r="121" ht="242.25" spans="1:13">
      <c r="A121" s="79" t="s">
        <v>3171</v>
      </c>
      <c r="B121" s="79" t="s">
        <v>2871</v>
      </c>
      <c r="C121" s="79" t="s">
        <v>2872</v>
      </c>
      <c r="D121" s="79" t="s">
        <v>2873</v>
      </c>
      <c r="E121" s="79" t="s">
        <v>1794</v>
      </c>
      <c r="F121" s="80">
        <v>12</v>
      </c>
      <c r="G121" s="80">
        <v>17</v>
      </c>
      <c r="H121" s="80">
        <v>204</v>
      </c>
      <c r="I121" s="80">
        <v>63536.29</v>
      </c>
      <c r="J121" s="79" t="s">
        <v>2874</v>
      </c>
      <c r="K121" s="79" t="s">
        <v>3172</v>
      </c>
      <c r="L121" s="79" t="s">
        <v>2868</v>
      </c>
      <c r="M121" s="79" t="s">
        <v>3173</v>
      </c>
    </row>
    <row r="122" ht="242.25" spans="1:13">
      <c r="A122" s="79" t="s">
        <v>3171</v>
      </c>
      <c r="B122" s="79" t="s">
        <v>2937</v>
      </c>
      <c r="C122" s="79" t="s">
        <v>2938</v>
      </c>
      <c r="D122" s="79" t="s">
        <v>2906</v>
      </c>
      <c r="E122" s="79" t="s">
        <v>2939</v>
      </c>
      <c r="F122" s="80">
        <v>115</v>
      </c>
      <c r="G122" s="80">
        <v>41</v>
      </c>
      <c r="H122" s="80">
        <v>4715</v>
      </c>
      <c r="I122" s="80">
        <v>63536.29</v>
      </c>
      <c r="J122" s="79" t="s">
        <v>2874</v>
      </c>
      <c r="K122" s="79" t="s">
        <v>3172</v>
      </c>
      <c r="L122" s="79" t="s">
        <v>2868</v>
      </c>
      <c r="M122" s="79" t="s">
        <v>3174</v>
      </c>
    </row>
    <row r="123" ht="242.25" spans="1:13">
      <c r="A123" s="79" t="s">
        <v>3171</v>
      </c>
      <c r="B123" s="79" t="s">
        <v>2960</v>
      </c>
      <c r="C123" s="79" t="s">
        <v>2961</v>
      </c>
      <c r="D123" s="79" t="s">
        <v>2898</v>
      </c>
      <c r="E123" s="79" t="s">
        <v>1834</v>
      </c>
      <c r="F123" s="80">
        <v>130</v>
      </c>
      <c r="G123" s="80">
        <v>109</v>
      </c>
      <c r="H123" s="80">
        <v>14170</v>
      </c>
      <c r="I123" s="80">
        <v>63536.29</v>
      </c>
      <c r="J123" s="79" t="s">
        <v>2874</v>
      </c>
      <c r="K123" s="79" t="s">
        <v>3172</v>
      </c>
      <c r="L123" s="79" t="s">
        <v>2868</v>
      </c>
      <c r="M123" s="79" t="s">
        <v>3175</v>
      </c>
    </row>
    <row r="124" ht="242.25" spans="1:13">
      <c r="A124" s="79" t="s">
        <v>3171</v>
      </c>
      <c r="B124" s="79" t="s">
        <v>2982</v>
      </c>
      <c r="C124" s="79" t="s">
        <v>2983</v>
      </c>
      <c r="D124" s="79" t="s">
        <v>2984</v>
      </c>
      <c r="E124" s="79" t="s">
        <v>2985</v>
      </c>
      <c r="F124" s="80">
        <v>0.51</v>
      </c>
      <c r="G124" s="80">
        <v>50</v>
      </c>
      <c r="H124" s="80">
        <v>25.5</v>
      </c>
      <c r="I124" s="80">
        <v>63536.29</v>
      </c>
      <c r="J124" s="79" t="s">
        <v>2874</v>
      </c>
      <c r="K124" s="79" t="s">
        <v>3172</v>
      </c>
      <c r="L124" s="79" t="s">
        <v>2868</v>
      </c>
      <c r="M124" s="79" t="s">
        <v>3176</v>
      </c>
    </row>
    <row r="125" ht="242.25" spans="1:13">
      <c r="A125" s="79" t="s">
        <v>3171</v>
      </c>
      <c r="B125" s="79" t="s">
        <v>2904</v>
      </c>
      <c r="C125" s="79" t="s">
        <v>2905</v>
      </c>
      <c r="D125" s="79" t="s">
        <v>2906</v>
      </c>
      <c r="E125" s="79" t="s">
        <v>2907</v>
      </c>
      <c r="F125" s="80">
        <v>60</v>
      </c>
      <c r="G125" s="80">
        <v>17</v>
      </c>
      <c r="H125" s="80">
        <v>1020</v>
      </c>
      <c r="I125" s="80">
        <v>63536.29</v>
      </c>
      <c r="J125" s="79" t="s">
        <v>2874</v>
      </c>
      <c r="K125" s="79" t="s">
        <v>3172</v>
      </c>
      <c r="L125" s="79" t="s">
        <v>2868</v>
      </c>
      <c r="M125" s="79" t="s">
        <v>3177</v>
      </c>
    </row>
    <row r="126" ht="242.25" spans="1:13">
      <c r="A126" s="79" t="s">
        <v>3171</v>
      </c>
      <c r="B126" s="79" t="s">
        <v>2978</v>
      </c>
      <c r="C126" s="79" t="s">
        <v>2979</v>
      </c>
      <c r="D126" s="79" t="s">
        <v>2906</v>
      </c>
      <c r="E126" s="79" t="s">
        <v>2980</v>
      </c>
      <c r="F126" s="80">
        <v>28</v>
      </c>
      <c r="G126" s="80">
        <v>8</v>
      </c>
      <c r="H126" s="80">
        <v>224</v>
      </c>
      <c r="I126" s="80">
        <v>63536.29</v>
      </c>
      <c r="J126" s="79" t="s">
        <v>2874</v>
      </c>
      <c r="K126" s="79" t="s">
        <v>3172</v>
      </c>
      <c r="L126" s="79" t="s">
        <v>2868</v>
      </c>
      <c r="M126" s="79" t="s">
        <v>3178</v>
      </c>
    </row>
    <row r="127" ht="242.25" spans="1:13">
      <c r="A127" s="79" t="s">
        <v>3171</v>
      </c>
      <c r="B127" s="79" t="s">
        <v>3035</v>
      </c>
      <c r="C127" s="79" t="s">
        <v>3036</v>
      </c>
      <c r="D127" s="79" t="s">
        <v>2884</v>
      </c>
      <c r="E127" s="79" t="s">
        <v>1822</v>
      </c>
      <c r="F127" s="80">
        <v>17.2</v>
      </c>
      <c r="G127" s="80">
        <v>206</v>
      </c>
      <c r="H127" s="80">
        <v>3543.2</v>
      </c>
      <c r="I127" s="80">
        <v>63536.29</v>
      </c>
      <c r="J127" s="79" t="s">
        <v>2874</v>
      </c>
      <c r="K127" s="79" t="s">
        <v>3172</v>
      </c>
      <c r="L127" s="79" t="s">
        <v>2868</v>
      </c>
      <c r="M127" s="79" t="s">
        <v>3179</v>
      </c>
    </row>
    <row r="128" ht="242.25" spans="1:13">
      <c r="A128" s="79" t="s">
        <v>3171</v>
      </c>
      <c r="B128" s="79" t="s">
        <v>3082</v>
      </c>
      <c r="C128" s="79" t="s">
        <v>3083</v>
      </c>
      <c r="D128" s="79" t="s">
        <v>2951</v>
      </c>
      <c r="E128" s="79" t="s">
        <v>3084</v>
      </c>
      <c r="F128" s="80">
        <v>8.5</v>
      </c>
      <c r="G128" s="80">
        <v>31</v>
      </c>
      <c r="H128" s="80">
        <v>263.5</v>
      </c>
      <c r="I128" s="80">
        <v>63536.29</v>
      </c>
      <c r="J128" s="79" t="s">
        <v>2874</v>
      </c>
      <c r="K128" s="79" t="s">
        <v>3172</v>
      </c>
      <c r="L128" s="79" t="s">
        <v>2868</v>
      </c>
      <c r="M128" s="79" t="s">
        <v>3180</v>
      </c>
    </row>
    <row r="129" ht="242.25" spans="1:13">
      <c r="A129" s="79" t="s">
        <v>3171</v>
      </c>
      <c r="B129" s="79" t="s">
        <v>3098</v>
      </c>
      <c r="C129" s="79" t="s">
        <v>3099</v>
      </c>
      <c r="D129" s="79" t="s">
        <v>2984</v>
      </c>
      <c r="E129" s="79" t="s">
        <v>3100</v>
      </c>
      <c r="F129" s="80">
        <v>1.7</v>
      </c>
      <c r="G129" s="80">
        <v>2</v>
      </c>
      <c r="H129" s="80">
        <v>3.4</v>
      </c>
      <c r="I129" s="80">
        <v>63536.29</v>
      </c>
      <c r="J129" s="79" t="s">
        <v>2874</v>
      </c>
      <c r="K129" s="79" t="s">
        <v>3172</v>
      </c>
      <c r="L129" s="79" t="s">
        <v>2868</v>
      </c>
      <c r="M129" s="79" t="s">
        <v>3181</v>
      </c>
    </row>
    <row r="130" ht="242.25" spans="1:13">
      <c r="A130" s="79" t="s">
        <v>3171</v>
      </c>
      <c r="B130" s="79" t="s">
        <v>3023</v>
      </c>
      <c r="C130" s="79" t="s">
        <v>3024</v>
      </c>
      <c r="D130" s="79" t="s">
        <v>2906</v>
      </c>
      <c r="E130" s="79" t="s">
        <v>2939</v>
      </c>
      <c r="F130" s="80">
        <v>13.18</v>
      </c>
      <c r="G130" s="80">
        <v>28</v>
      </c>
      <c r="H130" s="80">
        <v>369.04</v>
      </c>
      <c r="I130" s="80">
        <v>63536.29</v>
      </c>
      <c r="J130" s="79" t="s">
        <v>2874</v>
      </c>
      <c r="K130" s="79" t="s">
        <v>3172</v>
      </c>
      <c r="L130" s="79" t="s">
        <v>2868</v>
      </c>
      <c r="M130" s="79" t="s">
        <v>3182</v>
      </c>
    </row>
    <row r="131" ht="242.25" spans="1:13">
      <c r="A131" s="79" t="s">
        <v>3171</v>
      </c>
      <c r="B131" s="79" t="s">
        <v>2999</v>
      </c>
      <c r="C131" s="79" t="s">
        <v>3000</v>
      </c>
      <c r="D131" s="79" t="s">
        <v>2902</v>
      </c>
      <c r="E131" s="79" t="s">
        <v>3001</v>
      </c>
      <c r="F131" s="80">
        <v>16</v>
      </c>
      <c r="G131" s="80">
        <v>9</v>
      </c>
      <c r="H131" s="80">
        <v>144</v>
      </c>
      <c r="I131" s="80">
        <v>63536.29</v>
      </c>
      <c r="J131" s="79" t="s">
        <v>2874</v>
      </c>
      <c r="K131" s="79" t="s">
        <v>3172</v>
      </c>
      <c r="L131" s="79" t="s">
        <v>2868</v>
      </c>
      <c r="M131" s="79" t="s">
        <v>3183</v>
      </c>
    </row>
    <row r="132" ht="242.25" spans="1:13">
      <c r="A132" s="79" t="s">
        <v>3171</v>
      </c>
      <c r="B132" s="79" t="s">
        <v>2914</v>
      </c>
      <c r="C132" s="79" t="s">
        <v>2915</v>
      </c>
      <c r="D132" s="79" t="s">
        <v>2906</v>
      </c>
      <c r="E132" s="79" t="s">
        <v>2916</v>
      </c>
      <c r="F132" s="80">
        <v>135</v>
      </c>
      <c r="G132" s="80">
        <v>34</v>
      </c>
      <c r="H132" s="80">
        <v>4590</v>
      </c>
      <c r="I132" s="80">
        <v>63536.29</v>
      </c>
      <c r="J132" s="79" t="s">
        <v>2874</v>
      </c>
      <c r="K132" s="79" t="s">
        <v>3172</v>
      </c>
      <c r="L132" s="79" t="s">
        <v>2868</v>
      </c>
      <c r="M132" s="79" t="s">
        <v>3184</v>
      </c>
    </row>
    <row r="133" ht="242.25" spans="1:13">
      <c r="A133" s="79" t="s">
        <v>3171</v>
      </c>
      <c r="B133" s="79" t="s">
        <v>3088</v>
      </c>
      <c r="C133" s="79" t="s">
        <v>3089</v>
      </c>
      <c r="D133" s="79" t="s">
        <v>3090</v>
      </c>
      <c r="E133" s="79" t="s">
        <v>3091</v>
      </c>
      <c r="F133" s="80">
        <v>4</v>
      </c>
      <c r="G133" s="80">
        <v>2</v>
      </c>
      <c r="H133" s="80">
        <v>8</v>
      </c>
      <c r="I133" s="80">
        <v>63536.29</v>
      </c>
      <c r="J133" s="79" t="s">
        <v>2874</v>
      </c>
      <c r="K133" s="79" t="s">
        <v>3172</v>
      </c>
      <c r="L133" s="79" t="s">
        <v>2868</v>
      </c>
      <c r="M133" s="79" t="s">
        <v>3185</v>
      </c>
    </row>
    <row r="134" ht="242.25" spans="1:13">
      <c r="A134" s="79" t="s">
        <v>3171</v>
      </c>
      <c r="B134" s="79" t="s">
        <v>2900</v>
      </c>
      <c r="C134" s="79" t="s">
        <v>2901</v>
      </c>
      <c r="D134" s="79" t="s">
        <v>2902</v>
      </c>
      <c r="E134" s="79" t="s">
        <v>1796</v>
      </c>
      <c r="F134" s="80">
        <v>42</v>
      </c>
      <c r="G134" s="80">
        <v>9</v>
      </c>
      <c r="H134" s="80">
        <v>378</v>
      </c>
      <c r="I134" s="80">
        <v>63536.29</v>
      </c>
      <c r="J134" s="79" t="s">
        <v>2874</v>
      </c>
      <c r="K134" s="79" t="s">
        <v>3172</v>
      </c>
      <c r="L134" s="79" t="s">
        <v>2868</v>
      </c>
      <c r="M134" s="79" t="s">
        <v>3186</v>
      </c>
    </row>
    <row r="135" ht="242.25" spans="1:13">
      <c r="A135" s="79" t="s">
        <v>3171</v>
      </c>
      <c r="B135" s="79" t="s">
        <v>2909</v>
      </c>
      <c r="C135" s="79" t="s">
        <v>2910</v>
      </c>
      <c r="D135" s="79" t="s">
        <v>2911</v>
      </c>
      <c r="E135" s="79" t="s">
        <v>2912</v>
      </c>
      <c r="F135" s="80">
        <v>4.7</v>
      </c>
      <c r="G135" s="80">
        <v>87</v>
      </c>
      <c r="H135" s="80">
        <v>408.9</v>
      </c>
      <c r="I135" s="80">
        <v>63536.29</v>
      </c>
      <c r="J135" s="79" t="s">
        <v>2874</v>
      </c>
      <c r="K135" s="79" t="s">
        <v>3172</v>
      </c>
      <c r="L135" s="79" t="s">
        <v>2868</v>
      </c>
      <c r="M135" s="79" t="s">
        <v>3187</v>
      </c>
    </row>
    <row r="136" ht="242.25" spans="1:13">
      <c r="A136" s="79" t="s">
        <v>3171</v>
      </c>
      <c r="B136" s="79" t="s">
        <v>2994</v>
      </c>
      <c r="C136" s="79" t="s">
        <v>2995</v>
      </c>
      <c r="D136" s="79" t="s">
        <v>2996</v>
      </c>
      <c r="E136" s="79" t="s">
        <v>2997</v>
      </c>
      <c r="F136" s="80">
        <v>110</v>
      </c>
      <c r="G136" s="80">
        <v>114</v>
      </c>
      <c r="H136" s="80">
        <v>12540</v>
      </c>
      <c r="I136" s="80">
        <v>63536.29</v>
      </c>
      <c r="J136" s="79" t="s">
        <v>2874</v>
      </c>
      <c r="K136" s="79" t="s">
        <v>3172</v>
      </c>
      <c r="L136" s="79" t="s">
        <v>2868</v>
      </c>
      <c r="M136" s="79" t="s">
        <v>3188</v>
      </c>
    </row>
    <row r="137" ht="242.25" spans="1:13">
      <c r="A137" s="79" t="s">
        <v>3171</v>
      </c>
      <c r="B137" s="79" t="s">
        <v>3044</v>
      </c>
      <c r="C137" s="79" t="s">
        <v>3045</v>
      </c>
      <c r="D137" s="79" t="s">
        <v>2906</v>
      </c>
      <c r="E137" s="79" t="s">
        <v>3046</v>
      </c>
      <c r="F137" s="80">
        <v>10.2</v>
      </c>
      <c r="G137" s="80">
        <v>4</v>
      </c>
      <c r="H137" s="80">
        <v>40.8</v>
      </c>
      <c r="I137" s="80">
        <v>63536.29</v>
      </c>
      <c r="J137" s="79" t="s">
        <v>2874</v>
      </c>
      <c r="K137" s="79" t="s">
        <v>3172</v>
      </c>
      <c r="L137" s="79" t="s">
        <v>2868</v>
      </c>
      <c r="M137" s="79" t="s">
        <v>3189</v>
      </c>
    </row>
    <row r="138" ht="242.25" spans="1:13">
      <c r="A138" s="79" t="s">
        <v>3171</v>
      </c>
      <c r="B138" s="79" t="s">
        <v>3057</v>
      </c>
      <c r="C138" s="79" t="s">
        <v>3058</v>
      </c>
      <c r="D138" s="79" t="s">
        <v>2984</v>
      </c>
      <c r="E138" s="79" t="s">
        <v>3059</v>
      </c>
      <c r="F138" s="80">
        <v>11.5</v>
      </c>
      <c r="G138" s="80">
        <v>2</v>
      </c>
      <c r="H138" s="80">
        <v>23</v>
      </c>
      <c r="I138" s="80">
        <v>63536.29</v>
      </c>
      <c r="J138" s="79" t="s">
        <v>2874</v>
      </c>
      <c r="K138" s="79" t="s">
        <v>3172</v>
      </c>
      <c r="L138" s="79" t="s">
        <v>2868</v>
      </c>
      <c r="M138" s="79" t="s">
        <v>3190</v>
      </c>
    </row>
    <row r="139" ht="242.25" spans="1:13">
      <c r="A139" s="79" t="s">
        <v>3171</v>
      </c>
      <c r="B139" s="79" t="s">
        <v>2896</v>
      </c>
      <c r="C139" s="79" t="s">
        <v>2897</v>
      </c>
      <c r="D139" s="79" t="s">
        <v>2898</v>
      </c>
      <c r="E139" s="79" t="s">
        <v>1834</v>
      </c>
      <c r="F139" s="80">
        <v>148</v>
      </c>
      <c r="G139" s="80">
        <v>48</v>
      </c>
      <c r="H139" s="80">
        <v>7104</v>
      </c>
      <c r="I139" s="80">
        <v>63536.29</v>
      </c>
      <c r="J139" s="79" t="s">
        <v>2874</v>
      </c>
      <c r="K139" s="79" t="s">
        <v>3172</v>
      </c>
      <c r="L139" s="79" t="s">
        <v>2868</v>
      </c>
      <c r="M139" s="79" t="s">
        <v>3191</v>
      </c>
    </row>
    <row r="140" ht="242.25" spans="1:13">
      <c r="A140" s="79" t="s">
        <v>3171</v>
      </c>
      <c r="B140" s="79" t="s">
        <v>2891</v>
      </c>
      <c r="C140" s="79" t="s">
        <v>2892</v>
      </c>
      <c r="D140" s="79" t="s">
        <v>2893</v>
      </c>
      <c r="E140" s="79" t="s">
        <v>2894</v>
      </c>
      <c r="F140" s="80">
        <v>17.2</v>
      </c>
      <c r="G140" s="80">
        <v>16</v>
      </c>
      <c r="H140" s="80">
        <v>275.2</v>
      </c>
      <c r="I140" s="80">
        <v>63536.29</v>
      </c>
      <c r="J140" s="79" t="s">
        <v>2874</v>
      </c>
      <c r="K140" s="79" t="s">
        <v>3172</v>
      </c>
      <c r="L140" s="79" t="s">
        <v>2868</v>
      </c>
      <c r="M140" s="79" t="s">
        <v>3192</v>
      </c>
    </row>
    <row r="141" ht="242.25" spans="1:13">
      <c r="A141" s="79" t="s">
        <v>3171</v>
      </c>
      <c r="B141" s="79" t="s">
        <v>2934</v>
      </c>
      <c r="C141" s="79" t="s">
        <v>2935</v>
      </c>
      <c r="D141" s="79" t="s">
        <v>2873</v>
      </c>
      <c r="E141" s="79" t="s">
        <v>1794</v>
      </c>
      <c r="F141" s="80">
        <v>30</v>
      </c>
      <c r="G141" s="80">
        <v>18</v>
      </c>
      <c r="H141" s="80">
        <v>540</v>
      </c>
      <c r="I141" s="80">
        <v>63536.29</v>
      </c>
      <c r="J141" s="79" t="s">
        <v>2874</v>
      </c>
      <c r="K141" s="79" t="s">
        <v>3172</v>
      </c>
      <c r="L141" s="79" t="s">
        <v>2868</v>
      </c>
      <c r="M141" s="79" t="s">
        <v>3193</v>
      </c>
    </row>
    <row r="142" ht="242.25" spans="1:13">
      <c r="A142" s="79" t="s">
        <v>3171</v>
      </c>
      <c r="B142" s="79" t="s">
        <v>2877</v>
      </c>
      <c r="C142" s="79" t="s">
        <v>2878</v>
      </c>
      <c r="D142" s="79" t="s">
        <v>2879</v>
      </c>
      <c r="E142" s="79" t="s">
        <v>2880</v>
      </c>
      <c r="F142" s="80">
        <v>5.6</v>
      </c>
      <c r="G142" s="80">
        <v>83</v>
      </c>
      <c r="H142" s="80">
        <v>464.8</v>
      </c>
      <c r="I142" s="80">
        <v>63536.29</v>
      </c>
      <c r="J142" s="79" t="s">
        <v>2874</v>
      </c>
      <c r="K142" s="79" t="s">
        <v>3172</v>
      </c>
      <c r="L142" s="79" t="s">
        <v>2868</v>
      </c>
      <c r="M142" s="79" t="s">
        <v>3194</v>
      </c>
    </row>
    <row r="143" ht="313.5" spans="1:13">
      <c r="A143" s="79" t="s">
        <v>3171</v>
      </c>
      <c r="B143" s="79" t="s">
        <v>3195</v>
      </c>
      <c r="C143" s="79" t="s">
        <v>3196</v>
      </c>
      <c r="D143" s="79" t="s">
        <v>3197</v>
      </c>
      <c r="E143" s="79" t="s">
        <v>3198</v>
      </c>
      <c r="F143" s="80">
        <v>15</v>
      </c>
      <c r="G143" s="80">
        <v>5</v>
      </c>
      <c r="H143" s="80">
        <v>75</v>
      </c>
      <c r="I143" s="80">
        <v>63536.29</v>
      </c>
      <c r="J143" s="79" t="s">
        <v>2874</v>
      </c>
      <c r="K143" s="79" t="s">
        <v>3172</v>
      </c>
      <c r="L143" s="79" t="s">
        <v>2868</v>
      </c>
      <c r="M143" s="79" t="s">
        <v>3199</v>
      </c>
    </row>
    <row r="144" ht="242.25" spans="1:13">
      <c r="A144" s="79" t="s">
        <v>3171</v>
      </c>
      <c r="B144" s="79" t="s">
        <v>3003</v>
      </c>
      <c r="C144" s="79" t="s">
        <v>3004</v>
      </c>
      <c r="D144" s="79" t="s">
        <v>2984</v>
      </c>
      <c r="E144" s="79" t="s">
        <v>2985</v>
      </c>
      <c r="F144" s="80">
        <v>11.53</v>
      </c>
      <c r="G144" s="80">
        <v>15</v>
      </c>
      <c r="H144" s="80">
        <v>172.95</v>
      </c>
      <c r="I144" s="80">
        <v>63536.29</v>
      </c>
      <c r="J144" s="79" t="s">
        <v>2874</v>
      </c>
      <c r="K144" s="79" t="s">
        <v>3172</v>
      </c>
      <c r="L144" s="79" t="s">
        <v>2868</v>
      </c>
      <c r="M144" s="79" t="s">
        <v>3200</v>
      </c>
    </row>
    <row r="145" ht="242.25" spans="1:13">
      <c r="A145" s="79" t="s">
        <v>3171</v>
      </c>
      <c r="B145" s="79" t="s">
        <v>2949</v>
      </c>
      <c r="C145" s="79" t="s">
        <v>2950</v>
      </c>
      <c r="D145" s="79" t="s">
        <v>2951</v>
      </c>
      <c r="E145" s="79" t="s">
        <v>2952</v>
      </c>
      <c r="F145" s="80">
        <v>4.5</v>
      </c>
      <c r="G145" s="80">
        <v>36</v>
      </c>
      <c r="H145" s="80">
        <v>162</v>
      </c>
      <c r="I145" s="80">
        <v>63536.29</v>
      </c>
      <c r="J145" s="79" t="s">
        <v>2874</v>
      </c>
      <c r="K145" s="79" t="s">
        <v>3172</v>
      </c>
      <c r="L145" s="79" t="s">
        <v>2868</v>
      </c>
      <c r="M145" s="79" t="s">
        <v>3201</v>
      </c>
    </row>
    <row r="146" ht="242.25" spans="1:13">
      <c r="A146" s="79" t="s">
        <v>3171</v>
      </c>
      <c r="B146" s="79" t="s">
        <v>2941</v>
      </c>
      <c r="C146" s="79" t="s">
        <v>2942</v>
      </c>
      <c r="D146" s="79" t="s">
        <v>2873</v>
      </c>
      <c r="E146" s="79" t="s">
        <v>1794</v>
      </c>
      <c r="F146" s="80">
        <v>14</v>
      </c>
      <c r="G146" s="80">
        <v>7</v>
      </c>
      <c r="H146" s="80">
        <v>98</v>
      </c>
      <c r="I146" s="80">
        <v>63536.29</v>
      </c>
      <c r="J146" s="79" t="s">
        <v>2874</v>
      </c>
      <c r="K146" s="79" t="s">
        <v>3172</v>
      </c>
      <c r="L146" s="79" t="s">
        <v>2868</v>
      </c>
      <c r="M146" s="79" t="s">
        <v>3202</v>
      </c>
    </row>
    <row r="147" ht="242.25" spans="1:13">
      <c r="A147" s="79" t="s">
        <v>3171</v>
      </c>
      <c r="B147" s="79" t="s">
        <v>3203</v>
      </c>
      <c r="C147" s="79" t="s">
        <v>3204</v>
      </c>
      <c r="D147" s="79" t="s">
        <v>3169</v>
      </c>
      <c r="E147" s="79" t="s">
        <v>3205</v>
      </c>
      <c r="F147" s="80">
        <v>38</v>
      </c>
      <c r="G147" s="80">
        <v>6</v>
      </c>
      <c r="H147" s="80">
        <v>228</v>
      </c>
      <c r="I147" s="80">
        <v>63536.29</v>
      </c>
      <c r="J147" s="79" t="s">
        <v>2874</v>
      </c>
      <c r="K147" s="79" t="s">
        <v>3172</v>
      </c>
      <c r="L147" s="79" t="s">
        <v>2868</v>
      </c>
      <c r="M147" s="79" t="s">
        <v>3206</v>
      </c>
    </row>
    <row r="148" ht="242.25" spans="1:13">
      <c r="A148" s="79" t="s">
        <v>3171</v>
      </c>
      <c r="B148" s="79" t="s">
        <v>2990</v>
      </c>
      <c r="C148" s="79" t="s">
        <v>2991</v>
      </c>
      <c r="D148" s="79" t="s">
        <v>2906</v>
      </c>
      <c r="E148" s="79" t="s">
        <v>2992</v>
      </c>
      <c r="F148" s="80">
        <v>60</v>
      </c>
      <c r="G148" s="80">
        <v>11</v>
      </c>
      <c r="H148" s="80">
        <v>660</v>
      </c>
      <c r="I148" s="80">
        <v>63536.29</v>
      </c>
      <c r="J148" s="79" t="s">
        <v>2874</v>
      </c>
      <c r="K148" s="79" t="s">
        <v>3172</v>
      </c>
      <c r="L148" s="79" t="s">
        <v>2868</v>
      </c>
      <c r="M148" s="79" t="s">
        <v>3207</v>
      </c>
    </row>
    <row r="149" ht="242.25" spans="1:13">
      <c r="A149" s="79" t="s">
        <v>3171</v>
      </c>
      <c r="B149" s="79" t="s">
        <v>3093</v>
      </c>
      <c r="C149" s="79" t="s">
        <v>3094</v>
      </c>
      <c r="D149" s="79" t="s">
        <v>2902</v>
      </c>
      <c r="E149" s="79" t="s">
        <v>3001</v>
      </c>
      <c r="F149" s="80">
        <v>18</v>
      </c>
      <c r="G149" s="80">
        <v>12</v>
      </c>
      <c r="H149" s="80">
        <v>216</v>
      </c>
      <c r="I149" s="80">
        <v>63536.29</v>
      </c>
      <c r="J149" s="79" t="s">
        <v>2874</v>
      </c>
      <c r="K149" s="79" t="s">
        <v>3172</v>
      </c>
      <c r="L149" s="79" t="s">
        <v>2868</v>
      </c>
      <c r="M149" s="79" t="s">
        <v>3208</v>
      </c>
    </row>
    <row r="150" ht="242.25" spans="1:13">
      <c r="A150" s="79" t="s">
        <v>3171</v>
      </c>
      <c r="B150" s="79" t="s">
        <v>3118</v>
      </c>
      <c r="C150" s="79" t="s">
        <v>3119</v>
      </c>
      <c r="D150" s="79" t="s">
        <v>3120</v>
      </c>
      <c r="E150" s="79" t="s">
        <v>3121</v>
      </c>
      <c r="F150" s="80">
        <v>33.5</v>
      </c>
      <c r="G150" s="80">
        <v>10</v>
      </c>
      <c r="H150" s="80">
        <v>335</v>
      </c>
      <c r="I150" s="80">
        <v>63536.29</v>
      </c>
      <c r="J150" s="79" t="s">
        <v>2874</v>
      </c>
      <c r="K150" s="79" t="s">
        <v>3172</v>
      </c>
      <c r="L150" s="79" t="s">
        <v>2868</v>
      </c>
      <c r="M150" s="79" t="s">
        <v>3209</v>
      </c>
    </row>
    <row r="151" ht="242.25" spans="1:13">
      <c r="A151" s="79" t="s">
        <v>3171</v>
      </c>
      <c r="B151" s="79" t="s">
        <v>3154</v>
      </c>
      <c r="C151" s="79" t="s">
        <v>3155</v>
      </c>
      <c r="D151" s="79" t="s">
        <v>3156</v>
      </c>
      <c r="E151" s="79" t="s">
        <v>3157</v>
      </c>
      <c r="F151" s="80">
        <v>35</v>
      </c>
      <c r="G151" s="80">
        <v>3</v>
      </c>
      <c r="H151" s="80">
        <v>105</v>
      </c>
      <c r="I151" s="80">
        <v>63536.29</v>
      </c>
      <c r="J151" s="79" t="s">
        <v>2874</v>
      </c>
      <c r="K151" s="79" t="s">
        <v>3172</v>
      </c>
      <c r="L151" s="79" t="s">
        <v>2868</v>
      </c>
      <c r="M151" s="79" t="s">
        <v>3210</v>
      </c>
    </row>
    <row r="152" ht="242.25" spans="1:13">
      <c r="A152" s="79" t="s">
        <v>3171</v>
      </c>
      <c r="B152" s="79" t="s">
        <v>2882</v>
      </c>
      <c r="C152" s="79" t="s">
        <v>2883</v>
      </c>
      <c r="D152" s="79" t="s">
        <v>2884</v>
      </c>
      <c r="E152" s="79" t="s">
        <v>1822</v>
      </c>
      <c r="F152" s="80">
        <v>16.09</v>
      </c>
      <c r="G152" s="80">
        <v>207</v>
      </c>
      <c r="H152" s="80">
        <v>3330.63</v>
      </c>
      <c r="I152" s="80">
        <v>63536.29</v>
      </c>
      <c r="J152" s="79" t="s">
        <v>2874</v>
      </c>
      <c r="K152" s="79" t="s">
        <v>3172</v>
      </c>
      <c r="L152" s="79" t="s">
        <v>2868</v>
      </c>
      <c r="M152" s="79" t="s">
        <v>3211</v>
      </c>
    </row>
    <row r="153" ht="242.25" spans="1:13">
      <c r="A153" s="79" t="s">
        <v>3171</v>
      </c>
      <c r="B153" s="79" t="s">
        <v>2921</v>
      </c>
      <c r="C153" s="79" t="s">
        <v>2922</v>
      </c>
      <c r="D153" s="79" t="s">
        <v>2923</v>
      </c>
      <c r="E153" s="79" t="s">
        <v>2924</v>
      </c>
      <c r="F153" s="80">
        <v>6</v>
      </c>
      <c r="G153" s="80">
        <v>13</v>
      </c>
      <c r="H153" s="80">
        <v>78</v>
      </c>
      <c r="I153" s="80">
        <v>63536.29</v>
      </c>
      <c r="J153" s="79" t="s">
        <v>2874</v>
      </c>
      <c r="K153" s="79" t="s">
        <v>3172</v>
      </c>
      <c r="L153" s="79" t="s">
        <v>2868</v>
      </c>
      <c r="M153" s="79" t="s">
        <v>3212</v>
      </c>
    </row>
    <row r="154" ht="242.25" spans="1:13">
      <c r="A154" s="79" t="s">
        <v>3171</v>
      </c>
      <c r="B154" s="79" t="s">
        <v>3139</v>
      </c>
      <c r="C154" s="79" t="s">
        <v>3140</v>
      </c>
      <c r="D154" s="79" t="s">
        <v>3141</v>
      </c>
      <c r="E154" s="79" t="s">
        <v>3142</v>
      </c>
      <c r="F154" s="80">
        <v>43</v>
      </c>
      <c r="G154" s="80">
        <v>19</v>
      </c>
      <c r="H154" s="80">
        <v>817</v>
      </c>
      <c r="I154" s="80">
        <v>63536.29</v>
      </c>
      <c r="J154" s="79" t="s">
        <v>2874</v>
      </c>
      <c r="K154" s="79" t="s">
        <v>3172</v>
      </c>
      <c r="L154" s="79" t="s">
        <v>2868</v>
      </c>
      <c r="M154" s="79" t="s">
        <v>3213</v>
      </c>
    </row>
    <row r="155" ht="242.25" spans="1:13">
      <c r="A155" s="79" t="s">
        <v>3171</v>
      </c>
      <c r="B155" s="79" t="s">
        <v>2957</v>
      </c>
      <c r="C155" s="79" t="s">
        <v>2958</v>
      </c>
      <c r="D155" s="79" t="s">
        <v>2884</v>
      </c>
      <c r="E155" s="79" t="s">
        <v>1822</v>
      </c>
      <c r="F155" s="80">
        <v>11.11</v>
      </c>
      <c r="G155" s="80">
        <v>125</v>
      </c>
      <c r="H155" s="80">
        <v>1388.75</v>
      </c>
      <c r="I155" s="80">
        <v>63536.29</v>
      </c>
      <c r="J155" s="79" t="s">
        <v>2874</v>
      </c>
      <c r="K155" s="79" t="s">
        <v>3172</v>
      </c>
      <c r="L155" s="79" t="s">
        <v>2868</v>
      </c>
      <c r="M155" s="79" t="s">
        <v>3214</v>
      </c>
    </row>
    <row r="156" ht="242.25" spans="1:13">
      <c r="A156" s="79" t="s">
        <v>3171</v>
      </c>
      <c r="B156" s="79" t="s">
        <v>2886</v>
      </c>
      <c r="C156" s="79" t="s">
        <v>2887</v>
      </c>
      <c r="D156" s="79" t="s">
        <v>2888</v>
      </c>
      <c r="E156" s="79" t="s">
        <v>2889</v>
      </c>
      <c r="F156" s="80">
        <v>4.3</v>
      </c>
      <c r="G156" s="80">
        <v>28</v>
      </c>
      <c r="H156" s="80">
        <v>120.4</v>
      </c>
      <c r="I156" s="80">
        <v>63536.29</v>
      </c>
      <c r="J156" s="79" t="s">
        <v>2874</v>
      </c>
      <c r="K156" s="79" t="s">
        <v>3172</v>
      </c>
      <c r="L156" s="79" t="s">
        <v>2868</v>
      </c>
      <c r="M156" s="79" t="s">
        <v>3215</v>
      </c>
    </row>
    <row r="157" ht="242.25" spans="1:13">
      <c r="A157" s="79" t="s">
        <v>3171</v>
      </c>
      <c r="B157" s="79" t="s">
        <v>2926</v>
      </c>
      <c r="C157" s="79" t="s">
        <v>2927</v>
      </c>
      <c r="D157" s="79" t="s">
        <v>2928</v>
      </c>
      <c r="E157" s="79" t="s">
        <v>2929</v>
      </c>
      <c r="F157" s="80">
        <v>24.46</v>
      </c>
      <c r="G157" s="80">
        <v>4</v>
      </c>
      <c r="H157" s="80">
        <v>97.84</v>
      </c>
      <c r="I157" s="80">
        <v>63536.29</v>
      </c>
      <c r="J157" s="79" t="s">
        <v>2874</v>
      </c>
      <c r="K157" s="79" t="s">
        <v>3172</v>
      </c>
      <c r="L157" s="79" t="s">
        <v>2868</v>
      </c>
      <c r="M157" s="79" t="s">
        <v>3216</v>
      </c>
    </row>
    <row r="158" ht="242.25" spans="1:13">
      <c r="A158" s="79" t="s">
        <v>3171</v>
      </c>
      <c r="B158" s="79" t="s">
        <v>2918</v>
      </c>
      <c r="C158" s="79" t="s">
        <v>2919</v>
      </c>
      <c r="D158" s="79" t="s">
        <v>2893</v>
      </c>
      <c r="E158" s="79" t="s">
        <v>1789</v>
      </c>
      <c r="F158" s="80">
        <v>5.5</v>
      </c>
      <c r="G158" s="80">
        <v>30</v>
      </c>
      <c r="H158" s="80">
        <v>165</v>
      </c>
      <c r="I158" s="80">
        <v>63536.29</v>
      </c>
      <c r="J158" s="79" t="s">
        <v>2874</v>
      </c>
      <c r="K158" s="79" t="s">
        <v>3172</v>
      </c>
      <c r="L158" s="79" t="s">
        <v>2868</v>
      </c>
      <c r="M158" s="79" t="s">
        <v>3217</v>
      </c>
    </row>
    <row r="159" ht="242.25" spans="1:13">
      <c r="A159" s="79" t="s">
        <v>3171</v>
      </c>
      <c r="B159" s="79" t="s">
        <v>3013</v>
      </c>
      <c r="C159" s="79" t="s">
        <v>3014</v>
      </c>
      <c r="D159" s="79" t="s">
        <v>2906</v>
      </c>
      <c r="E159" s="79" t="s">
        <v>3015</v>
      </c>
      <c r="F159" s="80">
        <v>28</v>
      </c>
      <c r="G159" s="80">
        <v>5</v>
      </c>
      <c r="H159" s="80">
        <v>140</v>
      </c>
      <c r="I159" s="80">
        <v>63536.29</v>
      </c>
      <c r="J159" s="79" t="s">
        <v>2874</v>
      </c>
      <c r="K159" s="79" t="s">
        <v>3172</v>
      </c>
      <c r="L159" s="79" t="s">
        <v>2868</v>
      </c>
      <c r="M159" s="79" t="s">
        <v>3218</v>
      </c>
    </row>
    <row r="160" ht="242.25" spans="1:13">
      <c r="A160" s="79" t="s">
        <v>3171</v>
      </c>
      <c r="B160" s="79" t="s">
        <v>2973</v>
      </c>
      <c r="C160" s="79" t="s">
        <v>2974</v>
      </c>
      <c r="D160" s="79" t="s">
        <v>2975</v>
      </c>
      <c r="E160" s="79" t="s">
        <v>2976</v>
      </c>
      <c r="F160" s="80">
        <v>18</v>
      </c>
      <c r="G160" s="80">
        <v>3</v>
      </c>
      <c r="H160" s="80">
        <v>54</v>
      </c>
      <c r="I160" s="80">
        <v>63536.29</v>
      </c>
      <c r="J160" s="79" t="s">
        <v>2874</v>
      </c>
      <c r="K160" s="79" t="s">
        <v>3172</v>
      </c>
      <c r="L160" s="79" t="s">
        <v>2868</v>
      </c>
      <c r="M160" s="79" t="s">
        <v>3219</v>
      </c>
    </row>
    <row r="161" ht="242.25" spans="1:13">
      <c r="A161" s="79" t="s">
        <v>3171</v>
      </c>
      <c r="B161" s="79" t="s">
        <v>2987</v>
      </c>
      <c r="C161" s="79" t="s">
        <v>2988</v>
      </c>
      <c r="D161" s="79" t="s">
        <v>2884</v>
      </c>
      <c r="E161" s="79" t="s">
        <v>1822</v>
      </c>
      <c r="F161" s="80">
        <v>2.5</v>
      </c>
      <c r="G161" s="80">
        <v>930</v>
      </c>
      <c r="H161" s="80">
        <v>2325</v>
      </c>
      <c r="I161" s="80">
        <v>63536.29</v>
      </c>
      <c r="J161" s="79" t="s">
        <v>2874</v>
      </c>
      <c r="K161" s="79" t="s">
        <v>3172</v>
      </c>
      <c r="L161" s="79" t="s">
        <v>2868</v>
      </c>
      <c r="M161" s="79" t="s">
        <v>3220</v>
      </c>
    </row>
    <row r="162" ht="242.25" spans="1:13">
      <c r="A162" s="79" t="s">
        <v>3171</v>
      </c>
      <c r="B162" s="79" t="s">
        <v>2931</v>
      </c>
      <c r="C162" s="79" t="s">
        <v>2932</v>
      </c>
      <c r="D162" s="79" t="s">
        <v>2902</v>
      </c>
      <c r="E162" s="79" t="s">
        <v>1796</v>
      </c>
      <c r="F162" s="80">
        <v>45</v>
      </c>
      <c r="G162" s="80">
        <v>21</v>
      </c>
      <c r="H162" s="80">
        <v>945</v>
      </c>
      <c r="I162" s="80">
        <v>63536.29</v>
      </c>
      <c r="J162" s="79" t="s">
        <v>2874</v>
      </c>
      <c r="K162" s="79" t="s">
        <v>3172</v>
      </c>
      <c r="L162" s="79" t="s">
        <v>2868</v>
      </c>
      <c r="M162" s="79" t="s">
        <v>3221</v>
      </c>
    </row>
    <row r="163" ht="242.25" spans="1:13">
      <c r="A163" s="79" t="s">
        <v>3171</v>
      </c>
      <c r="B163" s="79" t="s">
        <v>3146</v>
      </c>
      <c r="C163" s="79" t="s">
        <v>3147</v>
      </c>
      <c r="D163" s="79" t="s">
        <v>3148</v>
      </c>
      <c r="E163" s="79" t="s">
        <v>3149</v>
      </c>
      <c r="F163" s="80">
        <v>6</v>
      </c>
      <c r="G163" s="80">
        <v>2</v>
      </c>
      <c r="H163" s="80">
        <v>12</v>
      </c>
      <c r="I163" s="80">
        <v>63536.29</v>
      </c>
      <c r="J163" s="79" t="s">
        <v>2874</v>
      </c>
      <c r="K163" s="79" t="s">
        <v>3172</v>
      </c>
      <c r="L163" s="79" t="s">
        <v>2868</v>
      </c>
      <c r="M163" s="79" t="s">
        <v>3222</v>
      </c>
    </row>
    <row r="164" ht="242.25" spans="1:13">
      <c r="A164" s="79" t="s">
        <v>3171</v>
      </c>
      <c r="B164" s="79" t="s">
        <v>3038</v>
      </c>
      <c r="C164" s="79" t="s">
        <v>3039</v>
      </c>
      <c r="D164" s="79" t="s">
        <v>3040</v>
      </c>
      <c r="E164" s="79" t="s">
        <v>3041</v>
      </c>
      <c r="F164" s="80">
        <v>15.19</v>
      </c>
      <c r="G164" s="80">
        <v>2</v>
      </c>
      <c r="H164" s="80">
        <v>30.38</v>
      </c>
      <c r="I164" s="80">
        <v>63536.29</v>
      </c>
      <c r="J164" s="79" t="s">
        <v>2874</v>
      </c>
      <c r="K164" s="79" t="s">
        <v>3172</v>
      </c>
      <c r="L164" s="79" t="s">
        <v>2868</v>
      </c>
      <c r="M164" s="79" t="s">
        <v>3223</v>
      </c>
    </row>
    <row r="165" ht="242.25" spans="1:13">
      <c r="A165" s="79" t="s">
        <v>3171</v>
      </c>
      <c r="B165" s="79" t="s">
        <v>2954</v>
      </c>
      <c r="C165" s="79" t="s">
        <v>2955</v>
      </c>
      <c r="D165" s="79" t="s">
        <v>2884</v>
      </c>
      <c r="E165" s="79" t="s">
        <v>1822</v>
      </c>
      <c r="F165" s="80">
        <v>3.8</v>
      </c>
      <c r="G165" s="80">
        <v>150</v>
      </c>
      <c r="H165" s="80">
        <v>570</v>
      </c>
      <c r="I165" s="80">
        <v>63536.29</v>
      </c>
      <c r="J165" s="79" t="s">
        <v>2874</v>
      </c>
      <c r="K165" s="79" t="s">
        <v>3172</v>
      </c>
      <c r="L165" s="79" t="s">
        <v>2868</v>
      </c>
      <c r="M165" s="79" t="s">
        <v>3224</v>
      </c>
    </row>
    <row r="166" ht="242.25" spans="1:13">
      <c r="A166" s="79" t="s">
        <v>3171</v>
      </c>
      <c r="B166" s="79" t="s">
        <v>2968</v>
      </c>
      <c r="C166" s="79" t="s">
        <v>2969</v>
      </c>
      <c r="D166" s="79" t="s">
        <v>2970</v>
      </c>
      <c r="E166" s="79" t="s">
        <v>2971</v>
      </c>
      <c r="F166" s="80">
        <v>35</v>
      </c>
      <c r="G166" s="80">
        <v>8</v>
      </c>
      <c r="H166" s="80">
        <v>280</v>
      </c>
      <c r="I166" s="80">
        <v>63536.29</v>
      </c>
      <c r="J166" s="79" t="s">
        <v>2874</v>
      </c>
      <c r="K166" s="79" t="s">
        <v>3172</v>
      </c>
      <c r="L166" s="79" t="s">
        <v>2868</v>
      </c>
      <c r="M166" s="79" t="s">
        <v>3225</v>
      </c>
    </row>
    <row r="167" ht="242.25" spans="1:13">
      <c r="A167" s="79" t="s">
        <v>3171</v>
      </c>
      <c r="B167" s="79" t="s">
        <v>3062</v>
      </c>
      <c r="C167" s="79" t="s">
        <v>3063</v>
      </c>
      <c r="D167" s="79" t="s">
        <v>2946</v>
      </c>
      <c r="E167" s="79" t="s">
        <v>3064</v>
      </c>
      <c r="F167" s="80">
        <v>6</v>
      </c>
      <c r="G167" s="80">
        <v>7</v>
      </c>
      <c r="H167" s="80">
        <v>42</v>
      </c>
      <c r="I167" s="80">
        <v>63536.29</v>
      </c>
      <c r="J167" s="79" t="s">
        <v>2874</v>
      </c>
      <c r="K167" s="79" t="s">
        <v>3172</v>
      </c>
      <c r="L167" s="79" t="s">
        <v>2868</v>
      </c>
      <c r="M167" s="79" t="s">
        <v>3226</v>
      </c>
    </row>
    <row r="168" ht="242.25" spans="1:13">
      <c r="A168" s="79" t="s">
        <v>3171</v>
      </c>
      <c r="B168" s="79" t="s">
        <v>3007</v>
      </c>
      <c r="C168" s="79" t="s">
        <v>3008</v>
      </c>
      <c r="D168" s="79" t="s">
        <v>2951</v>
      </c>
      <c r="E168" s="79" t="s">
        <v>3009</v>
      </c>
      <c r="F168" s="80">
        <v>8.5</v>
      </c>
      <c r="G168" s="80">
        <v>4</v>
      </c>
      <c r="H168" s="80">
        <v>34</v>
      </c>
      <c r="I168" s="80">
        <v>63536.29</v>
      </c>
      <c r="J168" s="79" t="s">
        <v>2874</v>
      </c>
      <c r="K168" s="79" t="s">
        <v>3172</v>
      </c>
      <c r="L168" s="79" t="s">
        <v>2868</v>
      </c>
      <c r="M168" s="79" t="s">
        <v>3227</v>
      </c>
    </row>
    <row r="169" ht="242.25" spans="1:13">
      <c r="A169" s="79" t="s">
        <v>3228</v>
      </c>
      <c r="B169" s="79" t="s">
        <v>3229</v>
      </c>
      <c r="C169" s="79" t="s">
        <v>3230</v>
      </c>
      <c r="D169" s="79" t="s">
        <v>3231</v>
      </c>
      <c r="E169" s="79" t="s">
        <v>3230</v>
      </c>
      <c r="F169" s="80">
        <v>117.79</v>
      </c>
      <c r="G169" s="80">
        <v>10</v>
      </c>
      <c r="H169" s="80">
        <v>1177.9</v>
      </c>
      <c r="I169" s="80">
        <v>1250.29</v>
      </c>
      <c r="J169" s="79" t="s">
        <v>3232</v>
      </c>
      <c r="K169" s="79" t="s">
        <v>3233</v>
      </c>
      <c r="L169" s="79" t="s">
        <v>2868</v>
      </c>
      <c r="M169" s="79" t="s">
        <v>3234</v>
      </c>
    </row>
    <row r="170" ht="242.25" spans="1:13">
      <c r="A170" s="79" t="s">
        <v>3228</v>
      </c>
      <c r="B170" s="79" t="s">
        <v>3235</v>
      </c>
      <c r="C170" s="79" t="s">
        <v>3236</v>
      </c>
      <c r="D170" s="79" t="s">
        <v>3237</v>
      </c>
      <c r="E170" s="79" t="s">
        <v>3236</v>
      </c>
      <c r="F170" s="80">
        <v>20.67</v>
      </c>
      <c r="G170" s="80">
        <v>2</v>
      </c>
      <c r="H170" s="80">
        <v>41.34</v>
      </c>
      <c r="I170" s="80">
        <v>1250.29</v>
      </c>
      <c r="J170" s="79" t="s">
        <v>3232</v>
      </c>
      <c r="K170" s="79" t="s">
        <v>3233</v>
      </c>
      <c r="L170" s="79" t="s">
        <v>2868</v>
      </c>
      <c r="M170" s="79" t="s">
        <v>3238</v>
      </c>
    </row>
    <row r="171" ht="242.25" spans="1:13">
      <c r="A171" s="79" t="s">
        <v>3228</v>
      </c>
      <c r="B171" s="79" t="s">
        <v>3239</v>
      </c>
      <c r="C171" s="79" t="s">
        <v>3240</v>
      </c>
      <c r="D171" s="79" t="s">
        <v>3237</v>
      </c>
      <c r="E171" s="79" t="s">
        <v>3240</v>
      </c>
      <c r="F171" s="80">
        <v>10.35</v>
      </c>
      <c r="G171" s="80">
        <v>3</v>
      </c>
      <c r="H171" s="80">
        <v>31.05</v>
      </c>
      <c r="I171" s="80">
        <v>1250.29</v>
      </c>
      <c r="J171" s="79" t="s">
        <v>3232</v>
      </c>
      <c r="K171" s="79" t="s">
        <v>3233</v>
      </c>
      <c r="L171" s="79" t="s">
        <v>2868</v>
      </c>
      <c r="M171" s="79" t="s">
        <v>3241</v>
      </c>
    </row>
    <row r="172" ht="242.25" spans="1:13">
      <c r="A172" s="79" t="s">
        <v>3242</v>
      </c>
      <c r="B172" s="79" t="s">
        <v>3074</v>
      </c>
      <c r="C172" s="79" t="s">
        <v>3075</v>
      </c>
      <c r="D172" s="79" t="s">
        <v>3076</v>
      </c>
      <c r="E172" s="79" t="s">
        <v>3077</v>
      </c>
      <c r="F172" s="80">
        <v>16892</v>
      </c>
      <c r="G172" s="80">
        <v>1</v>
      </c>
      <c r="H172" s="80">
        <v>16892</v>
      </c>
      <c r="I172" s="80">
        <v>16892</v>
      </c>
      <c r="J172" s="79" t="s">
        <v>3078</v>
      </c>
      <c r="K172" s="79" t="s">
        <v>3243</v>
      </c>
      <c r="L172" s="79" t="s">
        <v>2868</v>
      </c>
      <c r="M172" s="79" t="s">
        <v>3244</v>
      </c>
    </row>
    <row r="173" ht="242.25" spans="1:13">
      <c r="A173" s="79" t="s">
        <v>3245</v>
      </c>
      <c r="B173" s="79" t="s">
        <v>3074</v>
      </c>
      <c r="C173" s="79" t="s">
        <v>3075</v>
      </c>
      <c r="D173" s="79" t="s">
        <v>3076</v>
      </c>
      <c r="E173" s="79" t="s">
        <v>3077</v>
      </c>
      <c r="F173" s="80">
        <v>780</v>
      </c>
      <c r="G173" s="80">
        <v>1</v>
      </c>
      <c r="H173" s="80">
        <v>780</v>
      </c>
      <c r="I173" s="80">
        <v>780</v>
      </c>
      <c r="J173" s="79" t="s">
        <v>3078</v>
      </c>
      <c r="K173" s="79" t="s">
        <v>3246</v>
      </c>
      <c r="L173" s="79" t="s">
        <v>2868</v>
      </c>
      <c r="M173" s="79" t="s">
        <v>3247</v>
      </c>
    </row>
    <row r="174" ht="242.25" spans="1:13">
      <c r="A174" s="79" t="s">
        <v>3248</v>
      </c>
      <c r="B174" s="79" t="s">
        <v>3074</v>
      </c>
      <c r="C174" s="79" t="s">
        <v>3075</v>
      </c>
      <c r="D174" s="79" t="s">
        <v>3076</v>
      </c>
      <c r="E174" s="79" t="s">
        <v>3077</v>
      </c>
      <c r="F174" s="80">
        <v>23818.9</v>
      </c>
      <c r="G174" s="80">
        <v>1</v>
      </c>
      <c r="H174" s="80">
        <v>23818.9</v>
      </c>
      <c r="I174" s="80">
        <v>23818.9</v>
      </c>
      <c r="J174" s="79" t="s">
        <v>3078</v>
      </c>
      <c r="K174" s="79" t="s">
        <v>3249</v>
      </c>
      <c r="L174" s="79" t="s">
        <v>2868</v>
      </c>
      <c r="M174" s="79" t="s">
        <v>3250</v>
      </c>
    </row>
    <row r="175" ht="242.25" spans="1:13">
      <c r="A175" s="79" t="s">
        <v>3251</v>
      </c>
      <c r="B175" s="79" t="s">
        <v>3252</v>
      </c>
      <c r="C175" s="79" t="s">
        <v>3253</v>
      </c>
      <c r="D175" s="79" t="s">
        <v>3254</v>
      </c>
      <c r="E175" s="79" t="s">
        <v>3255</v>
      </c>
      <c r="F175" s="80">
        <v>84.75</v>
      </c>
      <c r="G175" s="80">
        <v>2</v>
      </c>
      <c r="H175" s="80">
        <v>169.5</v>
      </c>
      <c r="I175" s="80">
        <v>474.6</v>
      </c>
      <c r="J175" s="79" t="s">
        <v>3256</v>
      </c>
      <c r="K175" s="79" t="s">
        <v>3257</v>
      </c>
      <c r="L175" s="79" t="s">
        <v>2868</v>
      </c>
      <c r="M175" s="79" t="s">
        <v>3258</v>
      </c>
    </row>
    <row r="176" ht="242.25" spans="1:13">
      <c r="A176" s="79" t="s">
        <v>3251</v>
      </c>
      <c r="B176" s="79" t="s">
        <v>3259</v>
      </c>
      <c r="C176" s="79" t="s">
        <v>3260</v>
      </c>
      <c r="D176" s="79" t="s">
        <v>3254</v>
      </c>
      <c r="E176" s="79" t="s">
        <v>3261</v>
      </c>
      <c r="F176" s="80">
        <v>25.99</v>
      </c>
      <c r="G176" s="80">
        <v>1</v>
      </c>
      <c r="H176" s="80">
        <v>25.99</v>
      </c>
      <c r="I176" s="80">
        <v>474.6</v>
      </c>
      <c r="J176" s="79" t="s">
        <v>3256</v>
      </c>
      <c r="K176" s="79" t="s">
        <v>3257</v>
      </c>
      <c r="L176" s="79" t="s">
        <v>2868</v>
      </c>
      <c r="M176" s="79" t="s">
        <v>3262</v>
      </c>
    </row>
    <row r="177" ht="242.25" spans="1:13">
      <c r="A177" s="79" t="s">
        <v>3251</v>
      </c>
      <c r="B177" s="79" t="s">
        <v>3263</v>
      </c>
      <c r="C177" s="79" t="s">
        <v>3264</v>
      </c>
      <c r="D177" s="79" t="s">
        <v>3254</v>
      </c>
      <c r="E177" s="79" t="s">
        <v>3265</v>
      </c>
      <c r="F177" s="80">
        <v>125.43</v>
      </c>
      <c r="G177" s="80">
        <v>1</v>
      </c>
      <c r="H177" s="80">
        <v>125.43</v>
      </c>
      <c r="I177" s="80">
        <v>474.6</v>
      </c>
      <c r="J177" s="79" t="s">
        <v>3256</v>
      </c>
      <c r="K177" s="79" t="s">
        <v>3257</v>
      </c>
      <c r="L177" s="79" t="s">
        <v>2868</v>
      </c>
      <c r="M177" s="79" t="s">
        <v>3266</v>
      </c>
    </row>
    <row r="178" ht="242.25" spans="1:13">
      <c r="A178" s="79" t="s">
        <v>3251</v>
      </c>
      <c r="B178" s="79" t="s">
        <v>3267</v>
      </c>
      <c r="C178" s="79" t="s">
        <v>3268</v>
      </c>
      <c r="D178" s="79" t="s">
        <v>3254</v>
      </c>
      <c r="E178" s="79" t="s">
        <v>3269</v>
      </c>
      <c r="F178" s="80">
        <v>76.84</v>
      </c>
      <c r="G178" s="80">
        <v>2</v>
      </c>
      <c r="H178" s="80">
        <v>153.68</v>
      </c>
      <c r="I178" s="80">
        <v>474.6</v>
      </c>
      <c r="J178" s="79" t="s">
        <v>3256</v>
      </c>
      <c r="K178" s="79" t="s">
        <v>3257</v>
      </c>
      <c r="L178" s="79" t="s">
        <v>2868</v>
      </c>
      <c r="M178" s="79" t="s">
        <v>3270</v>
      </c>
    </row>
    <row r="179" ht="242.25" spans="1:13">
      <c r="A179" s="79" t="s">
        <v>3271</v>
      </c>
      <c r="B179" s="79" t="s">
        <v>3272</v>
      </c>
      <c r="C179" s="79" t="s">
        <v>3273</v>
      </c>
      <c r="D179" s="79" t="s">
        <v>3274</v>
      </c>
      <c r="E179" s="79" t="s">
        <v>1727</v>
      </c>
      <c r="F179" s="80">
        <v>15260</v>
      </c>
      <c r="G179" s="80">
        <v>1</v>
      </c>
      <c r="H179" s="80">
        <v>15260</v>
      </c>
      <c r="I179" s="80">
        <v>62360</v>
      </c>
      <c r="J179" s="79" t="s">
        <v>3078</v>
      </c>
      <c r="K179" s="79" t="s">
        <v>3275</v>
      </c>
      <c r="L179" s="79" t="s">
        <v>2868</v>
      </c>
      <c r="M179" s="79" t="s">
        <v>3276</v>
      </c>
    </row>
    <row r="180" ht="242.25" spans="1:13">
      <c r="A180" s="79" t="s">
        <v>3271</v>
      </c>
      <c r="B180" s="79" t="s">
        <v>3272</v>
      </c>
      <c r="C180" s="79" t="s">
        <v>3273</v>
      </c>
      <c r="D180" s="79" t="s">
        <v>3274</v>
      </c>
      <c r="E180" s="79" t="s">
        <v>1727</v>
      </c>
      <c r="F180" s="80">
        <v>47100</v>
      </c>
      <c r="G180" s="80">
        <v>1</v>
      </c>
      <c r="H180" s="80">
        <v>47100</v>
      </c>
      <c r="I180" s="80">
        <v>62360</v>
      </c>
      <c r="J180" s="79" t="s">
        <v>3078</v>
      </c>
      <c r="K180" s="79" t="s">
        <v>3275</v>
      </c>
      <c r="L180" s="79" t="s">
        <v>2868</v>
      </c>
      <c r="M180" s="79" t="s">
        <v>3277</v>
      </c>
    </row>
    <row r="181" ht="242.25" spans="1:13">
      <c r="A181" s="79" t="s">
        <v>3278</v>
      </c>
      <c r="B181" s="79" t="s">
        <v>3259</v>
      </c>
      <c r="C181" s="79" t="s">
        <v>3260</v>
      </c>
      <c r="D181" s="79" t="s">
        <v>3254</v>
      </c>
      <c r="E181" s="79" t="s">
        <v>3261</v>
      </c>
      <c r="F181" s="80">
        <v>25.99</v>
      </c>
      <c r="G181" s="80">
        <v>1</v>
      </c>
      <c r="H181" s="80">
        <v>25.99</v>
      </c>
      <c r="I181" s="80">
        <v>479.12</v>
      </c>
      <c r="J181" s="79" t="s">
        <v>3256</v>
      </c>
      <c r="K181" s="79" t="s">
        <v>3279</v>
      </c>
      <c r="L181" s="79" t="s">
        <v>2868</v>
      </c>
      <c r="M181" s="79" t="s">
        <v>3280</v>
      </c>
    </row>
    <row r="182" ht="242.25" spans="1:13">
      <c r="A182" s="79" t="s">
        <v>3278</v>
      </c>
      <c r="B182" s="79" t="s">
        <v>3281</v>
      </c>
      <c r="C182" s="79" t="s">
        <v>3282</v>
      </c>
      <c r="D182" s="79" t="s">
        <v>3254</v>
      </c>
      <c r="E182" s="79" t="s">
        <v>3283</v>
      </c>
      <c r="F182" s="80">
        <v>79.1</v>
      </c>
      <c r="G182" s="80">
        <v>2</v>
      </c>
      <c r="H182" s="80">
        <v>158.2</v>
      </c>
      <c r="I182" s="80">
        <v>479.12</v>
      </c>
      <c r="J182" s="79" t="s">
        <v>3256</v>
      </c>
      <c r="K182" s="79" t="s">
        <v>3279</v>
      </c>
      <c r="L182" s="79" t="s">
        <v>2868</v>
      </c>
      <c r="M182" s="79" t="s">
        <v>3284</v>
      </c>
    </row>
    <row r="183" ht="242.25" spans="1:13">
      <c r="A183" s="79" t="s">
        <v>3278</v>
      </c>
      <c r="B183" s="79" t="s">
        <v>3285</v>
      </c>
      <c r="C183" s="79" t="s">
        <v>3286</v>
      </c>
      <c r="D183" s="79" t="s">
        <v>3254</v>
      </c>
      <c r="E183" s="79" t="s">
        <v>3287</v>
      </c>
      <c r="F183" s="80">
        <v>84.75</v>
      </c>
      <c r="G183" s="80">
        <v>2</v>
      </c>
      <c r="H183" s="80">
        <v>169.5</v>
      </c>
      <c r="I183" s="80">
        <v>479.12</v>
      </c>
      <c r="J183" s="79" t="s">
        <v>3256</v>
      </c>
      <c r="K183" s="79" t="s">
        <v>3279</v>
      </c>
      <c r="L183" s="79" t="s">
        <v>2868</v>
      </c>
      <c r="M183" s="79" t="s">
        <v>3288</v>
      </c>
    </row>
    <row r="184" ht="242.25" spans="1:13">
      <c r="A184" s="79" t="s">
        <v>3278</v>
      </c>
      <c r="B184" s="79" t="s">
        <v>3263</v>
      </c>
      <c r="C184" s="79" t="s">
        <v>3264</v>
      </c>
      <c r="D184" s="79" t="s">
        <v>3254</v>
      </c>
      <c r="E184" s="79" t="s">
        <v>3265</v>
      </c>
      <c r="F184" s="80">
        <v>125.43</v>
      </c>
      <c r="G184" s="80">
        <v>1</v>
      </c>
      <c r="H184" s="80">
        <v>125.43</v>
      </c>
      <c r="I184" s="80">
        <v>479.12</v>
      </c>
      <c r="J184" s="79" t="s">
        <v>3256</v>
      </c>
      <c r="K184" s="79" t="s">
        <v>3279</v>
      </c>
      <c r="L184" s="79" t="s">
        <v>2868</v>
      </c>
      <c r="M184" s="79" t="s">
        <v>3289</v>
      </c>
    </row>
    <row r="185" ht="242.25" spans="1:13">
      <c r="A185" s="79" t="s">
        <v>3290</v>
      </c>
      <c r="B185" s="79" t="s">
        <v>3291</v>
      </c>
      <c r="C185" s="79" t="s">
        <v>3292</v>
      </c>
      <c r="D185" s="79" t="s">
        <v>3293</v>
      </c>
      <c r="E185" s="79" t="s">
        <v>1978</v>
      </c>
      <c r="F185" s="80">
        <v>850</v>
      </c>
      <c r="G185" s="80">
        <v>7</v>
      </c>
      <c r="H185" s="80">
        <v>5950</v>
      </c>
      <c r="I185" s="80">
        <v>5950</v>
      </c>
      <c r="J185" s="79" t="s">
        <v>3294</v>
      </c>
      <c r="K185" s="79" t="s">
        <v>3295</v>
      </c>
      <c r="L185" s="79" t="s">
        <v>2868</v>
      </c>
      <c r="M185" s="79" t="s">
        <v>3296</v>
      </c>
    </row>
    <row r="186" ht="242.25" spans="1:13">
      <c r="A186" s="79" t="s">
        <v>3297</v>
      </c>
      <c r="B186" s="79" t="s">
        <v>3298</v>
      </c>
      <c r="C186" s="79" t="s">
        <v>3299</v>
      </c>
      <c r="D186" s="79" t="s">
        <v>3254</v>
      </c>
      <c r="E186" s="79" t="s">
        <v>3283</v>
      </c>
      <c r="F186" s="80">
        <v>79.1</v>
      </c>
      <c r="G186" s="80">
        <v>1</v>
      </c>
      <c r="H186" s="80">
        <v>79.1</v>
      </c>
      <c r="I186" s="80">
        <v>630.54</v>
      </c>
      <c r="J186" s="79" t="s">
        <v>3256</v>
      </c>
      <c r="K186" s="79" t="s">
        <v>3300</v>
      </c>
      <c r="L186" s="79" t="s">
        <v>2868</v>
      </c>
      <c r="M186" s="79" t="s">
        <v>3301</v>
      </c>
    </row>
    <row r="187" ht="242.25" spans="1:13">
      <c r="A187" s="79" t="s">
        <v>3297</v>
      </c>
      <c r="B187" s="79" t="s">
        <v>3302</v>
      </c>
      <c r="C187" s="79" t="s">
        <v>3303</v>
      </c>
      <c r="D187" s="79" t="s">
        <v>3254</v>
      </c>
      <c r="E187" s="79" t="s">
        <v>3265</v>
      </c>
      <c r="F187" s="80">
        <v>125.43</v>
      </c>
      <c r="G187" s="80">
        <v>1</v>
      </c>
      <c r="H187" s="80">
        <v>125.43</v>
      </c>
      <c r="I187" s="80">
        <v>630.54</v>
      </c>
      <c r="J187" s="79" t="s">
        <v>3256</v>
      </c>
      <c r="K187" s="79" t="s">
        <v>3300</v>
      </c>
      <c r="L187" s="79" t="s">
        <v>2868</v>
      </c>
      <c r="M187" s="79" t="s">
        <v>3304</v>
      </c>
    </row>
    <row r="188" ht="242.25" spans="1:13">
      <c r="A188" s="79" t="s">
        <v>3297</v>
      </c>
      <c r="B188" s="79" t="s">
        <v>3305</v>
      </c>
      <c r="C188" s="79" t="s">
        <v>3306</v>
      </c>
      <c r="D188" s="79" t="s">
        <v>3254</v>
      </c>
      <c r="E188" s="79" t="s">
        <v>3255</v>
      </c>
      <c r="F188" s="80">
        <v>84.75</v>
      </c>
      <c r="G188" s="80">
        <v>1</v>
      </c>
      <c r="H188" s="80">
        <v>84.75</v>
      </c>
      <c r="I188" s="80">
        <v>630.54</v>
      </c>
      <c r="J188" s="79" t="s">
        <v>3256</v>
      </c>
      <c r="K188" s="79" t="s">
        <v>3300</v>
      </c>
      <c r="L188" s="79" t="s">
        <v>2868</v>
      </c>
      <c r="M188" s="79" t="s">
        <v>3307</v>
      </c>
    </row>
    <row r="189" ht="242.25" spans="1:13">
      <c r="A189" s="79" t="s">
        <v>3297</v>
      </c>
      <c r="B189" s="79" t="s">
        <v>3259</v>
      </c>
      <c r="C189" s="79" t="s">
        <v>3260</v>
      </c>
      <c r="D189" s="79" t="s">
        <v>3254</v>
      </c>
      <c r="E189" s="79" t="s">
        <v>3261</v>
      </c>
      <c r="F189" s="80">
        <v>25.99</v>
      </c>
      <c r="G189" s="80">
        <v>2</v>
      </c>
      <c r="H189" s="80">
        <v>51.98</v>
      </c>
      <c r="I189" s="80">
        <v>630.54</v>
      </c>
      <c r="J189" s="79" t="s">
        <v>3256</v>
      </c>
      <c r="K189" s="79" t="s">
        <v>3300</v>
      </c>
      <c r="L189" s="79" t="s">
        <v>2868</v>
      </c>
      <c r="M189" s="79" t="s">
        <v>3308</v>
      </c>
    </row>
    <row r="190" ht="242.25" spans="1:13">
      <c r="A190" s="79" t="s">
        <v>3297</v>
      </c>
      <c r="B190" s="79" t="s">
        <v>3309</v>
      </c>
      <c r="C190" s="79" t="s">
        <v>3310</v>
      </c>
      <c r="D190" s="79" t="s">
        <v>3254</v>
      </c>
      <c r="E190" s="79" t="s">
        <v>3283</v>
      </c>
      <c r="F190" s="80">
        <v>79.1</v>
      </c>
      <c r="G190" s="80">
        <v>1</v>
      </c>
      <c r="H190" s="80">
        <v>79.1</v>
      </c>
      <c r="I190" s="80">
        <v>630.54</v>
      </c>
      <c r="J190" s="79" t="s">
        <v>3256</v>
      </c>
      <c r="K190" s="79" t="s">
        <v>3300</v>
      </c>
      <c r="L190" s="79" t="s">
        <v>2868</v>
      </c>
      <c r="M190" s="79" t="s">
        <v>3311</v>
      </c>
    </row>
    <row r="191" ht="242.25" spans="1:13">
      <c r="A191" s="79" t="s">
        <v>3297</v>
      </c>
      <c r="B191" s="79" t="s">
        <v>3312</v>
      </c>
      <c r="C191" s="79" t="s">
        <v>3313</v>
      </c>
      <c r="D191" s="79" t="s">
        <v>3254</v>
      </c>
      <c r="E191" s="79" t="s">
        <v>3287</v>
      </c>
      <c r="F191" s="80">
        <v>84.75</v>
      </c>
      <c r="G191" s="80">
        <v>1</v>
      </c>
      <c r="H191" s="80">
        <v>84.75</v>
      </c>
      <c r="I191" s="80">
        <v>630.54</v>
      </c>
      <c r="J191" s="79" t="s">
        <v>3256</v>
      </c>
      <c r="K191" s="79" t="s">
        <v>3300</v>
      </c>
      <c r="L191" s="79" t="s">
        <v>2868</v>
      </c>
      <c r="M191" s="79" t="s">
        <v>3314</v>
      </c>
    </row>
    <row r="192" ht="242.25" spans="1:13">
      <c r="A192" s="79" t="s">
        <v>3297</v>
      </c>
      <c r="B192" s="79" t="s">
        <v>3315</v>
      </c>
      <c r="C192" s="79" t="s">
        <v>3316</v>
      </c>
      <c r="D192" s="79" t="s">
        <v>3254</v>
      </c>
      <c r="E192" s="79" t="s">
        <v>3265</v>
      </c>
      <c r="F192" s="80">
        <v>125.43</v>
      </c>
      <c r="G192" s="80">
        <v>1</v>
      </c>
      <c r="H192" s="80">
        <v>125.43</v>
      </c>
      <c r="I192" s="80">
        <v>630.54</v>
      </c>
      <c r="J192" s="79" t="s">
        <v>3256</v>
      </c>
      <c r="K192" s="79" t="s">
        <v>3300</v>
      </c>
      <c r="L192" s="79" t="s">
        <v>2868</v>
      </c>
      <c r="M192" s="79" t="s">
        <v>3317</v>
      </c>
    </row>
    <row r="193" ht="213.75" spans="1:13">
      <c r="A193" s="79" t="s">
        <v>3318</v>
      </c>
      <c r="B193" s="79" t="s">
        <v>3319</v>
      </c>
      <c r="C193" s="79" t="s">
        <v>3320</v>
      </c>
      <c r="D193" s="79" t="s">
        <v>3321</v>
      </c>
      <c r="E193" s="79" t="s">
        <v>3320</v>
      </c>
      <c r="F193" s="80">
        <v>34200</v>
      </c>
      <c r="G193" s="80">
        <v>1</v>
      </c>
      <c r="H193" s="80">
        <v>34200</v>
      </c>
      <c r="I193" s="80">
        <v>34200</v>
      </c>
      <c r="J193" s="79" t="s">
        <v>3322</v>
      </c>
      <c r="K193" s="79" t="s">
        <v>3323</v>
      </c>
      <c r="L193" s="79" t="s">
        <v>3324</v>
      </c>
      <c r="M193" s="79" t="s">
        <v>3325</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2"/>
  <sheetViews>
    <sheetView zoomScale="130" zoomScaleNormal="130" topLeftCell="A13" workbookViewId="0">
      <selection activeCell="B15" sqref="B15"/>
    </sheetView>
  </sheetViews>
  <sheetFormatPr defaultColWidth="9" defaultRowHeight="13.5"/>
  <cols>
    <col min="1" max="3" width="9" style="65"/>
    <col min="4" max="4" width="33.7416666666667" style="65" customWidth="1"/>
    <col min="5" max="16384" width="9" style="65"/>
  </cols>
  <sheetData>
    <row r="1" spans="1:68">
      <c r="A1" s="66" t="s">
        <v>3326</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3327</v>
      </c>
      <c r="BN1" s="66"/>
      <c r="BO1" s="66"/>
      <c r="BP1" s="66"/>
    </row>
    <row r="2" ht="45" hidden="1" customHeight="1" spans="1:68">
      <c r="A2" s="68" t="s">
        <v>3328</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hidden="1" spans="1:68">
      <c r="A3" s="66" t="s">
        <v>3329</v>
      </c>
      <c r="B3" s="66" t="s">
        <v>3330</v>
      </c>
      <c r="C3" s="66" t="s">
        <v>3331</v>
      </c>
      <c r="D3" s="66" t="s">
        <v>3332</v>
      </c>
      <c r="E3" s="66" t="s">
        <v>3333</v>
      </c>
      <c r="F3" s="66" t="s">
        <v>3334</v>
      </c>
      <c r="G3" s="66" t="s">
        <v>3335</v>
      </c>
      <c r="H3" s="66" t="s">
        <v>3336</v>
      </c>
      <c r="I3" s="66" t="s">
        <v>3337</v>
      </c>
      <c r="J3" s="66" t="s">
        <v>3338</v>
      </c>
      <c r="K3" s="66" t="s">
        <v>3339</v>
      </c>
      <c r="L3" s="66" t="s">
        <v>3340</v>
      </c>
      <c r="M3" s="66" t="s">
        <v>3341</v>
      </c>
      <c r="N3" s="66" t="s">
        <v>3342</v>
      </c>
      <c r="O3" s="66" t="s">
        <v>3343</v>
      </c>
      <c r="P3" s="66" t="s">
        <v>3344</v>
      </c>
      <c r="Q3" s="66" t="s">
        <v>3345</v>
      </c>
      <c r="R3" s="66" t="s">
        <v>3346</v>
      </c>
      <c r="S3" s="66" t="s">
        <v>3347</v>
      </c>
      <c r="T3" s="66" t="s">
        <v>3348</v>
      </c>
      <c r="U3" s="66" t="s">
        <v>3349</v>
      </c>
      <c r="V3" s="66" t="s">
        <v>3350</v>
      </c>
      <c r="W3" s="66" t="s">
        <v>3351</v>
      </c>
      <c r="X3" s="66" t="s">
        <v>3352</v>
      </c>
      <c r="Y3" s="66" t="s">
        <v>3353</v>
      </c>
      <c r="Z3" s="66" t="s">
        <v>3354</v>
      </c>
      <c r="AA3" s="66" t="s">
        <v>3355</v>
      </c>
      <c r="AB3" s="66" t="s">
        <v>3356</v>
      </c>
      <c r="AC3" s="66" t="s">
        <v>3357</v>
      </c>
      <c r="AD3" s="66" t="s">
        <v>3358</v>
      </c>
      <c r="AE3" s="66" t="s">
        <v>3359</v>
      </c>
      <c r="AF3" s="66" t="s">
        <v>3360</v>
      </c>
      <c r="AG3" s="66" t="s">
        <v>3361</v>
      </c>
      <c r="AH3" s="66" t="s">
        <v>3362</v>
      </c>
      <c r="AI3" s="66" t="s">
        <v>3363</v>
      </c>
      <c r="AJ3" s="66" t="s">
        <v>3364</v>
      </c>
      <c r="AK3" s="66" t="s">
        <v>3365</v>
      </c>
      <c r="AL3" s="66" t="s">
        <v>3366</v>
      </c>
      <c r="AM3" s="66" t="s">
        <v>3367</v>
      </c>
      <c r="AN3" s="66" t="s">
        <v>3368</v>
      </c>
      <c r="AO3" s="66" t="s">
        <v>3369</v>
      </c>
      <c r="AP3" s="66" t="s">
        <v>3370</v>
      </c>
      <c r="AQ3" s="66" t="s">
        <v>3371</v>
      </c>
      <c r="AR3" s="66" t="s">
        <v>3372</v>
      </c>
      <c r="AS3" s="66" t="s">
        <v>3373</v>
      </c>
      <c r="AT3" s="66" t="s">
        <v>3374</v>
      </c>
      <c r="AU3" s="66" t="s">
        <v>3375</v>
      </c>
      <c r="AV3" s="66" t="s">
        <v>3376</v>
      </c>
      <c r="AW3" s="66" t="s">
        <v>3377</v>
      </c>
      <c r="AX3" s="66" t="s">
        <v>3378</v>
      </c>
      <c r="AY3" s="66" t="s">
        <v>3379</v>
      </c>
      <c r="AZ3" s="66" t="s">
        <v>3380</v>
      </c>
      <c r="BA3" s="66" t="s">
        <v>3381</v>
      </c>
      <c r="BB3" s="66" t="s">
        <v>3382</v>
      </c>
      <c r="BC3" s="66" t="s">
        <v>3383</v>
      </c>
      <c r="BD3" s="66" t="s">
        <v>3384</v>
      </c>
      <c r="BE3" s="66" t="s">
        <v>3385</v>
      </c>
      <c r="BF3" s="66" t="s">
        <v>3386</v>
      </c>
      <c r="BG3" s="66" t="s">
        <v>3387</v>
      </c>
      <c r="BH3" s="66" t="s">
        <v>3388</v>
      </c>
      <c r="BI3" s="66" t="s">
        <v>3389</v>
      </c>
      <c r="BJ3" s="66" t="s">
        <v>3390</v>
      </c>
      <c r="BK3" s="66" t="s">
        <v>3391</v>
      </c>
      <c r="BL3" s="66" t="s">
        <v>3392</v>
      </c>
      <c r="BM3" s="66" t="s">
        <v>3393</v>
      </c>
      <c r="BN3" s="66" t="s">
        <v>3394</v>
      </c>
      <c r="BO3" s="66" t="s">
        <v>3395</v>
      </c>
      <c r="BP3" s="66" t="s">
        <v>3396</v>
      </c>
    </row>
    <row r="4" ht="15" hidden="1" spans="1:68">
      <c r="A4" s="69" t="s">
        <v>3397</v>
      </c>
      <c r="B4" s="70" t="s">
        <v>3398</v>
      </c>
      <c r="C4" s="70" t="s">
        <v>3399</v>
      </c>
      <c r="D4" s="70" t="s">
        <v>3400</v>
      </c>
      <c r="E4" s="70" t="s">
        <v>3401</v>
      </c>
      <c r="F4" s="70" t="s">
        <v>3402</v>
      </c>
      <c r="G4" s="70" t="s">
        <v>3403</v>
      </c>
      <c r="H4" s="69" t="s">
        <v>3404</v>
      </c>
      <c r="I4" s="69" t="s">
        <v>3405</v>
      </c>
      <c r="J4" s="69" t="s">
        <v>3406</v>
      </c>
      <c r="K4" s="69" t="s">
        <v>3407</v>
      </c>
      <c r="L4" s="69" t="s">
        <v>3408</v>
      </c>
      <c r="M4" s="69" t="s">
        <v>3409</v>
      </c>
      <c r="N4" s="69" t="s">
        <v>3410</v>
      </c>
      <c r="O4" s="69" t="s">
        <v>3411</v>
      </c>
      <c r="P4" s="69" t="s">
        <v>3412</v>
      </c>
      <c r="Q4" s="69" t="s">
        <v>3413</v>
      </c>
      <c r="R4" s="69" t="s">
        <v>3414</v>
      </c>
      <c r="S4" s="69" t="s">
        <v>3415</v>
      </c>
      <c r="T4" s="69" t="s">
        <v>3416</v>
      </c>
      <c r="U4" s="69" t="s">
        <v>3417</v>
      </c>
      <c r="V4" s="69" t="s">
        <v>3418</v>
      </c>
      <c r="W4" s="69" t="s">
        <v>3419</v>
      </c>
      <c r="X4" s="69" t="s">
        <v>3420</v>
      </c>
      <c r="Y4" s="69" t="s">
        <v>3421</v>
      </c>
      <c r="Z4" s="69" t="s">
        <v>3422</v>
      </c>
      <c r="AA4" s="69" t="s">
        <v>3423</v>
      </c>
      <c r="AB4" s="69" t="s">
        <v>3424</v>
      </c>
      <c r="AC4" s="69" t="s">
        <v>2811</v>
      </c>
      <c r="AD4" s="69" t="s">
        <v>3425</v>
      </c>
      <c r="AE4" s="69" t="s">
        <v>3426</v>
      </c>
      <c r="AF4" s="69" t="s">
        <v>3427</v>
      </c>
      <c r="AG4" s="69" t="s">
        <v>715</v>
      </c>
      <c r="AH4" s="69" t="s">
        <v>3428</v>
      </c>
      <c r="AI4" s="69" t="s">
        <v>3429</v>
      </c>
      <c r="AJ4" s="69" t="s">
        <v>3430</v>
      </c>
      <c r="AK4" s="69" t="s">
        <v>3431</v>
      </c>
      <c r="AL4" s="69" t="s">
        <v>3432</v>
      </c>
      <c r="AM4" s="69" t="s">
        <v>3433</v>
      </c>
      <c r="AN4" s="69" t="s">
        <v>3434</v>
      </c>
      <c r="AO4" s="69" t="s">
        <v>3435</v>
      </c>
      <c r="AP4" s="69" t="s">
        <v>3436</v>
      </c>
      <c r="AQ4" s="69" t="s">
        <v>3437</v>
      </c>
      <c r="AR4" s="69" t="s">
        <v>3438</v>
      </c>
      <c r="AS4" s="70" t="s">
        <v>3439</v>
      </c>
      <c r="AT4" s="69" t="s">
        <v>3440</v>
      </c>
      <c r="AU4" s="69" t="s">
        <v>3441</v>
      </c>
      <c r="AV4" s="69" t="s">
        <v>3442</v>
      </c>
      <c r="AW4" s="69" t="s">
        <v>3443</v>
      </c>
      <c r="AX4" s="69" t="s">
        <v>3444</v>
      </c>
      <c r="AY4" s="69" t="s">
        <v>3445</v>
      </c>
      <c r="AZ4" s="69" t="s">
        <v>3446</v>
      </c>
      <c r="BA4" s="69" t="s">
        <v>3447</v>
      </c>
      <c r="BB4" s="69" t="s">
        <v>3448</v>
      </c>
      <c r="BC4" s="69" t="s">
        <v>3449</v>
      </c>
      <c r="BD4" s="69" t="s">
        <v>3450</v>
      </c>
      <c r="BE4" s="69" t="s">
        <v>3451</v>
      </c>
      <c r="BF4" s="69" t="s">
        <v>3452</v>
      </c>
      <c r="BG4" s="69" t="s">
        <v>3453</v>
      </c>
      <c r="BH4" s="69" t="s">
        <v>3454</v>
      </c>
      <c r="BI4" s="69" t="s">
        <v>3455</v>
      </c>
      <c r="BJ4" s="69" t="s">
        <v>3456</v>
      </c>
      <c r="BK4" s="69" t="s">
        <v>3457</v>
      </c>
      <c r="BL4" s="69" t="s">
        <v>3458</v>
      </c>
      <c r="BM4" s="69" t="s">
        <v>3397</v>
      </c>
      <c r="BN4" s="69" t="s">
        <v>3459</v>
      </c>
      <c r="BO4" s="69" t="s">
        <v>3460</v>
      </c>
      <c r="BP4" s="69" t="s">
        <v>3461</v>
      </c>
    </row>
    <row r="5" ht="123.95" customHeight="1" spans="1:68">
      <c r="A5" s="71" t="s">
        <v>3462</v>
      </c>
      <c r="B5" s="71" t="s">
        <v>2827</v>
      </c>
      <c r="C5" s="71" t="s">
        <v>3463</v>
      </c>
      <c r="D5" s="71" t="s">
        <v>3464</v>
      </c>
      <c r="E5" s="67" t="s">
        <v>3465</v>
      </c>
      <c r="F5" s="71" t="s">
        <v>3466</v>
      </c>
      <c r="G5" s="71" t="s">
        <v>3467</v>
      </c>
      <c r="H5" s="66"/>
      <c r="I5" s="66"/>
      <c r="J5" s="71" t="s">
        <v>3468</v>
      </c>
      <c r="K5" s="71" t="s">
        <v>3469</v>
      </c>
      <c r="L5" s="71" t="s">
        <v>3470</v>
      </c>
      <c r="M5" s="71" t="s">
        <v>3471</v>
      </c>
      <c r="N5" s="72">
        <v>1</v>
      </c>
      <c r="O5" s="74">
        <v>3080</v>
      </c>
      <c r="P5" s="74">
        <v>3264.8</v>
      </c>
      <c r="Q5" s="71" t="s">
        <v>3472</v>
      </c>
      <c r="R5" s="73"/>
      <c r="S5" s="74">
        <v>184.8</v>
      </c>
      <c r="T5" s="71" t="s">
        <v>3473</v>
      </c>
      <c r="U5" s="75"/>
      <c r="V5" s="71" t="s">
        <v>3474</v>
      </c>
      <c r="W5" s="71" t="s">
        <v>3475</v>
      </c>
      <c r="X5" s="71" t="s">
        <v>2400</v>
      </c>
      <c r="Y5" s="71" t="s">
        <v>2404</v>
      </c>
      <c r="Z5" s="71" t="s">
        <v>2827</v>
      </c>
      <c r="AA5" s="71" t="s">
        <v>3476</v>
      </c>
      <c r="AB5" s="71" t="s">
        <v>3476</v>
      </c>
      <c r="AC5" s="67" t="s">
        <v>3477</v>
      </c>
      <c r="AD5" s="67" t="s">
        <v>3478</v>
      </c>
      <c r="AE5" s="71" t="s">
        <v>3479</v>
      </c>
      <c r="AF5" s="71" t="s">
        <v>3480</v>
      </c>
      <c r="AG5" s="71" t="s">
        <v>3481</v>
      </c>
      <c r="AH5" s="71" t="s">
        <v>3482</v>
      </c>
      <c r="AI5" s="71" t="s">
        <v>3483</v>
      </c>
      <c r="AJ5" s="72"/>
      <c r="AK5" s="66"/>
      <c r="AL5" s="66"/>
      <c r="AM5" s="71" t="s">
        <v>3479</v>
      </c>
      <c r="AN5" s="71" t="s">
        <v>3480</v>
      </c>
      <c r="AO5" s="71" t="s">
        <v>3484</v>
      </c>
      <c r="AP5" s="71" t="s">
        <v>3485</v>
      </c>
      <c r="AQ5" s="71" t="s">
        <v>3486</v>
      </c>
      <c r="AR5" s="71" t="s">
        <v>3487</v>
      </c>
      <c r="AS5" s="71" t="s">
        <v>3488</v>
      </c>
      <c r="AT5" s="71" t="s">
        <v>47</v>
      </c>
      <c r="AU5" s="71" t="s">
        <v>3489</v>
      </c>
      <c r="AV5" s="71" t="s">
        <v>799</v>
      </c>
      <c r="AW5" s="71" t="s">
        <v>794</v>
      </c>
      <c r="AX5" s="71" t="s">
        <v>3490</v>
      </c>
      <c r="AY5" s="71" t="s">
        <v>3491</v>
      </c>
      <c r="AZ5" s="71" t="s">
        <v>3492</v>
      </c>
      <c r="BA5" s="71" t="s">
        <v>3489</v>
      </c>
      <c r="BB5" s="66"/>
      <c r="BC5" s="71" t="s">
        <v>3476</v>
      </c>
      <c r="BD5" s="71" t="s">
        <v>3479</v>
      </c>
      <c r="BE5" s="71" t="s">
        <v>3480</v>
      </c>
      <c r="BF5" s="76" t="s">
        <v>3493</v>
      </c>
      <c r="BG5" s="76" t="s">
        <v>3494</v>
      </c>
      <c r="BH5" s="76" t="s">
        <v>3495</v>
      </c>
      <c r="BI5" s="71" t="s">
        <v>3496</v>
      </c>
      <c r="BJ5" s="71" t="s">
        <v>3497</v>
      </c>
      <c r="BK5" s="71" t="s">
        <v>3498</v>
      </c>
      <c r="BL5" s="71" t="s">
        <v>3499</v>
      </c>
      <c r="BM5" s="71" t="s">
        <v>3500</v>
      </c>
      <c r="BN5" s="71" t="s">
        <v>3501</v>
      </c>
      <c r="BO5" s="71" t="s">
        <v>3502</v>
      </c>
      <c r="BP5" s="71" t="s">
        <v>3502</v>
      </c>
    </row>
    <row r="6" ht="75.95" hidden="1"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3503</v>
      </c>
      <c r="BN6" s="71" t="s">
        <v>3504</v>
      </c>
      <c r="BO6" s="71" t="s">
        <v>2866</v>
      </c>
      <c r="BP6" s="71" t="s">
        <v>2866</v>
      </c>
    </row>
    <row r="7" ht="78.6" customHeight="1" spans="1:68">
      <c r="A7" s="71" t="s">
        <v>3505</v>
      </c>
      <c r="B7" s="71" t="s">
        <v>2832</v>
      </c>
      <c r="C7" s="71" t="s">
        <v>3463</v>
      </c>
      <c r="D7" s="71" t="s">
        <v>3506</v>
      </c>
      <c r="E7" s="67" t="s">
        <v>3507</v>
      </c>
      <c r="F7" s="71" t="s">
        <v>3508</v>
      </c>
      <c r="G7" s="71" t="s">
        <v>3467</v>
      </c>
      <c r="H7" s="66"/>
      <c r="I7" s="66"/>
      <c r="J7" s="71" t="s">
        <v>3468</v>
      </c>
      <c r="K7" s="71" t="s">
        <v>3469</v>
      </c>
      <c r="L7" s="71" t="s">
        <v>3470</v>
      </c>
      <c r="M7" s="71" t="s">
        <v>3471</v>
      </c>
      <c r="N7" s="72"/>
      <c r="O7" s="73"/>
      <c r="P7" s="74">
        <v>34200</v>
      </c>
      <c r="Q7" s="71" t="s">
        <v>3476</v>
      </c>
      <c r="R7" s="74">
        <v>34200</v>
      </c>
      <c r="S7" s="74"/>
      <c r="T7" s="71" t="s">
        <v>3473</v>
      </c>
      <c r="U7" s="75"/>
      <c r="V7" s="71" t="s">
        <v>3474</v>
      </c>
      <c r="W7" s="71" t="s">
        <v>3475</v>
      </c>
      <c r="X7" s="71" t="s">
        <v>2400</v>
      </c>
      <c r="Y7" s="71" t="s">
        <v>2404</v>
      </c>
      <c r="Z7" s="71" t="s">
        <v>2832</v>
      </c>
      <c r="AA7" s="71" t="s">
        <v>3476</v>
      </c>
      <c r="AB7" s="71" t="s">
        <v>3476</v>
      </c>
      <c r="AC7" s="67" t="s">
        <v>3509</v>
      </c>
      <c r="AD7" s="67" t="s">
        <v>3510</v>
      </c>
      <c r="AE7" s="71" t="s">
        <v>3511</v>
      </c>
      <c r="AF7" s="71" t="s">
        <v>3512</v>
      </c>
      <c r="AG7" s="71" t="s">
        <v>3481</v>
      </c>
      <c r="AH7" s="66"/>
      <c r="AI7" s="66"/>
      <c r="AJ7" s="72"/>
      <c r="AK7" s="66"/>
      <c r="AL7" s="66"/>
      <c r="AM7" s="71" t="s">
        <v>3479</v>
      </c>
      <c r="AN7" s="71" t="s">
        <v>3480</v>
      </c>
      <c r="AO7" s="71" t="s">
        <v>3484</v>
      </c>
      <c r="AP7" s="71" t="s">
        <v>3513</v>
      </c>
      <c r="AQ7" s="71" t="s">
        <v>3486</v>
      </c>
      <c r="AR7" s="71" t="s">
        <v>3487</v>
      </c>
      <c r="AS7" s="71" t="s">
        <v>3514</v>
      </c>
      <c r="AT7" s="71" t="s">
        <v>3320</v>
      </c>
      <c r="AU7" s="71" t="s">
        <v>3515</v>
      </c>
      <c r="AV7" s="71" t="s">
        <v>794</v>
      </c>
      <c r="AW7" s="71" t="s">
        <v>794</v>
      </c>
      <c r="AX7" s="71" t="s">
        <v>3516</v>
      </c>
      <c r="AY7" s="71" t="s">
        <v>3517</v>
      </c>
      <c r="AZ7" s="71" t="s">
        <v>3492</v>
      </c>
      <c r="BA7" s="71" t="s">
        <v>3515</v>
      </c>
      <c r="BB7" s="66"/>
      <c r="BC7" s="71" t="s">
        <v>3518</v>
      </c>
      <c r="BD7" s="71" t="s">
        <v>3519</v>
      </c>
      <c r="BE7" s="71" t="s">
        <v>3520</v>
      </c>
      <c r="BF7" s="76" t="s">
        <v>3521</v>
      </c>
      <c r="BG7" s="76" t="s">
        <v>3522</v>
      </c>
      <c r="BH7" s="76" t="s">
        <v>3523</v>
      </c>
      <c r="BI7" s="71" t="s">
        <v>3496</v>
      </c>
      <c r="BJ7" s="71" t="s">
        <v>3497</v>
      </c>
      <c r="BK7" s="71" t="s">
        <v>3524</v>
      </c>
      <c r="BL7" s="71" t="s">
        <v>3525</v>
      </c>
      <c r="BM7" s="71" t="s">
        <v>3526</v>
      </c>
      <c r="BN7" s="71" t="s">
        <v>3501</v>
      </c>
      <c r="BO7" s="71" t="s">
        <v>3502</v>
      </c>
      <c r="BP7" s="71" t="s">
        <v>3502</v>
      </c>
    </row>
    <row r="8" ht="54" hidden="1"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3527</v>
      </c>
      <c r="BN8" s="71" t="s">
        <v>3528</v>
      </c>
      <c r="BO8" s="71" t="s">
        <v>3322</v>
      </c>
      <c r="BP8" s="71" t="s">
        <v>3322</v>
      </c>
    </row>
    <row r="9" ht="241.5" customHeight="1" spans="1:68">
      <c r="A9" s="71" t="s">
        <v>3529</v>
      </c>
      <c r="B9" s="71" t="s">
        <v>2831</v>
      </c>
      <c r="C9" s="71" t="s">
        <v>3463</v>
      </c>
      <c r="D9" s="71" t="s">
        <v>3530</v>
      </c>
      <c r="E9" s="67" t="s">
        <v>3531</v>
      </c>
      <c r="F9" s="71" t="s">
        <v>3508</v>
      </c>
      <c r="G9" s="71" t="s">
        <v>3467</v>
      </c>
      <c r="H9" s="66"/>
      <c r="I9" s="66"/>
      <c r="J9" s="71" t="s">
        <v>3468</v>
      </c>
      <c r="K9" s="71" t="s">
        <v>3469</v>
      </c>
      <c r="L9" s="71" t="s">
        <v>3470</v>
      </c>
      <c r="M9" s="71" t="s">
        <v>3471</v>
      </c>
      <c r="N9" s="72"/>
      <c r="O9" s="73"/>
      <c r="P9" s="74">
        <v>268320</v>
      </c>
      <c r="Q9" s="71" t="s">
        <v>3476</v>
      </c>
      <c r="R9" s="74">
        <v>268320</v>
      </c>
      <c r="S9" s="74"/>
      <c r="T9" s="71" t="s">
        <v>3473</v>
      </c>
      <c r="U9" s="75"/>
      <c r="V9" s="71" t="s">
        <v>3474</v>
      </c>
      <c r="W9" s="71" t="s">
        <v>3475</v>
      </c>
      <c r="X9" s="71" t="s">
        <v>2400</v>
      </c>
      <c r="Y9" s="71" t="s">
        <v>2404</v>
      </c>
      <c r="Z9" s="71" t="s">
        <v>2831</v>
      </c>
      <c r="AA9" s="71" t="s">
        <v>3476</v>
      </c>
      <c r="AB9" s="71" t="s">
        <v>3476</v>
      </c>
      <c r="AC9" s="67" t="s">
        <v>3532</v>
      </c>
      <c r="AD9" s="67" t="s">
        <v>3533</v>
      </c>
      <c r="AE9" s="71" t="s">
        <v>3511</v>
      </c>
      <c r="AF9" s="71" t="s">
        <v>3512</v>
      </c>
      <c r="AG9" s="71" t="s">
        <v>3481</v>
      </c>
      <c r="AH9" s="66"/>
      <c r="AI9" s="66"/>
      <c r="AJ9" s="72"/>
      <c r="AK9" s="66"/>
      <c r="AL9" s="66"/>
      <c r="AM9" s="71" t="s">
        <v>3479</v>
      </c>
      <c r="AN9" s="71" t="s">
        <v>3480</v>
      </c>
      <c r="AO9" s="71" t="s">
        <v>3484</v>
      </c>
      <c r="AP9" s="71" t="s">
        <v>3513</v>
      </c>
      <c r="AQ9" s="71" t="s">
        <v>3486</v>
      </c>
      <c r="AR9" s="71" t="s">
        <v>3487</v>
      </c>
      <c r="AS9" s="71" t="s">
        <v>3534</v>
      </c>
      <c r="AT9" s="71" t="s">
        <v>3535</v>
      </c>
      <c r="AU9" s="71" t="s">
        <v>3515</v>
      </c>
      <c r="AV9" s="71" t="s">
        <v>794</v>
      </c>
      <c r="AW9" s="71" t="s">
        <v>794</v>
      </c>
      <c r="AX9" s="71" t="s">
        <v>3536</v>
      </c>
      <c r="AY9" s="71" t="s">
        <v>3537</v>
      </c>
      <c r="AZ9" s="71" t="s">
        <v>3492</v>
      </c>
      <c r="BA9" s="71" t="s">
        <v>3515</v>
      </c>
      <c r="BB9" s="66"/>
      <c r="BC9" s="71" t="s">
        <v>3538</v>
      </c>
      <c r="BD9" s="71" t="s">
        <v>3519</v>
      </c>
      <c r="BE9" s="71" t="s">
        <v>3520</v>
      </c>
      <c r="BF9" s="76" t="s">
        <v>3539</v>
      </c>
      <c r="BG9" s="76" t="s">
        <v>3540</v>
      </c>
      <c r="BH9" s="76" t="s">
        <v>3541</v>
      </c>
      <c r="BI9" s="71" t="s">
        <v>3496</v>
      </c>
      <c r="BJ9" s="71" t="s">
        <v>3497</v>
      </c>
      <c r="BK9" s="71" t="s">
        <v>3542</v>
      </c>
      <c r="BL9" s="71" t="s">
        <v>3525</v>
      </c>
      <c r="BM9" s="71" t="s">
        <v>3543</v>
      </c>
      <c r="BN9" s="71" t="s">
        <v>3501</v>
      </c>
      <c r="BO9" s="71" t="s">
        <v>3502</v>
      </c>
      <c r="BP9" s="71" t="s">
        <v>3502</v>
      </c>
    </row>
    <row r="10" ht="225.95" hidden="1" customHeight="1" spans="1:68">
      <c r="A10" s="66"/>
      <c r="B10" s="66"/>
      <c r="C10" s="66"/>
      <c r="D10" s="66"/>
      <c r="E10" s="67"/>
      <c r="F10" s="66"/>
      <c r="G10" s="66"/>
      <c r="H10" s="66"/>
      <c r="I10" s="66"/>
      <c r="J10" s="66"/>
      <c r="K10" s="66"/>
      <c r="L10" s="66"/>
      <c r="M10" s="66"/>
      <c r="N10" s="72"/>
      <c r="O10" s="73"/>
      <c r="P10" s="73"/>
      <c r="Q10" s="66"/>
      <c r="R10" s="73"/>
      <c r="S10" s="74"/>
      <c r="T10" s="66"/>
      <c r="U10" s="75"/>
      <c r="V10" s="66"/>
      <c r="W10" s="66"/>
      <c r="X10" s="66"/>
      <c r="Y10" s="66"/>
      <c r="Z10" s="66"/>
      <c r="AA10" s="66"/>
      <c r="AB10" s="66"/>
      <c r="AC10" s="67"/>
      <c r="AD10" s="67"/>
      <c r="AE10" s="66"/>
      <c r="AF10" s="66"/>
      <c r="AG10" s="66"/>
      <c r="AH10" s="66"/>
      <c r="AI10" s="66"/>
      <c r="AJ10" s="72"/>
      <c r="AK10" s="66"/>
      <c r="AL10" s="66"/>
      <c r="AM10" s="66"/>
      <c r="AN10" s="66"/>
      <c r="AO10" s="66"/>
      <c r="AP10" s="66"/>
      <c r="AQ10" s="66"/>
      <c r="AR10" s="66"/>
      <c r="AS10" s="66"/>
      <c r="AT10" s="66"/>
      <c r="AU10" s="66"/>
      <c r="AV10" s="66"/>
      <c r="AW10" s="66"/>
      <c r="AX10" s="66"/>
      <c r="AY10" s="66"/>
      <c r="AZ10" s="66"/>
      <c r="BA10" s="66"/>
      <c r="BB10" s="66"/>
      <c r="BC10" s="66"/>
      <c r="BD10" s="66"/>
      <c r="BE10" s="66"/>
      <c r="BF10" s="76"/>
      <c r="BG10" s="76"/>
      <c r="BH10" s="76"/>
      <c r="BI10" s="66"/>
      <c r="BJ10" s="66"/>
      <c r="BK10" s="66"/>
      <c r="BL10" s="66"/>
      <c r="BM10" s="71" t="s">
        <v>3544</v>
      </c>
      <c r="BN10" s="71" t="s">
        <v>3545</v>
      </c>
      <c r="BO10" s="71" t="s">
        <v>3546</v>
      </c>
      <c r="BP10" s="71" t="s">
        <v>3546</v>
      </c>
    </row>
    <row r="11" ht="409.5" spans="1:68">
      <c r="A11" s="71" t="s">
        <v>3547</v>
      </c>
      <c r="B11" s="71" t="s">
        <v>2829</v>
      </c>
      <c r="C11" s="71" t="s">
        <v>3463</v>
      </c>
      <c r="D11" s="71" t="s">
        <v>3548</v>
      </c>
      <c r="E11" s="67" t="s">
        <v>3465</v>
      </c>
      <c r="F11" s="71" t="s">
        <v>3508</v>
      </c>
      <c r="G11" s="71" t="s">
        <v>3467</v>
      </c>
      <c r="H11" s="66"/>
      <c r="I11" s="66"/>
      <c r="J11" s="71" t="s">
        <v>3468</v>
      </c>
      <c r="K11" s="71" t="s">
        <v>3469</v>
      </c>
      <c r="L11" s="71" t="s">
        <v>3470</v>
      </c>
      <c r="M11" s="71" t="s">
        <v>3471</v>
      </c>
      <c r="N11" s="72"/>
      <c r="O11" s="73"/>
      <c r="P11" s="74">
        <v>232440</v>
      </c>
      <c r="Q11" s="71" t="s">
        <v>3476</v>
      </c>
      <c r="R11" s="74">
        <v>232440</v>
      </c>
      <c r="S11" s="74"/>
      <c r="T11" s="71" t="s">
        <v>3473</v>
      </c>
      <c r="U11" s="75"/>
      <c r="V11" s="71" t="s">
        <v>3474</v>
      </c>
      <c r="W11" s="71" t="s">
        <v>3475</v>
      </c>
      <c r="X11" s="71" t="s">
        <v>2400</v>
      </c>
      <c r="Y11" s="71" t="s">
        <v>2404</v>
      </c>
      <c r="Z11" s="71" t="s">
        <v>2829</v>
      </c>
      <c r="AA11" s="71" t="s">
        <v>3476</v>
      </c>
      <c r="AB11" s="71" t="s">
        <v>3476</v>
      </c>
      <c r="AC11" s="67" t="s">
        <v>3549</v>
      </c>
      <c r="AD11" s="67" t="s">
        <v>3549</v>
      </c>
      <c r="AE11" s="71" t="s">
        <v>3511</v>
      </c>
      <c r="AF11" s="71" t="s">
        <v>3512</v>
      </c>
      <c r="AG11" s="71" t="s">
        <v>3481</v>
      </c>
      <c r="AH11" s="66"/>
      <c r="AI11" s="66"/>
      <c r="AJ11" s="72"/>
      <c r="AK11" s="66"/>
      <c r="AL11" s="66"/>
      <c r="AM11" s="71" t="s">
        <v>3479</v>
      </c>
      <c r="AN11" s="71" t="s">
        <v>3480</v>
      </c>
      <c r="AO11" s="71" t="s">
        <v>3484</v>
      </c>
      <c r="AP11" s="71" t="s">
        <v>3513</v>
      </c>
      <c r="AQ11" s="71" t="s">
        <v>3486</v>
      </c>
      <c r="AR11" s="71" t="s">
        <v>3487</v>
      </c>
      <c r="AS11" s="71" t="s">
        <v>3550</v>
      </c>
      <c r="AT11" s="71" t="s">
        <v>3551</v>
      </c>
      <c r="AU11" s="71" t="s">
        <v>3515</v>
      </c>
      <c r="AV11" s="71" t="s">
        <v>794</v>
      </c>
      <c r="AW11" s="71" t="s">
        <v>794</v>
      </c>
      <c r="AX11" s="71" t="s">
        <v>3552</v>
      </c>
      <c r="AY11" s="71" t="s">
        <v>3553</v>
      </c>
      <c r="AZ11" s="71" t="s">
        <v>3492</v>
      </c>
      <c r="BA11" s="71" t="s">
        <v>3515</v>
      </c>
      <c r="BB11" s="66"/>
      <c r="BC11" s="71" t="s">
        <v>3554</v>
      </c>
      <c r="BD11" s="71" t="s">
        <v>3519</v>
      </c>
      <c r="BE11" s="71" t="s">
        <v>3520</v>
      </c>
      <c r="BF11" s="76" t="s">
        <v>3555</v>
      </c>
      <c r="BG11" s="76" t="s">
        <v>3556</v>
      </c>
      <c r="BH11" s="76" t="s">
        <v>3557</v>
      </c>
      <c r="BI11" s="71" t="s">
        <v>3496</v>
      </c>
      <c r="BJ11" s="71" t="s">
        <v>3497</v>
      </c>
      <c r="BK11" s="71" t="s">
        <v>3558</v>
      </c>
      <c r="BL11" s="71" t="s">
        <v>3525</v>
      </c>
      <c r="BM11" s="71" t="s">
        <v>3559</v>
      </c>
      <c r="BN11" s="71" t="s">
        <v>3501</v>
      </c>
      <c r="BO11" s="71" t="s">
        <v>3502</v>
      </c>
      <c r="BP11" s="71" t="s">
        <v>3502</v>
      </c>
    </row>
    <row r="12" ht="40.5" hidden="1" spans="1:68">
      <c r="A12" s="66"/>
      <c r="B12" s="66"/>
      <c r="C12" s="66"/>
      <c r="D12" s="66"/>
      <c r="E12" s="67"/>
      <c r="F12" s="66"/>
      <c r="G12" s="66"/>
      <c r="H12" s="66"/>
      <c r="I12" s="66"/>
      <c r="J12" s="66"/>
      <c r="K12" s="66"/>
      <c r="L12" s="66"/>
      <c r="M12" s="66"/>
      <c r="N12" s="72"/>
      <c r="O12" s="73"/>
      <c r="P12" s="73"/>
      <c r="Q12" s="66"/>
      <c r="R12" s="73"/>
      <c r="S12" s="74"/>
      <c r="T12" s="66"/>
      <c r="U12" s="75"/>
      <c r="V12" s="66"/>
      <c r="W12" s="66"/>
      <c r="X12" s="66"/>
      <c r="Y12" s="66"/>
      <c r="Z12" s="66"/>
      <c r="AA12" s="66"/>
      <c r="AB12" s="66"/>
      <c r="AC12" s="67"/>
      <c r="AD12" s="67"/>
      <c r="AE12" s="66"/>
      <c r="AF12" s="66"/>
      <c r="AG12" s="66"/>
      <c r="AH12" s="66"/>
      <c r="AI12" s="66"/>
      <c r="AJ12" s="72"/>
      <c r="AK12" s="66"/>
      <c r="AL12" s="66"/>
      <c r="AM12" s="66"/>
      <c r="AN12" s="66"/>
      <c r="AO12" s="66"/>
      <c r="AP12" s="66"/>
      <c r="AQ12" s="66"/>
      <c r="AR12" s="66"/>
      <c r="AS12" s="66"/>
      <c r="AT12" s="66"/>
      <c r="AU12" s="66"/>
      <c r="AV12" s="66"/>
      <c r="AW12" s="66"/>
      <c r="AX12" s="66"/>
      <c r="AY12" s="66"/>
      <c r="AZ12" s="66"/>
      <c r="BA12" s="66"/>
      <c r="BB12" s="66"/>
      <c r="BC12" s="66"/>
      <c r="BD12" s="66"/>
      <c r="BE12" s="66"/>
      <c r="BF12" s="76"/>
      <c r="BG12" s="76"/>
      <c r="BH12" s="76"/>
      <c r="BI12" s="66"/>
      <c r="BJ12" s="66"/>
      <c r="BK12" s="66"/>
      <c r="BL12" s="66"/>
      <c r="BM12" s="71" t="s">
        <v>3560</v>
      </c>
      <c r="BN12" s="71" t="s">
        <v>3561</v>
      </c>
      <c r="BO12" s="71" t="s">
        <v>3562</v>
      </c>
      <c r="BP12" s="71" t="s">
        <v>3562</v>
      </c>
    </row>
    <row r="13" ht="409.5" spans="1:68">
      <c r="A13" s="71" t="s">
        <v>3563</v>
      </c>
      <c r="B13" s="71" t="s">
        <v>2826</v>
      </c>
      <c r="C13" s="71" t="s">
        <v>3463</v>
      </c>
      <c r="D13" s="71" t="s">
        <v>3564</v>
      </c>
      <c r="E13" s="67" t="s">
        <v>3465</v>
      </c>
      <c r="F13" s="71" t="s">
        <v>3508</v>
      </c>
      <c r="G13" s="71" t="s">
        <v>3467</v>
      </c>
      <c r="H13" s="66"/>
      <c r="I13" s="66"/>
      <c r="J13" s="71" t="s">
        <v>3468</v>
      </c>
      <c r="K13" s="71" t="s">
        <v>3469</v>
      </c>
      <c r="L13" s="71" t="s">
        <v>3470</v>
      </c>
      <c r="M13" s="71" t="s">
        <v>3471</v>
      </c>
      <c r="N13" s="72"/>
      <c r="O13" s="73"/>
      <c r="P13" s="74">
        <v>121680</v>
      </c>
      <c r="Q13" s="71" t="s">
        <v>3476</v>
      </c>
      <c r="R13" s="73"/>
      <c r="S13" s="74"/>
      <c r="T13" s="71" t="s">
        <v>3473</v>
      </c>
      <c r="U13" s="75"/>
      <c r="V13" s="71" t="s">
        <v>3474</v>
      </c>
      <c r="W13" s="71" t="s">
        <v>3475</v>
      </c>
      <c r="X13" s="71" t="s">
        <v>2400</v>
      </c>
      <c r="Y13" s="71" t="s">
        <v>2404</v>
      </c>
      <c r="Z13" s="71" t="s">
        <v>2826</v>
      </c>
      <c r="AA13" s="71" t="s">
        <v>3476</v>
      </c>
      <c r="AB13" s="71" t="s">
        <v>3476</v>
      </c>
      <c r="AC13" s="67" t="s">
        <v>3565</v>
      </c>
      <c r="AD13" s="67" t="s">
        <v>3549</v>
      </c>
      <c r="AE13" s="71" t="s">
        <v>3566</v>
      </c>
      <c r="AF13" s="71" t="s">
        <v>3567</v>
      </c>
      <c r="AG13" s="71" t="s">
        <v>3481</v>
      </c>
      <c r="AH13" s="66"/>
      <c r="AI13" s="66"/>
      <c r="AJ13" s="72"/>
      <c r="AK13" s="66"/>
      <c r="AL13" s="66"/>
      <c r="AM13" s="71" t="s">
        <v>3479</v>
      </c>
      <c r="AN13" s="71" t="s">
        <v>3480</v>
      </c>
      <c r="AO13" s="71" t="s">
        <v>3484</v>
      </c>
      <c r="AP13" s="71" t="s">
        <v>3513</v>
      </c>
      <c r="AQ13" s="71" t="s">
        <v>3486</v>
      </c>
      <c r="AR13" s="71" t="s">
        <v>3487</v>
      </c>
      <c r="AS13" s="71" t="s">
        <v>3568</v>
      </c>
      <c r="AT13" s="71" t="s">
        <v>3569</v>
      </c>
      <c r="AU13" s="71" t="s">
        <v>3489</v>
      </c>
      <c r="AV13" s="71" t="s">
        <v>794</v>
      </c>
      <c r="AW13" s="71" t="s">
        <v>794</v>
      </c>
      <c r="AX13" s="71" t="s">
        <v>3570</v>
      </c>
      <c r="AY13" s="71" t="s">
        <v>3571</v>
      </c>
      <c r="AZ13" s="71" t="s">
        <v>3492</v>
      </c>
      <c r="BA13" s="71" t="s">
        <v>3489</v>
      </c>
      <c r="BB13" s="66"/>
      <c r="BC13" s="71" t="s">
        <v>3572</v>
      </c>
      <c r="BD13" s="71" t="s">
        <v>3519</v>
      </c>
      <c r="BE13" s="71" t="s">
        <v>3520</v>
      </c>
      <c r="BF13" s="76" t="s">
        <v>3573</v>
      </c>
      <c r="BG13" s="76" t="s">
        <v>3574</v>
      </c>
      <c r="BH13" s="76" t="s">
        <v>3575</v>
      </c>
      <c r="BI13" s="71" t="s">
        <v>3496</v>
      </c>
      <c r="BJ13" s="71" t="s">
        <v>3497</v>
      </c>
      <c r="BK13" s="71" t="s">
        <v>3576</v>
      </c>
      <c r="BL13" s="71" t="s">
        <v>3499</v>
      </c>
      <c r="BM13" s="71" t="s">
        <v>3577</v>
      </c>
      <c r="BN13" s="71" t="s">
        <v>3501</v>
      </c>
      <c r="BO13" s="71" t="s">
        <v>3502</v>
      </c>
      <c r="BP13" s="71" t="s">
        <v>3502</v>
      </c>
    </row>
    <row r="14" ht="54" hidden="1" spans="1:68">
      <c r="A14" s="66"/>
      <c r="B14" s="66"/>
      <c r="C14" s="66"/>
      <c r="D14" s="66"/>
      <c r="E14" s="67"/>
      <c r="F14" s="66"/>
      <c r="G14" s="66"/>
      <c r="H14" s="66"/>
      <c r="I14" s="66"/>
      <c r="J14" s="66"/>
      <c r="K14" s="66"/>
      <c r="L14" s="66"/>
      <c r="M14" s="66"/>
      <c r="N14" s="72"/>
      <c r="O14" s="73"/>
      <c r="P14" s="73"/>
      <c r="Q14" s="66"/>
      <c r="R14" s="73"/>
      <c r="S14" s="74"/>
      <c r="T14" s="66"/>
      <c r="U14" s="75"/>
      <c r="V14" s="66"/>
      <c r="W14" s="66"/>
      <c r="X14" s="66"/>
      <c r="Y14" s="66"/>
      <c r="Z14" s="66"/>
      <c r="AA14" s="66"/>
      <c r="AB14" s="66"/>
      <c r="AC14" s="67"/>
      <c r="AD14" s="67"/>
      <c r="AE14" s="66"/>
      <c r="AF14" s="66"/>
      <c r="AG14" s="66"/>
      <c r="AH14" s="66"/>
      <c r="AI14" s="66"/>
      <c r="AJ14" s="72"/>
      <c r="AK14" s="66"/>
      <c r="AL14" s="66"/>
      <c r="AM14" s="66"/>
      <c r="AN14" s="66"/>
      <c r="AO14" s="66"/>
      <c r="AP14" s="66"/>
      <c r="AQ14" s="66"/>
      <c r="AR14" s="66"/>
      <c r="AS14" s="66"/>
      <c r="AT14" s="66"/>
      <c r="AU14" s="66"/>
      <c r="AV14" s="66"/>
      <c r="AW14" s="66"/>
      <c r="AX14" s="66"/>
      <c r="AY14" s="66"/>
      <c r="AZ14" s="66"/>
      <c r="BA14" s="66"/>
      <c r="BB14" s="66"/>
      <c r="BC14" s="66"/>
      <c r="BD14" s="66"/>
      <c r="BE14" s="66"/>
      <c r="BF14" s="76"/>
      <c r="BG14" s="76"/>
      <c r="BH14" s="76"/>
      <c r="BI14" s="66"/>
      <c r="BJ14" s="66"/>
      <c r="BK14" s="66"/>
      <c r="BL14" s="66"/>
      <c r="BM14" s="71" t="s">
        <v>3578</v>
      </c>
      <c r="BN14" s="71" t="s">
        <v>3579</v>
      </c>
      <c r="BO14" s="71" t="s">
        <v>3580</v>
      </c>
      <c r="BP14" s="71" t="s">
        <v>3580</v>
      </c>
    </row>
    <row r="15" ht="85" customHeight="1" spans="1:68">
      <c r="A15" s="71" t="s">
        <v>3581</v>
      </c>
      <c r="B15" s="71" t="s">
        <v>2828</v>
      </c>
      <c r="C15" s="71" t="s">
        <v>3463</v>
      </c>
      <c r="D15" s="71" t="s">
        <v>3582</v>
      </c>
      <c r="E15" s="67" t="s">
        <v>3583</v>
      </c>
      <c r="F15" s="71" t="s">
        <v>3508</v>
      </c>
      <c r="G15" s="71" t="s">
        <v>3467</v>
      </c>
      <c r="H15" s="66"/>
      <c r="I15" s="66"/>
      <c r="J15" s="71" t="s">
        <v>3468</v>
      </c>
      <c r="K15" s="71" t="s">
        <v>3469</v>
      </c>
      <c r="L15" s="71" t="s">
        <v>3470</v>
      </c>
      <c r="M15" s="71" t="s">
        <v>3471</v>
      </c>
      <c r="N15" s="72"/>
      <c r="O15" s="73"/>
      <c r="P15" s="74">
        <v>94800</v>
      </c>
      <c r="Q15" s="71" t="s">
        <v>3476</v>
      </c>
      <c r="R15" s="73"/>
      <c r="S15" s="74"/>
      <c r="T15" s="71" t="s">
        <v>3473</v>
      </c>
      <c r="U15" s="75"/>
      <c r="V15" s="71" t="s">
        <v>3474</v>
      </c>
      <c r="W15" s="71" t="s">
        <v>3475</v>
      </c>
      <c r="X15" s="71" t="s">
        <v>2400</v>
      </c>
      <c r="Y15" s="71" t="s">
        <v>2404</v>
      </c>
      <c r="Z15" s="71" t="s">
        <v>2828</v>
      </c>
      <c r="AA15" s="71" t="s">
        <v>3476</v>
      </c>
      <c r="AB15" s="71" t="s">
        <v>3476</v>
      </c>
      <c r="AC15" s="67" t="s">
        <v>3584</v>
      </c>
      <c r="AD15" s="67" t="s">
        <v>3585</v>
      </c>
      <c r="AE15" s="71" t="s">
        <v>3511</v>
      </c>
      <c r="AF15" s="71" t="s">
        <v>3512</v>
      </c>
      <c r="AG15" s="71" t="s">
        <v>3481</v>
      </c>
      <c r="AH15" s="66"/>
      <c r="AI15" s="66"/>
      <c r="AJ15" s="72"/>
      <c r="AK15" s="66"/>
      <c r="AL15" s="66"/>
      <c r="AM15" s="71" t="s">
        <v>3479</v>
      </c>
      <c r="AN15" s="71" t="s">
        <v>3480</v>
      </c>
      <c r="AO15" s="71" t="s">
        <v>3484</v>
      </c>
      <c r="AP15" s="71" t="s">
        <v>3513</v>
      </c>
      <c r="AQ15" s="71" t="s">
        <v>3486</v>
      </c>
      <c r="AR15" s="71" t="s">
        <v>3487</v>
      </c>
      <c r="AS15" s="71" t="s">
        <v>3586</v>
      </c>
      <c r="AT15" s="71" t="s">
        <v>3587</v>
      </c>
      <c r="AU15" s="71" t="s">
        <v>3489</v>
      </c>
      <c r="AV15" s="71" t="s">
        <v>794</v>
      </c>
      <c r="AW15" s="71" t="s">
        <v>794</v>
      </c>
      <c r="AX15" s="71" t="s">
        <v>3588</v>
      </c>
      <c r="AY15" s="71" t="s">
        <v>3589</v>
      </c>
      <c r="AZ15" s="71" t="s">
        <v>3492</v>
      </c>
      <c r="BA15" s="71" t="s">
        <v>3489</v>
      </c>
      <c r="BB15" s="66"/>
      <c r="BC15" s="71" t="s">
        <v>3590</v>
      </c>
      <c r="BD15" s="71" t="s">
        <v>3519</v>
      </c>
      <c r="BE15" s="71" t="s">
        <v>3520</v>
      </c>
      <c r="BF15" s="76" t="s">
        <v>3591</v>
      </c>
      <c r="BG15" s="76" t="s">
        <v>3592</v>
      </c>
      <c r="BH15" s="76" t="s">
        <v>3593</v>
      </c>
      <c r="BI15" s="71" t="s">
        <v>3496</v>
      </c>
      <c r="BJ15" s="71" t="s">
        <v>3497</v>
      </c>
      <c r="BK15" s="71" t="s">
        <v>3594</v>
      </c>
      <c r="BL15" s="71" t="s">
        <v>3499</v>
      </c>
      <c r="BM15" s="71" t="s">
        <v>3595</v>
      </c>
      <c r="BN15" s="71" t="s">
        <v>3501</v>
      </c>
      <c r="BO15" s="71" t="s">
        <v>3502</v>
      </c>
      <c r="BP15" s="71" t="s">
        <v>3502</v>
      </c>
    </row>
    <row r="16" ht="206.1" hidden="1" customHeight="1" spans="1:68">
      <c r="A16" s="66"/>
      <c r="B16" s="66"/>
      <c r="C16" s="66"/>
      <c r="D16" s="66"/>
      <c r="E16" s="67"/>
      <c r="F16" s="66"/>
      <c r="G16" s="66"/>
      <c r="H16" s="66"/>
      <c r="I16" s="66"/>
      <c r="J16" s="66"/>
      <c r="K16" s="66"/>
      <c r="L16" s="66"/>
      <c r="M16" s="66"/>
      <c r="N16" s="72"/>
      <c r="O16" s="73"/>
      <c r="P16" s="73"/>
      <c r="Q16" s="66"/>
      <c r="R16" s="73"/>
      <c r="S16" s="74"/>
      <c r="T16" s="66"/>
      <c r="U16" s="75"/>
      <c r="V16" s="66"/>
      <c r="W16" s="66"/>
      <c r="X16" s="66"/>
      <c r="Y16" s="66"/>
      <c r="Z16" s="66"/>
      <c r="AA16" s="66"/>
      <c r="AB16" s="66"/>
      <c r="AC16" s="67"/>
      <c r="AD16" s="67"/>
      <c r="AE16" s="66"/>
      <c r="AF16" s="66"/>
      <c r="AG16" s="66"/>
      <c r="AH16" s="66"/>
      <c r="AI16" s="66"/>
      <c r="AJ16" s="72"/>
      <c r="AK16" s="66"/>
      <c r="AL16" s="66"/>
      <c r="AM16" s="66"/>
      <c r="AN16" s="66"/>
      <c r="AO16" s="66"/>
      <c r="AP16" s="66"/>
      <c r="AQ16" s="66"/>
      <c r="AR16" s="66"/>
      <c r="AS16" s="66"/>
      <c r="AT16" s="66"/>
      <c r="AU16" s="66"/>
      <c r="AV16" s="66"/>
      <c r="AW16" s="66"/>
      <c r="AX16" s="66"/>
      <c r="AY16" s="66"/>
      <c r="AZ16" s="66"/>
      <c r="BA16" s="66"/>
      <c r="BB16" s="66"/>
      <c r="BC16" s="66"/>
      <c r="BD16" s="66"/>
      <c r="BE16" s="66"/>
      <c r="BF16" s="76"/>
      <c r="BG16" s="76"/>
      <c r="BH16" s="76"/>
      <c r="BI16" s="66"/>
      <c r="BJ16" s="66"/>
      <c r="BK16" s="66"/>
      <c r="BL16" s="66"/>
      <c r="BM16" s="71" t="s">
        <v>3596</v>
      </c>
      <c r="BN16" s="71" t="s">
        <v>3597</v>
      </c>
      <c r="BO16" s="71" t="s">
        <v>3598</v>
      </c>
      <c r="BP16" s="71" t="s">
        <v>3598</v>
      </c>
    </row>
    <row r="17" ht="185.45" hidden="1" customHeight="1" spans="1:68">
      <c r="A17" s="71" t="s">
        <v>3599</v>
      </c>
      <c r="B17" s="71" t="s">
        <v>3600</v>
      </c>
      <c r="C17" s="71" t="s">
        <v>3601</v>
      </c>
      <c r="D17" s="71" t="s">
        <v>3602</v>
      </c>
      <c r="E17" s="67" t="s">
        <v>3583</v>
      </c>
      <c r="F17" s="71" t="s">
        <v>3508</v>
      </c>
      <c r="G17" s="71" t="s">
        <v>3467</v>
      </c>
      <c r="H17" s="66"/>
      <c r="I17" s="66"/>
      <c r="J17" s="71" t="s">
        <v>3468</v>
      </c>
      <c r="K17" s="71" t="s">
        <v>3469</v>
      </c>
      <c r="L17" s="71" t="s">
        <v>3470</v>
      </c>
      <c r="M17" s="71" t="s">
        <v>3471</v>
      </c>
      <c r="N17" s="72"/>
      <c r="O17" s="73"/>
      <c r="P17" s="74">
        <v>94800</v>
      </c>
      <c r="Q17" s="71" t="s">
        <v>3476</v>
      </c>
      <c r="R17" s="73"/>
      <c r="S17" s="74"/>
      <c r="T17" s="71" t="s">
        <v>3473</v>
      </c>
      <c r="U17" s="75"/>
      <c r="V17" s="71" t="s">
        <v>3474</v>
      </c>
      <c r="W17" s="71" t="s">
        <v>3475</v>
      </c>
      <c r="X17" s="71" t="s">
        <v>2400</v>
      </c>
      <c r="Y17" s="71" t="s">
        <v>2404</v>
      </c>
      <c r="Z17" s="71" t="s">
        <v>3600</v>
      </c>
      <c r="AA17" s="71" t="s">
        <v>3476</v>
      </c>
      <c r="AB17" s="71" t="s">
        <v>3476</v>
      </c>
      <c r="AC17" s="67" t="s">
        <v>3584</v>
      </c>
      <c r="AD17" s="67" t="s">
        <v>3585</v>
      </c>
      <c r="AE17" s="71" t="s">
        <v>3511</v>
      </c>
      <c r="AF17" s="71" t="s">
        <v>3512</v>
      </c>
      <c r="AG17" s="71" t="s">
        <v>3481</v>
      </c>
      <c r="AH17" s="66"/>
      <c r="AI17" s="66"/>
      <c r="AJ17" s="72"/>
      <c r="AK17" s="66"/>
      <c r="AL17" s="66"/>
      <c r="AM17" s="71" t="s">
        <v>3479</v>
      </c>
      <c r="AN17" s="71" t="s">
        <v>3480</v>
      </c>
      <c r="AO17" s="71" t="s">
        <v>3484</v>
      </c>
      <c r="AP17" s="71" t="s">
        <v>3485</v>
      </c>
      <c r="AQ17" s="71" t="s">
        <v>3603</v>
      </c>
      <c r="AR17" s="71" t="s">
        <v>3604</v>
      </c>
      <c r="AS17" s="71" t="s">
        <v>3586</v>
      </c>
      <c r="AT17" s="71" t="s">
        <v>3587</v>
      </c>
      <c r="AU17" s="71" t="s">
        <v>3489</v>
      </c>
      <c r="AV17" s="71" t="s">
        <v>794</v>
      </c>
      <c r="AW17" s="71" t="s">
        <v>794</v>
      </c>
      <c r="AX17" s="71" t="s">
        <v>3605</v>
      </c>
      <c r="AY17" s="71" t="s">
        <v>3606</v>
      </c>
      <c r="AZ17" s="71" t="s">
        <v>3492</v>
      </c>
      <c r="BA17" s="71" t="s">
        <v>3489</v>
      </c>
      <c r="BB17" s="66"/>
      <c r="BC17" s="71" t="s">
        <v>3590</v>
      </c>
      <c r="BD17" s="71" t="s">
        <v>3519</v>
      </c>
      <c r="BE17" s="71" t="s">
        <v>3520</v>
      </c>
      <c r="BF17" s="76"/>
      <c r="BG17" s="76" t="s">
        <v>3607</v>
      </c>
      <c r="BH17" s="76" t="s">
        <v>3608</v>
      </c>
      <c r="BI17" s="66"/>
      <c r="BJ17" s="66"/>
      <c r="BK17" s="71" t="s">
        <v>3609</v>
      </c>
      <c r="BL17" s="71" t="s">
        <v>3499</v>
      </c>
      <c r="BM17" s="71" t="s">
        <v>3610</v>
      </c>
      <c r="BN17" s="71" t="s">
        <v>3501</v>
      </c>
      <c r="BO17" s="71" t="s">
        <v>3502</v>
      </c>
      <c r="BP17" s="71" t="s">
        <v>3502</v>
      </c>
    </row>
    <row r="18" ht="210.95" hidden="1" customHeight="1" spans="1:68">
      <c r="A18" s="66"/>
      <c r="B18" s="66"/>
      <c r="C18" s="66"/>
      <c r="D18" s="66"/>
      <c r="E18" s="67"/>
      <c r="F18" s="66"/>
      <c r="G18" s="66"/>
      <c r="H18" s="66"/>
      <c r="I18" s="66"/>
      <c r="J18" s="66"/>
      <c r="K18" s="66"/>
      <c r="L18" s="66"/>
      <c r="M18" s="66"/>
      <c r="N18" s="72"/>
      <c r="O18" s="73"/>
      <c r="P18" s="73"/>
      <c r="Q18" s="66"/>
      <c r="R18" s="73"/>
      <c r="S18" s="74"/>
      <c r="T18" s="66"/>
      <c r="U18" s="75"/>
      <c r="V18" s="66"/>
      <c r="W18" s="66"/>
      <c r="X18" s="66"/>
      <c r="Y18" s="66"/>
      <c r="Z18" s="66"/>
      <c r="AA18" s="66"/>
      <c r="AB18" s="66"/>
      <c r="AC18" s="67"/>
      <c r="AD18" s="67"/>
      <c r="AE18" s="66"/>
      <c r="AF18" s="66"/>
      <c r="AG18" s="66"/>
      <c r="AH18" s="66"/>
      <c r="AI18" s="66"/>
      <c r="AJ18" s="72"/>
      <c r="AK18" s="66"/>
      <c r="AL18" s="66"/>
      <c r="AM18" s="66"/>
      <c r="AN18" s="66"/>
      <c r="AO18" s="66"/>
      <c r="AP18" s="66"/>
      <c r="AQ18" s="66"/>
      <c r="AR18" s="66"/>
      <c r="AS18" s="66"/>
      <c r="AT18" s="66"/>
      <c r="AU18" s="66"/>
      <c r="AV18" s="66"/>
      <c r="AW18" s="66"/>
      <c r="AX18" s="66"/>
      <c r="AY18" s="66"/>
      <c r="AZ18" s="66"/>
      <c r="BA18" s="66"/>
      <c r="BB18" s="66"/>
      <c r="BC18" s="66"/>
      <c r="BD18" s="66"/>
      <c r="BE18" s="66"/>
      <c r="BF18" s="76"/>
      <c r="BG18" s="76"/>
      <c r="BH18" s="76"/>
      <c r="BI18" s="66"/>
      <c r="BJ18" s="66"/>
      <c r="BK18" s="66"/>
      <c r="BL18" s="66"/>
      <c r="BM18" s="71" t="s">
        <v>3611</v>
      </c>
      <c r="BN18" s="71" t="s">
        <v>3597</v>
      </c>
      <c r="BO18" s="71" t="s">
        <v>3598</v>
      </c>
      <c r="BP18" s="71" t="s">
        <v>3598</v>
      </c>
    </row>
    <row r="19" ht="409.5" spans="1:68">
      <c r="A19" s="71" t="s">
        <v>3612</v>
      </c>
      <c r="B19" s="71" t="s">
        <v>3613</v>
      </c>
      <c r="C19" s="71" t="s">
        <v>3463</v>
      </c>
      <c r="D19" s="71" t="s">
        <v>3614</v>
      </c>
      <c r="E19" s="67" t="s">
        <v>3465</v>
      </c>
      <c r="F19" s="71" t="s">
        <v>3508</v>
      </c>
      <c r="G19" s="71" t="s">
        <v>3467</v>
      </c>
      <c r="H19" s="66"/>
      <c r="I19" s="66"/>
      <c r="J19" s="71" t="s">
        <v>3468</v>
      </c>
      <c r="K19" s="71" t="s">
        <v>3469</v>
      </c>
      <c r="L19" s="71" t="s">
        <v>3470</v>
      </c>
      <c r="M19" s="71" t="s">
        <v>3471</v>
      </c>
      <c r="N19" s="72"/>
      <c r="O19" s="73"/>
      <c r="P19" s="74">
        <v>156000</v>
      </c>
      <c r="Q19" s="71" t="s">
        <v>3476</v>
      </c>
      <c r="R19" s="73"/>
      <c r="S19" s="74"/>
      <c r="T19" s="71" t="s">
        <v>3473</v>
      </c>
      <c r="U19" s="75"/>
      <c r="V19" s="71" t="s">
        <v>3474</v>
      </c>
      <c r="W19" s="71" t="s">
        <v>3475</v>
      </c>
      <c r="X19" s="71" t="s">
        <v>2400</v>
      </c>
      <c r="Y19" s="71" t="s">
        <v>2404</v>
      </c>
      <c r="Z19" s="71" t="s">
        <v>3613</v>
      </c>
      <c r="AA19" s="71" t="s">
        <v>3476</v>
      </c>
      <c r="AB19" s="71" t="s">
        <v>3476</v>
      </c>
      <c r="AC19" s="67" t="s">
        <v>3615</v>
      </c>
      <c r="AD19" s="67" t="s">
        <v>3549</v>
      </c>
      <c r="AE19" s="71" t="s">
        <v>3566</v>
      </c>
      <c r="AF19" s="71" t="s">
        <v>3567</v>
      </c>
      <c r="AG19" s="71" t="s">
        <v>3481</v>
      </c>
      <c r="AH19" s="66"/>
      <c r="AI19" s="66"/>
      <c r="AJ19" s="72"/>
      <c r="AK19" s="66"/>
      <c r="AL19" s="66"/>
      <c r="AM19" s="71" t="s">
        <v>3479</v>
      </c>
      <c r="AN19" s="71" t="s">
        <v>3480</v>
      </c>
      <c r="AO19" s="71" t="s">
        <v>3484</v>
      </c>
      <c r="AP19" s="71" t="s">
        <v>3513</v>
      </c>
      <c r="AQ19" s="71" t="s">
        <v>3486</v>
      </c>
      <c r="AR19" s="71" t="s">
        <v>3487</v>
      </c>
      <c r="AS19" s="71" t="s">
        <v>3616</v>
      </c>
      <c r="AT19" s="71" t="s">
        <v>3617</v>
      </c>
      <c r="AU19" s="71" t="s">
        <v>3489</v>
      </c>
      <c r="AV19" s="71" t="s">
        <v>794</v>
      </c>
      <c r="AW19" s="71" t="s">
        <v>794</v>
      </c>
      <c r="AX19" s="71" t="s">
        <v>3618</v>
      </c>
      <c r="AY19" s="71" t="s">
        <v>3619</v>
      </c>
      <c r="AZ19" s="71" t="s">
        <v>3492</v>
      </c>
      <c r="BA19" s="71" t="s">
        <v>3489</v>
      </c>
      <c r="BB19" s="66"/>
      <c r="BC19" s="71" t="s">
        <v>3620</v>
      </c>
      <c r="BD19" s="71" t="s">
        <v>3519</v>
      </c>
      <c r="BE19" s="71" t="s">
        <v>3520</v>
      </c>
      <c r="BF19" s="76" t="s">
        <v>3621</v>
      </c>
      <c r="BG19" s="76" t="s">
        <v>3622</v>
      </c>
      <c r="BH19" s="76" t="s">
        <v>3623</v>
      </c>
      <c r="BI19" s="71" t="s">
        <v>3496</v>
      </c>
      <c r="BJ19" s="71" t="s">
        <v>3497</v>
      </c>
      <c r="BK19" s="71" t="s">
        <v>3624</v>
      </c>
      <c r="BL19" s="71" t="s">
        <v>3499</v>
      </c>
      <c r="BM19" s="71" t="s">
        <v>3625</v>
      </c>
      <c r="BN19" s="71" t="s">
        <v>3501</v>
      </c>
      <c r="BO19" s="71" t="s">
        <v>3502</v>
      </c>
      <c r="BP19" s="71" t="s">
        <v>3502</v>
      </c>
    </row>
    <row r="20" ht="96.6" hidden="1" customHeight="1" spans="1:68">
      <c r="A20" s="66"/>
      <c r="B20" s="66"/>
      <c r="C20" s="66"/>
      <c r="D20" s="66"/>
      <c r="E20" s="67"/>
      <c r="F20" s="66"/>
      <c r="G20" s="66"/>
      <c r="H20" s="66"/>
      <c r="I20" s="66"/>
      <c r="J20" s="66"/>
      <c r="K20" s="66"/>
      <c r="L20" s="66"/>
      <c r="M20" s="66"/>
      <c r="N20" s="72"/>
      <c r="O20" s="73"/>
      <c r="P20" s="73"/>
      <c r="Q20" s="66"/>
      <c r="R20" s="73"/>
      <c r="S20" s="74"/>
      <c r="T20" s="66"/>
      <c r="U20" s="75"/>
      <c r="V20" s="66"/>
      <c r="W20" s="66"/>
      <c r="X20" s="66"/>
      <c r="Y20" s="66"/>
      <c r="Z20" s="66"/>
      <c r="AA20" s="66"/>
      <c r="AB20" s="66"/>
      <c r="AC20" s="67"/>
      <c r="AD20" s="67"/>
      <c r="AE20" s="66"/>
      <c r="AF20" s="66"/>
      <c r="AG20" s="66"/>
      <c r="AH20" s="66"/>
      <c r="AI20" s="66"/>
      <c r="AJ20" s="72"/>
      <c r="AK20" s="66"/>
      <c r="AL20" s="66"/>
      <c r="AM20" s="66"/>
      <c r="AN20" s="66"/>
      <c r="AO20" s="66"/>
      <c r="AP20" s="66"/>
      <c r="AQ20" s="66"/>
      <c r="AR20" s="66"/>
      <c r="AS20" s="66"/>
      <c r="AT20" s="66"/>
      <c r="AU20" s="66"/>
      <c r="AV20" s="66"/>
      <c r="AW20" s="66"/>
      <c r="AX20" s="66"/>
      <c r="AY20" s="66"/>
      <c r="AZ20" s="66"/>
      <c r="BA20" s="66"/>
      <c r="BB20" s="66"/>
      <c r="BC20" s="66"/>
      <c r="BD20" s="66"/>
      <c r="BE20" s="66"/>
      <c r="BF20" s="76"/>
      <c r="BG20" s="76"/>
      <c r="BH20" s="76"/>
      <c r="BI20" s="66"/>
      <c r="BJ20" s="66"/>
      <c r="BK20" s="66"/>
      <c r="BL20" s="66"/>
      <c r="BM20" s="71" t="s">
        <v>3626</v>
      </c>
      <c r="BN20" s="71" t="s">
        <v>3627</v>
      </c>
      <c r="BO20" s="71" t="s">
        <v>3628</v>
      </c>
      <c r="BP20" s="71" t="s">
        <v>3628</v>
      </c>
    </row>
    <row r="21" ht="351" hidden="1" spans="1:68">
      <c r="A21" s="71" t="s">
        <v>3629</v>
      </c>
      <c r="B21" s="71" t="s">
        <v>3630</v>
      </c>
      <c r="C21" s="71" t="s">
        <v>3601</v>
      </c>
      <c r="D21" s="71" t="s">
        <v>3631</v>
      </c>
      <c r="E21" s="67" t="s">
        <v>3632</v>
      </c>
      <c r="F21" s="71" t="s">
        <v>3508</v>
      </c>
      <c r="G21" s="71" t="s">
        <v>3467</v>
      </c>
      <c r="H21" s="66"/>
      <c r="I21" s="66"/>
      <c r="J21" s="71" t="s">
        <v>3468</v>
      </c>
      <c r="K21" s="71" t="s">
        <v>3469</v>
      </c>
      <c r="L21" s="71" t="s">
        <v>3470</v>
      </c>
      <c r="M21" s="71" t="s">
        <v>3471</v>
      </c>
      <c r="N21" s="72"/>
      <c r="O21" s="73"/>
      <c r="P21" s="74">
        <v>403200</v>
      </c>
      <c r="Q21" s="71" t="s">
        <v>3476</v>
      </c>
      <c r="R21" s="73"/>
      <c r="S21" s="74"/>
      <c r="T21" s="71" t="s">
        <v>3473</v>
      </c>
      <c r="U21" s="75"/>
      <c r="V21" s="71" t="s">
        <v>3474</v>
      </c>
      <c r="W21" s="71" t="s">
        <v>3475</v>
      </c>
      <c r="X21" s="71" t="s">
        <v>2400</v>
      </c>
      <c r="Y21" s="71" t="s">
        <v>2404</v>
      </c>
      <c r="Z21" s="71" t="s">
        <v>3630</v>
      </c>
      <c r="AA21" s="71" t="s">
        <v>3476</v>
      </c>
      <c r="AB21" s="71" t="s">
        <v>3476</v>
      </c>
      <c r="AC21" s="67" t="s">
        <v>3633</v>
      </c>
      <c r="AD21" s="67" t="s">
        <v>3634</v>
      </c>
      <c r="AE21" s="71" t="s">
        <v>3566</v>
      </c>
      <c r="AF21" s="71" t="s">
        <v>3567</v>
      </c>
      <c r="AG21" s="71" t="s">
        <v>3481</v>
      </c>
      <c r="AH21" s="66"/>
      <c r="AI21" s="66"/>
      <c r="AJ21" s="72"/>
      <c r="AK21" s="66"/>
      <c r="AL21" s="66"/>
      <c r="AM21" s="71" t="s">
        <v>3479</v>
      </c>
      <c r="AN21" s="71" t="s">
        <v>3480</v>
      </c>
      <c r="AO21" s="71" t="s">
        <v>3484</v>
      </c>
      <c r="AP21" s="71" t="s">
        <v>3635</v>
      </c>
      <c r="AQ21" s="71" t="s">
        <v>3486</v>
      </c>
      <c r="AR21" s="71" t="s">
        <v>3487</v>
      </c>
      <c r="AS21" s="71" t="s">
        <v>3636</v>
      </c>
      <c r="AT21" s="71" t="s">
        <v>3637</v>
      </c>
      <c r="AU21" s="71" t="s">
        <v>3638</v>
      </c>
      <c r="AV21" s="71" t="s">
        <v>794</v>
      </c>
      <c r="AW21" s="71" t="s">
        <v>794</v>
      </c>
      <c r="AX21" s="71" t="s">
        <v>3639</v>
      </c>
      <c r="AY21" s="71" t="s">
        <v>3640</v>
      </c>
      <c r="AZ21" s="71" t="s">
        <v>3492</v>
      </c>
      <c r="BA21" s="71" t="s">
        <v>3638</v>
      </c>
      <c r="BB21" s="66"/>
      <c r="BC21" s="71" t="s">
        <v>3641</v>
      </c>
      <c r="BD21" s="71" t="s">
        <v>3519</v>
      </c>
      <c r="BE21" s="71" t="s">
        <v>3520</v>
      </c>
      <c r="BF21" s="76" t="s">
        <v>3642</v>
      </c>
      <c r="BG21" s="76" t="s">
        <v>3643</v>
      </c>
      <c r="BH21" s="76" t="s">
        <v>3644</v>
      </c>
      <c r="BI21" s="71" t="s">
        <v>3496</v>
      </c>
      <c r="BJ21" s="71" t="s">
        <v>3497</v>
      </c>
      <c r="BK21" s="71" t="s">
        <v>3645</v>
      </c>
      <c r="BL21" s="71" t="s">
        <v>3646</v>
      </c>
      <c r="BM21" s="71" t="s">
        <v>3647</v>
      </c>
      <c r="BN21" s="71" t="s">
        <v>3501</v>
      </c>
      <c r="BO21" s="71" t="s">
        <v>3502</v>
      </c>
      <c r="BP21" s="71" t="s">
        <v>3502</v>
      </c>
    </row>
    <row r="22" ht="40.5" hidden="1" spans="1:68">
      <c r="A22" s="66"/>
      <c r="B22" s="66"/>
      <c r="C22" s="66"/>
      <c r="D22" s="66"/>
      <c r="E22" s="67"/>
      <c r="F22" s="66"/>
      <c r="G22" s="66"/>
      <c r="H22" s="66"/>
      <c r="I22" s="66"/>
      <c r="J22" s="66"/>
      <c r="K22" s="66"/>
      <c r="L22" s="66"/>
      <c r="M22" s="66"/>
      <c r="N22" s="72"/>
      <c r="O22" s="73"/>
      <c r="P22" s="73"/>
      <c r="Q22" s="66"/>
      <c r="R22" s="73"/>
      <c r="S22" s="74"/>
      <c r="T22" s="66"/>
      <c r="U22" s="75"/>
      <c r="V22" s="66"/>
      <c r="W22" s="66"/>
      <c r="X22" s="66"/>
      <c r="Y22" s="66"/>
      <c r="Z22" s="66"/>
      <c r="AA22" s="66"/>
      <c r="AB22" s="66"/>
      <c r="AC22" s="67"/>
      <c r="AD22" s="67"/>
      <c r="AE22" s="66"/>
      <c r="AF22" s="66"/>
      <c r="AG22" s="66"/>
      <c r="AH22" s="66"/>
      <c r="AI22" s="66"/>
      <c r="AJ22" s="72"/>
      <c r="AK22" s="66"/>
      <c r="AL22" s="66"/>
      <c r="AM22" s="66"/>
      <c r="AN22" s="66"/>
      <c r="AO22" s="66"/>
      <c r="AP22" s="66"/>
      <c r="AQ22" s="66"/>
      <c r="AR22" s="66"/>
      <c r="AS22" s="66"/>
      <c r="AT22" s="66"/>
      <c r="AU22" s="66"/>
      <c r="AV22" s="66"/>
      <c r="AW22" s="66"/>
      <c r="AX22" s="66"/>
      <c r="AY22" s="66"/>
      <c r="AZ22" s="66"/>
      <c r="BA22" s="66"/>
      <c r="BB22" s="66"/>
      <c r="BC22" s="66"/>
      <c r="BD22" s="66"/>
      <c r="BE22" s="66"/>
      <c r="BF22" s="76"/>
      <c r="BG22" s="76"/>
      <c r="BH22" s="76"/>
      <c r="BI22" s="66"/>
      <c r="BJ22" s="66"/>
      <c r="BK22" s="66"/>
      <c r="BL22" s="66"/>
      <c r="BM22" s="71" t="s">
        <v>3648</v>
      </c>
      <c r="BN22" s="71" t="s">
        <v>3649</v>
      </c>
      <c r="BO22" s="71" t="s">
        <v>3650</v>
      </c>
      <c r="BP22" s="71" t="s">
        <v>3650</v>
      </c>
    </row>
    <row r="24" ht="176.1" customHeight="1"/>
    <row r="31" ht="163.5" customHeight="1"/>
    <row r="32" ht="117.95" customHeight="1"/>
  </sheetData>
  <autoFilter xmlns:etc="http://www.wps.cn/officeDocument/2017/etCustomData" ref="C1:C22"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2" sqref="G2:I343"/>
    </sheetView>
  </sheetViews>
  <sheetFormatPr defaultColWidth="9" defaultRowHeight="13.5"/>
  <cols>
    <col min="2" max="2" width="18.375" customWidth="1"/>
    <col min="3" max="3" width="9.375"/>
    <col min="5" max="6" width="11.625" customWidth="1"/>
    <col min="7" max="7" width="41.2583333333333" customWidth="1"/>
    <col min="8" max="8" width="21" customWidth="1"/>
    <col min="9" max="9" width="13" customWidth="1"/>
    <col min="10" max="10" width="18.375" customWidth="1"/>
  </cols>
  <sheetData>
    <row r="1" spans="1:9">
      <c r="A1" s="59" t="s">
        <v>3651</v>
      </c>
      <c r="B1" s="60" t="s">
        <v>3652</v>
      </c>
      <c r="C1" s="60" t="s">
        <v>3653</v>
      </c>
      <c r="D1" s="60" t="s">
        <v>3654</v>
      </c>
      <c r="E1" s="60" t="s">
        <v>3655</v>
      </c>
      <c r="F1" s="61" t="s">
        <v>3656</v>
      </c>
      <c r="G1" s="62" t="s">
        <v>3657</v>
      </c>
      <c r="H1" s="63" t="s">
        <v>3422</v>
      </c>
      <c r="I1" s="9" t="s">
        <v>3658</v>
      </c>
    </row>
    <row r="2" spans="1:10">
      <c r="A2">
        <v>1</v>
      </c>
      <c r="B2" t="str">
        <f>IF(ISBLANK(IFERROR(INDEX('2-3 引出列表'!$A$2:$CE$8700,$A2,MATCH(B$1,'2-3 引出列表'!$A$1:$CD$1,0)),"")),"",IFERROR(INDEX('2-3 引出列表'!$A$2:$CE$8700,$A2,MATCH(B$1,'2-3 引出列表'!$A$1:$CD$1,0)),""))</f>
        <v>FK250421000219</v>
      </c>
      <c r="C2">
        <f>IF(ISBLANK(IFERROR(INDEX('2-3 引出列表'!$A$2:$CE$8700,$A2,MATCH(C$1,'2-3 引出列表'!$A$1:$CD$1,0)),"")),"",IFERROR(INDEX('2-3 引出列表'!$A$2:$CE$8700,$A2,MATCH(C$1,'2-3 引出列表'!$A$1:$CD$1,0)),""))</f>
        <v>22360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2025-04-21</v>
      </c>
      <c r="F2" t="str">
        <f t="shared" ref="F2:F65" si="0">LEFT(E2,7)</f>
        <v>2025-04</v>
      </c>
      <c r="G2" t="str">
        <f>IF(ISBLANK(IFERROR(INDEX('2-3 引出列表'!$A$2:$CE$8700,$A2,MATCH(G$1,'2-3 引出列表'!$A$1:$CD$1,0)),"")),"",IFERROR(INDEX('2-3 引出列表'!$A$2:$CE$8700,$A2,MATCH(G$1,'2-3 引出列表'!$A$1:$CD$1,0)),""))</f>
        <v>外包服务费.生活垃圾清运外包</v>
      </c>
      <c r="H2" t="str">
        <f>IF(ISBLANK(IFERROR(INDEX('2-3 引出列表'!$A$2:$CE$8700,$A2,MATCH(H$1,'2-3 引出列表'!$A$1:$CD$1,0)),"")),"",IFERROR(INDEX('2-3 引出列表'!$A$2:$CE$8700,$A2,MATCH(H$1,'2-3 引出列表'!$A$1:$CD$1,0)),""))</f>
        <v>HJFW-Z-2024-7103</v>
      </c>
      <c r="I2" t="str">
        <f>IF(ISBLANK(IFERROR(INDEX('2-3 引出列表'!$A$2:$CE$8700,$A2,MATCH(I$1,'2-3 引出列表'!$A$1:$CD$1,0)),"")),"",IFERROR(INDEX('2-3 引出列表'!$A$2:$CE$8700,$A2,MATCH(I$1,'2-3 引出列表'!$A$1:$CD$1,0)),""))</f>
        <v>金采易购</v>
      </c>
      <c r="J2" s="64"/>
    </row>
    <row r="3" spans="1:9">
      <c r="A3">
        <v>2</v>
      </c>
      <c r="B3" t="str">
        <f>IF(ISBLANK(IFERROR(INDEX('2-3 引出列表'!$A$2:$CE$8700,$A3,MATCH(B$1,'2-3 引出列表'!$A$1:$CD$1,0)),"")),"",IFERROR(INDEX('2-3 引出列表'!$A$2:$CE$8700,$A3,MATCH(B$1,'2-3 引出列表'!$A$1:$CD$1,0)),""))</f>
        <v>FK250421000214</v>
      </c>
      <c r="C3">
        <f>IF(ISBLANK(IFERROR(INDEX('2-3 引出列表'!$A$2:$CE$8700,$A3,MATCH(C$1,'2-3 引出列表'!$A$1:$CD$1,0)),"")),"",IFERROR(INDEX('2-3 引出列表'!$A$2:$CE$8700,$A3,MATCH(C$1,'2-3 引出列表'!$A$1:$CD$1,0)),""))</f>
        <v>22360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2025-04-21</v>
      </c>
      <c r="F3" t="str">
        <f t="shared" si="0"/>
        <v>2025-04</v>
      </c>
      <c r="G3" t="str">
        <f>IF(ISBLANK(IFERROR(INDEX('2-3 引出列表'!$A$2:$CE$8700,$A3,MATCH(G$1,'2-3 引出列表'!$A$1:$CD$1,0)),"")),"",IFERROR(INDEX('2-3 引出列表'!$A$2:$CE$8700,$A3,MATCH(G$1,'2-3 引出列表'!$A$1:$CD$1,0)),""))</f>
        <v>外包服务费.生活垃圾清运外包</v>
      </c>
      <c r="H3" t="str">
        <f>IF(ISBLANK(IFERROR(INDEX('2-3 引出列表'!$A$2:$CE$8700,$A3,MATCH(H$1,'2-3 引出列表'!$A$1:$CD$1,0)),"")),"",IFERROR(INDEX('2-3 引出列表'!$A$2:$CE$8700,$A3,MATCH(H$1,'2-3 引出列表'!$A$1:$CD$1,0)),""))</f>
        <v>HJFW-Z-2024-7103</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FK250421000096</v>
      </c>
      <c r="C4">
        <f>IF(ISBLANK(IFERROR(INDEX('2-3 引出列表'!$A$2:$CE$8700,$A4,MATCH(C$1,'2-3 引出列表'!$A$1:$CD$1,0)),"")),"",IFERROR(INDEX('2-3 引出列表'!$A$2:$CE$8700,$A4,MATCH(C$1,'2-3 引出列表'!$A$1:$CD$1,0)),""))</f>
        <v>1250.29</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2025-04-21</v>
      </c>
      <c r="F4" t="str">
        <f t="shared" si="0"/>
        <v>2025-04</v>
      </c>
      <c r="G4" t="str">
        <f>IF(ISBLANK(IFERROR(INDEX('2-3 引出列表'!$A$2:$CE$8700,$A4,MATCH(G$1,'2-3 引出列表'!$A$1:$CD$1,0)),"")),"",IFERROR(INDEX('2-3 引出列表'!$A$2:$CE$8700,$A4,MATCH(G$1,'2-3 引出列表'!$A$1:$CD$1,0)),""))</f>
        <v>办公事务.办公费</v>
      </c>
      <c r="H4" t="str">
        <f>IF(ISBLANK(IFERROR(INDEX('2-3 引出列表'!$A$2:$CE$8700,$A4,MATCH(H$1,'2-3 引出列表'!$A$1:$CD$1,0)),"")),"",IFERROR(INDEX('2-3 引出列表'!$A$2:$CE$8700,$A4,MATCH(H$1,'2-3 引出列表'!$A$1:$CD$1,0)),""))</f>
        <v>ZB20210901JCWZ02</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FK250421000096</v>
      </c>
      <c r="C5">
        <f>IF(ISBLANK(IFERROR(INDEX('2-3 引出列表'!$A$2:$CE$8700,$A5,MATCH(C$1,'2-3 引出列表'!$A$1:$CD$1,0)),"")),"",IFERROR(INDEX('2-3 引出列表'!$A$2:$CE$8700,$A5,MATCH(C$1,'2-3 引出列表'!$A$1:$CD$1,0)),""))</f>
        <v>1250.29</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2025-04-21</v>
      </c>
      <c r="F5" t="str">
        <f t="shared" si="0"/>
        <v>2025-04</v>
      </c>
      <c r="G5" t="str">
        <f>IF(ISBLANK(IFERROR(INDEX('2-3 引出列表'!$A$2:$CE$8700,$A5,MATCH(G$1,'2-3 引出列表'!$A$1:$CD$1,0)),"")),"",IFERROR(INDEX('2-3 引出列表'!$A$2:$CE$8700,$A5,MATCH(G$1,'2-3 引出列表'!$A$1:$CD$1,0)),""))</f>
        <v>办公事务.办公费</v>
      </c>
      <c r="H5" t="str">
        <f>IF(ISBLANK(IFERROR(INDEX('2-3 引出列表'!$A$2:$CE$8700,$A5,MATCH(H$1,'2-3 引出列表'!$A$1:$CD$1,0)),"")),"",IFERROR(INDEX('2-3 引出列表'!$A$2:$CE$8700,$A5,MATCH(H$1,'2-3 引出列表'!$A$1:$CD$1,0)),""))</f>
        <v>ZB20210901JCWZ02</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FK250421000096</v>
      </c>
      <c r="C6">
        <f>IF(ISBLANK(IFERROR(INDEX('2-3 引出列表'!$A$2:$CE$8700,$A6,MATCH(C$1,'2-3 引出列表'!$A$1:$CD$1,0)),"")),"",IFERROR(INDEX('2-3 引出列表'!$A$2:$CE$8700,$A6,MATCH(C$1,'2-3 引出列表'!$A$1:$CD$1,0)),""))</f>
        <v>1250.29</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2025-04-21</v>
      </c>
      <c r="F6" t="str">
        <f t="shared" si="0"/>
        <v>2025-04</v>
      </c>
      <c r="G6" t="str">
        <f>IF(ISBLANK(IFERROR(INDEX('2-3 引出列表'!$A$2:$CE$8700,$A6,MATCH(G$1,'2-3 引出列表'!$A$1:$CD$1,0)),"")),"",IFERROR(INDEX('2-3 引出列表'!$A$2:$CE$8700,$A6,MATCH(G$1,'2-3 引出列表'!$A$1:$CD$1,0)),""))</f>
        <v>办公事务.办公费</v>
      </c>
      <c r="H6" t="str">
        <f>IF(ISBLANK(IFERROR(INDEX('2-3 引出列表'!$A$2:$CE$8700,$A6,MATCH(H$1,'2-3 引出列表'!$A$1:$CD$1,0)),"")),"",IFERROR(INDEX('2-3 引出列表'!$A$2:$CE$8700,$A6,MATCH(H$1,'2-3 引出列表'!$A$1:$CD$1,0)),""))</f>
        <v>ZB20210901JCWZ02</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FK250417000294</v>
      </c>
      <c r="C7">
        <f>IF(ISBLANK(IFERROR(INDEX('2-3 引出列表'!$A$2:$CE$8700,$A7,MATCH(C$1,'2-3 引出列表'!$A$1:$CD$1,0)),"")),"",IFERROR(INDEX('2-3 引出列表'!$A$2:$CE$8700,$A7,MATCH(C$1,'2-3 引出列表'!$A$1:$CD$1,0)),""))</f>
        <v>63536.29</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2025-04-17</v>
      </c>
      <c r="F7" t="str">
        <f t="shared" si="0"/>
        <v>2025-04</v>
      </c>
      <c r="G7" t="str">
        <f>IF(ISBLANK(IFERROR(INDEX('2-3 引出列表'!$A$2:$CE$8700,$A7,MATCH(G$1,'2-3 引出列表'!$A$1:$CD$1,0)),"")),"",IFERROR(INDEX('2-3 引出列表'!$A$2:$CE$8700,$A7,MATCH(G$1,'2-3 引出列表'!$A$1:$CD$1,0)),""))</f>
        <v>物料消耗.物料消耗</v>
      </c>
      <c r="H7" t="str">
        <f>IF(ISBLANK(IFERROR(INDEX('2-3 引出列表'!$A$2:$CE$8700,$A7,MATCH(H$1,'2-3 引出列表'!$A$1:$CD$1,0)),"")),"",IFERROR(INDEX('2-3 引出列表'!$A$2:$CE$8700,$A7,MATCH(H$1,'2-3 引出列表'!$A$1:$CD$1,0)),""))</f>
        <v>XHWZ-Z-2025-00011</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FK250417000294</v>
      </c>
      <c r="C8">
        <f>IF(ISBLANK(IFERROR(INDEX('2-3 引出列表'!$A$2:$CE$8700,$A8,MATCH(C$1,'2-3 引出列表'!$A$1:$CD$1,0)),"")),"",IFERROR(INDEX('2-3 引出列表'!$A$2:$CE$8700,$A8,MATCH(C$1,'2-3 引出列表'!$A$1:$CD$1,0)),""))</f>
        <v>63536.29</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2025-04-17</v>
      </c>
      <c r="F8" t="str">
        <f t="shared" si="0"/>
        <v>2025-04</v>
      </c>
      <c r="G8" t="str">
        <f>IF(ISBLANK(IFERROR(INDEX('2-3 引出列表'!$A$2:$CE$8700,$A8,MATCH(G$1,'2-3 引出列表'!$A$1:$CD$1,0)),"")),"",IFERROR(INDEX('2-3 引出列表'!$A$2:$CE$8700,$A8,MATCH(G$1,'2-3 引出列表'!$A$1:$CD$1,0)),""))</f>
        <v>物料消耗.物料消耗</v>
      </c>
      <c r="H8" t="str">
        <f>IF(ISBLANK(IFERROR(INDEX('2-3 引出列表'!$A$2:$CE$8700,$A8,MATCH(H$1,'2-3 引出列表'!$A$1:$CD$1,0)),"")),"",IFERROR(INDEX('2-3 引出列表'!$A$2:$CE$8700,$A8,MATCH(H$1,'2-3 引出列表'!$A$1:$CD$1,0)),""))</f>
        <v>XHWZ-Z-2025-00011</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FK250417000294</v>
      </c>
      <c r="C9">
        <f>IF(ISBLANK(IFERROR(INDEX('2-3 引出列表'!$A$2:$CE$8700,$A9,MATCH(C$1,'2-3 引出列表'!$A$1:$CD$1,0)),"")),"",IFERROR(INDEX('2-3 引出列表'!$A$2:$CE$8700,$A9,MATCH(C$1,'2-3 引出列表'!$A$1:$CD$1,0)),""))</f>
        <v>63536.29</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2025-04-17</v>
      </c>
      <c r="F9" t="str">
        <f t="shared" si="0"/>
        <v>2025-04</v>
      </c>
      <c r="G9" t="str">
        <f>IF(ISBLANK(IFERROR(INDEX('2-3 引出列表'!$A$2:$CE$8700,$A9,MATCH(G$1,'2-3 引出列表'!$A$1:$CD$1,0)),"")),"",IFERROR(INDEX('2-3 引出列表'!$A$2:$CE$8700,$A9,MATCH(G$1,'2-3 引出列表'!$A$1:$CD$1,0)),""))</f>
        <v>物料消耗.物料消耗</v>
      </c>
      <c r="H9" t="str">
        <f>IF(ISBLANK(IFERROR(INDEX('2-3 引出列表'!$A$2:$CE$8700,$A9,MATCH(H$1,'2-3 引出列表'!$A$1:$CD$1,0)),"")),"",IFERROR(INDEX('2-3 引出列表'!$A$2:$CE$8700,$A9,MATCH(H$1,'2-3 引出列表'!$A$1:$CD$1,0)),""))</f>
        <v>XHWZ-Z-2025-00011</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FK250417000294</v>
      </c>
      <c r="C10">
        <f>IF(ISBLANK(IFERROR(INDEX('2-3 引出列表'!$A$2:$CE$8700,$A10,MATCH(C$1,'2-3 引出列表'!$A$1:$CD$1,0)),"")),"",IFERROR(INDEX('2-3 引出列表'!$A$2:$CE$8700,$A10,MATCH(C$1,'2-3 引出列表'!$A$1:$CD$1,0)),""))</f>
        <v>63536.29</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2025-04-17</v>
      </c>
      <c r="F10" t="str">
        <f t="shared" si="0"/>
        <v>2025-04</v>
      </c>
      <c r="G10" t="str">
        <f>IF(ISBLANK(IFERROR(INDEX('2-3 引出列表'!$A$2:$CE$8700,$A10,MATCH(G$1,'2-3 引出列表'!$A$1:$CD$1,0)),"")),"",IFERROR(INDEX('2-3 引出列表'!$A$2:$CE$8700,$A10,MATCH(G$1,'2-3 引出列表'!$A$1:$CD$1,0)),""))</f>
        <v>物料消耗.物料消耗</v>
      </c>
      <c r="H10" t="str">
        <f>IF(ISBLANK(IFERROR(INDEX('2-3 引出列表'!$A$2:$CE$8700,$A10,MATCH(H$1,'2-3 引出列表'!$A$1:$CD$1,0)),"")),"",IFERROR(INDEX('2-3 引出列表'!$A$2:$CE$8700,$A10,MATCH(H$1,'2-3 引出列表'!$A$1:$CD$1,0)),""))</f>
        <v>XHWZ-Z-2025-00011</v>
      </c>
      <c r="I10" t="str">
        <f>IF(ISBLANK(IFERROR(INDEX('2-3 引出列表'!$A$2:$CE$8700,$A10,MATCH(I$1,'2-3 引出列表'!$A$1:$CD$1,0)),"")),"",IFERROR(INDEX('2-3 引出列表'!$A$2:$CE$8700,$A10,MATCH(I$1,'2-3 引出列表'!$A$1:$CD$1,0)),""))</f>
        <v>金采易购</v>
      </c>
    </row>
    <row r="11" spans="1:9">
      <c r="A11">
        <v>10</v>
      </c>
      <c r="B11" t="str">
        <f>IF(ISBLANK(IFERROR(INDEX('2-3 引出列表'!$A$2:$CE$8700,$A11,MATCH(B$1,'2-3 引出列表'!$A$1:$CD$1,0)),"")),"",IFERROR(INDEX('2-3 引出列表'!$A$2:$CE$8700,$A11,MATCH(B$1,'2-3 引出列表'!$A$1:$CD$1,0)),""))</f>
        <v>FK250417000294</v>
      </c>
      <c r="C11">
        <f>IF(ISBLANK(IFERROR(INDEX('2-3 引出列表'!$A$2:$CE$8700,$A11,MATCH(C$1,'2-3 引出列表'!$A$1:$CD$1,0)),"")),"",IFERROR(INDEX('2-3 引出列表'!$A$2:$CE$8700,$A11,MATCH(C$1,'2-3 引出列表'!$A$1:$CD$1,0)),""))</f>
        <v>63536.29</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2025-04-17</v>
      </c>
      <c r="F11" t="str">
        <f t="shared" si="0"/>
        <v>2025-04</v>
      </c>
      <c r="G11" t="str">
        <f>IF(ISBLANK(IFERROR(INDEX('2-3 引出列表'!$A$2:$CE$8700,$A11,MATCH(G$1,'2-3 引出列表'!$A$1:$CD$1,0)),"")),"",IFERROR(INDEX('2-3 引出列表'!$A$2:$CE$8700,$A11,MATCH(G$1,'2-3 引出列表'!$A$1:$CD$1,0)),""))</f>
        <v>物料消耗.物料消耗</v>
      </c>
      <c r="H11" t="str">
        <f>IF(ISBLANK(IFERROR(INDEX('2-3 引出列表'!$A$2:$CE$8700,$A11,MATCH(H$1,'2-3 引出列表'!$A$1:$CD$1,0)),"")),"",IFERROR(INDEX('2-3 引出列表'!$A$2:$CE$8700,$A11,MATCH(H$1,'2-3 引出列表'!$A$1:$CD$1,0)),""))</f>
        <v>XHWZ-Z-2025-00011</v>
      </c>
      <c r="I11" t="str">
        <f>IF(ISBLANK(IFERROR(INDEX('2-3 引出列表'!$A$2:$CE$8700,$A11,MATCH(I$1,'2-3 引出列表'!$A$1:$CD$1,0)),"")),"",IFERROR(INDEX('2-3 引出列表'!$A$2:$CE$8700,$A11,MATCH(I$1,'2-3 引出列表'!$A$1:$CD$1,0)),""))</f>
        <v>金采易购</v>
      </c>
    </row>
    <row r="12" spans="1:10">
      <c r="A12">
        <v>11</v>
      </c>
      <c r="B12" t="str">
        <f>IF(ISBLANK(IFERROR(INDEX('2-3 引出列表'!$A$2:$CE$8700,$A12,MATCH(B$1,'2-3 引出列表'!$A$1:$CD$1,0)),"")),"",IFERROR(INDEX('2-3 引出列表'!$A$2:$CE$8700,$A12,MATCH(B$1,'2-3 引出列表'!$A$1:$CD$1,0)),""))</f>
        <v>FK250417000294</v>
      </c>
      <c r="C12">
        <f>IF(ISBLANK(IFERROR(INDEX('2-3 引出列表'!$A$2:$CE$8700,$A12,MATCH(C$1,'2-3 引出列表'!$A$1:$CD$1,0)),"")),"",IFERROR(INDEX('2-3 引出列表'!$A$2:$CE$8700,$A12,MATCH(C$1,'2-3 引出列表'!$A$1:$CD$1,0)),""))</f>
        <v>63536.29</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2025-04-17</v>
      </c>
      <c r="F12" t="str">
        <f t="shared" si="0"/>
        <v>2025-04</v>
      </c>
      <c r="G12" t="str">
        <f>IF(ISBLANK(IFERROR(INDEX('2-3 引出列表'!$A$2:$CE$8700,$A12,MATCH(G$1,'2-3 引出列表'!$A$1:$CD$1,0)),"")),"",IFERROR(INDEX('2-3 引出列表'!$A$2:$CE$8700,$A12,MATCH(G$1,'2-3 引出列表'!$A$1:$CD$1,0)),""))</f>
        <v>物料消耗.物料消耗</v>
      </c>
      <c r="H12" t="str">
        <f>IF(ISBLANK(IFERROR(INDEX('2-3 引出列表'!$A$2:$CE$8700,$A12,MATCH(H$1,'2-3 引出列表'!$A$1:$CD$1,0)),"")),"",IFERROR(INDEX('2-3 引出列表'!$A$2:$CE$8700,$A12,MATCH(H$1,'2-3 引出列表'!$A$1:$CD$1,0)),""))</f>
        <v>XHWZ-Z-2025-00011</v>
      </c>
      <c r="I12" t="str">
        <f>IF(ISBLANK(IFERROR(INDEX('2-3 引出列表'!$A$2:$CE$8700,$A12,MATCH(I$1,'2-3 引出列表'!$A$1:$CD$1,0)),"")),"",IFERROR(INDEX('2-3 引出列表'!$A$2:$CE$8700,$A12,MATCH(I$1,'2-3 引出列表'!$A$1:$CD$1,0)),""))</f>
        <v>金采易购</v>
      </c>
      <c r="J12" s="9" t="s">
        <v>3659</v>
      </c>
    </row>
    <row r="13" spans="1:9">
      <c r="A13">
        <v>12</v>
      </c>
      <c r="B13" t="str">
        <f>IF(ISBLANK(IFERROR(INDEX('2-3 引出列表'!$A$2:$CE$8700,$A13,MATCH(B$1,'2-3 引出列表'!$A$1:$CD$1,0)),"")),"",IFERROR(INDEX('2-3 引出列表'!$A$2:$CE$8700,$A13,MATCH(B$1,'2-3 引出列表'!$A$1:$CD$1,0)),""))</f>
        <v>FK250417000294</v>
      </c>
      <c r="C13">
        <f>IF(ISBLANK(IFERROR(INDEX('2-3 引出列表'!$A$2:$CE$8700,$A13,MATCH(C$1,'2-3 引出列表'!$A$1:$CD$1,0)),"")),"",IFERROR(INDEX('2-3 引出列表'!$A$2:$CE$8700,$A13,MATCH(C$1,'2-3 引出列表'!$A$1:$CD$1,0)),""))</f>
        <v>63536.29</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2025-04-17</v>
      </c>
      <c r="F13" t="str">
        <f t="shared" si="0"/>
        <v>2025-04</v>
      </c>
      <c r="G13" t="str">
        <f>IF(ISBLANK(IFERROR(INDEX('2-3 引出列表'!$A$2:$CE$8700,$A13,MATCH(G$1,'2-3 引出列表'!$A$1:$CD$1,0)),"")),"",IFERROR(INDEX('2-3 引出列表'!$A$2:$CE$8700,$A13,MATCH(G$1,'2-3 引出列表'!$A$1:$CD$1,0)),""))</f>
        <v>物料消耗.物料消耗</v>
      </c>
      <c r="H13" t="str">
        <f>IF(ISBLANK(IFERROR(INDEX('2-3 引出列表'!$A$2:$CE$8700,$A13,MATCH(H$1,'2-3 引出列表'!$A$1:$CD$1,0)),"")),"",IFERROR(INDEX('2-3 引出列表'!$A$2:$CE$8700,$A13,MATCH(H$1,'2-3 引出列表'!$A$1:$CD$1,0)),""))</f>
        <v>XHWZ-Z-2025-00011</v>
      </c>
      <c r="I13" t="str">
        <f>IF(ISBLANK(IFERROR(INDEX('2-3 引出列表'!$A$2:$CE$8700,$A13,MATCH(I$1,'2-3 引出列表'!$A$1:$CD$1,0)),"")),"",IFERROR(INDEX('2-3 引出列表'!$A$2:$CE$8700,$A13,MATCH(I$1,'2-3 引出列表'!$A$1:$CD$1,0)),""))</f>
        <v>金采易购</v>
      </c>
    </row>
    <row r="14" spans="1:9">
      <c r="A14">
        <v>13</v>
      </c>
      <c r="B14" t="str">
        <f>IF(ISBLANK(IFERROR(INDEX('2-3 引出列表'!$A$2:$CE$8700,$A14,MATCH(B$1,'2-3 引出列表'!$A$1:$CD$1,0)),"")),"",IFERROR(INDEX('2-3 引出列表'!$A$2:$CE$8700,$A14,MATCH(B$1,'2-3 引出列表'!$A$1:$CD$1,0)),""))</f>
        <v>FK250417000294</v>
      </c>
      <c r="C14">
        <f>IF(ISBLANK(IFERROR(INDEX('2-3 引出列表'!$A$2:$CE$8700,$A14,MATCH(C$1,'2-3 引出列表'!$A$1:$CD$1,0)),"")),"",IFERROR(INDEX('2-3 引出列表'!$A$2:$CE$8700,$A14,MATCH(C$1,'2-3 引出列表'!$A$1:$CD$1,0)),""))</f>
        <v>63536.29</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2025-04-17</v>
      </c>
      <c r="F14" t="str">
        <f t="shared" si="0"/>
        <v>2025-04</v>
      </c>
      <c r="G14" t="str">
        <f>IF(ISBLANK(IFERROR(INDEX('2-3 引出列表'!$A$2:$CE$8700,$A14,MATCH(G$1,'2-3 引出列表'!$A$1:$CD$1,0)),"")),"",IFERROR(INDEX('2-3 引出列表'!$A$2:$CE$8700,$A14,MATCH(G$1,'2-3 引出列表'!$A$1:$CD$1,0)),""))</f>
        <v>物料消耗.物料消耗</v>
      </c>
      <c r="H14" t="str">
        <f>IF(ISBLANK(IFERROR(INDEX('2-3 引出列表'!$A$2:$CE$8700,$A14,MATCH(H$1,'2-3 引出列表'!$A$1:$CD$1,0)),"")),"",IFERROR(INDEX('2-3 引出列表'!$A$2:$CE$8700,$A14,MATCH(H$1,'2-3 引出列表'!$A$1:$CD$1,0)),""))</f>
        <v>XHWZ-Z-2025-00011</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FK250417000294</v>
      </c>
      <c r="C15">
        <f>IF(ISBLANK(IFERROR(INDEX('2-3 引出列表'!$A$2:$CE$8700,$A15,MATCH(C$1,'2-3 引出列表'!$A$1:$CD$1,0)),"")),"",IFERROR(INDEX('2-3 引出列表'!$A$2:$CE$8700,$A15,MATCH(C$1,'2-3 引出列表'!$A$1:$CD$1,0)),""))</f>
        <v>63536.29</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2025-04-17</v>
      </c>
      <c r="F15" t="str">
        <f t="shared" si="0"/>
        <v>2025-04</v>
      </c>
      <c r="G15" t="str">
        <f>IF(ISBLANK(IFERROR(INDEX('2-3 引出列表'!$A$2:$CE$8700,$A15,MATCH(G$1,'2-3 引出列表'!$A$1:$CD$1,0)),"")),"",IFERROR(INDEX('2-3 引出列表'!$A$2:$CE$8700,$A15,MATCH(G$1,'2-3 引出列表'!$A$1:$CD$1,0)),""))</f>
        <v>物料消耗.物料消耗</v>
      </c>
      <c r="H15" t="str">
        <f>IF(ISBLANK(IFERROR(INDEX('2-3 引出列表'!$A$2:$CE$8700,$A15,MATCH(H$1,'2-3 引出列表'!$A$1:$CD$1,0)),"")),"",IFERROR(INDEX('2-3 引出列表'!$A$2:$CE$8700,$A15,MATCH(H$1,'2-3 引出列表'!$A$1:$CD$1,0)),""))</f>
        <v>XHWZ-Z-2025-00011</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FK250417000294</v>
      </c>
      <c r="C16">
        <f>IF(ISBLANK(IFERROR(INDEX('2-3 引出列表'!$A$2:$CE$8700,$A16,MATCH(C$1,'2-3 引出列表'!$A$1:$CD$1,0)),"")),"",IFERROR(INDEX('2-3 引出列表'!$A$2:$CE$8700,$A16,MATCH(C$1,'2-3 引出列表'!$A$1:$CD$1,0)),""))</f>
        <v>63536.29</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2025-04-17</v>
      </c>
      <c r="F16" t="str">
        <f t="shared" si="0"/>
        <v>2025-04</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XHWZ-Z-2025-00011</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FK250417000294</v>
      </c>
      <c r="C17">
        <f>IF(ISBLANK(IFERROR(INDEX('2-3 引出列表'!$A$2:$CE$8700,$A17,MATCH(C$1,'2-3 引出列表'!$A$1:$CD$1,0)),"")),"",IFERROR(INDEX('2-3 引出列表'!$A$2:$CE$8700,$A17,MATCH(C$1,'2-3 引出列表'!$A$1:$CD$1,0)),""))</f>
        <v>63536.29</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2025-04-17</v>
      </c>
      <c r="F17" t="str">
        <f t="shared" si="0"/>
        <v>2025-04</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XHWZ-Z-2025-00011</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FK250417000294</v>
      </c>
      <c r="C18">
        <f>IF(ISBLANK(IFERROR(INDEX('2-3 引出列表'!$A$2:$CE$8700,$A18,MATCH(C$1,'2-3 引出列表'!$A$1:$CD$1,0)),"")),"",IFERROR(INDEX('2-3 引出列表'!$A$2:$CE$8700,$A18,MATCH(C$1,'2-3 引出列表'!$A$1:$CD$1,0)),""))</f>
        <v>63536.29</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2025-04-17</v>
      </c>
      <c r="F18" t="str">
        <f t="shared" si="0"/>
        <v>2025-04</v>
      </c>
      <c r="G18" t="str">
        <f>IF(ISBLANK(IFERROR(INDEX('2-3 引出列表'!$A$2:$CE$8700,$A18,MATCH(G$1,'2-3 引出列表'!$A$1:$CD$1,0)),"")),"",IFERROR(INDEX('2-3 引出列表'!$A$2:$CE$8700,$A18,MATCH(G$1,'2-3 引出列表'!$A$1:$CD$1,0)),""))</f>
        <v>物料消耗.物料消耗</v>
      </c>
      <c r="H18" t="str">
        <f>IF(ISBLANK(IFERROR(INDEX('2-3 引出列表'!$A$2:$CE$8700,$A18,MATCH(H$1,'2-3 引出列表'!$A$1:$CD$1,0)),"")),"",IFERROR(INDEX('2-3 引出列表'!$A$2:$CE$8700,$A18,MATCH(H$1,'2-3 引出列表'!$A$1:$CD$1,0)),""))</f>
        <v>XHWZ-Z-2025-00011</v>
      </c>
      <c r="I18" t="str">
        <f>IF(ISBLANK(IFERROR(INDEX('2-3 引出列表'!$A$2:$CE$8700,$A18,MATCH(I$1,'2-3 引出列表'!$A$1:$CD$1,0)),"")),"",IFERROR(INDEX('2-3 引出列表'!$A$2:$CE$8700,$A18,MATCH(I$1,'2-3 引出列表'!$A$1:$CD$1,0)),""))</f>
        <v>金采易购</v>
      </c>
    </row>
    <row r="19" spans="1:9">
      <c r="A19">
        <v>18</v>
      </c>
      <c r="B19" t="str">
        <f>IF(ISBLANK(IFERROR(INDEX('2-3 引出列表'!$A$2:$CE$8700,$A19,MATCH(B$1,'2-3 引出列表'!$A$1:$CD$1,0)),"")),"",IFERROR(INDEX('2-3 引出列表'!$A$2:$CE$8700,$A19,MATCH(B$1,'2-3 引出列表'!$A$1:$CD$1,0)),""))</f>
        <v>FK250417000294</v>
      </c>
      <c r="C19">
        <f>IF(ISBLANK(IFERROR(INDEX('2-3 引出列表'!$A$2:$CE$8700,$A19,MATCH(C$1,'2-3 引出列表'!$A$1:$CD$1,0)),"")),"",IFERROR(INDEX('2-3 引出列表'!$A$2:$CE$8700,$A19,MATCH(C$1,'2-3 引出列表'!$A$1:$CD$1,0)),""))</f>
        <v>63536.29</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2025-04-17</v>
      </c>
      <c r="F19" t="str">
        <f t="shared" si="0"/>
        <v>2025-04</v>
      </c>
      <c r="G19" t="str">
        <f>IF(ISBLANK(IFERROR(INDEX('2-3 引出列表'!$A$2:$CE$8700,$A19,MATCH(G$1,'2-3 引出列表'!$A$1:$CD$1,0)),"")),"",IFERROR(INDEX('2-3 引出列表'!$A$2:$CE$8700,$A19,MATCH(G$1,'2-3 引出列表'!$A$1:$CD$1,0)),""))</f>
        <v>物料消耗.物料消耗</v>
      </c>
      <c r="H19" t="str">
        <f>IF(ISBLANK(IFERROR(INDEX('2-3 引出列表'!$A$2:$CE$8700,$A19,MATCH(H$1,'2-3 引出列表'!$A$1:$CD$1,0)),"")),"",IFERROR(INDEX('2-3 引出列表'!$A$2:$CE$8700,$A19,MATCH(H$1,'2-3 引出列表'!$A$1:$CD$1,0)),""))</f>
        <v>XHWZ-Z-2025-00011</v>
      </c>
      <c r="I19" t="str">
        <f>IF(ISBLANK(IFERROR(INDEX('2-3 引出列表'!$A$2:$CE$8700,$A19,MATCH(I$1,'2-3 引出列表'!$A$1:$CD$1,0)),"")),"",IFERROR(INDEX('2-3 引出列表'!$A$2:$CE$8700,$A19,MATCH(I$1,'2-3 引出列表'!$A$1:$CD$1,0)),""))</f>
        <v>金采易购</v>
      </c>
    </row>
    <row r="20" spans="1:9">
      <c r="A20">
        <v>19</v>
      </c>
      <c r="B20" t="str">
        <f>IF(ISBLANK(IFERROR(INDEX('2-3 引出列表'!$A$2:$CE$8700,$A20,MATCH(B$1,'2-3 引出列表'!$A$1:$CD$1,0)),"")),"",IFERROR(INDEX('2-3 引出列表'!$A$2:$CE$8700,$A20,MATCH(B$1,'2-3 引出列表'!$A$1:$CD$1,0)),""))</f>
        <v>FK250417000294</v>
      </c>
      <c r="C20">
        <f>IF(ISBLANK(IFERROR(INDEX('2-3 引出列表'!$A$2:$CE$8700,$A20,MATCH(C$1,'2-3 引出列表'!$A$1:$CD$1,0)),"")),"",IFERROR(INDEX('2-3 引出列表'!$A$2:$CE$8700,$A20,MATCH(C$1,'2-3 引出列表'!$A$1:$CD$1,0)),""))</f>
        <v>63536.29</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2025-04-17</v>
      </c>
      <c r="F20" t="str">
        <f t="shared" si="0"/>
        <v>2025-04</v>
      </c>
      <c r="G20" t="str">
        <f>IF(ISBLANK(IFERROR(INDEX('2-3 引出列表'!$A$2:$CE$8700,$A20,MATCH(G$1,'2-3 引出列表'!$A$1:$CD$1,0)),"")),"",IFERROR(INDEX('2-3 引出列表'!$A$2:$CE$8700,$A20,MATCH(G$1,'2-3 引出列表'!$A$1:$CD$1,0)),""))</f>
        <v>物料消耗.物料消耗</v>
      </c>
      <c r="H20" t="str">
        <f>IF(ISBLANK(IFERROR(INDEX('2-3 引出列表'!$A$2:$CE$8700,$A20,MATCH(H$1,'2-3 引出列表'!$A$1:$CD$1,0)),"")),"",IFERROR(INDEX('2-3 引出列表'!$A$2:$CE$8700,$A20,MATCH(H$1,'2-3 引出列表'!$A$1:$CD$1,0)),""))</f>
        <v>XHWZ-Z-2025-00011</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FK250417000294</v>
      </c>
      <c r="C21">
        <f>IF(ISBLANK(IFERROR(INDEX('2-3 引出列表'!$A$2:$CE$8700,$A21,MATCH(C$1,'2-3 引出列表'!$A$1:$CD$1,0)),"")),"",IFERROR(INDEX('2-3 引出列表'!$A$2:$CE$8700,$A21,MATCH(C$1,'2-3 引出列表'!$A$1:$CD$1,0)),""))</f>
        <v>63536.29</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2025-04-17</v>
      </c>
      <c r="F21" t="str">
        <f t="shared" si="0"/>
        <v>2025-04</v>
      </c>
      <c r="G21" t="str">
        <f>IF(ISBLANK(IFERROR(INDEX('2-3 引出列表'!$A$2:$CE$8700,$A21,MATCH(G$1,'2-3 引出列表'!$A$1:$CD$1,0)),"")),"",IFERROR(INDEX('2-3 引出列表'!$A$2:$CE$8700,$A21,MATCH(G$1,'2-3 引出列表'!$A$1:$CD$1,0)),""))</f>
        <v>物料消耗.物料消耗</v>
      </c>
      <c r="H21" t="str">
        <f>IF(ISBLANK(IFERROR(INDEX('2-3 引出列表'!$A$2:$CE$8700,$A21,MATCH(H$1,'2-3 引出列表'!$A$1:$CD$1,0)),"")),"",IFERROR(INDEX('2-3 引出列表'!$A$2:$CE$8700,$A21,MATCH(H$1,'2-3 引出列表'!$A$1:$CD$1,0)),""))</f>
        <v>XHWZ-Z-2025-00011</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FK250417000294</v>
      </c>
      <c r="C22">
        <f>IF(ISBLANK(IFERROR(INDEX('2-3 引出列表'!$A$2:$CE$8700,$A22,MATCH(C$1,'2-3 引出列表'!$A$1:$CD$1,0)),"")),"",IFERROR(INDEX('2-3 引出列表'!$A$2:$CE$8700,$A22,MATCH(C$1,'2-3 引出列表'!$A$1:$CD$1,0)),""))</f>
        <v>63536.29</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2025-04-17</v>
      </c>
      <c r="F22" t="str">
        <f t="shared" si="0"/>
        <v>2025-04</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XHWZ-Z-2025-00011</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FK250417000294</v>
      </c>
      <c r="C23">
        <f>IF(ISBLANK(IFERROR(INDEX('2-3 引出列表'!$A$2:$CE$8700,$A23,MATCH(C$1,'2-3 引出列表'!$A$1:$CD$1,0)),"")),"",IFERROR(INDEX('2-3 引出列表'!$A$2:$CE$8700,$A23,MATCH(C$1,'2-3 引出列表'!$A$1:$CD$1,0)),""))</f>
        <v>63536.29</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2025-04-17</v>
      </c>
      <c r="F23" t="str">
        <f t="shared" si="0"/>
        <v>2025-04</v>
      </c>
      <c r="G23" t="str">
        <f>IF(ISBLANK(IFERROR(INDEX('2-3 引出列表'!$A$2:$CE$8700,$A23,MATCH(G$1,'2-3 引出列表'!$A$1:$CD$1,0)),"")),"",IFERROR(INDEX('2-3 引出列表'!$A$2:$CE$8700,$A23,MATCH(G$1,'2-3 引出列表'!$A$1:$CD$1,0)),""))</f>
        <v>物料消耗.物料消耗</v>
      </c>
      <c r="H23" t="str">
        <f>IF(ISBLANK(IFERROR(INDEX('2-3 引出列表'!$A$2:$CE$8700,$A23,MATCH(H$1,'2-3 引出列表'!$A$1:$CD$1,0)),"")),"",IFERROR(INDEX('2-3 引出列表'!$A$2:$CE$8700,$A23,MATCH(H$1,'2-3 引出列表'!$A$1:$CD$1,0)),""))</f>
        <v>XHWZ-Z-2025-00011</v>
      </c>
      <c r="I23" t="str">
        <f>IF(ISBLANK(IFERROR(INDEX('2-3 引出列表'!$A$2:$CE$8700,$A23,MATCH(I$1,'2-3 引出列表'!$A$1:$CD$1,0)),"")),"",IFERROR(INDEX('2-3 引出列表'!$A$2:$CE$8700,$A23,MATCH(I$1,'2-3 引出列表'!$A$1:$CD$1,0)),""))</f>
        <v>金采易购</v>
      </c>
    </row>
    <row r="24" spans="1:9">
      <c r="A24">
        <v>23</v>
      </c>
      <c r="B24" t="str">
        <f>IF(ISBLANK(IFERROR(INDEX('2-3 引出列表'!$A$2:$CE$8700,$A24,MATCH(B$1,'2-3 引出列表'!$A$1:$CD$1,0)),"")),"",IFERROR(INDEX('2-3 引出列表'!$A$2:$CE$8700,$A24,MATCH(B$1,'2-3 引出列表'!$A$1:$CD$1,0)),""))</f>
        <v>FK250417000294</v>
      </c>
      <c r="C24">
        <f>IF(ISBLANK(IFERROR(INDEX('2-3 引出列表'!$A$2:$CE$8700,$A24,MATCH(C$1,'2-3 引出列表'!$A$1:$CD$1,0)),"")),"",IFERROR(INDEX('2-3 引出列表'!$A$2:$CE$8700,$A24,MATCH(C$1,'2-3 引出列表'!$A$1:$CD$1,0)),""))</f>
        <v>63536.29</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2025-04-17</v>
      </c>
      <c r="F24" t="str">
        <f t="shared" si="0"/>
        <v>2025-04</v>
      </c>
      <c r="G24" t="str">
        <f>IF(ISBLANK(IFERROR(INDEX('2-3 引出列表'!$A$2:$CE$8700,$A24,MATCH(G$1,'2-3 引出列表'!$A$1:$CD$1,0)),"")),"",IFERROR(INDEX('2-3 引出列表'!$A$2:$CE$8700,$A24,MATCH(G$1,'2-3 引出列表'!$A$1:$CD$1,0)),""))</f>
        <v>物料消耗.物料消耗</v>
      </c>
      <c r="H24" t="str">
        <f>IF(ISBLANK(IFERROR(INDEX('2-3 引出列表'!$A$2:$CE$8700,$A24,MATCH(H$1,'2-3 引出列表'!$A$1:$CD$1,0)),"")),"",IFERROR(INDEX('2-3 引出列表'!$A$2:$CE$8700,$A24,MATCH(H$1,'2-3 引出列表'!$A$1:$CD$1,0)),""))</f>
        <v>XHWZ-Z-2025-00011</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FK250417000294</v>
      </c>
      <c r="C25">
        <f>IF(ISBLANK(IFERROR(INDEX('2-3 引出列表'!$A$2:$CE$8700,$A25,MATCH(C$1,'2-3 引出列表'!$A$1:$CD$1,0)),"")),"",IFERROR(INDEX('2-3 引出列表'!$A$2:$CE$8700,$A25,MATCH(C$1,'2-3 引出列表'!$A$1:$CD$1,0)),""))</f>
        <v>63536.29</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2025-04-17</v>
      </c>
      <c r="F25" t="str">
        <f t="shared" si="0"/>
        <v>2025-04</v>
      </c>
      <c r="G25" t="str">
        <f>IF(ISBLANK(IFERROR(INDEX('2-3 引出列表'!$A$2:$CE$8700,$A25,MATCH(G$1,'2-3 引出列表'!$A$1:$CD$1,0)),"")),"",IFERROR(INDEX('2-3 引出列表'!$A$2:$CE$8700,$A25,MATCH(G$1,'2-3 引出列表'!$A$1:$CD$1,0)),""))</f>
        <v>物料消耗.物料消耗</v>
      </c>
      <c r="H25" t="str">
        <f>IF(ISBLANK(IFERROR(INDEX('2-3 引出列表'!$A$2:$CE$8700,$A25,MATCH(H$1,'2-3 引出列表'!$A$1:$CD$1,0)),"")),"",IFERROR(INDEX('2-3 引出列表'!$A$2:$CE$8700,$A25,MATCH(H$1,'2-3 引出列表'!$A$1:$CD$1,0)),""))</f>
        <v>XHWZ-Z-2025-00011</v>
      </c>
      <c r="I25" t="str">
        <f>IF(ISBLANK(IFERROR(INDEX('2-3 引出列表'!$A$2:$CE$8700,$A25,MATCH(I$1,'2-3 引出列表'!$A$1:$CD$1,0)),"")),"",IFERROR(INDEX('2-3 引出列表'!$A$2:$CE$8700,$A25,MATCH(I$1,'2-3 引出列表'!$A$1:$CD$1,0)),""))</f>
        <v>金采易购</v>
      </c>
    </row>
    <row r="26" spans="1:9">
      <c r="A26">
        <v>25</v>
      </c>
      <c r="B26" t="str">
        <f>IF(ISBLANK(IFERROR(INDEX('2-3 引出列表'!$A$2:$CE$8700,$A26,MATCH(B$1,'2-3 引出列表'!$A$1:$CD$1,0)),"")),"",IFERROR(INDEX('2-3 引出列表'!$A$2:$CE$8700,$A26,MATCH(B$1,'2-3 引出列表'!$A$1:$CD$1,0)),""))</f>
        <v>FK250417000294</v>
      </c>
      <c r="C26">
        <f>IF(ISBLANK(IFERROR(INDEX('2-3 引出列表'!$A$2:$CE$8700,$A26,MATCH(C$1,'2-3 引出列表'!$A$1:$CD$1,0)),"")),"",IFERROR(INDEX('2-3 引出列表'!$A$2:$CE$8700,$A26,MATCH(C$1,'2-3 引出列表'!$A$1:$CD$1,0)),""))</f>
        <v>63536.29</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2025-04-17</v>
      </c>
      <c r="F26" t="str">
        <f t="shared" si="0"/>
        <v>2025-04</v>
      </c>
      <c r="G26" t="str">
        <f>IF(ISBLANK(IFERROR(INDEX('2-3 引出列表'!$A$2:$CE$8700,$A26,MATCH(G$1,'2-3 引出列表'!$A$1:$CD$1,0)),"")),"",IFERROR(INDEX('2-3 引出列表'!$A$2:$CE$8700,$A26,MATCH(G$1,'2-3 引出列表'!$A$1:$CD$1,0)),""))</f>
        <v>物料消耗.物料消耗</v>
      </c>
      <c r="H26" t="str">
        <f>IF(ISBLANK(IFERROR(INDEX('2-3 引出列表'!$A$2:$CE$8700,$A26,MATCH(H$1,'2-3 引出列表'!$A$1:$CD$1,0)),"")),"",IFERROR(INDEX('2-3 引出列表'!$A$2:$CE$8700,$A26,MATCH(H$1,'2-3 引出列表'!$A$1:$CD$1,0)),""))</f>
        <v>XHWZ-Z-2025-00011</v>
      </c>
      <c r="I26" t="str">
        <f>IF(ISBLANK(IFERROR(INDEX('2-3 引出列表'!$A$2:$CE$8700,$A26,MATCH(I$1,'2-3 引出列表'!$A$1:$CD$1,0)),"")),"",IFERROR(INDEX('2-3 引出列表'!$A$2:$CE$8700,$A26,MATCH(I$1,'2-3 引出列表'!$A$1:$CD$1,0)),""))</f>
        <v>金采易购</v>
      </c>
    </row>
    <row r="27" spans="1:9">
      <c r="A27">
        <v>26</v>
      </c>
      <c r="B27" t="str">
        <f>IF(ISBLANK(IFERROR(INDEX('2-3 引出列表'!$A$2:$CE$8700,$A27,MATCH(B$1,'2-3 引出列表'!$A$1:$CD$1,0)),"")),"",IFERROR(INDEX('2-3 引出列表'!$A$2:$CE$8700,$A27,MATCH(B$1,'2-3 引出列表'!$A$1:$CD$1,0)),""))</f>
        <v>FK250417000294</v>
      </c>
      <c r="C27">
        <f>IF(ISBLANK(IFERROR(INDEX('2-3 引出列表'!$A$2:$CE$8700,$A27,MATCH(C$1,'2-3 引出列表'!$A$1:$CD$1,0)),"")),"",IFERROR(INDEX('2-3 引出列表'!$A$2:$CE$8700,$A27,MATCH(C$1,'2-3 引出列表'!$A$1:$CD$1,0)),""))</f>
        <v>63536.29</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2025-04-17</v>
      </c>
      <c r="F27" t="str">
        <f t="shared" si="0"/>
        <v>2025-04</v>
      </c>
      <c r="G27" t="str">
        <f>IF(ISBLANK(IFERROR(INDEX('2-3 引出列表'!$A$2:$CE$8700,$A27,MATCH(G$1,'2-3 引出列表'!$A$1:$CD$1,0)),"")),"",IFERROR(INDEX('2-3 引出列表'!$A$2:$CE$8700,$A27,MATCH(G$1,'2-3 引出列表'!$A$1:$CD$1,0)),""))</f>
        <v>物料消耗.物料消耗</v>
      </c>
      <c r="H27" t="str">
        <f>IF(ISBLANK(IFERROR(INDEX('2-3 引出列表'!$A$2:$CE$8700,$A27,MATCH(H$1,'2-3 引出列表'!$A$1:$CD$1,0)),"")),"",IFERROR(INDEX('2-3 引出列表'!$A$2:$CE$8700,$A27,MATCH(H$1,'2-3 引出列表'!$A$1:$CD$1,0)),""))</f>
        <v>XHWZ-Z-2025-00011</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FK250417000294</v>
      </c>
      <c r="C28">
        <f>IF(ISBLANK(IFERROR(INDEX('2-3 引出列表'!$A$2:$CE$8700,$A28,MATCH(C$1,'2-3 引出列表'!$A$1:$CD$1,0)),"")),"",IFERROR(INDEX('2-3 引出列表'!$A$2:$CE$8700,$A28,MATCH(C$1,'2-3 引出列表'!$A$1:$CD$1,0)),""))</f>
        <v>63536.29</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2025-04-17</v>
      </c>
      <c r="F28" t="str">
        <f t="shared" si="0"/>
        <v>2025-04</v>
      </c>
      <c r="G28" t="str">
        <f>IF(ISBLANK(IFERROR(INDEX('2-3 引出列表'!$A$2:$CE$8700,$A28,MATCH(G$1,'2-3 引出列表'!$A$1:$CD$1,0)),"")),"",IFERROR(INDEX('2-3 引出列表'!$A$2:$CE$8700,$A28,MATCH(G$1,'2-3 引出列表'!$A$1:$CD$1,0)),""))</f>
        <v>物料消耗.物料消耗</v>
      </c>
      <c r="H28" t="str">
        <f>IF(ISBLANK(IFERROR(INDEX('2-3 引出列表'!$A$2:$CE$8700,$A28,MATCH(H$1,'2-3 引出列表'!$A$1:$CD$1,0)),"")),"",IFERROR(INDEX('2-3 引出列表'!$A$2:$CE$8700,$A28,MATCH(H$1,'2-3 引出列表'!$A$1:$CD$1,0)),""))</f>
        <v>XHWZ-Z-2025-00011</v>
      </c>
      <c r="I28" t="str">
        <f>IF(ISBLANK(IFERROR(INDEX('2-3 引出列表'!$A$2:$CE$8700,$A28,MATCH(I$1,'2-3 引出列表'!$A$1:$CD$1,0)),"")),"",IFERROR(INDEX('2-3 引出列表'!$A$2:$CE$8700,$A28,MATCH(I$1,'2-3 引出列表'!$A$1:$CD$1,0)),""))</f>
        <v>金采易购</v>
      </c>
    </row>
    <row r="29" spans="1:9">
      <c r="A29">
        <v>28</v>
      </c>
      <c r="B29" t="str">
        <f>IF(ISBLANK(IFERROR(INDEX('2-3 引出列表'!$A$2:$CE$8700,$A29,MATCH(B$1,'2-3 引出列表'!$A$1:$CD$1,0)),"")),"",IFERROR(INDEX('2-3 引出列表'!$A$2:$CE$8700,$A29,MATCH(B$1,'2-3 引出列表'!$A$1:$CD$1,0)),""))</f>
        <v>FK250417000294</v>
      </c>
      <c r="C29">
        <f>IF(ISBLANK(IFERROR(INDEX('2-3 引出列表'!$A$2:$CE$8700,$A29,MATCH(C$1,'2-3 引出列表'!$A$1:$CD$1,0)),"")),"",IFERROR(INDEX('2-3 引出列表'!$A$2:$CE$8700,$A29,MATCH(C$1,'2-3 引出列表'!$A$1:$CD$1,0)),""))</f>
        <v>63536.29</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2025-04-17</v>
      </c>
      <c r="F29" t="str">
        <f t="shared" si="0"/>
        <v>2025-04</v>
      </c>
      <c r="G29" t="str">
        <f>IF(ISBLANK(IFERROR(INDEX('2-3 引出列表'!$A$2:$CE$8700,$A29,MATCH(G$1,'2-3 引出列表'!$A$1:$CD$1,0)),"")),"",IFERROR(INDEX('2-3 引出列表'!$A$2:$CE$8700,$A29,MATCH(G$1,'2-3 引出列表'!$A$1:$CD$1,0)),""))</f>
        <v>物料消耗.物料消耗</v>
      </c>
      <c r="H29" t="str">
        <f>IF(ISBLANK(IFERROR(INDEX('2-3 引出列表'!$A$2:$CE$8700,$A29,MATCH(H$1,'2-3 引出列表'!$A$1:$CD$1,0)),"")),"",IFERROR(INDEX('2-3 引出列表'!$A$2:$CE$8700,$A29,MATCH(H$1,'2-3 引出列表'!$A$1:$CD$1,0)),""))</f>
        <v>XHWZ-Z-2025-00011</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FK250417000294</v>
      </c>
      <c r="C30">
        <f>IF(ISBLANK(IFERROR(INDEX('2-3 引出列表'!$A$2:$CE$8700,$A30,MATCH(C$1,'2-3 引出列表'!$A$1:$CD$1,0)),"")),"",IFERROR(INDEX('2-3 引出列表'!$A$2:$CE$8700,$A30,MATCH(C$1,'2-3 引出列表'!$A$1:$CD$1,0)),""))</f>
        <v>63536.29</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2025-04-17</v>
      </c>
      <c r="F30" t="str">
        <f t="shared" si="0"/>
        <v>2025-04</v>
      </c>
      <c r="G30" t="str">
        <f>IF(ISBLANK(IFERROR(INDEX('2-3 引出列表'!$A$2:$CE$8700,$A30,MATCH(G$1,'2-3 引出列表'!$A$1:$CD$1,0)),"")),"",IFERROR(INDEX('2-3 引出列表'!$A$2:$CE$8700,$A30,MATCH(G$1,'2-3 引出列表'!$A$1:$CD$1,0)),""))</f>
        <v>物料消耗.物料消耗</v>
      </c>
      <c r="H30" t="str">
        <f>IF(ISBLANK(IFERROR(INDEX('2-3 引出列表'!$A$2:$CE$8700,$A30,MATCH(H$1,'2-3 引出列表'!$A$1:$CD$1,0)),"")),"",IFERROR(INDEX('2-3 引出列表'!$A$2:$CE$8700,$A30,MATCH(H$1,'2-3 引出列表'!$A$1:$CD$1,0)),""))</f>
        <v>XHWZ-Z-2025-00011</v>
      </c>
      <c r="I30" t="str">
        <f>IF(ISBLANK(IFERROR(INDEX('2-3 引出列表'!$A$2:$CE$8700,$A30,MATCH(I$1,'2-3 引出列表'!$A$1:$CD$1,0)),"")),"",IFERROR(INDEX('2-3 引出列表'!$A$2:$CE$8700,$A30,MATCH(I$1,'2-3 引出列表'!$A$1:$CD$1,0)),""))</f>
        <v>金采易购</v>
      </c>
    </row>
    <row r="31" spans="1:9">
      <c r="A31">
        <v>30</v>
      </c>
      <c r="B31" t="str">
        <f>IF(ISBLANK(IFERROR(INDEX('2-3 引出列表'!$A$2:$CE$8700,$A31,MATCH(B$1,'2-3 引出列表'!$A$1:$CD$1,0)),"")),"",IFERROR(INDEX('2-3 引出列表'!$A$2:$CE$8700,$A31,MATCH(B$1,'2-3 引出列表'!$A$1:$CD$1,0)),""))</f>
        <v>FK250417000294</v>
      </c>
      <c r="C31">
        <f>IF(ISBLANK(IFERROR(INDEX('2-3 引出列表'!$A$2:$CE$8700,$A31,MATCH(C$1,'2-3 引出列表'!$A$1:$CD$1,0)),"")),"",IFERROR(INDEX('2-3 引出列表'!$A$2:$CE$8700,$A31,MATCH(C$1,'2-3 引出列表'!$A$1:$CD$1,0)),""))</f>
        <v>63536.29</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2025-04-17</v>
      </c>
      <c r="F31" t="str">
        <f t="shared" si="0"/>
        <v>2025-04</v>
      </c>
      <c r="G31" t="str">
        <f>IF(ISBLANK(IFERROR(INDEX('2-3 引出列表'!$A$2:$CE$8700,$A31,MATCH(G$1,'2-3 引出列表'!$A$1:$CD$1,0)),"")),"",IFERROR(INDEX('2-3 引出列表'!$A$2:$CE$8700,$A31,MATCH(G$1,'2-3 引出列表'!$A$1:$CD$1,0)),""))</f>
        <v>物料消耗.物料消耗</v>
      </c>
      <c r="H31" t="str">
        <f>IF(ISBLANK(IFERROR(INDEX('2-3 引出列表'!$A$2:$CE$8700,$A31,MATCH(H$1,'2-3 引出列表'!$A$1:$CD$1,0)),"")),"",IFERROR(INDEX('2-3 引出列表'!$A$2:$CE$8700,$A31,MATCH(H$1,'2-3 引出列表'!$A$1:$CD$1,0)),""))</f>
        <v>XHWZ-Z-2025-00011</v>
      </c>
      <c r="I31" t="str">
        <f>IF(ISBLANK(IFERROR(INDEX('2-3 引出列表'!$A$2:$CE$8700,$A31,MATCH(I$1,'2-3 引出列表'!$A$1:$CD$1,0)),"")),"",IFERROR(INDEX('2-3 引出列表'!$A$2:$CE$8700,$A31,MATCH(I$1,'2-3 引出列表'!$A$1:$CD$1,0)),""))</f>
        <v>金采易购</v>
      </c>
    </row>
    <row r="32" spans="1:9">
      <c r="A32">
        <v>31</v>
      </c>
      <c r="B32" t="str">
        <f>IF(ISBLANK(IFERROR(INDEX('2-3 引出列表'!$A$2:$CE$8700,$A32,MATCH(B$1,'2-3 引出列表'!$A$1:$CD$1,0)),"")),"",IFERROR(INDEX('2-3 引出列表'!$A$2:$CE$8700,$A32,MATCH(B$1,'2-3 引出列表'!$A$1:$CD$1,0)),""))</f>
        <v>FK250417000294</v>
      </c>
      <c r="C32">
        <f>IF(ISBLANK(IFERROR(INDEX('2-3 引出列表'!$A$2:$CE$8700,$A32,MATCH(C$1,'2-3 引出列表'!$A$1:$CD$1,0)),"")),"",IFERROR(INDEX('2-3 引出列表'!$A$2:$CE$8700,$A32,MATCH(C$1,'2-3 引出列表'!$A$1:$CD$1,0)),""))</f>
        <v>63536.29</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2025-04-17</v>
      </c>
      <c r="F32" t="str">
        <f t="shared" si="0"/>
        <v>2025-04</v>
      </c>
      <c r="G32" t="str">
        <f>IF(ISBLANK(IFERROR(INDEX('2-3 引出列表'!$A$2:$CE$8700,$A32,MATCH(G$1,'2-3 引出列表'!$A$1:$CD$1,0)),"")),"",IFERROR(INDEX('2-3 引出列表'!$A$2:$CE$8700,$A32,MATCH(G$1,'2-3 引出列表'!$A$1:$CD$1,0)),""))</f>
        <v>物料消耗.物料消耗</v>
      </c>
      <c r="H32" t="str">
        <f>IF(ISBLANK(IFERROR(INDEX('2-3 引出列表'!$A$2:$CE$8700,$A32,MATCH(H$1,'2-3 引出列表'!$A$1:$CD$1,0)),"")),"",IFERROR(INDEX('2-3 引出列表'!$A$2:$CE$8700,$A32,MATCH(H$1,'2-3 引出列表'!$A$1:$CD$1,0)),""))</f>
        <v>XHWZ-Z-2025-00011</v>
      </c>
      <c r="I32" t="str">
        <f>IF(ISBLANK(IFERROR(INDEX('2-3 引出列表'!$A$2:$CE$8700,$A32,MATCH(I$1,'2-3 引出列表'!$A$1:$CD$1,0)),"")),"",IFERROR(INDEX('2-3 引出列表'!$A$2:$CE$8700,$A32,MATCH(I$1,'2-3 引出列表'!$A$1:$CD$1,0)),""))</f>
        <v>金采易购</v>
      </c>
    </row>
    <row r="33" spans="1:9">
      <c r="A33">
        <v>32</v>
      </c>
      <c r="B33" t="str">
        <f>IF(ISBLANK(IFERROR(INDEX('2-3 引出列表'!$A$2:$CE$8700,$A33,MATCH(B$1,'2-3 引出列表'!$A$1:$CD$1,0)),"")),"",IFERROR(INDEX('2-3 引出列表'!$A$2:$CE$8700,$A33,MATCH(B$1,'2-3 引出列表'!$A$1:$CD$1,0)),""))</f>
        <v>FK250417000294</v>
      </c>
      <c r="C33">
        <f>IF(ISBLANK(IFERROR(INDEX('2-3 引出列表'!$A$2:$CE$8700,$A33,MATCH(C$1,'2-3 引出列表'!$A$1:$CD$1,0)),"")),"",IFERROR(INDEX('2-3 引出列表'!$A$2:$CE$8700,$A33,MATCH(C$1,'2-3 引出列表'!$A$1:$CD$1,0)),""))</f>
        <v>63536.29</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2025-04-17</v>
      </c>
      <c r="F33" t="str">
        <f t="shared" si="0"/>
        <v>2025-04</v>
      </c>
      <c r="G33" t="str">
        <f>IF(ISBLANK(IFERROR(INDEX('2-3 引出列表'!$A$2:$CE$8700,$A33,MATCH(G$1,'2-3 引出列表'!$A$1:$CD$1,0)),"")),"",IFERROR(INDEX('2-3 引出列表'!$A$2:$CE$8700,$A33,MATCH(G$1,'2-3 引出列表'!$A$1:$CD$1,0)),""))</f>
        <v>物料消耗.物料消耗</v>
      </c>
      <c r="H33" t="str">
        <f>IF(ISBLANK(IFERROR(INDEX('2-3 引出列表'!$A$2:$CE$8700,$A33,MATCH(H$1,'2-3 引出列表'!$A$1:$CD$1,0)),"")),"",IFERROR(INDEX('2-3 引出列表'!$A$2:$CE$8700,$A33,MATCH(H$1,'2-3 引出列表'!$A$1:$CD$1,0)),""))</f>
        <v>XHWZ-Z-2025-00011</v>
      </c>
      <c r="I33" t="str">
        <f>IF(ISBLANK(IFERROR(INDEX('2-3 引出列表'!$A$2:$CE$8700,$A33,MATCH(I$1,'2-3 引出列表'!$A$1:$CD$1,0)),"")),"",IFERROR(INDEX('2-3 引出列表'!$A$2:$CE$8700,$A33,MATCH(I$1,'2-3 引出列表'!$A$1:$CD$1,0)),""))</f>
        <v>金采易购</v>
      </c>
    </row>
    <row r="34" spans="1:9">
      <c r="A34">
        <v>33</v>
      </c>
      <c r="B34" t="str">
        <f>IF(ISBLANK(IFERROR(INDEX('2-3 引出列表'!$A$2:$CE$8700,$A34,MATCH(B$1,'2-3 引出列表'!$A$1:$CD$1,0)),"")),"",IFERROR(INDEX('2-3 引出列表'!$A$2:$CE$8700,$A34,MATCH(B$1,'2-3 引出列表'!$A$1:$CD$1,0)),""))</f>
        <v>FK250417000294</v>
      </c>
      <c r="C34">
        <f>IF(ISBLANK(IFERROR(INDEX('2-3 引出列表'!$A$2:$CE$8700,$A34,MATCH(C$1,'2-3 引出列表'!$A$1:$CD$1,0)),"")),"",IFERROR(INDEX('2-3 引出列表'!$A$2:$CE$8700,$A34,MATCH(C$1,'2-3 引出列表'!$A$1:$CD$1,0)),""))</f>
        <v>63536.29</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2025-04-17</v>
      </c>
      <c r="F34" t="str">
        <f t="shared" si="0"/>
        <v>2025-04</v>
      </c>
      <c r="G34" t="str">
        <f>IF(ISBLANK(IFERROR(INDEX('2-3 引出列表'!$A$2:$CE$8700,$A34,MATCH(G$1,'2-3 引出列表'!$A$1:$CD$1,0)),"")),"",IFERROR(INDEX('2-3 引出列表'!$A$2:$CE$8700,$A34,MATCH(G$1,'2-3 引出列表'!$A$1:$CD$1,0)),""))</f>
        <v>物料消耗.物料消耗</v>
      </c>
      <c r="H34" t="str">
        <f>IF(ISBLANK(IFERROR(INDEX('2-3 引出列表'!$A$2:$CE$8700,$A34,MATCH(H$1,'2-3 引出列表'!$A$1:$CD$1,0)),"")),"",IFERROR(INDEX('2-3 引出列表'!$A$2:$CE$8700,$A34,MATCH(H$1,'2-3 引出列表'!$A$1:$CD$1,0)),""))</f>
        <v>XHWZ-Z-2025-00011</v>
      </c>
      <c r="I34" t="str">
        <f>IF(ISBLANK(IFERROR(INDEX('2-3 引出列表'!$A$2:$CE$8700,$A34,MATCH(I$1,'2-3 引出列表'!$A$1:$CD$1,0)),"")),"",IFERROR(INDEX('2-3 引出列表'!$A$2:$CE$8700,$A34,MATCH(I$1,'2-3 引出列表'!$A$1:$CD$1,0)),""))</f>
        <v>金采易购</v>
      </c>
    </row>
    <row r="35" spans="1:9">
      <c r="A35">
        <v>34</v>
      </c>
      <c r="B35" t="str">
        <f>IF(ISBLANK(IFERROR(INDEX('2-3 引出列表'!$A$2:$CE$8700,$A35,MATCH(B$1,'2-3 引出列表'!$A$1:$CD$1,0)),"")),"",IFERROR(INDEX('2-3 引出列表'!$A$2:$CE$8700,$A35,MATCH(B$1,'2-3 引出列表'!$A$1:$CD$1,0)),""))</f>
        <v>FK250417000294</v>
      </c>
      <c r="C35">
        <f>IF(ISBLANK(IFERROR(INDEX('2-3 引出列表'!$A$2:$CE$8700,$A35,MATCH(C$1,'2-3 引出列表'!$A$1:$CD$1,0)),"")),"",IFERROR(INDEX('2-3 引出列表'!$A$2:$CE$8700,$A35,MATCH(C$1,'2-3 引出列表'!$A$1:$CD$1,0)),""))</f>
        <v>63536.29</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2025-04-17</v>
      </c>
      <c r="F35" t="str">
        <f t="shared" si="0"/>
        <v>2025-04</v>
      </c>
      <c r="G35" t="str">
        <f>IF(ISBLANK(IFERROR(INDEX('2-3 引出列表'!$A$2:$CE$8700,$A35,MATCH(G$1,'2-3 引出列表'!$A$1:$CD$1,0)),"")),"",IFERROR(INDEX('2-3 引出列表'!$A$2:$CE$8700,$A35,MATCH(G$1,'2-3 引出列表'!$A$1:$CD$1,0)),""))</f>
        <v>物料消耗.物料消耗</v>
      </c>
      <c r="H35" t="str">
        <f>IF(ISBLANK(IFERROR(INDEX('2-3 引出列表'!$A$2:$CE$8700,$A35,MATCH(H$1,'2-3 引出列表'!$A$1:$CD$1,0)),"")),"",IFERROR(INDEX('2-3 引出列表'!$A$2:$CE$8700,$A35,MATCH(H$1,'2-3 引出列表'!$A$1:$CD$1,0)),""))</f>
        <v>XHWZ-Z-2025-00011</v>
      </c>
      <c r="I35" t="str">
        <f>IF(ISBLANK(IFERROR(INDEX('2-3 引出列表'!$A$2:$CE$8700,$A35,MATCH(I$1,'2-3 引出列表'!$A$1:$CD$1,0)),"")),"",IFERROR(INDEX('2-3 引出列表'!$A$2:$CE$8700,$A35,MATCH(I$1,'2-3 引出列表'!$A$1:$CD$1,0)),""))</f>
        <v>金采易购</v>
      </c>
    </row>
    <row r="36" spans="1:9">
      <c r="A36">
        <v>35</v>
      </c>
      <c r="B36" t="str">
        <f>IF(ISBLANK(IFERROR(INDEX('2-3 引出列表'!$A$2:$CE$8700,$A36,MATCH(B$1,'2-3 引出列表'!$A$1:$CD$1,0)),"")),"",IFERROR(INDEX('2-3 引出列表'!$A$2:$CE$8700,$A36,MATCH(B$1,'2-3 引出列表'!$A$1:$CD$1,0)),""))</f>
        <v>FK250417000294</v>
      </c>
      <c r="C36">
        <f>IF(ISBLANK(IFERROR(INDEX('2-3 引出列表'!$A$2:$CE$8700,$A36,MATCH(C$1,'2-3 引出列表'!$A$1:$CD$1,0)),"")),"",IFERROR(INDEX('2-3 引出列表'!$A$2:$CE$8700,$A36,MATCH(C$1,'2-3 引出列表'!$A$1:$CD$1,0)),""))</f>
        <v>63536.29</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2025-04-17</v>
      </c>
      <c r="F36" t="str">
        <f t="shared" si="0"/>
        <v>2025-04</v>
      </c>
      <c r="G36" t="str">
        <f>IF(ISBLANK(IFERROR(INDEX('2-3 引出列表'!$A$2:$CE$8700,$A36,MATCH(G$1,'2-3 引出列表'!$A$1:$CD$1,0)),"")),"",IFERROR(INDEX('2-3 引出列表'!$A$2:$CE$8700,$A36,MATCH(G$1,'2-3 引出列表'!$A$1:$CD$1,0)),""))</f>
        <v>物料消耗.物料消耗</v>
      </c>
      <c r="H36" t="str">
        <f>IF(ISBLANK(IFERROR(INDEX('2-3 引出列表'!$A$2:$CE$8700,$A36,MATCH(H$1,'2-3 引出列表'!$A$1:$CD$1,0)),"")),"",IFERROR(INDEX('2-3 引出列表'!$A$2:$CE$8700,$A36,MATCH(H$1,'2-3 引出列表'!$A$1:$CD$1,0)),""))</f>
        <v>XHWZ-Z-2025-00011</v>
      </c>
      <c r="I36" t="str">
        <f>IF(ISBLANK(IFERROR(INDEX('2-3 引出列表'!$A$2:$CE$8700,$A36,MATCH(I$1,'2-3 引出列表'!$A$1:$CD$1,0)),"")),"",IFERROR(INDEX('2-3 引出列表'!$A$2:$CE$8700,$A36,MATCH(I$1,'2-3 引出列表'!$A$1:$CD$1,0)),""))</f>
        <v>金采易购</v>
      </c>
    </row>
    <row r="37" spans="1:9">
      <c r="A37">
        <v>36</v>
      </c>
      <c r="B37" t="str">
        <f>IF(ISBLANK(IFERROR(INDEX('2-3 引出列表'!$A$2:$CE$8700,$A37,MATCH(B$1,'2-3 引出列表'!$A$1:$CD$1,0)),"")),"",IFERROR(INDEX('2-3 引出列表'!$A$2:$CE$8700,$A37,MATCH(B$1,'2-3 引出列表'!$A$1:$CD$1,0)),""))</f>
        <v>FK250417000294</v>
      </c>
      <c r="C37">
        <f>IF(ISBLANK(IFERROR(INDEX('2-3 引出列表'!$A$2:$CE$8700,$A37,MATCH(C$1,'2-3 引出列表'!$A$1:$CD$1,0)),"")),"",IFERROR(INDEX('2-3 引出列表'!$A$2:$CE$8700,$A37,MATCH(C$1,'2-3 引出列表'!$A$1:$CD$1,0)),""))</f>
        <v>63536.29</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2025-04-17</v>
      </c>
      <c r="F37" t="str">
        <f t="shared" si="0"/>
        <v>2025-04</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XHWZ-Z-2025-00011</v>
      </c>
      <c r="I37" t="str">
        <f>IF(ISBLANK(IFERROR(INDEX('2-3 引出列表'!$A$2:$CE$8700,$A37,MATCH(I$1,'2-3 引出列表'!$A$1:$CD$1,0)),"")),"",IFERROR(INDEX('2-3 引出列表'!$A$2:$CE$8700,$A37,MATCH(I$1,'2-3 引出列表'!$A$1:$CD$1,0)),""))</f>
        <v>金采易购</v>
      </c>
    </row>
    <row r="38" spans="1:9">
      <c r="A38">
        <v>37</v>
      </c>
      <c r="B38" t="str">
        <f>IF(ISBLANK(IFERROR(INDEX('2-3 引出列表'!$A$2:$CE$8700,$A38,MATCH(B$1,'2-3 引出列表'!$A$1:$CD$1,0)),"")),"",IFERROR(INDEX('2-3 引出列表'!$A$2:$CE$8700,$A38,MATCH(B$1,'2-3 引出列表'!$A$1:$CD$1,0)),""))</f>
        <v>FK250417000294</v>
      </c>
      <c r="C38">
        <f>IF(ISBLANK(IFERROR(INDEX('2-3 引出列表'!$A$2:$CE$8700,$A38,MATCH(C$1,'2-3 引出列表'!$A$1:$CD$1,0)),"")),"",IFERROR(INDEX('2-3 引出列表'!$A$2:$CE$8700,$A38,MATCH(C$1,'2-3 引出列表'!$A$1:$CD$1,0)),""))</f>
        <v>63536.29</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2025-04-17</v>
      </c>
      <c r="F38" t="str">
        <f t="shared" si="0"/>
        <v>2025-04</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XHWZ-Z-2025-00011</v>
      </c>
      <c r="I38" t="str">
        <f>IF(ISBLANK(IFERROR(INDEX('2-3 引出列表'!$A$2:$CE$8700,$A38,MATCH(I$1,'2-3 引出列表'!$A$1:$CD$1,0)),"")),"",IFERROR(INDEX('2-3 引出列表'!$A$2:$CE$8700,$A38,MATCH(I$1,'2-3 引出列表'!$A$1:$CD$1,0)),""))</f>
        <v>金采易购</v>
      </c>
    </row>
    <row r="39" spans="1:9">
      <c r="A39">
        <v>38</v>
      </c>
      <c r="B39" t="str">
        <f>IF(ISBLANK(IFERROR(INDEX('2-3 引出列表'!$A$2:$CE$8700,$A39,MATCH(B$1,'2-3 引出列表'!$A$1:$CD$1,0)),"")),"",IFERROR(INDEX('2-3 引出列表'!$A$2:$CE$8700,$A39,MATCH(B$1,'2-3 引出列表'!$A$1:$CD$1,0)),""))</f>
        <v>FK250417000294</v>
      </c>
      <c r="C39">
        <f>IF(ISBLANK(IFERROR(INDEX('2-3 引出列表'!$A$2:$CE$8700,$A39,MATCH(C$1,'2-3 引出列表'!$A$1:$CD$1,0)),"")),"",IFERROR(INDEX('2-3 引出列表'!$A$2:$CE$8700,$A39,MATCH(C$1,'2-3 引出列表'!$A$1:$CD$1,0)),""))</f>
        <v>63536.29</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2025-04-17</v>
      </c>
      <c r="F39" t="str">
        <f t="shared" si="0"/>
        <v>2025-04</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XHWZ-Z-2025-00011</v>
      </c>
      <c r="I39" t="str">
        <f>IF(ISBLANK(IFERROR(INDEX('2-3 引出列表'!$A$2:$CE$8700,$A39,MATCH(I$1,'2-3 引出列表'!$A$1:$CD$1,0)),"")),"",IFERROR(INDEX('2-3 引出列表'!$A$2:$CE$8700,$A39,MATCH(I$1,'2-3 引出列表'!$A$1:$CD$1,0)),""))</f>
        <v>金采易购</v>
      </c>
    </row>
    <row r="40" spans="1:9">
      <c r="A40">
        <v>39</v>
      </c>
      <c r="B40" t="str">
        <f>IF(ISBLANK(IFERROR(INDEX('2-3 引出列表'!$A$2:$CE$8700,$A40,MATCH(B$1,'2-3 引出列表'!$A$1:$CD$1,0)),"")),"",IFERROR(INDEX('2-3 引出列表'!$A$2:$CE$8700,$A40,MATCH(B$1,'2-3 引出列表'!$A$1:$CD$1,0)),""))</f>
        <v>FK250417000294</v>
      </c>
      <c r="C40">
        <f>IF(ISBLANK(IFERROR(INDEX('2-3 引出列表'!$A$2:$CE$8700,$A40,MATCH(C$1,'2-3 引出列表'!$A$1:$CD$1,0)),"")),"",IFERROR(INDEX('2-3 引出列表'!$A$2:$CE$8700,$A40,MATCH(C$1,'2-3 引出列表'!$A$1:$CD$1,0)),""))</f>
        <v>63536.29</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2025-04-17</v>
      </c>
      <c r="F40" t="str">
        <f t="shared" si="0"/>
        <v>2025-04</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XHWZ-Z-2025-00011</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FK250417000294</v>
      </c>
      <c r="C41">
        <f>IF(ISBLANK(IFERROR(INDEX('2-3 引出列表'!$A$2:$CE$8700,$A41,MATCH(C$1,'2-3 引出列表'!$A$1:$CD$1,0)),"")),"",IFERROR(INDEX('2-3 引出列表'!$A$2:$CE$8700,$A41,MATCH(C$1,'2-3 引出列表'!$A$1:$CD$1,0)),""))</f>
        <v>63536.29</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2025-04-17</v>
      </c>
      <c r="F41" t="str">
        <f t="shared" si="0"/>
        <v>2025-04</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XHWZ-Z-2025-00011</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FK250417000294</v>
      </c>
      <c r="C42">
        <f>IF(ISBLANK(IFERROR(INDEX('2-3 引出列表'!$A$2:$CE$8700,$A42,MATCH(C$1,'2-3 引出列表'!$A$1:$CD$1,0)),"")),"",IFERROR(INDEX('2-3 引出列表'!$A$2:$CE$8700,$A42,MATCH(C$1,'2-3 引出列表'!$A$1:$CD$1,0)),""))</f>
        <v>63536.29</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2025-04-17</v>
      </c>
      <c r="F42" t="str">
        <f t="shared" si="0"/>
        <v>2025-04</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XHWZ-Z-2025-00011</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FK250417000294</v>
      </c>
      <c r="C43">
        <f>IF(ISBLANK(IFERROR(INDEX('2-3 引出列表'!$A$2:$CE$8700,$A43,MATCH(C$1,'2-3 引出列表'!$A$1:$CD$1,0)),"")),"",IFERROR(INDEX('2-3 引出列表'!$A$2:$CE$8700,$A43,MATCH(C$1,'2-3 引出列表'!$A$1:$CD$1,0)),""))</f>
        <v>63536.29</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2025-04-17</v>
      </c>
      <c r="F43" t="str">
        <f t="shared" si="0"/>
        <v>2025-04</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XHWZ-Z-2025-00011</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FK250417000294</v>
      </c>
      <c r="C44">
        <f>IF(ISBLANK(IFERROR(INDEX('2-3 引出列表'!$A$2:$CE$8700,$A44,MATCH(C$1,'2-3 引出列表'!$A$1:$CD$1,0)),"")),"",IFERROR(INDEX('2-3 引出列表'!$A$2:$CE$8700,$A44,MATCH(C$1,'2-3 引出列表'!$A$1:$CD$1,0)),""))</f>
        <v>63536.29</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2025-04-17</v>
      </c>
      <c r="F44" t="str">
        <f t="shared" si="0"/>
        <v>2025-04</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XHWZ-Z-2025-00011</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FK250417000294</v>
      </c>
      <c r="C45">
        <f>IF(ISBLANK(IFERROR(INDEX('2-3 引出列表'!$A$2:$CE$8700,$A45,MATCH(C$1,'2-3 引出列表'!$A$1:$CD$1,0)),"")),"",IFERROR(INDEX('2-3 引出列表'!$A$2:$CE$8700,$A45,MATCH(C$1,'2-3 引出列表'!$A$1:$CD$1,0)),""))</f>
        <v>63536.29</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2025-04-17</v>
      </c>
      <c r="F45" t="str">
        <f t="shared" si="0"/>
        <v>2025-04</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XHWZ-Z-2025-00011</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FK250417000294</v>
      </c>
      <c r="C46">
        <f>IF(ISBLANK(IFERROR(INDEX('2-3 引出列表'!$A$2:$CE$8700,$A46,MATCH(C$1,'2-3 引出列表'!$A$1:$CD$1,0)),"")),"",IFERROR(INDEX('2-3 引出列表'!$A$2:$CE$8700,$A46,MATCH(C$1,'2-3 引出列表'!$A$1:$CD$1,0)),""))</f>
        <v>63536.29</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2025-04-17</v>
      </c>
      <c r="F46" t="str">
        <f t="shared" si="0"/>
        <v>2025-04</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XHWZ-Z-2025-00011</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FK250417000294</v>
      </c>
      <c r="C47">
        <f>IF(ISBLANK(IFERROR(INDEX('2-3 引出列表'!$A$2:$CE$8700,$A47,MATCH(C$1,'2-3 引出列表'!$A$1:$CD$1,0)),"")),"",IFERROR(INDEX('2-3 引出列表'!$A$2:$CE$8700,$A47,MATCH(C$1,'2-3 引出列表'!$A$1:$CD$1,0)),""))</f>
        <v>63536.29</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2025-04-17</v>
      </c>
      <c r="F47" t="str">
        <f t="shared" si="0"/>
        <v>2025-04</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XHWZ-Z-2025-00011</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FK250417000294</v>
      </c>
      <c r="C48">
        <f>IF(ISBLANK(IFERROR(INDEX('2-3 引出列表'!$A$2:$CE$8700,$A48,MATCH(C$1,'2-3 引出列表'!$A$1:$CD$1,0)),"")),"",IFERROR(INDEX('2-3 引出列表'!$A$2:$CE$8700,$A48,MATCH(C$1,'2-3 引出列表'!$A$1:$CD$1,0)),""))</f>
        <v>63536.29</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2025-04-17</v>
      </c>
      <c r="F48" t="str">
        <f t="shared" si="0"/>
        <v>2025-04</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XHWZ-Z-2025-00011</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FK250417000294</v>
      </c>
      <c r="C49">
        <f>IF(ISBLANK(IFERROR(INDEX('2-3 引出列表'!$A$2:$CE$8700,$A49,MATCH(C$1,'2-3 引出列表'!$A$1:$CD$1,0)),"")),"",IFERROR(INDEX('2-3 引出列表'!$A$2:$CE$8700,$A49,MATCH(C$1,'2-3 引出列表'!$A$1:$CD$1,0)),""))</f>
        <v>63536.29</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2025-04-17</v>
      </c>
      <c r="F49" t="str">
        <f t="shared" si="0"/>
        <v>2025-04</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XHWZ-Z-2025-00011</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FK250417000294</v>
      </c>
      <c r="C50">
        <f>IF(ISBLANK(IFERROR(INDEX('2-3 引出列表'!$A$2:$CE$8700,$A50,MATCH(C$1,'2-3 引出列表'!$A$1:$CD$1,0)),"")),"",IFERROR(INDEX('2-3 引出列表'!$A$2:$CE$8700,$A50,MATCH(C$1,'2-3 引出列表'!$A$1:$CD$1,0)),""))</f>
        <v>63536.29</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2025-04-17</v>
      </c>
      <c r="F50" t="str">
        <f t="shared" si="0"/>
        <v>2025-04</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XHWZ-Z-2025-00011</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FK250417000294</v>
      </c>
      <c r="C51">
        <f>IF(ISBLANK(IFERROR(INDEX('2-3 引出列表'!$A$2:$CE$8700,$A51,MATCH(C$1,'2-3 引出列表'!$A$1:$CD$1,0)),"")),"",IFERROR(INDEX('2-3 引出列表'!$A$2:$CE$8700,$A51,MATCH(C$1,'2-3 引出列表'!$A$1:$CD$1,0)),""))</f>
        <v>63536.29</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2025-04-17</v>
      </c>
      <c r="F51" t="str">
        <f t="shared" si="0"/>
        <v>2025-04</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XHWZ-Z-2025-00011</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FK250417000294</v>
      </c>
      <c r="C52">
        <f>IF(ISBLANK(IFERROR(INDEX('2-3 引出列表'!$A$2:$CE$8700,$A52,MATCH(C$1,'2-3 引出列表'!$A$1:$CD$1,0)),"")),"",IFERROR(INDEX('2-3 引出列表'!$A$2:$CE$8700,$A52,MATCH(C$1,'2-3 引出列表'!$A$1:$CD$1,0)),""))</f>
        <v>63536.29</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2025-04-17</v>
      </c>
      <c r="F52" t="str">
        <f t="shared" si="0"/>
        <v>2025-04</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XHWZ-Z-2025-00011</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FK250417000294</v>
      </c>
      <c r="C53">
        <f>IF(ISBLANK(IFERROR(INDEX('2-3 引出列表'!$A$2:$CE$8700,$A53,MATCH(C$1,'2-3 引出列表'!$A$1:$CD$1,0)),"")),"",IFERROR(INDEX('2-3 引出列表'!$A$2:$CE$8700,$A53,MATCH(C$1,'2-3 引出列表'!$A$1:$CD$1,0)),""))</f>
        <v>63536.29</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2025-04-17</v>
      </c>
      <c r="F53" t="str">
        <f t="shared" si="0"/>
        <v>2025-04</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XHWZ-Z-2025-00011</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FK250417000294</v>
      </c>
      <c r="C54">
        <f>IF(ISBLANK(IFERROR(INDEX('2-3 引出列表'!$A$2:$CE$8700,$A54,MATCH(C$1,'2-3 引出列表'!$A$1:$CD$1,0)),"")),"",IFERROR(INDEX('2-3 引出列表'!$A$2:$CE$8700,$A54,MATCH(C$1,'2-3 引出列表'!$A$1:$CD$1,0)),""))</f>
        <v>63536.29</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2025-04-17</v>
      </c>
      <c r="F54" t="str">
        <f t="shared" si="0"/>
        <v>2025-04</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XHWZ-Z-2025-00011</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FK250414000760</v>
      </c>
      <c r="C55">
        <f>IF(ISBLANK(IFERROR(INDEX('2-3 引出列表'!$A$2:$CE$8700,$A55,MATCH(C$1,'2-3 引出列表'!$A$1:$CD$1,0)),"")),"",IFERROR(INDEX('2-3 引出列表'!$A$2:$CE$8700,$A55,MATCH(C$1,'2-3 引出列表'!$A$1:$CD$1,0)),""))</f>
        <v>15260</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2025-04-14</v>
      </c>
      <c r="F55" t="str">
        <f t="shared" si="0"/>
        <v>2025-04</v>
      </c>
      <c r="G55" t="str">
        <f>IF(ISBLANK(IFERROR(INDEX('2-3 引出列表'!$A$2:$CE$8700,$A55,MATCH(G$1,'2-3 引出列表'!$A$1:$CD$1,0)),"")),"",IFERROR(INDEX('2-3 引出列表'!$A$2:$CE$8700,$A55,MATCH(G$1,'2-3 引出列表'!$A$1:$CD$1,0)),""))</f>
        <v>社区及业委会费用.社区文化费用</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FK250414000742</v>
      </c>
      <c r="C56">
        <f>IF(ISBLANK(IFERROR(INDEX('2-3 引出列表'!$A$2:$CE$8700,$A56,MATCH(C$1,'2-3 引出列表'!$A$1:$CD$1,0)),"")),"",IFERROR(INDEX('2-3 引出列表'!$A$2:$CE$8700,$A56,MATCH(C$1,'2-3 引出列表'!$A$1:$CD$1,0)),""))</f>
        <v>47100</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2025-04-14</v>
      </c>
      <c r="F56" t="str">
        <f t="shared" si="0"/>
        <v>2025-04</v>
      </c>
      <c r="G56" t="str">
        <f>IF(ISBLANK(IFERROR(INDEX('2-3 引出列表'!$A$2:$CE$8700,$A56,MATCH(G$1,'2-3 引出列表'!$A$1:$CD$1,0)),"")),"",IFERROR(INDEX('2-3 引出列表'!$A$2:$CE$8700,$A56,MATCH(G$1,'2-3 引出列表'!$A$1:$CD$1,0)),""))</f>
        <v>社区及业委会费用.社区文化费用</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FK250411000693</v>
      </c>
      <c r="C57">
        <f>IF(ISBLANK(IFERROR(INDEX('2-3 引出列表'!$A$2:$CE$8700,$A57,MATCH(C$1,'2-3 引出列表'!$A$1:$CD$1,0)),"")),"",IFERROR(INDEX('2-3 引出列表'!$A$2:$CE$8700,$A57,MATCH(C$1,'2-3 引出列表'!$A$1:$CD$1,0)),""))</f>
        <v>8400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2025-04-11</v>
      </c>
      <c r="F57" t="str">
        <f t="shared" si="0"/>
        <v>2025-04</v>
      </c>
      <c r="G57" t="str">
        <f>IF(ISBLANK(IFERROR(INDEX('2-3 引出列表'!$A$2:$CE$8700,$A57,MATCH(G$1,'2-3 引出列表'!$A$1:$CD$1,0)),"")),"",IFERROR(INDEX('2-3 引出列表'!$A$2:$CE$8700,$A57,MATCH(G$1,'2-3 引出列表'!$A$1:$CD$1,0)),""))</f>
        <v>外包服务费.电梯维保外包</v>
      </c>
      <c r="H57" t="str">
        <f>IF(ISBLANK(IFERROR(INDEX('2-3 引出列表'!$A$2:$CE$8700,$A57,MATCH(H$1,'2-3 引出列表'!$A$1:$CD$1,0)),"")),"",IFERROR(INDEX('2-3 引出列表'!$A$2:$CE$8700,$A57,MATCH(H$1,'2-3 引出列表'!$A$1:$CD$1,0)),""))</f>
        <v>GCFW-Z-2024-7051</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FK250411000663</v>
      </c>
      <c r="C58">
        <f>IF(ISBLANK(IFERROR(INDEX('2-3 引出列表'!$A$2:$CE$8700,$A58,MATCH(C$1,'2-3 引出列表'!$A$1:$CD$1,0)),"")),"",IFERROR(INDEX('2-3 引出列表'!$A$2:$CE$8700,$A58,MATCH(C$1,'2-3 引出列表'!$A$1:$CD$1,0)),""))</f>
        <v>7900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2025-04-11</v>
      </c>
      <c r="F58" t="str">
        <f t="shared" si="0"/>
        <v>2025-04</v>
      </c>
      <c r="G58" t="str">
        <f>IF(ISBLANK(IFERROR(INDEX('2-3 引出列表'!$A$2:$CE$8700,$A58,MATCH(G$1,'2-3 引出列表'!$A$1:$CD$1,0)),"")),"",IFERROR(INDEX('2-3 引出列表'!$A$2:$CE$8700,$A58,MATCH(G$1,'2-3 引出列表'!$A$1:$CD$1,0)),""))</f>
        <v>外包服务费.保洁外包</v>
      </c>
      <c r="H58" t="str">
        <f>IF(ISBLANK(IFERROR(INDEX('2-3 引出列表'!$A$2:$CE$8700,$A58,MATCH(H$1,'2-3 引出列表'!$A$1:$CD$1,0)),"")),"",IFERROR(INDEX('2-3 引出列表'!$A$2:$CE$8700,$A58,MATCH(H$1,'2-3 引出列表'!$A$1:$CD$1,0)),""))</f>
        <v>GCFW-Z-2024-7045</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FK250410000716</v>
      </c>
      <c r="C59">
        <f>IF(ISBLANK(IFERROR(INDEX('2-3 引出列表'!$A$2:$CE$8700,$A59,MATCH(C$1,'2-3 引出列表'!$A$1:$CD$1,0)),"")),"",IFERROR(INDEX('2-3 引出列表'!$A$2:$CE$8700,$A59,MATCH(C$1,'2-3 引出列表'!$A$1:$CD$1,0)),""))</f>
        <v>780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2025-04-10</v>
      </c>
      <c r="F59" t="str">
        <f t="shared" si="0"/>
        <v>2025-04</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FK250410000681</v>
      </c>
      <c r="C60">
        <f>IF(ISBLANK(IFERROR(INDEX('2-3 引出列表'!$A$2:$CE$8700,$A60,MATCH(C$1,'2-3 引出列表'!$A$1:$CD$1,0)),"")),"",IFERROR(INDEX('2-3 引出列表'!$A$2:$CE$8700,$A60,MATCH(C$1,'2-3 引出列表'!$A$1:$CD$1,0)),""))</f>
        <v>16892</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2025-04-10</v>
      </c>
      <c r="F60" t="str">
        <f t="shared" si="0"/>
        <v>2025-04</v>
      </c>
      <c r="G60" t="str">
        <f>IF(ISBLANK(IFERROR(INDEX('2-3 引出列表'!$A$2:$CE$8700,$A60,MATCH(G$1,'2-3 引出列表'!$A$1:$CD$1,0)),"")),"",IFERROR(INDEX('2-3 引出列表'!$A$2:$CE$8700,$A60,MATCH(G$1,'2-3 引出列表'!$A$1:$CD$1,0)),""))</f>
        <v>物料消耗.物料消耗</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金采易购</v>
      </c>
    </row>
    <row r="61" spans="1:9">
      <c r="A61">
        <v>60</v>
      </c>
      <c r="B61" t="str">
        <f>IF(ISBLANK(IFERROR(INDEX('2-3 引出列表'!$A$2:$CE$8700,$A61,MATCH(B$1,'2-3 引出列表'!$A$1:$CD$1,0)),"")),"",IFERROR(INDEX('2-3 引出列表'!$A$2:$CE$8700,$A61,MATCH(B$1,'2-3 引出列表'!$A$1:$CD$1,0)),""))</f>
        <v>FK250409000256</v>
      </c>
      <c r="C61">
        <f>IF(ISBLANK(IFERROR(INDEX('2-3 引出列表'!$A$2:$CE$8700,$A61,MATCH(C$1,'2-3 引出列表'!$A$1:$CD$1,0)),"")),"",IFERROR(INDEX('2-3 引出列表'!$A$2:$CE$8700,$A61,MATCH(C$1,'2-3 引出列表'!$A$1:$CD$1,0)),""))</f>
        <v>13000</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2025-04-09</v>
      </c>
      <c r="F61" t="str">
        <f t="shared" si="0"/>
        <v>2025-04</v>
      </c>
      <c r="G61" t="str">
        <f>IF(ISBLANK(IFERROR(INDEX('2-3 引出列表'!$A$2:$CE$8700,$A61,MATCH(G$1,'2-3 引出列表'!$A$1:$CD$1,0)),"")),"",IFERROR(INDEX('2-3 引出列表'!$A$2:$CE$8700,$A61,MATCH(G$1,'2-3 引出列表'!$A$1:$CD$1,0)),""))</f>
        <v>外包服务费.电梯维保外包</v>
      </c>
      <c r="H61" t="str">
        <f>IF(ISBLANK(IFERROR(INDEX('2-3 引出列表'!$A$2:$CE$8700,$A61,MATCH(H$1,'2-3 引出列表'!$A$1:$CD$1,0)),"")),"",IFERROR(INDEX('2-3 引出列表'!$A$2:$CE$8700,$A61,MATCH(H$1,'2-3 引出列表'!$A$1:$CD$1,0)),""))</f>
        <v>GCFW-Z-2024-6604</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FK250409000232</v>
      </c>
      <c r="C62">
        <f>IF(ISBLANK(IFERROR(INDEX('2-3 引出列表'!$A$2:$CE$8700,$A62,MATCH(C$1,'2-3 引出列表'!$A$1:$CD$1,0)),"")),"",IFERROR(INDEX('2-3 引出列表'!$A$2:$CE$8700,$A62,MATCH(C$1,'2-3 引出列表'!$A$1:$CD$1,0)),""))</f>
        <v>7900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2025-04-09</v>
      </c>
      <c r="F62" t="str">
        <f t="shared" si="0"/>
        <v>2025-04</v>
      </c>
      <c r="G62" t="str">
        <f>IF(ISBLANK(IFERROR(INDEX('2-3 引出列表'!$A$2:$CE$8700,$A62,MATCH(G$1,'2-3 引出列表'!$A$1:$CD$1,0)),"")),"",IFERROR(INDEX('2-3 引出列表'!$A$2:$CE$8700,$A62,MATCH(G$1,'2-3 引出列表'!$A$1:$CD$1,0)),""))</f>
        <v>外包服务费.保洁外包</v>
      </c>
      <c r="H62" t="str">
        <f>IF(ISBLANK(IFERROR(INDEX('2-3 引出列表'!$A$2:$CE$8700,$A62,MATCH(H$1,'2-3 引出列表'!$A$1:$CD$1,0)),"")),"",IFERROR(INDEX('2-3 引出列表'!$A$2:$CE$8700,$A62,MATCH(H$1,'2-3 引出列表'!$A$1:$CD$1,0)),""))</f>
        <v>GCFW-Z-2024-7045</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FK250402000782</v>
      </c>
      <c r="C63">
        <f>IF(ISBLANK(IFERROR(INDEX('2-3 引出列表'!$A$2:$CE$8700,$A63,MATCH(C$1,'2-3 引出列表'!$A$1:$CD$1,0)),"")),"",IFERROR(INDEX('2-3 引出列表'!$A$2:$CE$8700,$A63,MATCH(C$1,'2-3 引出列表'!$A$1:$CD$1,0)),""))</f>
        <v>8400</v>
      </c>
      <c r="D63" t="str">
        <f>IF(ISBLANK(IFERROR(INDEX('2-3 引出列表'!$A$2:$CE$8700,$A63,MATCH(D$1,'2-3 引出列表'!$A$1:$CD$1,0)),"")),"",IFERROR(INDEX('2-3 引出列表'!$A$2:$CE$8700,$A63,MATCH(D$1,'2-3 引出列表'!$A$1:$CD$1,0)),""))</f>
        <v>已审核</v>
      </c>
      <c r="E63" t="str">
        <f>IF(ISBLANK(IFERROR(INDEX('2-3 引出列表'!$A$2:$CE$8700,$A63,MATCH(E$1,'2-3 引出列表'!$A$1:$CD$1,0)),"")),"",IFERROR(INDEX('2-3 引出列表'!$A$2:$CE$8700,$A63,MATCH(E$1,'2-3 引出列表'!$A$1:$CD$1,0)),""))</f>
        <v>2025-04-02</v>
      </c>
      <c r="F63" t="str">
        <f t="shared" si="0"/>
        <v>2025-04</v>
      </c>
      <c r="G63" t="str">
        <f>IF(ISBLANK(IFERROR(INDEX('2-3 引出列表'!$A$2:$CE$8700,$A63,MATCH(G$1,'2-3 引出列表'!$A$1:$CD$1,0)),"")),"",IFERROR(INDEX('2-3 引出列表'!$A$2:$CE$8700,$A63,MATCH(G$1,'2-3 引出列表'!$A$1:$CD$1,0)),""))</f>
        <v>外包服务费.电梯维保外包</v>
      </c>
      <c r="H63" t="str">
        <f>IF(ISBLANK(IFERROR(INDEX('2-3 引出列表'!$A$2:$CE$8700,$A63,MATCH(H$1,'2-3 引出列表'!$A$1:$CD$1,0)),"")),"",IFERROR(INDEX('2-3 引出列表'!$A$2:$CE$8700,$A63,MATCH(H$1,'2-3 引出列表'!$A$1:$CD$1,0)),""))</f>
        <v>GCFW-Z-2024-7051</v>
      </c>
      <c r="I63" t="str">
        <f>IF(ISBLANK(IFERROR(INDEX('2-3 引出列表'!$A$2:$CE$8700,$A63,MATCH(I$1,'2-3 引出列表'!$A$1:$CD$1,0)),"")),"",IFERROR(INDEX('2-3 引出列表'!$A$2:$CE$8700,$A63,MATCH(I$1,'2-3 引出列表'!$A$1:$CD$1,0)),""))</f>
        <v>金采易购</v>
      </c>
    </row>
    <row r="64" spans="1:9">
      <c r="A64">
        <v>63</v>
      </c>
      <c r="B64" t="str">
        <f>IF(ISBLANK(IFERROR(INDEX('2-3 引出列表'!$A$2:$CE$8700,$A64,MATCH(B$1,'2-3 引出列表'!$A$1:$CD$1,0)),"")),"",IFERROR(INDEX('2-3 引出列表'!$A$2:$CE$8700,$A64,MATCH(B$1,'2-3 引出列表'!$A$1:$CD$1,0)),""))</f>
        <v>FK250320000738</v>
      </c>
      <c r="C64">
        <f>IF(ISBLANK(IFERROR(INDEX('2-3 引出列表'!$A$2:$CE$8700,$A64,MATCH(C$1,'2-3 引出列表'!$A$1:$CD$1,0)),"")),"",IFERROR(INDEX('2-3 引出列表'!$A$2:$CE$8700,$A64,MATCH(C$1,'2-3 引出列表'!$A$1:$CD$1,0)),""))</f>
        <v>23818.9</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2025-03-20</v>
      </c>
      <c r="F64" t="str">
        <f t="shared" si="0"/>
        <v>2025-03</v>
      </c>
      <c r="G64" t="str">
        <f>IF(ISBLANK(IFERROR(INDEX('2-3 引出列表'!$A$2:$CE$8700,$A64,MATCH(G$1,'2-3 引出列表'!$A$1:$CD$1,0)),"")),"",IFERROR(INDEX('2-3 引出列表'!$A$2:$CE$8700,$A64,MATCH(G$1,'2-3 引出列表'!$A$1:$CD$1,0)),""))</f>
        <v>物料消耗.物料消耗</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FK250317000701</v>
      </c>
      <c r="C65">
        <f>IF(ISBLANK(IFERROR(INDEX('2-3 引出列表'!$A$2:$CE$8700,$A65,MATCH(C$1,'2-3 引出列表'!$A$1:$CD$1,0)),"")),"",IFERROR(INDEX('2-3 引出列表'!$A$2:$CE$8700,$A65,MATCH(C$1,'2-3 引出列表'!$A$1:$CD$1,0)),""))</f>
        <v>474.6</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2025-03-17</v>
      </c>
      <c r="F65" t="str">
        <f t="shared" si="0"/>
        <v>2025-03</v>
      </c>
      <c r="G65" t="str">
        <f>IF(ISBLANK(IFERROR(INDEX('2-3 引出列表'!$A$2:$CE$8700,$A65,MATCH(G$1,'2-3 引出列表'!$A$1:$CD$1,0)),"")),"",IFERROR(INDEX('2-3 引出列表'!$A$2:$CE$8700,$A65,MATCH(G$1,'2-3 引出列表'!$A$1:$CD$1,0)),""))</f>
        <v>物料消耗.物料消耗</v>
      </c>
      <c r="H65" t="str">
        <f>IF(ISBLANK(IFERROR(INDEX('2-3 引出列表'!$A$2:$CE$8700,$A65,MATCH(H$1,'2-3 引出列表'!$A$1:$CD$1,0)),"")),"",IFERROR(INDEX('2-3 引出列表'!$A$2:$CE$8700,$A65,MATCH(H$1,'2-3 引出列表'!$A$1:$CD$1,0)),""))</f>
        <v>ZB20220428JCWZ01</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FK250317000701</v>
      </c>
      <c r="C66">
        <f>IF(ISBLANK(IFERROR(INDEX('2-3 引出列表'!$A$2:$CE$8700,$A66,MATCH(C$1,'2-3 引出列表'!$A$1:$CD$1,0)),"")),"",IFERROR(INDEX('2-3 引出列表'!$A$2:$CE$8700,$A66,MATCH(C$1,'2-3 引出列表'!$A$1:$CD$1,0)),""))</f>
        <v>474.6</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2025-03-17</v>
      </c>
      <c r="F66" t="str">
        <f t="shared" ref="F66:F129" si="1">LEFT(E66,7)</f>
        <v>2025-03</v>
      </c>
      <c r="G66" t="str">
        <f>IF(ISBLANK(IFERROR(INDEX('2-3 引出列表'!$A$2:$CE$8700,$A66,MATCH(G$1,'2-3 引出列表'!$A$1:$CD$1,0)),"")),"",IFERROR(INDEX('2-3 引出列表'!$A$2:$CE$8700,$A66,MATCH(G$1,'2-3 引出列表'!$A$1:$CD$1,0)),""))</f>
        <v>物料消耗.物料消耗</v>
      </c>
      <c r="H66" t="str">
        <f>IF(ISBLANK(IFERROR(INDEX('2-3 引出列表'!$A$2:$CE$8700,$A66,MATCH(H$1,'2-3 引出列表'!$A$1:$CD$1,0)),"")),"",IFERROR(INDEX('2-3 引出列表'!$A$2:$CE$8700,$A66,MATCH(H$1,'2-3 引出列表'!$A$1:$CD$1,0)),""))</f>
        <v>ZB20220428JCWZ01</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FK250317000701</v>
      </c>
      <c r="C67">
        <f>IF(ISBLANK(IFERROR(INDEX('2-3 引出列表'!$A$2:$CE$8700,$A67,MATCH(C$1,'2-3 引出列表'!$A$1:$CD$1,0)),"")),"",IFERROR(INDEX('2-3 引出列表'!$A$2:$CE$8700,$A67,MATCH(C$1,'2-3 引出列表'!$A$1:$CD$1,0)),""))</f>
        <v>474.6</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2025-03-17</v>
      </c>
      <c r="F67" t="str">
        <f t="shared" si="1"/>
        <v>2025-03</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ZB20220428JCWZ01</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FK250317000701</v>
      </c>
      <c r="C68">
        <f>IF(ISBLANK(IFERROR(INDEX('2-3 引出列表'!$A$2:$CE$8700,$A68,MATCH(C$1,'2-3 引出列表'!$A$1:$CD$1,0)),"")),"",IFERROR(INDEX('2-3 引出列表'!$A$2:$CE$8700,$A68,MATCH(C$1,'2-3 引出列表'!$A$1:$CD$1,0)),""))</f>
        <v>474.6</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2025-03-17</v>
      </c>
      <c r="F68" t="str">
        <f t="shared" si="1"/>
        <v>2025-03</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ZB20220428JCWZ01</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
      </c>
      <c r="C69">
        <f>IF(ISBLANK(IFERROR(INDEX('2-3 引出列表'!$A$2:$CE$8700,$A69,MATCH(C$1,'2-3 引出列表'!$A$1:$CD$1,0)),"")),"",IFERROR(INDEX('2-3 引出列表'!$A$2:$CE$8700,$A69,MATCH(C$1,'2-3 引出列表'!$A$1:$CD$1,0)),""))</f>
        <v>20000</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2025-03-17</v>
      </c>
      <c r="F69" t="str">
        <f t="shared" si="1"/>
        <v>2025-03</v>
      </c>
      <c r="G69" t="str">
        <f>IF(ISBLANK(IFERROR(INDEX('2-3 引出列表'!$A$2:$CE$8700,$A69,MATCH(G$1,'2-3 引出列表'!$A$1:$CD$1,0)),"")),"",IFERROR(INDEX('2-3 引出列表'!$A$2:$CE$8700,$A69,MATCH(G$1,'2-3 引出列表'!$A$1:$CD$1,0)),""))</f>
        <v>借款.项目备用金</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
      </c>
    </row>
    <row r="70" spans="1:9">
      <c r="A70">
        <v>69</v>
      </c>
      <c r="B70" t="str">
        <f>IF(ISBLANK(IFERROR(INDEX('2-3 引出列表'!$A$2:$CE$8700,$A70,MATCH(B$1,'2-3 引出列表'!$A$1:$CD$1,0)),"")),"",IFERROR(INDEX('2-3 引出列表'!$A$2:$CE$8700,$A70,MATCH(B$1,'2-3 引出列表'!$A$1:$CD$1,0)),""))</f>
        <v>FK250314000358</v>
      </c>
      <c r="C70">
        <f>IF(ISBLANK(IFERROR(INDEX('2-3 引出列表'!$A$2:$CE$8700,$A70,MATCH(C$1,'2-3 引出列表'!$A$1:$CD$1,0)),"")),"",IFERROR(INDEX('2-3 引出列表'!$A$2:$CE$8700,$A70,MATCH(C$1,'2-3 引出列表'!$A$1:$CD$1,0)),""))</f>
        <v>7900</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2025-03-14</v>
      </c>
      <c r="F70" t="str">
        <f t="shared" si="1"/>
        <v>2025-03</v>
      </c>
      <c r="G70" t="str">
        <f>IF(ISBLANK(IFERROR(INDEX('2-3 引出列表'!$A$2:$CE$8700,$A70,MATCH(G$1,'2-3 引出列表'!$A$1:$CD$1,0)),"")),"",IFERROR(INDEX('2-3 引出列表'!$A$2:$CE$8700,$A70,MATCH(G$1,'2-3 引出列表'!$A$1:$CD$1,0)),""))</f>
        <v>外包服务费.保洁外包</v>
      </c>
      <c r="H70" t="str">
        <f>IF(ISBLANK(IFERROR(INDEX('2-3 引出列表'!$A$2:$CE$8700,$A70,MATCH(H$1,'2-3 引出列表'!$A$1:$CD$1,0)),"")),"",IFERROR(INDEX('2-3 引出列表'!$A$2:$CE$8700,$A70,MATCH(H$1,'2-3 引出列表'!$A$1:$CD$1,0)),""))</f>
        <v>GCFW-Z-2024-7045</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
      </c>
      <c r="C71">
        <f>IF(ISBLANK(IFERROR(INDEX('2-3 引出列表'!$A$2:$CE$8700,$A71,MATCH(C$1,'2-3 引出列表'!$A$1:$CD$1,0)),"")),"",IFERROR(INDEX('2-3 引出列表'!$A$2:$CE$8700,$A71,MATCH(C$1,'2-3 引出列表'!$A$1:$CD$1,0)),""))</f>
        <v>3000</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2025-03-13</v>
      </c>
      <c r="F71" t="str">
        <f t="shared" si="1"/>
        <v>2025-03</v>
      </c>
      <c r="G71" t="str">
        <f>IF(ISBLANK(IFERROR(INDEX('2-3 引出列表'!$A$2:$CE$8700,$A71,MATCH(G$1,'2-3 引出列表'!$A$1:$CD$1,0)),"")),"",IFERROR(INDEX('2-3 引出列表'!$A$2:$CE$8700,$A71,MATCH(G$1,'2-3 引出列表'!$A$1:$CD$1,0)),""))</f>
        <v>业务活动.市内交通费</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
      </c>
    </row>
    <row r="72" spans="1:9">
      <c r="A72">
        <v>71</v>
      </c>
      <c r="B72" t="str">
        <f>IF(ISBLANK(IFERROR(INDEX('2-3 引出列表'!$A$2:$CE$8700,$A72,MATCH(B$1,'2-3 引出列表'!$A$1:$CD$1,0)),"")),"",IFERROR(INDEX('2-3 引出列表'!$A$2:$CE$8700,$A72,MATCH(B$1,'2-3 引出列表'!$A$1:$CD$1,0)),""))</f>
        <v>FK250312000913</v>
      </c>
      <c r="C72">
        <f>IF(ISBLANK(IFERROR(INDEX('2-3 引出列表'!$A$2:$CE$8700,$A72,MATCH(C$1,'2-3 引出列表'!$A$1:$CD$1,0)),"")),"",IFERROR(INDEX('2-3 引出列表'!$A$2:$CE$8700,$A72,MATCH(C$1,'2-3 引出列表'!$A$1:$CD$1,0)),""))</f>
        <v>34200</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2025-03-12</v>
      </c>
      <c r="F72" t="str">
        <f t="shared" si="1"/>
        <v>2025-03</v>
      </c>
      <c r="G72" t="str">
        <f>IF(ISBLANK(IFERROR(INDEX('2-3 引出列表'!$A$2:$CE$8700,$A72,MATCH(G$1,'2-3 引出列表'!$A$1:$CD$1,0)),"")),"",IFERROR(INDEX('2-3 引出列表'!$A$2:$CE$8700,$A72,MATCH(G$1,'2-3 引出列表'!$A$1:$CD$1,0)),""))</f>
        <v>外包服务费.保洁外包</v>
      </c>
      <c r="H72" t="str">
        <f>IF(ISBLANK(IFERROR(INDEX('2-3 引出列表'!$A$2:$CE$8700,$A72,MATCH(H$1,'2-3 引出列表'!$A$1:$CD$1,0)),"")),"",IFERROR(INDEX('2-3 引出列表'!$A$2:$CE$8700,$A72,MATCH(H$1,'2-3 引出列表'!$A$1:$CD$1,0)),""))</f>
        <v>HJFW-Z-2025-00534</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FK250312000826</v>
      </c>
      <c r="C73">
        <f>IF(ISBLANK(IFERROR(INDEX('2-3 引出列表'!$A$2:$CE$8700,$A73,MATCH(C$1,'2-3 引出列表'!$A$1:$CD$1,0)),"")),"",IFERROR(INDEX('2-3 引出列表'!$A$2:$CE$8700,$A73,MATCH(C$1,'2-3 引出列表'!$A$1:$CD$1,0)),""))</f>
        <v>5950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2025-03-12</v>
      </c>
      <c r="F73" t="str">
        <f t="shared" si="1"/>
        <v>2025-03</v>
      </c>
      <c r="G73" t="str">
        <f>IF(ISBLANK(IFERROR(INDEX('2-3 引出列表'!$A$2:$CE$8700,$A73,MATCH(G$1,'2-3 引出列表'!$A$1:$CD$1,0)),"")),"",IFERROR(INDEX('2-3 引出列表'!$A$2:$CE$8700,$A73,MATCH(G$1,'2-3 引出列表'!$A$1:$CD$1,0)),""))</f>
        <v>物料消耗.物料消耗</v>
      </c>
      <c r="H73" t="str">
        <f>IF(ISBLANK(IFERROR(INDEX('2-3 引出列表'!$A$2:$CE$8700,$A73,MATCH(H$1,'2-3 引出列表'!$A$1:$CD$1,0)),"")),"",IFERROR(INDEX('2-3 引出列表'!$A$2:$CE$8700,$A73,MATCH(H$1,'2-3 引出列表'!$A$1:$CD$1,0)),""))</f>
        <v>XHWZ-Z-2024-0089</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FK250312000353</v>
      </c>
      <c r="C74">
        <f>IF(ISBLANK(IFERROR(INDEX('2-3 引出列表'!$A$2:$CE$8700,$A74,MATCH(C$1,'2-3 引出列表'!$A$1:$CD$1,0)),"")),"",IFERROR(INDEX('2-3 引出列表'!$A$2:$CE$8700,$A74,MATCH(C$1,'2-3 引出列表'!$A$1:$CD$1,0)),""))</f>
        <v>62360</v>
      </c>
      <c r="D74" t="str">
        <f>IF(ISBLANK(IFERROR(INDEX('2-3 引出列表'!$A$2:$CE$8700,$A74,MATCH(D$1,'2-3 引出列表'!$A$1:$CD$1,0)),"")),"",IFERROR(INDEX('2-3 引出列表'!$A$2:$CE$8700,$A74,MATCH(D$1,'2-3 引出列表'!$A$1:$CD$1,0)),""))</f>
        <v>已退单</v>
      </c>
      <c r="E74" t="str">
        <f>IF(ISBLANK(IFERROR(INDEX('2-3 引出列表'!$A$2:$CE$8700,$A74,MATCH(E$1,'2-3 引出列表'!$A$1:$CD$1,0)),"")),"",IFERROR(INDEX('2-3 引出列表'!$A$2:$CE$8700,$A74,MATCH(E$1,'2-3 引出列表'!$A$1:$CD$1,0)),""))</f>
        <v>2025-03-12</v>
      </c>
      <c r="F74" t="str">
        <f t="shared" si="1"/>
        <v>2025-03</v>
      </c>
      <c r="G74" t="str">
        <f>IF(ISBLANK(IFERROR(INDEX('2-3 引出列表'!$A$2:$CE$8700,$A74,MATCH(G$1,'2-3 引出列表'!$A$1:$CD$1,0)),"")),"",IFERROR(INDEX('2-3 引出列表'!$A$2:$CE$8700,$A74,MATCH(G$1,'2-3 引出列表'!$A$1:$CD$1,0)),""))</f>
        <v>社区及业委会费用.社区文化费用</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FK250312000353</v>
      </c>
      <c r="C75">
        <f>IF(ISBLANK(IFERROR(INDEX('2-3 引出列表'!$A$2:$CE$8700,$A75,MATCH(C$1,'2-3 引出列表'!$A$1:$CD$1,0)),"")),"",IFERROR(INDEX('2-3 引出列表'!$A$2:$CE$8700,$A75,MATCH(C$1,'2-3 引出列表'!$A$1:$CD$1,0)),""))</f>
        <v>62360</v>
      </c>
      <c r="D75" t="str">
        <f>IF(ISBLANK(IFERROR(INDEX('2-3 引出列表'!$A$2:$CE$8700,$A75,MATCH(D$1,'2-3 引出列表'!$A$1:$CD$1,0)),"")),"",IFERROR(INDEX('2-3 引出列表'!$A$2:$CE$8700,$A75,MATCH(D$1,'2-3 引出列表'!$A$1:$CD$1,0)),""))</f>
        <v>已退单</v>
      </c>
      <c r="E75" t="str">
        <f>IF(ISBLANK(IFERROR(INDEX('2-3 引出列表'!$A$2:$CE$8700,$A75,MATCH(E$1,'2-3 引出列表'!$A$1:$CD$1,0)),"")),"",IFERROR(INDEX('2-3 引出列表'!$A$2:$CE$8700,$A75,MATCH(E$1,'2-3 引出列表'!$A$1:$CD$1,0)),""))</f>
        <v>2025-03-12</v>
      </c>
      <c r="F75" t="str">
        <f t="shared" si="1"/>
        <v>2025-03</v>
      </c>
      <c r="G75" t="str">
        <f>IF(ISBLANK(IFERROR(INDEX('2-3 引出列表'!$A$2:$CE$8700,$A75,MATCH(G$1,'2-3 引出列表'!$A$1:$CD$1,0)),"")),"",IFERROR(INDEX('2-3 引出列表'!$A$2:$CE$8700,$A75,MATCH(G$1,'2-3 引出列表'!$A$1:$CD$1,0)),""))</f>
        <v>社区及业委会费用.社区文化费用</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FK250303000146</v>
      </c>
      <c r="C76">
        <f>IF(ISBLANK(IFERROR(INDEX('2-3 引出列表'!$A$2:$CE$8700,$A76,MATCH(C$1,'2-3 引出列表'!$A$1:$CD$1,0)),"")),"",IFERROR(INDEX('2-3 引出列表'!$A$2:$CE$8700,$A76,MATCH(C$1,'2-3 引出列表'!$A$1:$CD$1,0)),""))</f>
        <v>479.12</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2025-03-03</v>
      </c>
      <c r="F76" t="str">
        <f t="shared" si="1"/>
        <v>2025-03</v>
      </c>
      <c r="G76" t="str">
        <f>IF(ISBLANK(IFERROR(INDEX('2-3 引出列表'!$A$2:$CE$8700,$A76,MATCH(G$1,'2-3 引出列表'!$A$1:$CD$1,0)),"")),"",IFERROR(INDEX('2-3 引出列表'!$A$2:$CE$8700,$A76,MATCH(G$1,'2-3 引出列表'!$A$1:$CD$1,0)),""))</f>
        <v>物料消耗.物料消耗</v>
      </c>
      <c r="H76" t="str">
        <f>IF(ISBLANK(IFERROR(INDEX('2-3 引出列表'!$A$2:$CE$8700,$A76,MATCH(H$1,'2-3 引出列表'!$A$1:$CD$1,0)),"")),"",IFERROR(INDEX('2-3 引出列表'!$A$2:$CE$8700,$A76,MATCH(H$1,'2-3 引出列表'!$A$1:$CD$1,0)),""))</f>
        <v>ZB20220428JCWZ01</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FK250303000146</v>
      </c>
      <c r="C77">
        <f>IF(ISBLANK(IFERROR(INDEX('2-3 引出列表'!$A$2:$CE$8700,$A77,MATCH(C$1,'2-3 引出列表'!$A$1:$CD$1,0)),"")),"",IFERROR(INDEX('2-3 引出列表'!$A$2:$CE$8700,$A77,MATCH(C$1,'2-3 引出列表'!$A$1:$CD$1,0)),""))</f>
        <v>479.12</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2025-03-03</v>
      </c>
      <c r="F77" t="str">
        <f t="shared" si="1"/>
        <v>2025-03</v>
      </c>
      <c r="G77" t="str">
        <f>IF(ISBLANK(IFERROR(INDEX('2-3 引出列表'!$A$2:$CE$8700,$A77,MATCH(G$1,'2-3 引出列表'!$A$1:$CD$1,0)),"")),"",IFERROR(INDEX('2-3 引出列表'!$A$2:$CE$8700,$A77,MATCH(G$1,'2-3 引出列表'!$A$1:$CD$1,0)),""))</f>
        <v>物料消耗.物料消耗</v>
      </c>
      <c r="H77" t="str">
        <f>IF(ISBLANK(IFERROR(INDEX('2-3 引出列表'!$A$2:$CE$8700,$A77,MATCH(H$1,'2-3 引出列表'!$A$1:$CD$1,0)),"")),"",IFERROR(INDEX('2-3 引出列表'!$A$2:$CE$8700,$A77,MATCH(H$1,'2-3 引出列表'!$A$1:$CD$1,0)),""))</f>
        <v>ZB20220428JCWZ01</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FK250303000146</v>
      </c>
      <c r="C78">
        <f>IF(ISBLANK(IFERROR(INDEX('2-3 引出列表'!$A$2:$CE$8700,$A78,MATCH(C$1,'2-3 引出列表'!$A$1:$CD$1,0)),"")),"",IFERROR(INDEX('2-3 引出列表'!$A$2:$CE$8700,$A78,MATCH(C$1,'2-3 引出列表'!$A$1:$CD$1,0)),""))</f>
        <v>479.12</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2025-03-03</v>
      </c>
      <c r="F78" t="str">
        <f t="shared" si="1"/>
        <v>2025-03</v>
      </c>
      <c r="G78" t="str">
        <f>IF(ISBLANK(IFERROR(INDEX('2-3 引出列表'!$A$2:$CE$8700,$A78,MATCH(G$1,'2-3 引出列表'!$A$1:$CD$1,0)),"")),"",IFERROR(INDEX('2-3 引出列表'!$A$2:$CE$8700,$A78,MATCH(G$1,'2-3 引出列表'!$A$1:$CD$1,0)),""))</f>
        <v>物料消耗.物料消耗</v>
      </c>
      <c r="H78" t="str">
        <f>IF(ISBLANK(IFERROR(INDEX('2-3 引出列表'!$A$2:$CE$8700,$A78,MATCH(H$1,'2-3 引出列表'!$A$1:$CD$1,0)),"")),"",IFERROR(INDEX('2-3 引出列表'!$A$2:$CE$8700,$A78,MATCH(H$1,'2-3 引出列表'!$A$1:$CD$1,0)),""))</f>
        <v>ZB20220428JCWZ01</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FK250303000146</v>
      </c>
      <c r="C79">
        <f>IF(ISBLANK(IFERROR(INDEX('2-3 引出列表'!$A$2:$CE$8700,$A79,MATCH(C$1,'2-3 引出列表'!$A$1:$CD$1,0)),"")),"",IFERROR(INDEX('2-3 引出列表'!$A$2:$CE$8700,$A79,MATCH(C$1,'2-3 引出列表'!$A$1:$CD$1,0)),""))</f>
        <v>479.12</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2025-03-03</v>
      </c>
      <c r="F79" t="str">
        <f t="shared" si="1"/>
        <v>2025-03</v>
      </c>
      <c r="G79" t="str">
        <f>IF(ISBLANK(IFERROR(INDEX('2-3 引出列表'!$A$2:$CE$8700,$A79,MATCH(G$1,'2-3 引出列表'!$A$1:$CD$1,0)),"")),"",IFERROR(INDEX('2-3 引出列表'!$A$2:$CE$8700,$A79,MATCH(G$1,'2-3 引出列表'!$A$1:$CD$1,0)),""))</f>
        <v>物料消耗.物料消耗</v>
      </c>
      <c r="H79" t="str">
        <f>IF(ISBLANK(IFERROR(INDEX('2-3 引出列表'!$A$2:$CE$8700,$A79,MATCH(H$1,'2-3 引出列表'!$A$1:$CD$1,0)),"")),"",IFERROR(INDEX('2-3 引出列表'!$A$2:$CE$8700,$A79,MATCH(H$1,'2-3 引出列表'!$A$1:$CD$1,0)),""))</f>
        <v>ZB20220428JCWZ01</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FK250228000127</v>
      </c>
      <c r="C80">
        <f>IF(ISBLANK(IFERROR(INDEX('2-3 引出列表'!$A$2:$CE$8700,$A80,MATCH(C$1,'2-3 引出列表'!$A$1:$CD$1,0)),"")),"",IFERROR(INDEX('2-3 引出列表'!$A$2:$CE$8700,$A80,MATCH(C$1,'2-3 引出列表'!$A$1:$CD$1,0)),""))</f>
        <v>19370</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2025-02-28</v>
      </c>
      <c r="F80" t="str">
        <f t="shared" si="1"/>
        <v>2025-02</v>
      </c>
      <c r="G80" t="str">
        <f>IF(ISBLANK(IFERROR(INDEX('2-3 引出列表'!$A$2:$CE$8700,$A80,MATCH(G$1,'2-3 引出列表'!$A$1:$CD$1,0)),"")),"",IFERROR(INDEX('2-3 引出列表'!$A$2:$CE$8700,$A80,MATCH(G$1,'2-3 引出列表'!$A$1:$CD$1,0)),""))</f>
        <v>外包服务费.消杀外包</v>
      </c>
      <c r="H80" t="str">
        <f>IF(ISBLANK(IFERROR(INDEX('2-3 引出列表'!$A$2:$CE$8700,$A80,MATCH(H$1,'2-3 引出列表'!$A$1:$CD$1,0)),"")),"",IFERROR(INDEX('2-3 引出列表'!$A$2:$CE$8700,$A80,MATCH(H$1,'2-3 引出列表'!$A$1:$CD$1,0)),""))</f>
        <v>HJFW-Z-2024-6949</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FK250225000521</v>
      </c>
      <c r="C81">
        <f>IF(ISBLANK(IFERROR(INDEX('2-3 引出列表'!$A$2:$CE$8700,$A81,MATCH(C$1,'2-3 引出列表'!$A$1:$CD$1,0)),"")),"",IFERROR(INDEX('2-3 引出列表'!$A$2:$CE$8700,$A81,MATCH(C$1,'2-3 引出列表'!$A$1:$CD$1,0)),""))</f>
        <v>19370</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2025-02-25</v>
      </c>
      <c r="F81" t="str">
        <f t="shared" si="1"/>
        <v>2025-02</v>
      </c>
      <c r="G81" t="str">
        <f>IF(ISBLANK(IFERROR(INDEX('2-3 引出列表'!$A$2:$CE$8700,$A81,MATCH(G$1,'2-3 引出列表'!$A$1:$CD$1,0)),"")),"",IFERROR(INDEX('2-3 引出列表'!$A$2:$CE$8700,$A81,MATCH(G$1,'2-3 引出列表'!$A$1:$CD$1,0)),""))</f>
        <v>外包服务费.消杀外包</v>
      </c>
      <c r="H81" t="str">
        <f>IF(ISBLANK(IFERROR(INDEX('2-3 引出列表'!$A$2:$CE$8700,$A81,MATCH(H$1,'2-3 引出列表'!$A$1:$CD$1,0)),"")),"",IFERROR(INDEX('2-3 引出列表'!$A$2:$CE$8700,$A81,MATCH(H$1,'2-3 引出列表'!$A$1:$CD$1,0)),""))</f>
        <v>HJFW-Z-2024-6949</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FK250221000192</v>
      </c>
      <c r="C82">
        <f>IF(ISBLANK(IFERROR(INDEX('2-3 引出列表'!$A$2:$CE$8700,$A82,MATCH(C$1,'2-3 引出列表'!$A$1:$CD$1,0)),"")),"",IFERROR(INDEX('2-3 引出列表'!$A$2:$CE$8700,$A82,MATCH(C$1,'2-3 引出列表'!$A$1:$CD$1,0)),""))</f>
        <v>18540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2025-02-21</v>
      </c>
      <c r="F82" t="str">
        <f t="shared" si="1"/>
        <v>2025-02</v>
      </c>
      <c r="G82" t="str">
        <f>IF(ISBLANK(IFERROR(INDEX('2-3 引出列表'!$A$2:$CE$8700,$A82,MATCH(G$1,'2-3 引出列表'!$A$1:$CD$1,0)),"")),"",IFERROR(INDEX('2-3 引出列表'!$A$2:$CE$8700,$A82,MATCH(G$1,'2-3 引出列表'!$A$1:$CD$1,0)),""))</f>
        <v>办公事务.设备租赁费</v>
      </c>
      <c r="H82" t="str">
        <f>IF(ISBLANK(IFERROR(INDEX('2-3 引出列表'!$A$2:$CE$8700,$A82,MATCH(H$1,'2-3 引出列表'!$A$1:$CD$1,0)),"")),"",IFERROR(INDEX('2-3 引出列表'!$A$2:$CE$8700,$A82,MATCH(H$1,'2-3 引出列表'!$A$1:$CD$1,0)),""))</f>
        <v>QTFW-Z-2024-0249</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FK250221000150</v>
      </c>
      <c r="C83">
        <f>IF(ISBLANK(IFERROR(INDEX('2-3 引出列表'!$A$2:$CE$8700,$A83,MATCH(C$1,'2-3 引出列表'!$A$1:$CD$1,0)),"")),"",IFERROR(INDEX('2-3 引出列表'!$A$2:$CE$8700,$A83,MATCH(C$1,'2-3 引出列表'!$A$1:$CD$1,0)),""))</f>
        <v>723.33</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2025-02-21</v>
      </c>
      <c r="F83" t="str">
        <f t="shared" si="1"/>
        <v>2025-02</v>
      </c>
      <c r="G83" t="str">
        <f>IF(ISBLANK(IFERROR(INDEX('2-3 引出列表'!$A$2:$CE$8700,$A83,MATCH(G$1,'2-3 引出列表'!$A$1:$CD$1,0)),"")),"",IFERROR(INDEX('2-3 引出列表'!$A$2:$CE$8700,$A83,MATCH(G$1,'2-3 引出列表'!$A$1:$CD$1,0)),""))</f>
        <v>外包服务费.电梯维保外包</v>
      </c>
      <c r="H83" t="str">
        <f>IF(ISBLANK(IFERROR(INDEX('2-3 引出列表'!$A$2:$CE$8700,$A83,MATCH(H$1,'2-3 引出列表'!$A$1:$CD$1,0)),"")),"",IFERROR(INDEX('2-3 引出列表'!$A$2:$CE$8700,$A83,MATCH(H$1,'2-3 引出列表'!$A$1:$CD$1,0)),""))</f>
        <v>GCFW-Z-2024-1104</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FK241227000093</v>
      </c>
      <c r="C84">
        <f>IF(ISBLANK(IFERROR(INDEX('2-3 引出列表'!$A$2:$CE$8700,$A84,MATCH(C$1,'2-3 引出列表'!$A$1:$CD$1,0)),"")),"",IFERROR(INDEX('2-3 引出列表'!$A$2:$CE$8700,$A84,MATCH(C$1,'2-3 引出列表'!$A$1:$CD$1,0)),""))</f>
        <v>22360</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2025-02-21</v>
      </c>
      <c r="F84" t="str">
        <f t="shared" si="1"/>
        <v>2025-02</v>
      </c>
      <c r="G84" t="str">
        <f>IF(ISBLANK(IFERROR(INDEX('2-3 引出列表'!$A$2:$CE$8700,$A84,MATCH(G$1,'2-3 引出列表'!$A$1:$CD$1,0)),"")),"",IFERROR(INDEX('2-3 引出列表'!$A$2:$CE$8700,$A84,MATCH(G$1,'2-3 引出列表'!$A$1:$CD$1,0)),""))</f>
        <v>外包服务费.生活垃圾清运外包</v>
      </c>
      <c r="H84" t="str">
        <f>IF(ISBLANK(IFERROR(INDEX('2-3 引出列表'!$A$2:$CE$8700,$A84,MATCH(H$1,'2-3 引出列表'!$A$1:$CD$1,0)),"")),"",IFERROR(INDEX('2-3 引出列表'!$A$2:$CE$8700,$A84,MATCH(H$1,'2-3 引出列表'!$A$1:$CD$1,0)),""))</f>
        <v>HJFW-Z-2024-7103</v>
      </c>
      <c r="I84" t="str">
        <f>IF(ISBLANK(IFERROR(INDEX('2-3 引出列表'!$A$2:$CE$8700,$A84,MATCH(I$1,'2-3 引出列表'!$A$1:$CD$1,0)),"")),"",IFERROR(INDEX('2-3 引出列表'!$A$2:$CE$8700,$A84,MATCH(I$1,'2-3 引出列表'!$A$1:$CD$1,0)),""))</f>
        <v>金采易购</v>
      </c>
    </row>
    <row r="85" spans="1:9">
      <c r="A85">
        <v>84</v>
      </c>
      <c r="B85" t="str">
        <f>IF(ISBLANK(IFERROR(INDEX('2-3 引出列表'!$A$2:$CE$8700,$A85,MATCH(B$1,'2-3 引出列表'!$A$1:$CD$1,0)),"")),"",IFERROR(INDEX('2-3 引出列表'!$A$2:$CE$8700,$A85,MATCH(B$1,'2-3 引出列表'!$A$1:$CD$1,0)),""))</f>
        <v/>
      </c>
      <c r="C85">
        <f>IF(ISBLANK(IFERROR(INDEX('2-3 引出列表'!$A$2:$CE$8700,$A85,MATCH(C$1,'2-3 引出列表'!$A$1:$CD$1,0)),"")),"",IFERROR(INDEX('2-3 引出列表'!$A$2:$CE$8700,$A85,MATCH(C$1,'2-3 引出列表'!$A$1:$CD$1,0)),""))</f>
        <v>1324.04</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2025-02-20</v>
      </c>
      <c r="F85" t="str">
        <f t="shared" si="1"/>
        <v>2025-02</v>
      </c>
      <c r="G85" t="str">
        <f>IF(ISBLANK(IFERROR(INDEX('2-3 引出列表'!$A$2:$CE$8700,$A85,MATCH(G$1,'2-3 引出列表'!$A$1:$CD$1,0)),"")),"",IFERROR(INDEX('2-3 引出列表'!$A$2:$CE$8700,$A85,MATCH(G$1,'2-3 引出列表'!$A$1:$CD$1,0)),""))</f>
        <v>业务活动.市内交通费</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row>
    <row r="86" spans="1:9">
      <c r="A86">
        <v>85</v>
      </c>
      <c r="B86" t="str">
        <f>IF(ISBLANK(IFERROR(INDEX('2-3 引出列表'!$A$2:$CE$8700,$A86,MATCH(B$1,'2-3 引出列表'!$A$1:$CD$1,0)),"")),"",IFERROR(INDEX('2-3 引出列表'!$A$2:$CE$8700,$A86,MATCH(B$1,'2-3 引出列表'!$A$1:$CD$1,0)),""))</f>
        <v>FK241227000064</v>
      </c>
      <c r="C86">
        <f>IF(ISBLANK(IFERROR(INDEX('2-3 引出列表'!$A$2:$CE$8700,$A86,MATCH(C$1,'2-3 引出列表'!$A$1:$CD$1,0)),"")),"",IFERROR(INDEX('2-3 引出列表'!$A$2:$CE$8700,$A86,MATCH(C$1,'2-3 引出列表'!$A$1:$CD$1,0)),""))</f>
        <v>39000</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2025-02-20</v>
      </c>
      <c r="F86" t="str">
        <f t="shared" si="1"/>
        <v>2025-02</v>
      </c>
      <c r="G86" t="str">
        <f>IF(ISBLANK(IFERROR(INDEX('2-3 引出列表'!$A$2:$CE$8700,$A86,MATCH(G$1,'2-3 引出列表'!$A$1:$CD$1,0)),"")),"",IFERROR(INDEX('2-3 引出列表'!$A$2:$CE$8700,$A86,MATCH(G$1,'2-3 引出列表'!$A$1:$CD$1,0)),""))</f>
        <v>外包服务费.电梯维保外包</v>
      </c>
      <c r="H86" t="str">
        <f>IF(ISBLANK(IFERROR(INDEX('2-3 引出列表'!$A$2:$CE$8700,$A86,MATCH(H$1,'2-3 引出列表'!$A$1:$CD$1,0)),"")),"",IFERROR(INDEX('2-3 引出列表'!$A$2:$CE$8700,$A86,MATCH(H$1,'2-3 引出列表'!$A$1:$CD$1,0)),""))</f>
        <v>GCFW-Z-2024-6604</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FK241227000064</v>
      </c>
      <c r="C87">
        <f>IF(ISBLANK(IFERROR(INDEX('2-3 引出列表'!$A$2:$CE$8700,$A87,MATCH(C$1,'2-3 引出列表'!$A$1:$CD$1,0)),"")),"",IFERROR(INDEX('2-3 引出列表'!$A$2:$CE$8700,$A87,MATCH(C$1,'2-3 引出列表'!$A$1:$CD$1,0)),""))</f>
        <v>39000</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2025-02-20</v>
      </c>
      <c r="F87" t="str">
        <f t="shared" si="1"/>
        <v>2025-02</v>
      </c>
      <c r="G87" t="str">
        <f>IF(ISBLANK(IFERROR(INDEX('2-3 引出列表'!$A$2:$CE$8700,$A87,MATCH(G$1,'2-3 引出列表'!$A$1:$CD$1,0)),"")),"",IFERROR(INDEX('2-3 引出列表'!$A$2:$CE$8700,$A87,MATCH(G$1,'2-3 引出列表'!$A$1:$CD$1,0)),""))</f>
        <v>外包服务费.电梯维保外包</v>
      </c>
      <c r="H87" t="str">
        <f>IF(ISBLANK(IFERROR(INDEX('2-3 引出列表'!$A$2:$CE$8700,$A87,MATCH(H$1,'2-3 引出列表'!$A$1:$CD$1,0)),"")),"",IFERROR(INDEX('2-3 引出列表'!$A$2:$CE$8700,$A87,MATCH(H$1,'2-3 引出列表'!$A$1:$CD$1,0)),""))</f>
        <v>GCFW-Z-2024-6604</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FK241227000064</v>
      </c>
      <c r="C88">
        <f>IF(ISBLANK(IFERROR(INDEX('2-3 引出列表'!$A$2:$CE$8700,$A88,MATCH(C$1,'2-3 引出列表'!$A$1:$CD$1,0)),"")),"",IFERROR(INDEX('2-3 引出列表'!$A$2:$CE$8700,$A88,MATCH(C$1,'2-3 引出列表'!$A$1:$CD$1,0)),""))</f>
        <v>39000</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2025-02-20</v>
      </c>
      <c r="F88" t="str">
        <f t="shared" si="1"/>
        <v>2025-02</v>
      </c>
      <c r="G88" t="str">
        <f>IF(ISBLANK(IFERROR(INDEX('2-3 引出列表'!$A$2:$CE$8700,$A88,MATCH(G$1,'2-3 引出列表'!$A$1:$CD$1,0)),"")),"",IFERROR(INDEX('2-3 引出列表'!$A$2:$CE$8700,$A88,MATCH(G$1,'2-3 引出列表'!$A$1:$CD$1,0)),""))</f>
        <v>外包服务费.电梯维保外包</v>
      </c>
      <c r="H88" t="str">
        <f>IF(ISBLANK(IFERROR(INDEX('2-3 引出列表'!$A$2:$CE$8700,$A88,MATCH(H$1,'2-3 引出列表'!$A$1:$CD$1,0)),"")),"",IFERROR(INDEX('2-3 引出列表'!$A$2:$CE$8700,$A88,MATCH(H$1,'2-3 引出列表'!$A$1:$CD$1,0)),""))</f>
        <v>GCFW-Z-2024-6604</v>
      </c>
      <c r="I88" t="str">
        <f>IF(ISBLANK(IFERROR(INDEX('2-3 引出列表'!$A$2:$CE$8700,$A88,MATCH(I$1,'2-3 引出列表'!$A$1:$CD$1,0)),"")),"",IFERROR(INDEX('2-3 引出列表'!$A$2:$CE$8700,$A88,MATCH(I$1,'2-3 引出列表'!$A$1:$CD$1,0)),""))</f>
        <v>金采易购</v>
      </c>
    </row>
    <row r="89" spans="1:9">
      <c r="A89">
        <v>88</v>
      </c>
      <c r="B89" t="str">
        <f>IF(ISBLANK(IFERROR(INDEX('2-3 引出列表'!$A$2:$CE$8700,$A89,MATCH(B$1,'2-3 引出列表'!$A$1:$CD$1,0)),"")),"",IFERROR(INDEX('2-3 引出列表'!$A$2:$CE$8700,$A89,MATCH(B$1,'2-3 引出列表'!$A$1:$CD$1,0)),""))</f>
        <v>FK250214000252</v>
      </c>
      <c r="C89">
        <f>IF(ISBLANK(IFERROR(INDEX('2-3 引出列表'!$A$2:$CE$8700,$A89,MATCH(C$1,'2-3 引出列表'!$A$1:$CD$1,0)),"")),"",IFERROR(INDEX('2-3 引出列表'!$A$2:$CE$8700,$A89,MATCH(C$1,'2-3 引出列表'!$A$1:$CD$1,0)),""))</f>
        <v>7900</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2025-02-14</v>
      </c>
      <c r="F89" t="str">
        <f t="shared" si="1"/>
        <v>2025-02</v>
      </c>
      <c r="G89" t="str">
        <f>IF(ISBLANK(IFERROR(INDEX('2-3 引出列表'!$A$2:$CE$8700,$A89,MATCH(G$1,'2-3 引出列表'!$A$1:$CD$1,0)),"")),"",IFERROR(INDEX('2-3 引出列表'!$A$2:$CE$8700,$A89,MATCH(G$1,'2-3 引出列表'!$A$1:$CD$1,0)),""))</f>
        <v>外包服务费.保洁外包</v>
      </c>
      <c r="H89" t="str">
        <f>IF(ISBLANK(IFERROR(INDEX('2-3 引出列表'!$A$2:$CE$8700,$A89,MATCH(H$1,'2-3 引出列表'!$A$1:$CD$1,0)),"")),"",IFERROR(INDEX('2-3 引出列表'!$A$2:$CE$8700,$A89,MATCH(H$1,'2-3 引出列表'!$A$1:$CD$1,0)),""))</f>
        <v>GCFW-Z-2024-7045</v>
      </c>
      <c r="I89" t="str">
        <f>IF(ISBLANK(IFERROR(INDEX('2-3 引出列表'!$A$2:$CE$8700,$A89,MATCH(I$1,'2-3 引出列表'!$A$1:$CD$1,0)),"")),"",IFERROR(INDEX('2-3 引出列表'!$A$2:$CE$8700,$A89,MATCH(I$1,'2-3 引出列表'!$A$1:$CD$1,0)),""))</f>
        <v>金采易购</v>
      </c>
    </row>
    <row r="90" spans="1:9">
      <c r="A90">
        <v>89</v>
      </c>
      <c r="B90" t="str">
        <f>IF(ISBLANK(IFERROR(INDEX('2-3 引出列表'!$A$2:$CE$8700,$A90,MATCH(B$1,'2-3 引出列表'!$A$1:$CD$1,0)),"")),"",IFERROR(INDEX('2-3 引出列表'!$A$2:$CE$8700,$A90,MATCH(B$1,'2-3 引出列表'!$A$1:$CD$1,0)),""))</f>
        <v/>
      </c>
      <c r="C90">
        <f>IF(ISBLANK(IFERROR(INDEX('2-3 引出列表'!$A$2:$CE$8700,$A90,MATCH(C$1,'2-3 引出列表'!$A$1:$CD$1,0)),"")),"",IFERROR(INDEX('2-3 引出列表'!$A$2:$CE$8700,$A90,MATCH(C$1,'2-3 引出列表'!$A$1:$CD$1,0)),""))</f>
        <v>1481.29</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2025-02-14</v>
      </c>
      <c r="F90" t="str">
        <f t="shared" si="1"/>
        <v>2025-02</v>
      </c>
      <c r="G90" t="str">
        <f>IF(ISBLANK(IFERROR(INDEX('2-3 引出列表'!$A$2:$CE$8700,$A90,MATCH(G$1,'2-3 引出列表'!$A$1:$CD$1,0)),"")),"",IFERROR(INDEX('2-3 引出列表'!$A$2:$CE$8700,$A90,MATCH(G$1,'2-3 引出列表'!$A$1:$CD$1,0)),""))</f>
        <v>业务活动.市内交通费</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
      </c>
    </row>
    <row r="91" spans="1:9">
      <c r="A91">
        <v>90</v>
      </c>
      <c r="B91" t="str">
        <f>IF(ISBLANK(IFERROR(INDEX('2-3 引出列表'!$A$2:$CE$8700,$A91,MATCH(B$1,'2-3 引出列表'!$A$1:$CD$1,0)),"")),"",IFERROR(INDEX('2-3 引出列表'!$A$2:$CE$8700,$A91,MATCH(B$1,'2-3 引出列表'!$A$1:$CD$1,0)),""))</f>
        <v/>
      </c>
      <c r="C91">
        <f>IF(ISBLANK(IFERROR(INDEX('2-3 引出列表'!$A$2:$CE$8700,$A91,MATCH(C$1,'2-3 引出列表'!$A$1:$CD$1,0)),"")),"",IFERROR(INDEX('2-3 引出列表'!$A$2:$CE$8700,$A91,MATCH(C$1,'2-3 引出列表'!$A$1:$CD$1,0)),""))</f>
        <v>16868</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2025-02-14</v>
      </c>
      <c r="F91" t="str">
        <f t="shared" si="1"/>
        <v>2025-02</v>
      </c>
      <c r="G91" t="str">
        <f>IF(ISBLANK(IFERROR(INDEX('2-3 引出列表'!$A$2:$CE$8700,$A91,MATCH(G$1,'2-3 引出列表'!$A$1:$CD$1,0)),"")),"",IFERROR(INDEX('2-3 引出列表'!$A$2:$CE$8700,$A91,MATCH(G$1,'2-3 引出列表'!$A$1:$CD$1,0)),""))</f>
        <v>业务活动.业务招待费</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row>
    <row r="92" spans="1:9">
      <c r="A92">
        <v>91</v>
      </c>
      <c r="B92" t="str">
        <f>IF(ISBLANK(IFERROR(INDEX('2-3 引出列表'!$A$2:$CE$8700,$A92,MATCH(B$1,'2-3 引出列表'!$A$1:$CD$1,0)),"")),"",IFERROR(INDEX('2-3 引出列表'!$A$2:$CE$8700,$A92,MATCH(B$1,'2-3 引出列表'!$A$1:$CD$1,0)),""))</f>
        <v>FK250210000341</v>
      </c>
      <c r="C92">
        <f>IF(ISBLANK(IFERROR(INDEX('2-3 引出列表'!$A$2:$CE$8700,$A92,MATCH(C$1,'2-3 引出列表'!$A$1:$CD$1,0)),"")),"",IFERROR(INDEX('2-3 引出列表'!$A$2:$CE$8700,$A92,MATCH(C$1,'2-3 引出列表'!$A$1:$CD$1,0)),""))</f>
        <v>630.54</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2025-02-10</v>
      </c>
      <c r="F92" t="str">
        <f t="shared" si="1"/>
        <v>2025-02</v>
      </c>
      <c r="G92" t="str">
        <f>IF(ISBLANK(IFERROR(INDEX('2-3 引出列表'!$A$2:$CE$8700,$A92,MATCH(G$1,'2-3 引出列表'!$A$1:$CD$1,0)),"")),"",IFERROR(INDEX('2-3 引出列表'!$A$2:$CE$8700,$A92,MATCH(G$1,'2-3 引出列表'!$A$1:$CD$1,0)),""))</f>
        <v>物料消耗.物料消耗</v>
      </c>
      <c r="H92" t="str">
        <f>IF(ISBLANK(IFERROR(INDEX('2-3 引出列表'!$A$2:$CE$8700,$A92,MATCH(H$1,'2-3 引出列表'!$A$1:$CD$1,0)),"")),"",IFERROR(INDEX('2-3 引出列表'!$A$2:$CE$8700,$A92,MATCH(H$1,'2-3 引出列表'!$A$1:$CD$1,0)),""))</f>
        <v>ZB20220428JCWZ01</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FK250210000341</v>
      </c>
      <c r="C93">
        <f>IF(ISBLANK(IFERROR(INDEX('2-3 引出列表'!$A$2:$CE$8700,$A93,MATCH(C$1,'2-3 引出列表'!$A$1:$CD$1,0)),"")),"",IFERROR(INDEX('2-3 引出列表'!$A$2:$CE$8700,$A93,MATCH(C$1,'2-3 引出列表'!$A$1:$CD$1,0)),""))</f>
        <v>630.54</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2025-02-10</v>
      </c>
      <c r="F93" t="str">
        <f t="shared" si="1"/>
        <v>2025-02</v>
      </c>
      <c r="G93" t="str">
        <f>IF(ISBLANK(IFERROR(INDEX('2-3 引出列表'!$A$2:$CE$8700,$A93,MATCH(G$1,'2-3 引出列表'!$A$1:$CD$1,0)),"")),"",IFERROR(INDEX('2-3 引出列表'!$A$2:$CE$8700,$A93,MATCH(G$1,'2-3 引出列表'!$A$1:$CD$1,0)),""))</f>
        <v>物料消耗.物料消耗</v>
      </c>
      <c r="H93" t="str">
        <f>IF(ISBLANK(IFERROR(INDEX('2-3 引出列表'!$A$2:$CE$8700,$A93,MATCH(H$1,'2-3 引出列表'!$A$1:$CD$1,0)),"")),"",IFERROR(INDEX('2-3 引出列表'!$A$2:$CE$8700,$A93,MATCH(H$1,'2-3 引出列表'!$A$1:$CD$1,0)),""))</f>
        <v>ZB20220428JCWZ01</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FK250210000341</v>
      </c>
      <c r="C94">
        <f>IF(ISBLANK(IFERROR(INDEX('2-3 引出列表'!$A$2:$CE$8700,$A94,MATCH(C$1,'2-3 引出列表'!$A$1:$CD$1,0)),"")),"",IFERROR(INDEX('2-3 引出列表'!$A$2:$CE$8700,$A94,MATCH(C$1,'2-3 引出列表'!$A$1:$CD$1,0)),""))</f>
        <v>630.54</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2025-02-10</v>
      </c>
      <c r="F94" t="str">
        <f t="shared" si="1"/>
        <v>2025-02</v>
      </c>
      <c r="G94" t="str">
        <f>IF(ISBLANK(IFERROR(INDEX('2-3 引出列表'!$A$2:$CE$8700,$A94,MATCH(G$1,'2-3 引出列表'!$A$1:$CD$1,0)),"")),"",IFERROR(INDEX('2-3 引出列表'!$A$2:$CE$8700,$A94,MATCH(G$1,'2-3 引出列表'!$A$1:$CD$1,0)),""))</f>
        <v>物料消耗.物料消耗</v>
      </c>
      <c r="H94" t="str">
        <f>IF(ISBLANK(IFERROR(INDEX('2-3 引出列表'!$A$2:$CE$8700,$A94,MATCH(H$1,'2-3 引出列表'!$A$1:$CD$1,0)),"")),"",IFERROR(INDEX('2-3 引出列表'!$A$2:$CE$8700,$A94,MATCH(H$1,'2-3 引出列表'!$A$1:$CD$1,0)),""))</f>
        <v>ZB20220428JCWZ01</v>
      </c>
      <c r="I94" t="str">
        <f>IF(ISBLANK(IFERROR(INDEX('2-3 引出列表'!$A$2:$CE$8700,$A94,MATCH(I$1,'2-3 引出列表'!$A$1:$CD$1,0)),"")),"",IFERROR(INDEX('2-3 引出列表'!$A$2:$CE$8700,$A94,MATCH(I$1,'2-3 引出列表'!$A$1:$CD$1,0)),""))</f>
        <v>金采易购</v>
      </c>
    </row>
    <row r="95" spans="1:9">
      <c r="A95">
        <v>94</v>
      </c>
      <c r="B95" t="str">
        <f>IF(ISBLANK(IFERROR(INDEX('2-3 引出列表'!$A$2:$CE$8700,$A95,MATCH(B$1,'2-3 引出列表'!$A$1:$CD$1,0)),"")),"",IFERROR(INDEX('2-3 引出列表'!$A$2:$CE$8700,$A95,MATCH(B$1,'2-3 引出列表'!$A$1:$CD$1,0)),""))</f>
        <v>FK250210000341</v>
      </c>
      <c r="C95">
        <f>IF(ISBLANK(IFERROR(INDEX('2-3 引出列表'!$A$2:$CE$8700,$A95,MATCH(C$1,'2-3 引出列表'!$A$1:$CD$1,0)),"")),"",IFERROR(INDEX('2-3 引出列表'!$A$2:$CE$8700,$A95,MATCH(C$1,'2-3 引出列表'!$A$1:$CD$1,0)),""))</f>
        <v>630.54</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2025-02-10</v>
      </c>
      <c r="F95" t="str">
        <f t="shared" si="1"/>
        <v>2025-02</v>
      </c>
      <c r="G95" t="str">
        <f>IF(ISBLANK(IFERROR(INDEX('2-3 引出列表'!$A$2:$CE$8700,$A95,MATCH(G$1,'2-3 引出列表'!$A$1:$CD$1,0)),"")),"",IFERROR(INDEX('2-3 引出列表'!$A$2:$CE$8700,$A95,MATCH(G$1,'2-3 引出列表'!$A$1:$CD$1,0)),""))</f>
        <v>物料消耗.物料消耗</v>
      </c>
      <c r="H95" t="str">
        <f>IF(ISBLANK(IFERROR(INDEX('2-3 引出列表'!$A$2:$CE$8700,$A95,MATCH(H$1,'2-3 引出列表'!$A$1:$CD$1,0)),"")),"",IFERROR(INDEX('2-3 引出列表'!$A$2:$CE$8700,$A95,MATCH(H$1,'2-3 引出列表'!$A$1:$CD$1,0)),""))</f>
        <v>ZB20220428JCWZ01</v>
      </c>
      <c r="I95" t="str">
        <f>IF(ISBLANK(IFERROR(INDEX('2-3 引出列表'!$A$2:$CE$8700,$A95,MATCH(I$1,'2-3 引出列表'!$A$1:$CD$1,0)),"")),"",IFERROR(INDEX('2-3 引出列表'!$A$2:$CE$8700,$A95,MATCH(I$1,'2-3 引出列表'!$A$1:$CD$1,0)),""))</f>
        <v>金采易购</v>
      </c>
    </row>
    <row r="96" spans="1:9">
      <c r="A96">
        <v>95</v>
      </c>
      <c r="B96" t="str">
        <f>IF(ISBLANK(IFERROR(INDEX('2-3 引出列表'!$A$2:$CE$8700,$A96,MATCH(B$1,'2-3 引出列表'!$A$1:$CD$1,0)),"")),"",IFERROR(INDEX('2-3 引出列表'!$A$2:$CE$8700,$A96,MATCH(B$1,'2-3 引出列表'!$A$1:$CD$1,0)),""))</f>
        <v>FK250210000341</v>
      </c>
      <c r="C96">
        <f>IF(ISBLANK(IFERROR(INDEX('2-3 引出列表'!$A$2:$CE$8700,$A96,MATCH(C$1,'2-3 引出列表'!$A$1:$CD$1,0)),"")),"",IFERROR(INDEX('2-3 引出列表'!$A$2:$CE$8700,$A96,MATCH(C$1,'2-3 引出列表'!$A$1:$CD$1,0)),""))</f>
        <v>630.54</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2025-02-10</v>
      </c>
      <c r="F96" t="str">
        <f t="shared" si="1"/>
        <v>2025-02</v>
      </c>
      <c r="G96" t="str">
        <f>IF(ISBLANK(IFERROR(INDEX('2-3 引出列表'!$A$2:$CE$8700,$A96,MATCH(G$1,'2-3 引出列表'!$A$1:$CD$1,0)),"")),"",IFERROR(INDEX('2-3 引出列表'!$A$2:$CE$8700,$A96,MATCH(G$1,'2-3 引出列表'!$A$1:$CD$1,0)),""))</f>
        <v>物料消耗.物料消耗</v>
      </c>
      <c r="H96" t="str">
        <f>IF(ISBLANK(IFERROR(INDEX('2-3 引出列表'!$A$2:$CE$8700,$A96,MATCH(H$1,'2-3 引出列表'!$A$1:$CD$1,0)),"")),"",IFERROR(INDEX('2-3 引出列表'!$A$2:$CE$8700,$A96,MATCH(H$1,'2-3 引出列表'!$A$1:$CD$1,0)),""))</f>
        <v>ZB20220428JCWZ01</v>
      </c>
      <c r="I96" t="str">
        <f>IF(ISBLANK(IFERROR(INDEX('2-3 引出列表'!$A$2:$CE$8700,$A96,MATCH(I$1,'2-3 引出列表'!$A$1:$CD$1,0)),"")),"",IFERROR(INDEX('2-3 引出列表'!$A$2:$CE$8700,$A96,MATCH(I$1,'2-3 引出列表'!$A$1:$CD$1,0)),""))</f>
        <v>金采易购</v>
      </c>
    </row>
    <row r="97" spans="1:9">
      <c r="A97">
        <v>96</v>
      </c>
      <c r="B97" t="str">
        <f>IF(ISBLANK(IFERROR(INDEX('2-3 引出列表'!$A$2:$CE$8700,$A97,MATCH(B$1,'2-3 引出列表'!$A$1:$CD$1,0)),"")),"",IFERROR(INDEX('2-3 引出列表'!$A$2:$CE$8700,$A97,MATCH(B$1,'2-3 引出列表'!$A$1:$CD$1,0)),""))</f>
        <v>FK250210000341</v>
      </c>
      <c r="C97">
        <f>IF(ISBLANK(IFERROR(INDEX('2-3 引出列表'!$A$2:$CE$8700,$A97,MATCH(C$1,'2-3 引出列表'!$A$1:$CD$1,0)),"")),"",IFERROR(INDEX('2-3 引出列表'!$A$2:$CE$8700,$A97,MATCH(C$1,'2-3 引出列表'!$A$1:$CD$1,0)),""))</f>
        <v>630.54</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2025-02-10</v>
      </c>
      <c r="F97" t="str">
        <f t="shared" si="1"/>
        <v>2025-02</v>
      </c>
      <c r="G97" t="str">
        <f>IF(ISBLANK(IFERROR(INDEX('2-3 引出列表'!$A$2:$CE$8700,$A97,MATCH(G$1,'2-3 引出列表'!$A$1:$CD$1,0)),"")),"",IFERROR(INDEX('2-3 引出列表'!$A$2:$CE$8700,$A97,MATCH(G$1,'2-3 引出列表'!$A$1:$CD$1,0)),""))</f>
        <v>物料消耗.物料消耗</v>
      </c>
      <c r="H97" t="str">
        <f>IF(ISBLANK(IFERROR(INDEX('2-3 引出列表'!$A$2:$CE$8700,$A97,MATCH(H$1,'2-3 引出列表'!$A$1:$CD$1,0)),"")),"",IFERROR(INDEX('2-3 引出列表'!$A$2:$CE$8700,$A97,MATCH(H$1,'2-3 引出列表'!$A$1:$CD$1,0)),""))</f>
        <v>ZB20220428JCWZ01</v>
      </c>
      <c r="I97" t="str">
        <f>IF(ISBLANK(IFERROR(INDEX('2-3 引出列表'!$A$2:$CE$8700,$A97,MATCH(I$1,'2-3 引出列表'!$A$1:$CD$1,0)),"")),"",IFERROR(INDEX('2-3 引出列表'!$A$2:$CE$8700,$A97,MATCH(I$1,'2-3 引出列表'!$A$1:$CD$1,0)),""))</f>
        <v>金采易购</v>
      </c>
    </row>
    <row r="98" spans="1:9">
      <c r="A98">
        <v>97</v>
      </c>
      <c r="B98" t="str">
        <f>IF(ISBLANK(IFERROR(INDEX('2-3 引出列表'!$A$2:$CE$8700,$A98,MATCH(B$1,'2-3 引出列表'!$A$1:$CD$1,0)),"")),"",IFERROR(INDEX('2-3 引出列表'!$A$2:$CE$8700,$A98,MATCH(B$1,'2-3 引出列表'!$A$1:$CD$1,0)),""))</f>
        <v>FK250210000341</v>
      </c>
      <c r="C98">
        <f>IF(ISBLANK(IFERROR(INDEX('2-3 引出列表'!$A$2:$CE$8700,$A98,MATCH(C$1,'2-3 引出列表'!$A$1:$CD$1,0)),"")),"",IFERROR(INDEX('2-3 引出列表'!$A$2:$CE$8700,$A98,MATCH(C$1,'2-3 引出列表'!$A$1:$CD$1,0)),""))</f>
        <v>630.54</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2025-02-10</v>
      </c>
      <c r="F98" t="str">
        <f t="shared" si="1"/>
        <v>2025-02</v>
      </c>
      <c r="G98" t="str">
        <f>IF(ISBLANK(IFERROR(INDEX('2-3 引出列表'!$A$2:$CE$8700,$A98,MATCH(G$1,'2-3 引出列表'!$A$1:$CD$1,0)),"")),"",IFERROR(INDEX('2-3 引出列表'!$A$2:$CE$8700,$A98,MATCH(G$1,'2-3 引出列表'!$A$1:$CD$1,0)),""))</f>
        <v>物料消耗.物料消耗</v>
      </c>
      <c r="H98" t="str">
        <f>IF(ISBLANK(IFERROR(INDEX('2-3 引出列表'!$A$2:$CE$8700,$A98,MATCH(H$1,'2-3 引出列表'!$A$1:$CD$1,0)),"")),"",IFERROR(INDEX('2-3 引出列表'!$A$2:$CE$8700,$A98,MATCH(H$1,'2-3 引出列表'!$A$1:$CD$1,0)),""))</f>
        <v>ZB20220428JCWZ01</v>
      </c>
      <c r="I98" t="str">
        <f>IF(ISBLANK(IFERROR(INDEX('2-3 引出列表'!$A$2:$CE$8700,$A98,MATCH(I$1,'2-3 引出列表'!$A$1:$CD$1,0)),"")),"",IFERROR(INDEX('2-3 引出列表'!$A$2:$CE$8700,$A98,MATCH(I$1,'2-3 引出列表'!$A$1:$CD$1,0)),""))</f>
        <v>金采易购</v>
      </c>
    </row>
    <row r="99" spans="1:9">
      <c r="A99">
        <v>98</v>
      </c>
      <c r="B99" t="str">
        <f>IF(ISBLANK(IFERROR(INDEX('2-3 引出列表'!$A$2:$CE$8700,$A99,MATCH(B$1,'2-3 引出列表'!$A$1:$CD$1,0)),"")),"",IFERROR(INDEX('2-3 引出列表'!$A$2:$CE$8700,$A99,MATCH(B$1,'2-3 引出列表'!$A$1:$CD$1,0)),""))</f>
        <v>FK250612000687</v>
      </c>
      <c r="C99">
        <f>IF(ISBLANK(IFERROR(INDEX('2-3 引出列表'!$A$2:$CE$8700,$A99,MATCH(C$1,'2-3 引出列表'!$A$1:$CD$1,0)),"")),"",IFERROR(INDEX('2-3 引出列表'!$A$2:$CE$8700,$A99,MATCH(C$1,'2-3 引出列表'!$A$1:$CD$1,0)),""))</f>
        <v>56524.4</v>
      </c>
      <c r="D99" t="str">
        <f>IF(ISBLANK(IFERROR(INDEX('2-3 引出列表'!$A$2:$CE$8700,$A99,MATCH(D$1,'2-3 引出列表'!$A$1:$CD$1,0)),"")),"",IFERROR(INDEX('2-3 引出列表'!$A$2:$CE$8700,$A99,MATCH(D$1,'2-3 引出列表'!$A$1:$CD$1,0)),""))</f>
        <v>已审核</v>
      </c>
      <c r="E99" t="str">
        <f>IF(ISBLANK(IFERROR(INDEX('2-3 引出列表'!$A$2:$CE$8700,$A99,MATCH(E$1,'2-3 引出列表'!$A$1:$CD$1,0)),"")),"",IFERROR(INDEX('2-3 引出列表'!$A$2:$CE$8700,$A99,MATCH(E$1,'2-3 引出列表'!$A$1:$CD$1,0)),""))</f>
        <v>2025-06-12</v>
      </c>
      <c r="F99" t="str">
        <f t="shared" si="1"/>
        <v>2025-06</v>
      </c>
      <c r="G99" t="str">
        <f>IF(ISBLANK(IFERROR(INDEX('2-3 引出列表'!$A$2:$CE$8700,$A99,MATCH(G$1,'2-3 引出列表'!$A$1:$CD$1,0)),"")),"",IFERROR(INDEX('2-3 引出列表'!$A$2:$CE$8700,$A99,MATCH(G$1,'2-3 引出列表'!$A$1:$CD$1,0)),""))</f>
        <v>物料消耗.物料消耗</v>
      </c>
      <c r="H99" t="str">
        <f>IF(ISBLANK(IFERROR(INDEX('2-3 引出列表'!$A$2:$CE$8700,$A99,MATCH(H$1,'2-3 引出列表'!$A$1:$CD$1,0)),"")),"",IFERROR(INDEX('2-3 引出列表'!$A$2:$CE$8700,$A99,MATCH(H$1,'2-3 引出列表'!$A$1:$CD$1,0)),""))</f>
        <v>XHWZ-Z-2025-00011</v>
      </c>
      <c r="I99" t="str">
        <f>IF(ISBLANK(IFERROR(INDEX('2-3 引出列表'!$A$2:$CE$8700,$A99,MATCH(I$1,'2-3 引出列表'!$A$1:$CD$1,0)),"")),"",IFERROR(INDEX('2-3 引出列表'!$A$2:$CE$8700,$A99,MATCH(I$1,'2-3 引出列表'!$A$1:$CD$1,0)),""))</f>
        <v>金采易购</v>
      </c>
    </row>
    <row r="100" spans="1:9">
      <c r="A100">
        <v>99</v>
      </c>
      <c r="B100" t="str">
        <f>IF(ISBLANK(IFERROR(INDEX('2-3 引出列表'!$A$2:$CE$8700,$A100,MATCH(B$1,'2-3 引出列表'!$A$1:$CD$1,0)),"")),"",IFERROR(INDEX('2-3 引出列表'!$A$2:$CE$8700,$A100,MATCH(B$1,'2-3 引出列表'!$A$1:$CD$1,0)),""))</f>
        <v>FK250612000687</v>
      </c>
      <c r="C100">
        <f>IF(ISBLANK(IFERROR(INDEX('2-3 引出列表'!$A$2:$CE$8700,$A100,MATCH(C$1,'2-3 引出列表'!$A$1:$CD$1,0)),"")),"",IFERROR(INDEX('2-3 引出列表'!$A$2:$CE$8700,$A100,MATCH(C$1,'2-3 引出列表'!$A$1:$CD$1,0)),""))</f>
        <v>56524.4</v>
      </c>
      <c r="D100" t="str">
        <f>IF(ISBLANK(IFERROR(INDEX('2-3 引出列表'!$A$2:$CE$8700,$A100,MATCH(D$1,'2-3 引出列表'!$A$1:$CD$1,0)),"")),"",IFERROR(INDEX('2-3 引出列表'!$A$2:$CE$8700,$A100,MATCH(D$1,'2-3 引出列表'!$A$1:$CD$1,0)),""))</f>
        <v>已审核</v>
      </c>
      <c r="E100" t="str">
        <f>IF(ISBLANK(IFERROR(INDEX('2-3 引出列表'!$A$2:$CE$8700,$A100,MATCH(E$1,'2-3 引出列表'!$A$1:$CD$1,0)),"")),"",IFERROR(INDEX('2-3 引出列表'!$A$2:$CE$8700,$A100,MATCH(E$1,'2-3 引出列表'!$A$1:$CD$1,0)),""))</f>
        <v>2025-06-12</v>
      </c>
      <c r="F100" t="str">
        <f t="shared" si="1"/>
        <v>2025-06</v>
      </c>
      <c r="G100" t="str">
        <f>IF(ISBLANK(IFERROR(INDEX('2-3 引出列表'!$A$2:$CE$8700,$A100,MATCH(G$1,'2-3 引出列表'!$A$1:$CD$1,0)),"")),"",IFERROR(INDEX('2-3 引出列表'!$A$2:$CE$8700,$A100,MATCH(G$1,'2-3 引出列表'!$A$1:$CD$1,0)),""))</f>
        <v>物料消耗.物料消耗</v>
      </c>
      <c r="H100" t="str">
        <f>IF(ISBLANK(IFERROR(INDEX('2-3 引出列表'!$A$2:$CE$8700,$A100,MATCH(H$1,'2-3 引出列表'!$A$1:$CD$1,0)),"")),"",IFERROR(INDEX('2-3 引出列表'!$A$2:$CE$8700,$A100,MATCH(H$1,'2-3 引出列表'!$A$1:$CD$1,0)),""))</f>
        <v>XHWZ-Z-2025-00011</v>
      </c>
      <c r="I100" t="str">
        <f>IF(ISBLANK(IFERROR(INDEX('2-3 引出列表'!$A$2:$CE$8700,$A100,MATCH(I$1,'2-3 引出列表'!$A$1:$CD$1,0)),"")),"",IFERROR(INDEX('2-3 引出列表'!$A$2:$CE$8700,$A100,MATCH(I$1,'2-3 引出列表'!$A$1:$CD$1,0)),""))</f>
        <v>金采易购</v>
      </c>
    </row>
    <row r="101" spans="1:9">
      <c r="A101">
        <v>100</v>
      </c>
      <c r="B101" t="str">
        <f>IF(ISBLANK(IFERROR(INDEX('2-3 引出列表'!$A$2:$CE$8700,$A101,MATCH(B$1,'2-3 引出列表'!$A$1:$CD$1,0)),"")),"",IFERROR(INDEX('2-3 引出列表'!$A$2:$CE$8700,$A101,MATCH(B$1,'2-3 引出列表'!$A$1:$CD$1,0)),""))</f>
        <v>FK250612000687</v>
      </c>
      <c r="C101">
        <f>IF(ISBLANK(IFERROR(INDEX('2-3 引出列表'!$A$2:$CE$8700,$A101,MATCH(C$1,'2-3 引出列表'!$A$1:$CD$1,0)),"")),"",IFERROR(INDEX('2-3 引出列表'!$A$2:$CE$8700,$A101,MATCH(C$1,'2-3 引出列表'!$A$1:$CD$1,0)),""))</f>
        <v>56524.4</v>
      </c>
      <c r="D101" t="str">
        <f>IF(ISBLANK(IFERROR(INDEX('2-3 引出列表'!$A$2:$CE$8700,$A101,MATCH(D$1,'2-3 引出列表'!$A$1:$CD$1,0)),"")),"",IFERROR(INDEX('2-3 引出列表'!$A$2:$CE$8700,$A101,MATCH(D$1,'2-3 引出列表'!$A$1:$CD$1,0)),""))</f>
        <v>已审核</v>
      </c>
      <c r="E101" t="str">
        <f>IF(ISBLANK(IFERROR(INDEX('2-3 引出列表'!$A$2:$CE$8700,$A101,MATCH(E$1,'2-3 引出列表'!$A$1:$CD$1,0)),"")),"",IFERROR(INDEX('2-3 引出列表'!$A$2:$CE$8700,$A101,MATCH(E$1,'2-3 引出列表'!$A$1:$CD$1,0)),""))</f>
        <v>2025-06-12</v>
      </c>
      <c r="F101" t="str">
        <f t="shared" si="1"/>
        <v>2025-06</v>
      </c>
      <c r="G101" t="str">
        <f>IF(ISBLANK(IFERROR(INDEX('2-3 引出列表'!$A$2:$CE$8700,$A101,MATCH(G$1,'2-3 引出列表'!$A$1:$CD$1,0)),"")),"",IFERROR(INDEX('2-3 引出列表'!$A$2:$CE$8700,$A101,MATCH(G$1,'2-3 引出列表'!$A$1:$CD$1,0)),""))</f>
        <v>物料消耗.物料消耗</v>
      </c>
      <c r="H101" t="str">
        <f>IF(ISBLANK(IFERROR(INDEX('2-3 引出列表'!$A$2:$CE$8700,$A101,MATCH(H$1,'2-3 引出列表'!$A$1:$CD$1,0)),"")),"",IFERROR(INDEX('2-3 引出列表'!$A$2:$CE$8700,$A101,MATCH(H$1,'2-3 引出列表'!$A$1:$CD$1,0)),""))</f>
        <v>XHWZ-Z-2025-00011</v>
      </c>
      <c r="I101" t="str">
        <f>IF(ISBLANK(IFERROR(INDEX('2-3 引出列表'!$A$2:$CE$8700,$A101,MATCH(I$1,'2-3 引出列表'!$A$1:$CD$1,0)),"")),"",IFERROR(INDEX('2-3 引出列表'!$A$2:$CE$8700,$A101,MATCH(I$1,'2-3 引出列表'!$A$1:$CD$1,0)),""))</f>
        <v>金采易购</v>
      </c>
    </row>
    <row r="102" spans="1:9">
      <c r="A102">
        <v>101</v>
      </c>
      <c r="B102" t="str">
        <f>IF(ISBLANK(IFERROR(INDEX('2-3 引出列表'!$A$2:$CE$8700,$A102,MATCH(B$1,'2-3 引出列表'!$A$1:$CD$1,0)),"")),"",IFERROR(INDEX('2-3 引出列表'!$A$2:$CE$8700,$A102,MATCH(B$1,'2-3 引出列表'!$A$1:$CD$1,0)),""))</f>
        <v>FK250612000687</v>
      </c>
      <c r="C102">
        <f>IF(ISBLANK(IFERROR(INDEX('2-3 引出列表'!$A$2:$CE$8700,$A102,MATCH(C$1,'2-3 引出列表'!$A$1:$CD$1,0)),"")),"",IFERROR(INDEX('2-3 引出列表'!$A$2:$CE$8700,$A102,MATCH(C$1,'2-3 引出列表'!$A$1:$CD$1,0)),""))</f>
        <v>56524.4</v>
      </c>
      <c r="D102" t="str">
        <f>IF(ISBLANK(IFERROR(INDEX('2-3 引出列表'!$A$2:$CE$8700,$A102,MATCH(D$1,'2-3 引出列表'!$A$1:$CD$1,0)),"")),"",IFERROR(INDEX('2-3 引出列表'!$A$2:$CE$8700,$A102,MATCH(D$1,'2-3 引出列表'!$A$1:$CD$1,0)),""))</f>
        <v>已审核</v>
      </c>
      <c r="E102" t="str">
        <f>IF(ISBLANK(IFERROR(INDEX('2-3 引出列表'!$A$2:$CE$8700,$A102,MATCH(E$1,'2-3 引出列表'!$A$1:$CD$1,0)),"")),"",IFERROR(INDEX('2-3 引出列表'!$A$2:$CE$8700,$A102,MATCH(E$1,'2-3 引出列表'!$A$1:$CD$1,0)),""))</f>
        <v>2025-06-12</v>
      </c>
      <c r="F102" t="str">
        <f t="shared" si="1"/>
        <v>2025-06</v>
      </c>
      <c r="G102" t="str">
        <f>IF(ISBLANK(IFERROR(INDEX('2-3 引出列表'!$A$2:$CE$8700,$A102,MATCH(G$1,'2-3 引出列表'!$A$1:$CD$1,0)),"")),"",IFERROR(INDEX('2-3 引出列表'!$A$2:$CE$8700,$A102,MATCH(G$1,'2-3 引出列表'!$A$1:$CD$1,0)),""))</f>
        <v>物料消耗.物料消耗</v>
      </c>
      <c r="H102" t="str">
        <f>IF(ISBLANK(IFERROR(INDEX('2-3 引出列表'!$A$2:$CE$8700,$A102,MATCH(H$1,'2-3 引出列表'!$A$1:$CD$1,0)),"")),"",IFERROR(INDEX('2-3 引出列表'!$A$2:$CE$8700,$A102,MATCH(H$1,'2-3 引出列表'!$A$1:$CD$1,0)),""))</f>
        <v>XHWZ-Z-2025-00011</v>
      </c>
      <c r="I102" t="str">
        <f>IF(ISBLANK(IFERROR(INDEX('2-3 引出列表'!$A$2:$CE$8700,$A102,MATCH(I$1,'2-3 引出列表'!$A$1:$CD$1,0)),"")),"",IFERROR(INDEX('2-3 引出列表'!$A$2:$CE$8700,$A102,MATCH(I$1,'2-3 引出列表'!$A$1:$CD$1,0)),""))</f>
        <v>金采易购</v>
      </c>
    </row>
    <row r="103" spans="1:9">
      <c r="A103">
        <v>102</v>
      </c>
      <c r="B103" t="str">
        <f>IF(ISBLANK(IFERROR(INDEX('2-3 引出列表'!$A$2:$CE$8700,$A103,MATCH(B$1,'2-3 引出列表'!$A$1:$CD$1,0)),"")),"",IFERROR(INDEX('2-3 引出列表'!$A$2:$CE$8700,$A103,MATCH(B$1,'2-3 引出列表'!$A$1:$CD$1,0)),""))</f>
        <v>FK250612000687</v>
      </c>
      <c r="C103">
        <f>IF(ISBLANK(IFERROR(INDEX('2-3 引出列表'!$A$2:$CE$8700,$A103,MATCH(C$1,'2-3 引出列表'!$A$1:$CD$1,0)),"")),"",IFERROR(INDEX('2-3 引出列表'!$A$2:$CE$8700,$A103,MATCH(C$1,'2-3 引出列表'!$A$1:$CD$1,0)),""))</f>
        <v>56524.4</v>
      </c>
      <c r="D103" t="str">
        <f>IF(ISBLANK(IFERROR(INDEX('2-3 引出列表'!$A$2:$CE$8700,$A103,MATCH(D$1,'2-3 引出列表'!$A$1:$CD$1,0)),"")),"",IFERROR(INDEX('2-3 引出列表'!$A$2:$CE$8700,$A103,MATCH(D$1,'2-3 引出列表'!$A$1:$CD$1,0)),""))</f>
        <v>已审核</v>
      </c>
      <c r="E103" t="str">
        <f>IF(ISBLANK(IFERROR(INDEX('2-3 引出列表'!$A$2:$CE$8700,$A103,MATCH(E$1,'2-3 引出列表'!$A$1:$CD$1,0)),"")),"",IFERROR(INDEX('2-3 引出列表'!$A$2:$CE$8700,$A103,MATCH(E$1,'2-3 引出列表'!$A$1:$CD$1,0)),""))</f>
        <v>2025-06-12</v>
      </c>
      <c r="F103" t="str">
        <f t="shared" si="1"/>
        <v>2025-06</v>
      </c>
      <c r="G103" t="str">
        <f>IF(ISBLANK(IFERROR(INDEX('2-3 引出列表'!$A$2:$CE$8700,$A103,MATCH(G$1,'2-3 引出列表'!$A$1:$CD$1,0)),"")),"",IFERROR(INDEX('2-3 引出列表'!$A$2:$CE$8700,$A103,MATCH(G$1,'2-3 引出列表'!$A$1:$CD$1,0)),""))</f>
        <v>物料消耗.物料消耗</v>
      </c>
      <c r="H103" t="str">
        <f>IF(ISBLANK(IFERROR(INDEX('2-3 引出列表'!$A$2:$CE$8700,$A103,MATCH(H$1,'2-3 引出列表'!$A$1:$CD$1,0)),"")),"",IFERROR(INDEX('2-3 引出列表'!$A$2:$CE$8700,$A103,MATCH(H$1,'2-3 引出列表'!$A$1:$CD$1,0)),""))</f>
        <v>XHWZ-Z-2025-00011</v>
      </c>
      <c r="I103" t="str">
        <f>IF(ISBLANK(IFERROR(INDEX('2-3 引出列表'!$A$2:$CE$8700,$A103,MATCH(I$1,'2-3 引出列表'!$A$1:$CD$1,0)),"")),"",IFERROR(INDEX('2-3 引出列表'!$A$2:$CE$8700,$A103,MATCH(I$1,'2-3 引出列表'!$A$1:$CD$1,0)),""))</f>
        <v>金采易购</v>
      </c>
    </row>
    <row r="104" spans="1:9">
      <c r="A104">
        <v>103</v>
      </c>
      <c r="B104" t="str">
        <f>IF(ISBLANK(IFERROR(INDEX('2-3 引出列表'!$A$2:$CE$8700,$A104,MATCH(B$1,'2-3 引出列表'!$A$1:$CD$1,0)),"")),"",IFERROR(INDEX('2-3 引出列表'!$A$2:$CE$8700,$A104,MATCH(B$1,'2-3 引出列表'!$A$1:$CD$1,0)),""))</f>
        <v>FK250612000687</v>
      </c>
      <c r="C104">
        <f>IF(ISBLANK(IFERROR(INDEX('2-3 引出列表'!$A$2:$CE$8700,$A104,MATCH(C$1,'2-3 引出列表'!$A$1:$CD$1,0)),"")),"",IFERROR(INDEX('2-3 引出列表'!$A$2:$CE$8700,$A104,MATCH(C$1,'2-3 引出列表'!$A$1:$CD$1,0)),""))</f>
        <v>56524.4</v>
      </c>
      <c r="D104" t="str">
        <f>IF(ISBLANK(IFERROR(INDEX('2-3 引出列表'!$A$2:$CE$8700,$A104,MATCH(D$1,'2-3 引出列表'!$A$1:$CD$1,0)),"")),"",IFERROR(INDEX('2-3 引出列表'!$A$2:$CE$8700,$A104,MATCH(D$1,'2-3 引出列表'!$A$1:$CD$1,0)),""))</f>
        <v>已审核</v>
      </c>
      <c r="E104" t="str">
        <f>IF(ISBLANK(IFERROR(INDEX('2-3 引出列表'!$A$2:$CE$8700,$A104,MATCH(E$1,'2-3 引出列表'!$A$1:$CD$1,0)),"")),"",IFERROR(INDEX('2-3 引出列表'!$A$2:$CE$8700,$A104,MATCH(E$1,'2-3 引出列表'!$A$1:$CD$1,0)),""))</f>
        <v>2025-06-12</v>
      </c>
      <c r="F104" t="str">
        <f t="shared" si="1"/>
        <v>2025-06</v>
      </c>
      <c r="G104" t="str">
        <f>IF(ISBLANK(IFERROR(INDEX('2-3 引出列表'!$A$2:$CE$8700,$A104,MATCH(G$1,'2-3 引出列表'!$A$1:$CD$1,0)),"")),"",IFERROR(INDEX('2-3 引出列表'!$A$2:$CE$8700,$A104,MATCH(G$1,'2-3 引出列表'!$A$1:$CD$1,0)),""))</f>
        <v>物料消耗.物料消耗</v>
      </c>
      <c r="H104" t="str">
        <f>IF(ISBLANK(IFERROR(INDEX('2-3 引出列表'!$A$2:$CE$8700,$A104,MATCH(H$1,'2-3 引出列表'!$A$1:$CD$1,0)),"")),"",IFERROR(INDEX('2-3 引出列表'!$A$2:$CE$8700,$A104,MATCH(H$1,'2-3 引出列表'!$A$1:$CD$1,0)),""))</f>
        <v>XHWZ-Z-2025-00011</v>
      </c>
      <c r="I104" t="str">
        <f>IF(ISBLANK(IFERROR(INDEX('2-3 引出列表'!$A$2:$CE$8700,$A104,MATCH(I$1,'2-3 引出列表'!$A$1:$CD$1,0)),"")),"",IFERROR(INDEX('2-3 引出列表'!$A$2:$CE$8700,$A104,MATCH(I$1,'2-3 引出列表'!$A$1:$CD$1,0)),""))</f>
        <v>金采易购</v>
      </c>
    </row>
    <row r="105" spans="1:9">
      <c r="A105">
        <v>104</v>
      </c>
      <c r="B105" t="str">
        <f>IF(ISBLANK(IFERROR(INDEX('2-3 引出列表'!$A$2:$CE$8700,$A105,MATCH(B$1,'2-3 引出列表'!$A$1:$CD$1,0)),"")),"",IFERROR(INDEX('2-3 引出列表'!$A$2:$CE$8700,$A105,MATCH(B$1,'2-3 引出列表'!$A$1:$CD$1,0)),""))</f>
        <v>FK250612000687</v>
      </c>
      <c r="C105">
        <f>IF(ISBLANK(IFERROR(INDEX('2-3 引出列表'!$A$2:$CE$8700,$A105,MATCH(C$1,'2-3 引出列表'!$A$1:$CD$1,0)),"")),"",IFERROR(INDEX('2-3 引出列表'!$A$2:$CE$8700,$A105,MATCH(C$1,'2-3 引出列表'!$A$1:$CD$1,0)),""))</f>
        <v>56524.4</v>
      </c>
      <c r="D105" t="str">
        <f>IF(ISBLANK(IFERROR(INDEX('2-3 引出列表'!$A$2:$CE$8700,$A105,MATCH(D$1,'2-3 引出列表'!$A$1:$CD$1,0)),"")),"",IFERROR(INDEX('2-3 引出列表'!$A$2:$CE$8700,$A105,MATCH(D$1,'2-3 引出列表'!$A$1:$CD$1,0)),""))</f>
        <v>已审核</v>
      </c>
      <c r="E105" t="str">
        <f>IF(ISBLANK(IFERROR(INDEX('2-3 引出列表'!$A$2:$CE$8700,$A105,MATCH(E$1,'2-3 引出列表'!$A$1:$CD$1,0)),"")),"",IFERROR(INDEX('2-3 引出列表'!$A$2:$CE$8700,$A105,MATCH(E$1,'2-3 引出列表'!$A$1:$CD$1,0)),""))</f>
        <v>2025-06-12</v>
      </c>
      <c r="F105" t="str">
        <f t="shared" si="1"/>
        <v>2025-06</v>
      </c>
      <c r="G105" t="str">
        <f>IF(ISBLANK(IFERROR(INDEX('2-3 引出列表'!$A$2:$CE$8700,$A105,MATCH(G$1,'2-3 引出列表'!$A$1:$CD$1,0)),"")),"",IFERROR(INDEX('2-3 引出列表'!$A$2:$CE$8700,$A105,MATCH(G$1,'2-3 引出列表'!$A$1:$CD$1,0)),""))</f>
        <v>物料消耗.物料消耗</v>
      </c>
      <c r="H105" t="str">
        <f>IF(ISBLANK(IFERROR(INDEX('2-3 引出列表'!$A$2:$CE$8700,$A105,MATCH(H$1,'2-3 引出列表'!$A$1:$CD$1,0)),"")),"",IFERROR(INDEX('2-3 引出列表'!$A$2:$CE$8700,$A105,MATCH(H$1,'2-3 引出列表'!$A$1:$CD$1,0)),""))</f>
        <v>XHWZ-Z-2025-00011</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FK250612000687</v>
      </c>
      <c r="C106">
        <f>IF(ISBLANK(IFERROR(INDEX('2-3 引出列表'!$A$2:$CE$8700,$A106,MATCH(C$1,'2-3 引出列表'!$A$1:$CD$1,0)),"")),"",IFERROR(INDEX('2-3 引出列表'!$A$2:$CE$8700,$A106,MATCH(C$1,'2-3 引出列表'!$A$1:$CD$1,0)),""))</f>
        <v>56524.4</v>
      </c>
      <c r="D106" t="str">
        <f>IF(ISBLANK(IFERROR(INDEX('2-3 引出列表'!$A$2:$CE$8700,$A106,MATCH(D$1,'2-3 引出列表'!$A$1:$CD$1,0)),"")),"",IFERROR(INDEX('2-3 引出列表'!$A$2:$CE$8700,$A106,MATCH(D$1,'2-3 引出列表'!$A$1:$CD$1,0)),""))</f>
        <v>已审核</v>
      </c>
      <c r="E106" t="str">
        <f>IF(ISBLANK(IFERROR(INDEX('2-3 引出列表'!$A$2:$CE$8700,$A106,MATCH(E$1,'2-3 引出列表'!$A$1:$CD$1,0)),"")),"",IFERROR(INDEX('2-3 引出列表'!$A$2:$CE$8700,$A106,MATCH(E$1,'2-3 引出列表'!$A$1:$CD$1,0)),""))</f>
        <v>2025-06-12</v>
      </c>
      <c r="F106" t="str">
        <f t="shared" si="1"/>
        <v>2025-06</v>
      </c>
      <c r="G106" t="str">
        <f>IF(ISBLANK(IFERROR(INDEX('2-3 引出列表'!$A$2:$CE$8700,$A106,MATCH(G$1,'2-3 引出列表'!$A$1:$CD$1,0)),"")),"",IFERROR(INDEX('2-3 引出列表'!$A$2:$CE$8700,$A106,MATCH(G$1,'2-3 引出列表'!$A$1:$CD$1,0)),""))</f>
        <v>物料消耗.物料消耗</v>
      </c>
      <c r="H106" t="str">
        <f>IF(ISBLANK(IFERROR(INDEX('2-3 引出列表'!$A$2:$CE$8700,$A106,MATCH(H$1,'2-3 引出列表'!$A$1:$CD$1,0)),"")),"",IFERROR(INDEX('2-3 引出列表'!$A$2:$CE$8700,$A106,MATCH(H$1,'2-3 引出列表'!$A$1:$CD$1,0)),""))</f>
        <v>XHWZ-Z-2025-00011</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FK250612000687</v>
      </c>
      <c r="C107">
        <f>IF(ISBLANK(IFERROR(INDEX('2-3 引出列表'!$A$2:$CE$8700,$A107,MATCH(C$1,'2-3 引出列表'!$A$1:$CD$1,0)),"")),"",IFERROR(INDEX('2-3 引出列表'!$A$2:$CE$8700,$A107,MATCH(C$1,'2-3 引出列表'!$A$1:$CD$1,0)),""))</f>
        <v>56524.4</v>
      </c>
      <c r="D107" t="str">
        <f>IF(ISBLANK(IFERROR(INDEX('2-3 引出列表'!$A$2:$CE$8700,$A107,MATCH(D$1,'2-3 引出列表'!$A$1:$CD$1,0)),"")),"",IFERROR(INDEX('2-3 引出列表'!$A$2:$CE$8700,$A107,MATCH(D$1,'2-3 引出列表'!$A$1:$CD$1,0)),""))</f>
        <v>已审核</v>
      </c>
      <c r="E107" t="str">
        <f>IF(ISBLANK(IFERROR(INDEX('2-3 引出列表'!$A$2:$CE$8700,$A107,MATCH(E$1,'2-3 引出列表'!$A$1:$CD$1,0)),"")),"",IFERROR(INDEX('2-3 引出列表'!$A$2:$CE$8700,$A107,MATCH(E$1,'2-3 引出列表'!$A$1:$CD$1,0)),""))</f>
        <v>2025-06-12</v>
      </c>
      <c r="F107" t="str">
        <f t="shared" si="1"/>
        <v>2025-06</v>
      </c>
      <c r="G107" t="str">
        <f>IF(ISBLANK(IFERROR(INDEX('2-3 引出列表'!$A$2:$CE$8700,$A107,MATCH(G$1,'2-3 引出列表'!$A$1:$CD$1,0)),"")),"",IFERROR(INDEX('2-3 引出列表'!$A$2:$CE$8700,$A107,MATCH(G$1,'2-3 引出列表'!$A$1:$CD$1,0)),""))</f>
        <v>物料消耗.物料消耗</v>
      </c>
      <c r="H107" t="str">
        <f>IF(ISBLANK(IFERROR(INDEX('2-3 引出列表'!$A$2:$CE$8700,$A107,MATCH(H$1,'2-3 引出列表'!$A$1:$CD$1,0)),"")),"",IFERROR(INDEX('2-3 引出列表'!$A$2:$CE$8700,$A107,MATCH(H$1,'2-3 引出列表'!$A$1:$CD$1,0)),""))</f>
        <v>XHWZ-Z-2025-00011</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FK250612000687</v>
      </c>
      <c r="C108">
        <f>IF(ISBLANK(IFERROR(INDEX('2-3 引出列表'!$A$2:$CE$8700,$A108,MATCH(C$1,'2-3 引出列表'!$A$1:$CD$1,0)),"")),"",IFERROR(INDEX('2-3 引出列表'!$A$2:$CE$8700,$A108,MATCH(C$1,'2-3 引出列表'!$A$1:$CD$1,0)),""))</f>
        <v>56524.4</v>
      </c>
      <c r="D108" t="str">
        <f>IF(ISBLANK(IFERROR(INDEX('2-3 引出列表'!$A$2:$CE$8700,$A108,MATCH(D$1,'2-3 引出列表'!$A$1:$CD$1,0)),"")),"",IFERROR(INDEX('2-3 引出列表'!$A$2:$CE$8700,$A108,MATCH(D$1,'2-3 引出列表'!$A$1:$CD$1,0)),""))</f>
        <v>已审核</v>
      </c>
      <c r="E108" t="str">
        <f>IF(ISBLANK(IFERROR(INDEX('2-3 引出列表'!$A$2:$CE$8700,$A108,MATCH(E$1,'2-3 引出列表'!$A$1:$CD$1,0)),"")),"",IFERROR(INDEX('2-3 引出列表'!$A$2:$CE$8700,$A108,MATCH(E$1,'2-3 引出列表'!$A$1:$CD$1,0)),""))</f>
        <v>2025-06-12</v>
      </c>
      <c r="F108" t="str">
        <f t="shared" si="1"/>
        <v>2025-06</v>
      </c>
      <c r="G108" t="str">
        <f>IF(ISBLANK(IFERROR(INDEX('2-3 引出列表'!$A$2:$CE$8700,$A108,MATCH(G$1,'2-3 引出列表'!$A$1:$CD$1,0)),"")),"",IFERROR(INDEX('2-3 引出列表'!$A$2:$CE$8700,$A108,MATCH(G$1,'2-3 引出列表'!$A$1:$CD$1,0)),""))</f>
        <v>物料消耗.物料消耗</v>
      </c>
      <c r="H108" t="str">
        <f>IF(ISBLANK(IFERROR(INDEX('2-3 引出列表'!$A$2:$CE$8700,$A108,MATCH(H$1,'2-3 引出列表'!$A$1:$CD$1,0)),"")),"",IFERROR(INDEX('2-3 引出列表'!$A$2:$CE$8700,$A108,MATCH(H$1,'2-3 引出列表'!$A$1:$CD$1,0)),""))</f>
        <v>XHWZ-Z-2025-00011</v>
      </c>
      <c r="I108" t="str">
        <f>IF(ISBLANK(IFERROR(INDEX('2-3 引出列表'!$A$2:$CE$8700,$A108,MATCH(I$1,'2-3 引出列表'!$A$1:$CD$1,0)),"")),"",IFERROR(INDEX('2-3 引出列表'!$A$2:$CE$8700,$A108,MATCH(I$1,'2-3 引出列表'!$A$1:$CD$1,0)),""))</f>
        <v>金采易购</v>
      </c>
    </row>
    <row r="109" spans="1:9">
      <c r="A109">
        <v>108</v>
      </c>
      <c r="B109" t="str">
        <f>IF(ISBLANK(IFERROR(INDEX('2-3 引出列表'!$A$2:$CE$8700,$A109,MATCH(B$1,'2-3 引出列表'!$A$1:$CD$1,0)),"")),"",IFERROR(INDEX('2-3 引出列表'!$A$2:$CE$8700,$A109,MATCH(B$1,'2-3 引出列表'!$A$1:$CD$1,0)),""))</f>
        <v>FK250612000687</v>
      </c>
      <c r="C109">
        <f>IF(ISBLANK(IFERROR(INDEX('2-3 引出列表'!$A$2:$CE$8700,$A109,MATCH(C$1,'2-3 引出列表'!$A$1:$CD$1,0)),"")),"",IFERROR(INDEX('2-3 引出列表'!$A$2:$CE$8700,$A109,MATCH(C$1,'2-3 引出列表'!$A$1:$CD$1,0)),""))</f>
        <v>56524.4</v>
      </c>
      <c r="D109" t="str">
        <f>IF(ISBLANK(IFERROR(INDEX('2-3 引出列表'!$A$2:$CE$8700,$A109,MATCH(D$1,'2-3 引出列表'!$A$1:$CD$1,0)),"")),"",IFERROR(INDEX('2-3 引出列表'!$A$2:$CE$8700,$A109,MATCH(D$1,'2-3 引出列表'!$A$1:$CD$1,0)),""))</f>
        <v>已审核</v>
      </c>
      <c r="E109" t="str">
        <f>IF(ISBLANK(IFERROR(INDEX('2-3 引出列表'!$A$2:$CE$8700,$A109,MATCH(E$1,'2-3 引出列表'!$A$1:$CD$1,0)),"")),"",IFERROR(INDEX('2-3 引出列表'!$A$2:$CE$8700,$A109,MATCH(E$1,'2-3 引出列表'!$A$1:$CD$1,0)),""))</f>
        <v>2025-06-12</v>
      </c>
      <c r="F109" t="str">
        <f t="shared" si="1"/>
        <v>2025-06</v>
      </c>
      <c r="G109" t="str">
        <f>IF(ISBLANK(IFERROR(INDEX('2-3 引出列表'!$A$2:$CE$8700,$A109,MATCH(G$1,'2-3 引出列表'!$A$1:$CD$1,0)),"")),"",IFERROR(INDEX('2-3 引出列表'!$A$2:$CE$8700,$A109,MATCH(G$1,'2-3 引出列表'!$A$1:$CD$1,0)),""))</f>
        <v>物料消耗.物料消耗</v>
      </c>
      <c r="H109" t="str">
        <f>IF(ISBLANK(IFERROR(INDEX('2-3 引出列表'!$A$2:$CE$8700,$A109,MATCH(H$1,'2-3 引出列表'!$A$1:$CD$1,0)),"")),"",IFERROR(INDEX('2-3 引出列表'!$A$2:$CE$8700,$A109,MATCH(H$1,'2-3 引出列表'!$A$1:$CD$1,0)),""))</f>
        <v>XHWZ-Z-2025-00011</v>
      </c>
      <c r="I109" t="str">
        <f>IF(ISBLANK(IFERROR(INDEX('2-3 引出列表'!$A$2:$CE$8700,$A109,MATCH(I$1,'2-3 引出列表'!$A$1:$CD$1,0)),"")),"",IFERROR(INDEX('2-3 引出列表'!$A$2:$CE$8700,$A109,MATCH(I$1,'2-3 引出列表'!$A$1:$CD$1,0)),""))</f>
        <v>金采易购</v>
      </c>
    </row>
    <row r="110" spans="1:9">
      <c r="A110">
        <v>109</v>
      </c>
      <c r="B110" t="str">
        <f>IF(ISBLANK(IFERROR(INDEX('2-3 引出列表'!$A$2:$CE$8700,$A110,MATCH(B$1,'2-3 引出列表'!$A$1:$CD$1,0)),"")),"",IFERROR(INDEX('2-3 引出列表'!$A$2:$CE$8700,$A110,MATCH(B$1,'2-3 引出列表'!$A$1:$CD$1,0)),""))</f>
        <v>FK250612000687</v>
      </c>
      <c r="C110">
        <f>IF(ISBLANK(IFERROR(INDEX('2-3 引出列表'!$A$2:$CE$8700,$A110,MATCH(C$1,'2-3 引出列表'!$A$1:$CD$1,0)),"")),"",IFERROR(INDEX('2-3 引出列表'!$A$2:$CE$8700,$A110,MATCH(C$1,'2-3 引出列表'!$A$1:$CD$1,0)),""))</f>
        <v>56524.4</v>
      </c>
      <c r="D110" t="str">
        <f>IF(ISBLANK(IFERROR(INDEX('2-3 引出列表'!$A$2:$CE$8700,$A110,MATCH(D$1,'2-3 引出列表'!$A$1:$CD$1,0)),"")),"",IFERROR(INDEX('2-3 引出列表'!$A$2:$CE$8700,$A110,MATCH(D$1,'2-3 引出列表'!$A$1:$CD$1,0)),""))</f>
        <v>已审核</v>
      </c>
      <c r="E110" t="str">
        <f>IF(ISBLANK(IFERROR(INDEX('2-3 引出列表'!$A$2:$CE$8700,$A110,MATCH(E$1,'2-3 引出列表'!$A$1:$CD$1,0)),"")),"",IFERROR(INDEX('2-3 引出列表'!$A$2:$CE$8700,$A110,MATCH(E$1,'2-3 引出列表'!$A$1:$CD$1,0)),""))</f>
        <v>2025-06-12</v>
      </c>
      <c r="F110" t="str">
        <f t="shared" si="1"/>
        <v>2025-06</v>
      </c>
      <c r="G110" t="str">
        <f>IF(ISBLANK(IFERROR(INDEX('2-3 引出列表'!$A$2:$CE$8700,$A110,MATCH(G$1,'2-3 引出列表'!$A$1:$CD$1,0)),"")),"",IFERROR(INDEX('2-3 引出列表'!$A$2:$CE$8700,$A110,MATCH(G$1,'2-3 引出列表'!$A$1:$CD$1,0)),""))</f>
        <v>物料消耗.物料消耗</v>
      </c>
      <c r="H110" t="str">
        <f>IF(ISBLANK(IFERROR(INDEX('2-3 引出列表'!$A$2:$CE$8700,$A110,MATCH(H$1,'2-3 引出列表'!$A$1:$CD$1,0)),"")),"",IFERROR(INDEX('2-3 引出列表'!$A$2:$CE$8700,$A110,MATCH(H$1,'2-3 引出列表'!$A$1:$CD$1,0)),""))</f>
        <v>XHWZ-Z-2025-00011</v>
      </c>
      <c r="I110" t="str">
        <f>IF(ISBLANK(IFERROR(INDEX('2-3 引出列表'!$A$2:$CE$8700,$A110,MATCH(I$1,'2-3 引出列表'!$A$1:$CD$1,0)),"")),"",IFERROR(INDEX('2-3 引出列表'!$A$2:$CE$8700,$A110,MATCH(I$1,'2-3 引出列表'!$A$1:$CD$1,0)),""))</f>
        <v>金采易购</v>
      </c>
    </row>
    <row r="111" spans="1:9">
      <c r="A111">
        <v>110</v>
      </c>
      <c r="B111" t="str">
        <f>IF(ISBLANK(IFERROR(INDEX('2-3 引出列表'!$A$2:$CE$8700,$A111,MATCH(B$1,'2-3 引出列表'!$A$1:$CD$1,0)),"")),"",IFERROR(INDEX('2-3 引出列表'!$A$2:$CE$8700,$A111,MATCH(B$1,'2-3 引出列表'!$A$1:$CD$1,0)),""))</f>
        <v>FK250612000687</v>
      </c>
      <c r="C111">
        <f>IF(ISBLANK(IFERROR(INDEX('2-3 引出列表'!$A$2:$CE$8700,$A111,MATCH(C$1,'2-3 引出列表'!$A$1:$CD$1,0)),"")),"",IFERROR(INDEX('2-3 引出列表'!$A$2:$CE$8700,$A111,MATCH(C$1,'2-3 引出列表'!$A$1:$CD$1,0)),""))</f>
        <v>56524.4</v>
      </c>
      <c r="D111" t="str">
        <f>IF(ISBLANK(IFERROR(INDEX('2-3 引出列表'!$A$2:$CE$8700,$A111,MATCH(D$1,'2-3 引出列表'!$A$1:$CD$1,0)),"")),"",IFERROR(INDEX('2-3 引出列表'!$A$2:$CE$8700,$A111,MATCH(D$1,'2-3 引出列表'!$A$1:$CD$1,0)),""))</f>
        <v>已审核</v>
      </c>
      <c r="E111" t="str">
        <f>IF(ISBLANK(IFERROR(INDEX('2-3 引出列表'!$A$2:$CE$8700,$A111,MATCH(E$1,'2-3 引出列表'!$A$1:$CD$1,0)),"")),"",IFERROR(INDEX('2-3 引出列表'!$A$2:$CE$8700,$A111,MATCH(E$1,'2-3 引出列表'!$A$1:$CD$1,0)),""))</f>
        <v>2025-06-12</v>
      </c>
      <c r="F111" t="str">
        <f t="shared" si="1"/>
        <v>2025-06</v>
      </c>
      <c r="G111" t="str">
        <f>IF(ISBLANK(IFERROR(INDEX('2-3 引出列表'!$A$2:$CE$8700,$A111,MATCH(G$1,'2-3 引出列表'!$A$1:$CD$1,0)),"")),"",IFERROR(INDEX('2-3 引出列表'!$A$2:$CE$8700,$A111,MATCH(G$1,'2-3 引出列表'!$A$1:$CD$1,0)),""))</f>
        <v>物料消耗.物料消耗</v>
      </c>
      <c r="H111" t="str">
        <f>IF(ISBLANK(IFERROR(INDEX('2-3 引出列表'!$A$2:$CE$8700,$A111,MATCH(H$1,'2-3 引出列表'!$A$1:$CD$1,0)),"")),"",IFERROR(INDEX('2-3 引出列表'!$A$2:$CE$8700,$A111,MATCH(H$1,'2-3 引出列表'!$A$1:$CD$1,0)),""))</f>
        <v>XHWZ-Z-2025-00011</v>
      </c>
      <c r="I111" t="str">
        <f>IF(ISBLANK(IFERROR(INDEX('2-3 引出列表'!$A$2:$CE$8700,$A111,MATCH(I$1,'2-3 引出列表'!$A$1:$CD$1,0)),"")),"",IFERROR(INDEX('2-3 引出列表'!$A$2:$CE$8700,$A111,MATCH(I$1,'2-3 引出列表'!$A$1:$CD$1,0)),""))</f>
        <v>金采易购</v>
      </c>
    </row>
    <row r="112" spans="1:9">
      <c r="A112">
        <v>111</v>
      </c>
      <c r="B112" t="str">
        <f>IF(ISBLANK(IFERROR(INDEX('2-3 引出列表'!$A$2:$CE$8700,$A112,MATCH(B$1,'2-3 引出列表'!$A$1:$CD$1,0)),"")),"",IFERROR(INDEX('2-3 引出列表'!$A$2:$CE$8700,$A112,MATCH(B$1,'2-3 引出列表'!$A$1:$CD$1,0)),""))</f>
        <v>FK250612000687</v>
      </c>
      <c r="C112">
        <f>IF(ISBLANK(IFERROR(INDEX('2-3 引出列表'!$A$2:$CE$8700,$A112,MATCH(C$1,'2-3 引出列表'!$A$1:$CD$1,0)),"")),"",IFERROR(INDEX('2-3 引出列表'!$A$2:$CE$8700,$A112,MATCH(C$1,'2-3 引出列表'!$A$1:$CD$1,0)),""))</f>
        <v>56524.4</v>
      </c>
      <c r="D112" t="str">
        <f>IF(ISBLANK(IFERROR(INDEX('2-3 引出列表'!$A$2:$CE$8700,$A112,MATCH(D$1,'2-3 引出列表'!$A$1:$CD$1,0)),"")),"",IFERROR(INDEX('2-3 引出列表'!$A$2:$CE$8700,$A112,MATCH(D$1,'2-3 引出列表'!$A$1:$CD$1,0)),""))</f>
        <v>已审核</v>
      </c>
      <c r="E112" t="str">
        <f>IF(ISBLANK(IFERROR(INDEX('2-3 引出列表'!$A$2:$CE$8700,$A112,MATCH(E$1,'2-3 引出列表'!$A$1:$CD$1,0)),"")),"",IFERROR(INDEX('2-3 引出列表'!$A$2:$CE$8700,$A112,MATCH(E$1,'2-3 引出列表'!$A$1:$CD$1,0)),""))</f>
        <v>2025-06-12</v>
      </c>
      <c r="F112" t="str">
        <f t="shared" si="1"/>
        <v>2025-06</v>
      </c>
      <c r="G112" t="str">
        <f>IF(ISBLANK(IFERROR(INDEX('2-3 引出列表'!$A$2:$CE$8700,$A112,MATCH(G$1,'2-3 引出列表'!$A$1:$CD$1,0)),"")),"",IFERROR(INDEX('2-3 引出列表'!$A$2:$CE$8700,$A112,MATCH(G$1,'2-3 引出列表'!$A$1:$CD$1,0)),""))</f>
        <v>物料消耗.物料消耗</v>
      </c>
      <c r="H112" t="str">
        <f>IF(ISBLANK(IFERROR(INDEX('2-3 引出列表'!$A$2:$CE$8700,$A112,MATCH(H$1,'2-3 引出列表'!$A$1:$CD$1,0)),"")),"",IFERROR(INDEX('2-3 引出列表'!$A$2:$CE$8700,$A112,MATCH(H$1,'2-3 引出列表'!$A$1:$CD$1,0)),""))</f>
        <v>XHWZ-Z-2025-00011</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FK250612000687</v>
      </c>
      <c r="C113">
        <f>IF(ISBLANK(IFERROR(INDEX('2-3 引出列表'!$A$2:$CE$8700,$A113,MATCH(C$1,'2-3 引出列表'!$A$1:$CD$1,0)),"")),"",IFERROR(INDEX('2-3 引出列表'!$A$2:$CE$8700,$A113,MATCH(C$1,'2-3 引出列表'!$A$1:$CD$1,0)),""))</f>
        <v>56524.4</v>
      </c>
      <c r="D113" t="str">
        <f>IF(ISBLANK(IFERROR(INDEX('2-3 引出列表'!$A$2:$CE$8700,$A113,MATCH(D$1,'2-3 引出列表'!$A$1:$CD$1,0)),"")),"",IFERROR(INDEX('2-3 引出列表'!$A$2:$CE$8700,$A113,MATCH(D$1,'2-3 引出列表'!$A$1:$CD$1,0)),""))</f>
        <v>已审核</v>
      </c>
      <c r="E113" t="str">
        <f>IF(ISBLANK(IFERROR(INDEX('2-3 引出列表'!$A$2:$CE$8700,$A113,MATCH(E$1,'2-3 引出列表'!$A$1:$CD$1,0)),"")),"",IFERROR(INDEX('2-3 引出列表'!$A$2:$CE$8700,$A113,MATCH(E$1,'2-3 引出列表'!$A$1:$CD$1,0)),""))</f>
        <v>2025-06-12</v>
      </c>
      <c r="F113" t="str">
        <f t="shared" si="1"/>
        <v>2025-06</v>
      </c>
      <c r="G113" t="str">
        <f>IF(ISBLANK(IFERROR(INDEX('2-3 引出列表'!$A$2:$CE$8700,$A113,MATCH(G$1,'2-3 引出列表'!$A$1:$CD$1,0)),"")),"",IFERROR(INDEX('2-3 引出列表'!$A$2:$CE$8700,$A113,MATCH(G$1,'2-3 引出列表'!$A$1:$CD$1,0)),""))</f>
        <v>物料消耗.物料消耗</v>
      </c>
      <c r="H113" t="str">
        <f>IF(ISBLANK(IFERROR(INDEX('2-3 引出列表'!$A$2:$CE$8700,$A113,MATCH(H$1,'2-3 引出列表'!$A$1:$CD$1,0)),"")),"",IFERROR(INDEX('2-3 引出列表'!$A$2:$CE$8700,$A113,MATCH(H$1,'2-3 引出列表'!$A$1:$CD$1,0)),""))</f>
        <v>XHWZ-Z-2025-00011</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FK250612000687</v>
      </c>
      <c r="C114">
        <f>IF(ISBLANK(IFERROR(INDEX('2-3 引出列表'!$A$2:$CE$8700,$A114,MATCH(C$1,'2-3 引出列表'!$A$1:$CD$1,0)),"")),"",IFERROR(INDEX('2-3 引出列表'!$A$2:$CE$8700,$A114,MATCH(C$1,'2-3 引出列表'!$A$1:$CD$1,0)),""))</f>
        <v>56524.4</v>
      </c>
      <c r="D114" t="str">
        <f>IF(ISBLANK(IFERROR(INDEX('2-3 引出列表'!$A$2:$CE$8700,$A114,MATCH(D$1,'2-3 引出列表'!$A$1:$CD$1,0)),"")),"",IFERROR(INDEX('2-3 引出列表'!$A$2:$CE$8700,$A114,MATCH(D$1,'2-3 引出列表'!$A$1:$CD$1,0)),""))</f>
        <v>已审核</v>
      </c>
      <c r="E114" t="str">
        <f>IF(ISBLANK(IFERROR(INDEX('2-3 引出列表'!$A$2:$CE$8700,$A114,MATCH(E$1,'2-3 引出列表'!$A$1:$CD$1,0)),"")),"",IFERROR(INDEX('2-3 引出列表'!$A$2:$CE$8700,$A114,MATCH(E$1,'2-3 引出列表'!$A$1:$CD$1,0)),""))</f>
        <v>2025-06-12</v>
      </c>
      <c r="F114" t="str">
        <f t="shared" si="1"/>
        <v>2025-06</v>
      </c>
      <c r="G114" t="str">
        <f>IF(ISBLANK(IFERROR(INDEX('2-3 引出列表'!$A$2:$CE$8700,$A114,MATCH(G$1,'2-3 引出列表'!$A$1:$CD$1,0)),"")),"",IFERROR(INDEX('2-3 引出列表'!$A$2:$CE$8700,$A114,MATCH(G$1,'2-3 引出列表'!$A$1:$CD$1,0)),""))</f>
        <v>物料消耗.物料消耗</v>
      </c>
      <c r="H114" t="str">
        <f>IF(ISBLANK(IFERROR(INDEX('2-3 引出列表'!$A$2:$CE$8700,$A114,MATCH(H$1,'2-3 引出列表'!$A$1:$CD$1,0)),"")),"",IFERROR(INDEX('2-3 引出列表'!$A$2:$CE$8700,$A114,MATCH(H$1,'2-3 引出列表'!$A$1:$CD$1,0)),""))</f>
        <v>XHWZ-Z-2025-00011</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FK250612000687</v>
      </c>
      <c r="C115">
        <f>IF(ISBLANK(IFERROR(INDEX('2-3 引出列表'!$A$2:$CE$8700,$A115,MATCH(C$1,'2-3 引出列表'!$A$1:$CD$1,0)),"")),"",IFERROR(INDEX('2-3 引出列表'!$A$2:$CE$8700,$A115,MATCH(C$1,'2-3 引出列表'!$A$1:$CD$1,0)),""))</f>
        <v>56524.4</v>
      </c>
      <c r="D115" t="str">
        <f>IF(ISBLANK(IFERROR(INDEX('2-3 引出列表'!$A$2:$CE$8700,$A115,MATCH(D$1,'2-3 引出列表'!$A$1:$CD$1,0)),"")),"",IFERROR(INDEX('2-3 引出列表'!$A$2:$CE$8700,$A115,MATCH(D$1,'2-3 引出列表'!$A$1:$CD$1,0)),""))</f>
        <v>已审核</v>
      </c>
      <c r="E115" t="str">
        <f>IF(ISBLANK(IFERROR(INDEX('2-3 引出列表'!$A$2:$CE$8700,$A115,MATCH(E$1,'2-3 引出列表'!$A$1:$CD$1,0)),"")),"",IFERROR(INDEX('2-3 引出列表'!$A$2:$CE$8700,$A115,MATCH(E$1,'2-3 引出列表'!$A$1:$CD$1,0)),""))</f>
        <v>2025-06-12</v>
      </c>
      <c r="F115" t="str">
        <f t="shared" si="1"/>
        <v>2025-06</v>
      </c>
      <c r="G115" t="str">
        <f>IF(ISBLANK(IFERROR(INDEX('2-3 引出列表'!$A$2:$CE$8700,$A115,MATCH(G$1,'2-3 引出列表'!$A$1:$CD$1,0)),"")),"",IFERROR(INDEX('2-3 引出列表'!$A$2:$CE$8700,$A115,MATCH(G$1,'2-3 引出列表'!$A$1:$CD$1,0)),""))</f>
        <v>物料消耗.物料消耗</v>
      </c>
      <c r="H115" t="str">
        <f>IF(ISBLANK(IFERROR(INDEX('2-3 引出列表'!$A$2:$CE$8700,$A115,MATCH(H$1,'2-3 引出列表'!$A$1:$CD$1,0)),"")),"",IFERROR(INDEX('2-3 引出列表'!$A$2:$CE$8700,$A115,MATCH(H$1,'2-3 引出列表'!$A$1:$CD$1,0)),""))</f>
        <v>XHWZ-Z-2025-00011</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FK250612000687</v>
      </c>
      <c r="C116">
        <f>IF(ISBLANK(IFERROR(INDEX('2-3 引出列表'!$A$2:$CE$8700,$A116,MATCH(C$1,'2-3 引出列表'!$A$1:$CD$1,0)),"")),"",IFERROR(INDEX('2-3 引出列表'!$A$2:$CE$8700,$A116,MATCH(C$1,'2-3 引出列表'!$A$1:$CD$1,0)),""))</f>
        <v>56524.4</v>
      </c>
      <c r="D116" t="str">
        <f>IF(ISBLANK(IFERROR(INDEX('2-3 引出列表'!$A$2:$CE$8700,$A116,MATCH(D$1,'2-3 引出列表'!$A$1:$CD$1,0)),"")),"",IFERROR(INDEX('2-3 引出列表'!$A$2:$CE$8700,$A116,MATCH(D$1,'2-3 引出列表'!$A$1:$CD$1,0)),""))</f>
        <v>已审核</v>
      </c>
      <c r="E116" t="str">
        <f>IF(ISBLANK(IFERROR(INDEX('2-3 引出列表'!$A$2:$CE$8700,$A116,MATCH(E$1,'2-3 引出列表'!$A$1:$CD$1,0)),"")),"",IFERROR(INDEX('2-3 引出列表'!$A$2:$CE$8700,$A116,MATCH(E$1,'2-3 引出列表'!$A$1:$CD$1,0)),""))</f>
        <v>2025-06-12</v>
      </c>
      <c r="F116" t="str">
        <f t="shared" si="1"/>
        <v>2025-06</v>
      </c>
      <c r="G116" t="str">
        <f>IF(ISBLANK(IFERROR(INDEX('2-3 引出列表'!$A$2:$CE$8700,$A116,MATCH(G$1,'2-3 引出列表'!$A$1:$CD$1,0)),"")),"",IFERROR(INDEX('2-3 引出列表'!$A$2:$CE$8700,$A116,MATCH(G$1,'2-3 引出列表'!$A$1:$CD$1,0)),""))</f>
        <v>物料消耗.物料消耗</v>
      </c>
      <c r="H116" t="str">
        <f>IF(ISBLANK(IFERROR(INDEX('2-3 引出列表'!$A$2:$CE$8700,$A116,MATCH(H$1,'2-3 引出列表'!$A$1:$CD$1,0)),"")),"",IFERROR(INDEX('2-3 引出列表'!$A$2:$CE$8700,$A116,MATCH(H$1,'2-3 引出列表'!$A$1:$CD$1,0)),""))</f>
        <v>XHWZ-Z-2025-00011</v>
      </c>
      <c r="I116" t="str">
        <f>IF(ISBLANK(IFERROR(INDEX('2-3 引出列表'!$A$2:$CE$8700,$A116,MATCH(I$1,'2-3 引出列表'!$A$1:$CD$1,0)),"")),"",IFERROR(INDEX('2-3 引出列表'!$A$2:$CE$8700,$A116,MATCH(I$1,'2-3 引出列表'!$A$1:$CD$1,0)),""))</f>
        <v>金采易购</v>
      </c>
    </row>
    <row r="117" spans="1:9">
      <c r="A117">
        <v>116</v>
      </c>
      <c r="B117" t="str">
        <f>IF(ISBLANK(IFERROR(INDEX('2-3 引出列表'!$A$2:$CE$8700,$A117,MATCH(B$1,'2-3 引出列表'!$A$1:$CD$1,0)),"")),"",IFERROR(INDEX('2-3 引出列表'!$A$2:$CE$8700,$A117,MATCH(B$1,'2-3 引出列表'!$A$1:$CD$1,0)),""))</f>
        <v>FK250612000687</v>
      </c>
      <c r="C117">
        <f>IF(ISBLANK(IFERROR(INDEX('2-3 引出列表'!$A$2:$CE$8700,$A117,MATCH(C$1,'2-3 引出列表'!$A$1:$CD$1,0)),"")),"",IFERROR(INDEX('2-3 引出列表'!$A$2:$CE$8700,$A117,MATCH(C$1,'2-3 引出列表'!$A$1:$CD$1,0)),""))</f>
        <v>56524.4</v>
      </c>
      <c r="D117" t="str">
        <f>IF(ISBLANK(IFERROR(INDEX('2-3 引出列表'!$A$2:$CE$8700,$A117,MATCH(D$1,'2-3 引出列表'!$A$1:$CD$1,0)),"")),"",IFERROR(INDEX('2-3 引出列表'!$A$2:$CE$8700,$A117,MATCH(D$1,'2-3 引出列表'!$A$1:$CD$1,0)),""))</f>
        <v>已审核</v>
      </c>
      <c r="E117" t="str">
        <f>IF(ISBLANK(IFERROR(INDEX('2-3 引出列表'!$A$2:$CE$8700,$A117,MATCH(E$1,'2-3 引出列表'!$A$1:$CD$1,0)),"")),"",IFERROR(INDEX('2-3 引出列表'!$A$2:$CE$8700,$A117,MATCH(E$1,'2-3 引出列表'!$A$1:$CD$1,0)),""))</f>
        <v>2025-06-12</v>
      </c>
      <c r="F117" t="str">
        <f t="shared" si="1"/>
        <v>2025-06</v>
      </c>
      <c r="G117" t="str">
        <f>IF(ISBLANK(IFERROR(INDEX('2-3 引出列表'!$A$2:$CE$8700,$A117,MATCH(G$1,'2-3 引出列表'!$A$1:$CD$1,0)),"")),"",IFERROR(INDEX('2-3 引出列表'!$A$2:$CE$8700,$A117,MATCH(G$1,'2-3 引出列表'!$A$1:$CD$1,0)),""))</f>
        <v>物料消耗.物料消耗</v>
      </c>
      <c r="H117" t="str">
        <f>IF(ISBLANK(IFERROR(INDEX('2-3 引出列表'!$A$2:$CE$8700,$A117,MATCH(H$1,'2-3 引出列表'!$A$1:$CD$1,0)),"")),"",IFERROR(INDEX('2-3 引出列表'!$A$2:$CE$8700,$A117,MATCH(H$1,'2-3 引出列表'!$A$1:$CD$1,0)),""))</f>
        <v>XHWZ-Z-2025-00011</v>
      </c>
      <c r="I117" t="str">
        <f>IF(ISBLANK(IFERROR(INDEX('2-3 引出列表'!$A$2:$CE$8700,$A117,MATCH(I$1,'2-3 引出列表'!$A$1:$CD$1,0)),"")),"",IFERROR(INDEX('2-3 引出列表'!$A$2:$CE$8700,$A117,MATCH(I$1,'2-3 引出列表'!$A$1:$CD$1,0)),""))</f>
        <v>金采易购</v>
      </c>
    </row>
    <row r="118" spans="1:9">
      <c r="A118">
        <v>117</v>
      </c>
      <c r="B118" t="str">
        <f>IF(ISBLANK(IFERROR(INDEX('2-3 引出列表'!$A$2:$CE$8700,$A118,MATCH(B$1,'2-3 引出列表'!$A$1:$CD$1,0)),"")),"",IFERROR(INDEX('2-3 引出列表'!$A$2:$CE$8700,$A118,MATCH(B$1,'2-3 引出列表'!$A$1:$CD$1,0)),""))</f>
        <v>FK250612000687</v>
      </c>
      <c r="C118">
        <f>IF(ISBLANK(IFERROR(INDEX('2-3 引出列表'!$A$2:$CE$8700,$A118,MATCH(C$1,'2-3 引出列表'!$A$1:$CD$1,0)),"")),"",IFERROR(INDEX('2-3 引出列表'!$A$2:$CE$8700,$A118,MATCH(C$1,'2-3 引出列表'!$A$1:$CD$1,0)),""))</f>
        <v>56524.4</v>
      </c>
      <c r="D118" t="str">
        <f>IF(ISBLANK(IFERROR(INDEX('2-3 引出列表'!$A$2:$CE$8700,$A118,MATCH(D$1,'2-3 引出列表'!$A$1:$CD$1,0)),"")),"",IFERROR(INDEX('2-3 引出列表'!$A$2:$CE$8700,$A118,MATCH(D$1,'2-3 引出列表'!$A$1:$CD$1,0)),""))</f>
        <v>已审核</v>
      </c>
      <c r="E118" t="str">
        <f>IF(ISBLANK(IFERROR(INDEX('2-3 引出列表'!$A$2:$CE$8700,$A118,MATCH(E$1,'2-3 引出列表'!$A$1:$CD$1,0)),"")),"",IFERROR(INDEX('2-3 引出列表'!$A$2:$CE$8700,$A118,MATCH(E$1,'2-3 引出列表'!$A$1:$CD$1,0)),""))</f>
        <v>2025-06-12</v>
      </c>
      <c r="F118" t="str">
        <f t="shared" si="1"/>
        <v>2025-06</v>
      </c>
      <c r="G118" t="str">
        <f>IF(ISBLANK(IFERROR(INDEX('2-3 引出列表'!$A$2:$CE$8700,$A118,MATCH(G$1,'2-3 引出列表'!$A$1:$CD$1,0)),"")),"",IFERROR(INDEX('2-3 引出列表'!$A$2:$CE$8700,$A118,MATCH(G$1,'2-3 引出列表'!$A$1:$CD$1,0)),""))</f>
        <v>物料消耗.物料消耗</v>
      </c>
      <c r="H118" t="str">
        <f>IF(ISBLANK(IFERROR(INDEX('2-3 引出列表'!$A$2:$CE$8700,$A118,MATCH(H$1,'2-3 引出列表'!$A$1:$CD$1,0)),"")),"",IFERROR(INDEX('2-3 引出列表'!$A$2:$CE$8700,$A118,MATCH(H$1,'2-3 引出列表'!$A$1:$CD$1,0)),""))</f>
        <v>XHWZ-Z-2025-00011</v>
      </c>
      <c r="I118" t="str">
        <f>IF(ISBLANK(IFERROR(INDEX('2-3 引出列表'!$A$2:$CE$8700,$A118,MATCH(I$1,'2-3 引出列表'!$A$1:$CD$1,0)),"")),"",IFERROR(INDEX('2-3 引出列表'!$A$2:$CE$8700,$A118,MATCH(I$1,'2-3 引出列表'!$A$1:$CD$1,0)),""))</f>
        <v>金采易购</v>
      </c>
    </row>
    <row r="119" spans="1:9">
      <c r="A119">
        <v>118</v>
      </c>
      <c r="B119" t="str">
        <f>IF(ISBLANK(IFERROR(INDEX('2-3 引出列表'!$A$2:$CE$8700,$A119,MATCH(B$1,'2-3 引出列表'!$A$1:$CD$1,0)),"")),"",IFERROR(INDEX('2-3 引出列表'!$A$2:$CE$8700,$A119,MATCH(B$1,'2-3 引出列表'!$A$1:$CD$1,0)),""))</f>
        <v>FK250612000687</v>
      </c>
      <c r="C119">
        <f>IF(ISBLANK(IFERROR(INDEX('2-3 引出列表'!$A$2:$CE$8700,$A119,MATCH(C$1,'2-3 引出列表'!$A$1:$CD$1,0)),"")),"",IFERROR(INDEX('2-3 引出列表'!$A$2:$CE$8700,$A119,MATCH(C$1,'2-3 引出列表'!$A$1:$CD$1,0)),""))</f>
        <v>56524.4</v>
      </c>
      <c r="D119" t="str">
        <f>IF(ISBLANK(IFERROR(INDEX('2-3 引出列表'!$A$2:$CE$8700,$A119,MATCH(D$1,'2-3 引出列表'!$A$1:$CD$1,0)),"")),"",IFERROR(INDEX('2-3 引出列表'!$A$2:$CE$8700,$A119,MATCH(D$1,'2-3 引出列表'!$A$1:$CD$1,0)),""))</f>
        <v>已审核</v>
      </c>
      <c r="E119" t="str">
        <f>IF(ISBLANK(IFERROR(INDEX('2-3 引出列表'!$A$2:$CE$8700,$A119,MATCH(E$1,'2-3 引出列表'!$A$1:$CD$1,0)),"")),"",IFERROR(INDEX('2-3 引出列表'!$A$2:$CE$8700,$A119,MATCH(E$1,'2-3 引出列表'!$A$1:$CD$1,0)),""))</f>
        <v>2025-06-12</v>
      </c>
      <c r="F119" t="str">
        <f t="shared" si="1"/>
        <v>2025-06</v>
      </c>
      <c r="G119" t="str">
        <f>IF(ISBLANK(IFERROR(INDEX('2-3 引出列表'!$A$2:$CE$8700,$A119,MATCH(G$1,'2-3 引出列表'!$A$1:$CD$1,0)),"")),"",IFERROR(INDEX('2-3 引出列表'!$A$2:$CE$8700,$A119,MATCH(G$1,'2-3 引出列表'!$A$1:$CD$1,0)),""))</f>
        <v>物料消耗.物料消耗</v>
      </c>
      <c r="H119" t="str">
        <f>IF(ISBLANK(IFERROR(INDEX('2-3 引出列表'!$A$2:$CE$8700,$A119,MATCH(H$1,'2-3 引出列表'!$A$1:$CD$1,0)),"")),"",IFERROR(INDEX('2-3 引出列表'!$A$2:$CE$8700,$A119,MATCH(H$1,'2-3 引出列表'!$A$1:$CD$1,0)),""))</f>
        <v>XHWZ-Z-2025-00011</v>
      </c>
      <c r="I119" t="str">
        <f>IF(ISBLANK(IFERROR(INDEX('2-3 引出列表'!$A$2:$CE$8700,$A119,MATCH(I$1,'2-3 引出列表'!$A$1:$CD$1,0)),"")),"",IFERROR(INDEX('2-3 引出列表'!$A$2:$CE$8700,$A119,MATCH(I$1,'2-3 引出列表'!$A$1:$CD$1,0)),""))</f>
        <v>金采易购</v>
      </c>
    </row>
    <row r="120" spans="1:9">
      <c r="A120">
        <v>119</v>
      </c>
      <c r="B120" t="str">
        <f>IF(ISBLANK(IFERROR(INDEX('2-3 引出列表'!$A$2:$CE$8700,$A120,MATCH(B$1,'2-3 引出列表'!$A$1:$CD$1,0)),"")),"",IFERROR(INDEX('2-3 引出列表'!$A$2:$CE$8700,$A120,MATCH(B$1,'2-3 引出列表'!$A$1:$CD$1,0)),""))</f>
        <v>FK250612000687</v>
      </c>
      <c r="C120">
        <f>IF(ISBLANK(IFERROR(INDEX('2-3 引出列表'!$A$2:$CE$8700,$A120,MATCH(C$1,'2-3 引出列表'!$A$1:$CD$1,0)),"")),"",IFERROR(INDEX('2-3 引出列表'!$A$2:$CE$8700,$A120,MATCH(C$1,'2-3 引出列表'!$A$1:$CD$1,0)),""))</f>
        <v>56524.4</v>
      </c>
      <c r="D120" t="str">
        <f>IF(ISBLANK(IFERROR(INDEX('2-3 引出列表'!$A$2:$CE$8700,$A120,MATCH(D$1,'2-3 引出列表'!$A$1:$CD$1,0)),"")),"",IFERROR(INDEX('2-3 引出列表'!$A$2:$CE$8700,$A120,MATCH(D$1,'2-3 引出列表'!$A$1:$CD$1,0)),""))</f>
        <v>已审核</v>
      </c>
      <c r="E120" t="str">
        <f>IF(ISBLANK(IFERROR(INDEX('2-3 引出列表'!$A$2:$CE$8700,$A120,MATCH(E$1,'2-3 引出列表'!$A$1:$CD$1,0)),"")),"",IFERROR(INDEX('2-3 引出列表'!$A$2:$CE$8700,$A120,MATCH(E$1,'2-3 引出列表'!$A$1:$CD$1,0)),""))</f>
        <v>2025-06-12</v>
      </c>
      <c r="F120" t="str">
        <f t="shared" si="1"/>
        <v>2025-06</v>
      </c>
      <c r="G120" t="str">
        <f>IF(ISBLANK(IFERROR(INDEX('2-3 引出列表'!$A$2:$CE$8700,$A120,MATCH(G$1,'2-3 引出列表'!$A$1:$CD$1,0)),"")),"",IFERROR(INDEX('2-3 引出列表'!$A$2:$CE$8700,$A120,MATCH(G$1,'2-3 引出列表'!$A$1:$CD$1,0)),""))</f>
        <v>物料消耗.物料消耗</v>
      </c>
      <c r="H120" t="str">
        <f>IF(ISBLANK(IFERROR(INDEX('2-3 引出列表'!$A$2:$CE$8700,$A120,MATCH(H$1,'2-3 引出列表'!$A$1:$CD$1,0)),"")),"",IFERROR(INDEX('2-3 引出列表'!$A$2:$CE$8700,$A120,MATCH(H$1,'2-3 引出列表'!$A$1:$CD$1,0)),""))</f>
        <v>XHWZ-Z-2025-00011</v>
      </c>
      <c r="I120" t="str">
        <f>IF(ISBLANK(IFERROR(INDEX('2-3 引出列表'!$A$2:$CE$8700,$A120,MATCH(I$1,'2-3 引出列表'!$A$1:$CD$1,0)),"")),"",IFERROR(INDEX('2-3 引出列表'!$A$2:$CE$8700,$A120,MATCH(I$1,'2-3 引出列表'!$A$1:$CD$1,0)),""))</f>
        <v>金采易购</v>
      </c>
    </row>
    <row r="121" spans="1:9">
      <c r="A121">
        <v>120</v>
      </c>
      <c r="B121" t="str">
        <f>IF(ISBLANK(IFERROR(INDEX('2-3 引出列表'!$A$2:$CE$8700,$A121,MATCH(B$1,'2-3 引出列表'!$A$1:$CD$1,0)),"")),"",IFERROR(INDEX('2-3 引出列表'!$A$2:$CE$8700,$A121,MATCH(B$1,'2-3 引出列表'!$A$1:$CD$1,0)),""))</f>
        <v>FK250612000687</v>
      </c>
      <c r="C121">
        <f>IF(ISBLANK(IFERROR(INDEX('2-3 引出列表'!$A$2:$CE$8700,$A121,MATCH(C$1,'2-3 引出列表'!$A$1:$CD$1,0)),"")),"",IFERROR(INDEX('2-3 引出列表'!$A$2:$CE$8700,$A121,MATCH(C$1,'2-3 引出列表'!$A$1:$CD$1,0)),""))</f>
        <v>56524.4</v>
      </c>
      <c r="D121" t="str">
        <f>IF(ISBLANK(IFERROR(INDEX('2-3 引出列表'!$A$2:$CE$8700,$A121,MATCH(D$1,'2-3 引出列表'!$A$1:$CD$1,0)),"")),"",IFERROR(INDEX('2-3 引出列表'!$A$2:$CE$8700,$A121,MATCH(D$1,'2-3 引出列表'!$A$1:$CD$1,0)),""))</f>
        <v>已审核</v>
      </c>
      <c r="E121" t="str">
        <f>IF(ISBLANK(IFERROR(INDEX('2-3 引出列表'!$A$2:$CE$8700,$A121,MATCH(E$1,'2-3 引出列表'!$A$1:$CD$1,0)),"")),"",IFERROR(INDEX('2-3 引出列表'!$A$2:$CE$8700,$A121,MATCH(E$1,'2-3 引出列表'!$A$1:$CD$1,0)),""))</f>
        <v>2025-06-12</v>
      </c>
      <c r="F121" t="str">
        <f t="shared" si="1"/>
        <v>2025-06</v>
      </c>
      <c r="G121" t="str">
        <f>IF(ISBLANK(IFERROR(INDEX('2-3 引出列表'!$A$2:$CE$8700,$A121,MATCH(G$1,'2-3 引出列表'!$A$1:$CD$1,0)),"")),"",IFERROR(INDEX('2-3 引出列表'!$A$2:$CE$8700,$A121,MATCH(G$1,'2-3 引出列表'!$A$1:$CD$1,0)),""))</f>
        <v>物料消耗.物料消耗</v>
      </c>
      <c r="H121" t="str">
        <f>IF(ISBLANK(IFERROR(INDEX('2-3 引出列表'!$A$2:$CE$8700,$A121,MATCH(H$1,'2-3 引出列表'!$A$1:$CD$1,0)),"")),"",IFERROR(INDEX('2-3 引出列表'!$A$2:$CE$8700,$A121,MATCH(H$1,'2-3 引出列表'!$A$1:$CD$1,0)),""))</f>
        <v>XHWZ-Z-2025-00011</v>
      </c>
      <c r="I121" t="str">
        <f>IF(ISBLANK(IFERROR(INDEX('2-3 引出列表'!$A$2:$CE$8700,$A121,MATCH(I$1,'2-3 引出列表'!$A$1:$CD$1,0)),"")),"",IFERROR(INDEX('2-3 引出列表'!$A$2:$CE$8700,$A121,MATCH(I$1,'2-3 引出列表'!$A$1:$CD$1,0)),""))</f>
        <v>金采易购</v>
      </c>
    </row>
    <row r="122" spans="1:9">
      <c r="A122">
        <v>121</v>
      </c>
      <c r="B122" t="str">
        <f>IF(ISBLANK(IFERROR(INDEX('2-3 引出列表'!$A$2:$CE$8700,$A122,MATCH(B$1,'2-3 引出列表'!$A$1:$CD$1,0)),"")),"",IFERROR(INDEX('2-3 引出列表'!$A$2:$CE$8700,$A122,MATCH(B$1,'2-3 引出列表'!$A$1:$CD$1,0)),""))</f>
        <v>FK250612000687</v>
      </c>
      <c r="C122">
        <f>IF(ISBLANK(IFERROR(INDEX('2-3 引出列表'!$A$2:$CE$8700,$A122,MATCH(C$1,'2-3 引出列表'!$A$1:$CD$1,0)),"")),"",IFERROR(INDEX('2-3 引出列表'!$A$2:$CE$8700,$A122,MATCH(C$1,'2-3 引出列表'!$A$1:$CD$1,0)),""))</f>
        <v>56524.4</v>
      </c>
      <c r="D122" t="str">
        <f>IF(ISBLANK(IFERROR(INDEX('2-3 引出列表'!$A$2:$CE$8700,$A122,MATCH(D$1,'2-3 引出列表'!$A$1:$CD$1,0)),"")),"",IFERROR(INDEX('2-3 引出列表'!$A$2:$CE$8700,$A122,MATCH(D$1,'2-3 引出列表'!$A$1:$CD$1,0)),""))</f>
        <v>已审核</v>
      </c>
      <c r="E122" t="str">
        <f>IF(ISBLANK(IFERROR(INDEX('2-3 引出列表'!$A$2:$CE$8700,$A122,MATCH(E$1,'2-3 引出列表'!$A$1:$CD$1,0)),"")),"",IFERROR(INDEX('2-3 引出列表'!$A$2:$CE$8700,$A122,MATCH(E$1,'2-3 引出列表'!$A$1:$CD$1,0)),""))</f>
        <v>2025-06-12</v>
      </c>
      <c r="F122" t="str">
        <f t="shared" si="1"/>
        <v>2025-06</v>
      </c>
      <c r="G122" t="str">
        <f>IF(ISBLANK(IFERROR(INDEX('2-3 引出列表'!$A$2:$CE$8700,$A122,MATCH(G$1,'2-3 引出列表'!$A$1:$CD$1,0)),"")),"",IFERROR(INDEX('2-3 引出列表'!$A$2:$CE$8700,$A122,MATCH(G$1,'2-3 引出列表'!$A$1:$CD$1,0)),""))</f>
        <v>物料消耗.物料消耗</v>
      </c>
      <c r="H122" t="str">
        <f>IF(ISBLANK(IFERROR(INDEX('2-3 引出列表'!$A$2:$CE$8700,$A122,MATCH(H$1,'2-3 引出列表'!$A$1:$CD$1,0)),"")),"",IFERROR(INDEX('2-3 引出列表'!$A$2:$CE$8700,$A122,MATCH(H$1,'2-3 引出列表'!$A$1:$CD$1,0)),""))</f>
        <v>XHWZ-Z-2025-00011</v>
      </c>
      <c r="I122" t="str">
        <f>IF(ISBLANK(IFERROR(INDEX('2-3 引出列表'!$A$2:$CE$8700,$A122,MATCH(I$1,'2-3 引出列表'!$A$1:$CD$1,0)),"")),"",IFERROR(INDEX('2-3 引出列表'!$A$2:$CE$8700,$A122,MATCH(I$1,'2-3 引出列表'!$A$1:$CD$1,0)),""))</f>
        <v>金采易购</v>
      </c>
    </row>
    <row r="123" spans="1:9">
      <c r="A123">
        <v>122</v>
      </c>
      <c r="B123" t="str">
        <f>IF(ISBLANK(IFERROR(INDEX('2-3 引出列表'!$A$2:$CE$8700,$A123,MATCH(B$1,'2-3 引出列表'!$A$1:$CD$1,0)),"")),"",IFERROR(INDEX('2-3 引出列表'!$A$2:$CE$8700,$A123,MATCH(B$1,'2-3 引出列表'!$A$1:$CD$1,0)),""))</f>
        <v>FK250612000687</v>
      </c>
      <c r="C123">
        <f>IF(ISBLANK(IFERROR(INDEX('2-3 引出列表'!$A$2:$CE$8700,$A123,MATCH(C$1,'2-3 引出列表'!$A$1:$CD$1,0)),"")),"",IFERROR(INDEX('2-3 引出列表'!$A$2:$CE$8700,$A123,MATCH(C$1,'2-3 引出列表'!$A$1:$CD$1,0)),""))</f>
        <v>56524.4</v>
      </c>
      <c r="D123" t="str">
        <f>IF(ISBLANK(IFERROR(INDEX('2-3 引出列表'!$A$2:$CE$8700,$A123,MATCH(D$1,'2-3 引出列表'!$A$1:$CD$1,0)),"")),"",IFERROR(INDEX('2-3 引出列表'!$A$2:$CE$8700,$A123,MATCH(D$1,'2-3 引出列表'!$A$1:$CD$1,0)),""))</f>
        <v>已审核</v>
      </c>
      <c r="E123" t="str">
        <f>IF(ISBLANK(IFERROR(INDEX('2-3 引出列表'!$A$2:$CE$8700,$A123,MATCH(E$1,'2-3 引出列表'!$A$1:$CD$1,0)),"")),"",IFERROR(INDEX('2-3 引出列表'!$A$2:$CE$8700,$A123,MATCH(E$1,'2-3 引出列表'!$A$1:$CD$1,0)),""))</f>
        <v>2025-06-12</v>
      </c>
      <c r="F123" t="str">
        <f t="shared" si="1"/>
        <v>2025-06</v>
      </c>
      <c r="G123" t="str">
        <f>IF(ISBLANK(IFERROR(INDEX('2-3 引出列表'!$A$2:$CE$8700,$A123,MATCH(G$1,'2-3 引出列表'!$A$1:$CD$1,0)),"")),"",IFERROR(INDEX('2-3 引出列表'!$A$2:$CE$8700,$A123,MATCH(G$1,'2-3 引出列表'!$A$1:$CD$1,0)),""))</f>
        <v>物料消耗.物料消耗</v>
      </c>
      <c r="H123" t="str">
        <f>IF(ISBLANK(IFERROR(INDEX('2-3 引出列表'!$A$2:$CE$8700,$A123,MATCH(H$1,'2-3 引出列表'!$A$1:$CD$1,0)),"")),"",IFERROR(INDEX('2-3 引出列表'!$A$2:$CE$8700,$A123,MATCH(H$1,'2-3 引出列表'!$A$1:$CD$1,0)),""))</f>
        <v>XHWZ-Z-2025-00011</v>
      </c>
      <c r="I123" t="str">
        <f>IF(ISBLANK(IFERROR(INDEX('2-3 引出列表'!$A$2:$CE$8700,$A123,MATCH(I$1,'2-3 引出列表'!$A$1:$CD$1,0)),"")),"",IFERROR(INDEX('2-3 引出列表'!$A$2:$CE$8700,$A123,MATCH(I$1,'2-3 引出列表'!$A$1:$CD$1,0)),""))</f>
        <v>金采易购</v>
      </c>
    </row>
    <row r="124" spans="1:9">
      <c r="A124">
        <v>123</v>
      </c>
      <c r="B124" t="str">
        <f>IF(ISBLANK(IFERROR(INDEX('2-3 引出列表'!$A$2:$CE$8700,$A124,MATCH(B$1,'2-3 引出列表'!$A$1:$CD$1,0)),"")),"",IFERROR(INDEX('2-3 引出列表'!$A$2:$CE$8700,$A124,MATCH(B$1,'2-3 引出列表'!$A$1:$CD$1,0)),""))</f>
        <v>FK250612000687</v>
      </c>
      <c r="C124">
        <f>IF(ISBLANK(IFERROR(INDEX('2-3 引出列表'!$A$2:$CE$8700,$A124,MATCH(C$1,'2-3 引出列表'!$A$1:$CD$1,0)),"")),"",IFERROR(INDEX('2-3 引出列表'!$A$2:$CE$8700,$A124,MATCH(C$1,'2-3 引出列表'!$A$1:$CD$1,0)),""))</f>
        <v>56524.4</v>
      </c>
      <c r="D124" t="str">
        <f>IF(ISBLANK(IFERROR(INDEX('2-3 引出列表'!$A$2:$CE$8700,$A124,MATCH(D$1,'2-3 引出列表'!$A$1:$CD$1,0)),"")),"",IFERROR(INDEX('2-3 引出列表'!$A$2:$CE$8700,$A124,MATCH(D$1,'2-3 引出列表'!$A$1:$CD$1,0)),""))</f>
        <v>已审核</v>
      </c>
      <c r="E124" t="str">
        <f>IF(ISBLANK(IFERROR(INDEX('2-3 引出列表'!$A$2:$CE$8700,$A124,MATCH(E$1,'2-3 引出列表'!$A$1:$CD$1,0)),"")),"",IFERROR(INDEX('2-3 引出列表'!$A$2:$CE$8700,$A124,MATCH(E$1,'2-3 引出列表'!$A$1:$CD$1,0)),""))</f>
        <v>2025-06-12</v>
      </c>
      <c r="F124" t="str">
        <f t="shared" si="1"/>
        <v>2025-06</v>
      </c>
      <c r="G124" t="str">
        <f>IF(ISBLANK(IFERROR(INDEX('2-3 引出列表'!$A$2:$CE$8700,$A124,MATCH(G$1,'2-3 引出列表'!$A$1:$CD$1,0)),"")),"",IFERROR(INDEX('2-3 引出列表'!$A$2:$CE$8700,$A124,MATCH(G$1,'2-3 引出列表'!$A$1:$CD$1,0)),""))</f>
        <v>物料消耗.物料消耗</v>
      </c>
      <c r="H124" t="str">
        <f>IF(ISBLANK(IFERROR(INDEX('2-3 引出列表'!$A$2:$CE$8700,$A124,MATCH(H$1,'2-3 引出列表'!$A$1:$CD$1,0)),"")),"",IFERROR(INDEX('2-3 引出列表'!$A$2:$CE$8700,$A124,MATCH(H$1,'2-3 引出列表'!$A$1:$CD$1,0)),""))</f>
        <v>XHWZ-Z-2025-00011</v>
      </c>
      <c r="I124" t="str">
        <f>IF(ISBLANK(IFERROR(INDEX('2-3 引出列表'!$A$2:$CE$8700,$A124,MATCH(I$1,'2-3 引出列表'!$A$1:$CD$1,0)),"")),"",IFERROR(INDEX('2-3 引出列表'!$A$2:$CE$8700,$A124,MATCH(I$1,'2-3 引出列表'!$A$1:$CD$1,0)),""))</f>
        <v>金采易购</v>
      </c>
    </row>
    <row r="125" spans="1:9">
      <c r="A125">
        <v>124</v>
      </c>
      <c r="B125" t="str">
        <f>IF(ISBLANK(IFERROR(INDEX('2-3 引出列表'!$A$2:$CE$8700,$A125,MATCH(B$1,'2-3 引出列表'!$A$1:$CD$1,0)),"")),"",IFERROR(INDEX('2-3 引出列表'!$A$2:$CE$8700,$A125,MATCH(B$1,'2-3 引出列表'!$A$1:$CD$1,0)),""))</f>
        <v>FK250612000687</v>
      </c>
      <c r="C125">
        <f>IF(ISBLANK(IFERROR(INDEX('2-3 引出列表'!$A$2:$CE$8700,$A125,MATCH(C$1,'2-3 引出列表'!$A$1:$CD$1,0)),"")),"",IFERROR(INDEX('2-3 引出列表'!$A$2:$CE$8700,$A125,MATCH(C$1,'2-3 引出列表'!$A$1:$CD$1,0)),""))</f>
        <v>56524.4</v>
      </c>
      <c r="D125" t="str">
        <f>IF(ISBLANK(IFERROR(INDEX('2-3 引出列表'!$A$2:$CE$8700,$A125,MATCH(D$1,'2-3 引出列表'!$A$1:$CD$1,0)),"")),"",IFERROR(INDEX('2-3 引出列表'!$A$2:$CE$8700,$A125,MATCH(D$1,'2-3 引出列表'!$A$1:$CD$1,0)),""))</f>
        <v>已审核</v>
      </c>
      <c r="E125" t="str">
        <f>IF(ISBLANK(IFERROR(INDEX('2-3 引出列表'!$A$2:$CE$8700,$A125,MATCH(E$1,'2-3 引出列表'!$A$1:$CD$1,0)),"")),"",IFERROR(INDEX('2-3 引出列表'!$A$2:$CE$8700,$A125,MATCH(E$1,'2-3 引出列表'!$A$1:$CD$1,0)),""))</f>
        <v>2025-06-12</v>
      </c>
      <c r="F125" t="str">
        <f t="shared" si="1"/>
        <v>2025-06</v>
      </c>
      <c r="G125" t="str">
        <f>IF(ISBLANK(IFERROR(INDEX('2-3 引出列表'!$A$2:$CE$8700,$A125,MATCH(G$1,'2-3 引出列表'!$A$1:$CD$1,0)),"")),"",IFERROR(INDEX('2-3 引出列表'!$A$2:$CE$8700,$A125,MATCH(G$1,'2-3 引出列表'!$A$1:$CD$1,0)),""))</f>
        <v>物料消耗.物料消耗</v>
      </c>
      <c r="H125" t="str">
        <f>IF(ISBLANK(IFERROR(INDEX('2-3 引出列表'!$A$2:$CE$8700,$A125,MATCH(H$1,'2-3 引出列表'!$A$1:$CD$1,0)),"")),"",IFERROR(INDEX('2-3 引出列表'!$A$2:$CE$8700,$A125,MATCH(H$1,'2-3 引出列表'!$A$1:$CD$1,0)),""))</f>
        <v>XHWZ-Z-2025-00011</v>
      </c>
      <c r="I125" t="str">
        <f>IF(ISBLANK(IFERROR(INDEX('2-3 引出列表'!$A$2:$CE$8700,$A125,MATCH(I$1,'2-3 引出列表'!$A$1:$CD$1,0)),"")),"",IFERROR(INDEX('2-3 引出列表'!$A$2:$CE$8700,$A125,MATCH(I$1,'2-3 引出列表'!$A$1:$CD$1,0)),""))</f>
        <v>金采易购</v>
      </c>
    </row>
    <row r="126" spans="1:9">
      <c r="A126">
        <v>125</v>
      </c>
      <c r="B126" t="str">
        <f>IF(ISBLANK(IFERROR(INDEX('2-3 引出列表'!$A$2:$CE$8700,$A126,MATCH(B$1,'2-3 引出列表'!$A$1:$CD$1,0)),"")),"",IFERROR(INDEX('2-3 引出列表'!$A$2:$CE$8700,$A126,MATCH(B$1,'2-3 引出列表'!$A$1:$CD$1,0)),""))</f>
        <v>FK250612000687</v>
      </c>
      <c r="C126">
        <f>IF(ISBLANK(IFERROR(INDEX('2-3 引出列表'!$A$2:$CE$8700,$A126,MATCH(C$1,'2-3 引出列表'!$A$1:$CD$1,0)),"")),"",IFERROR(INDEX('2-3 引出列表'!$A$2:$CE$8700,$A126,MATCH(C$1,'2-3 引出列表'!$A$1:$CD$1,0)),""))</f>
        <v>56524.4</v>
      </c>
      <c r="D126" t="str">
        <f>IF(ISBLANK(IFERROR(INDEX('2-3 引出列表'!$A$2:$CE$8700,$A126,MATCH(D$1,'2-3 引出列表'!$A$1:$CD$1,0)),"")),"",IFERROR(INDEX('2-3 引出列表'!$A$2:$CE$8700,$A126,MATCH(D$1,'2-3 引出列表'!$A$1:$CD$1,0)),""))</f>
        <v>已审核</v>
      </c>
      <c r="E126" t="str">
        <f>IF(ISBLANK(IFERROR(INDEX('2-3 引出列表'!$A$2:$CE$8700,$A126,MATCH(E$1,'2-3 引出列表'!$A$1:$CD$1,0)),"")),"",IFERROR(INDEX('2-3 引出列表'!$A$2:$CE$8700,$A126,MATCH(E$1,'2-3 引出列表'!$A$1:$CD$1,0)),""))</f>
        <v>2025-06-12</v>
      </c>
      <c r="F126" t="str">
        <f t="shared" si="1"/>
        <v>2025-06</v>
      </c>
      <c r="G126" t="str">
        <f>IF(ISBLANK(IFERROR(INDEX('2-3 引出列表'!$A$2:$CE$8700,$A126,MATCH(G$1,'2-3 引出列表'!$A$1:$CD$1,0)),"")),"",IFERROR(INDEX('2-3 引出列表'!$A$2:$CE$8700,$A126,MATCH(G$1,'2-3 引出列表'!$A$1:$CD$1,0)),""))</f>
        <v>物料消耗.物料消耗</v>
      </c>
      <c r="H126" t="str">
        <f>IF(ISBLANK(IFERROR(INDEX('2-3 引出列表'!$A$2:$CE$8700,$A126,MATCH(H$1,'2-3 引出列表'!$A$1:$CD$1,0)),"")),"",IFERROR(INDEX('2-3 引出列表'!$A$2:$CE$8700,$A126,MATCH(H$1,'2-3 引出列表'!$A$1:$CD$1,0)),""))</f>
        <v>XHWZ-Z-2025-00011</v>
      </c>
      <c r="I126" t="str">
        <f>IF(ISBLANK(IFERROR(INDEX('2-3 引出列表'!$A$2:$CE$8700,$A126,MATCH(I$1,'2-3 引出列表'!$A$1:$CD$1,0)),"")),"",IFERROR(INDEX('2-3 引出列表'!$A$2:$CE$8700,$A126,MATCH(I$1,'2-3 引出列表'!$A$1:$CD$1,0)),""))</f>
        <v>金采易购</v>
      </c>
    </row>
    <row r="127" spans="1:9">
      <c r="A127">
        <v>126</v>
      </c>
      <c r="B127" t="str">
        <f>IF(ISBLANK(IFERROR(INDEX('2-3 引出列表'!$A$2:$CE$8700,$A127,MATCH(B$1,'2-3 引出列表'!$A$1:$CD$1,0)),"")),"",IFERROR(INDEX('2-3 引出列表'!$A$2:$CE$8700,$A127,MATCH(B$1,'2-3 引出列表'!$A$1:$CD$1,0)),""))</f>
        <v>FK250612000687</v>
      </c>
      <c r="C127">
        <f>IF(ISBLANK(IFERROR(INDEX('2-3 引出列表'!$A$2:$CE$8700,$A127,MATCH(C$1,'2-3 引出列表'!$A$1:$CD$1,0)),"")),"",IFERROR(INDEX('2-3 引出列表'!$A$2:$CE$8700,$A127,MATCH(C$1,'2-3 引出列表'!$A$1:$CD$1,0)),""))</f>
        <v>56524.4</v>
      </c>
      <c r="D127" t="str">
        <f>IF(ISBLANK(IFERROR(INDEX('2-3 引出列表'!$A$2:$CE$8700,$A127,MATCH(D$1,'2-3 引出列表'!$A$1:$CD$1,0)),"")),"",IFERROR(INDEX('2-3 引出列表'!$A$2:$CE$8700,$A127,MATCH(D$1,'2-3 引出列表'!$A$1:$CD$1,0)),""))</f>
        <v>已审核</v>
      </c>
      <c r="E127" t="str">
        <f>IF(ISBLANK(IFERROR(INDEX('2-3 引出列表'!$A$2:$CE$8700,$A127,MATCH(E$1,'2-3 引出列表'!$A$1:$CD$1,0)),"")),"",IFERROR(INDEX('2-3 引出列表'!$A$2:$CE$8700,$A127,MATCH(E$1,'2-3 引出列表'!$A$1:$CD$1,0)),""))</f>
        <v>2025-06-12</v>
      </c>
      <c r="F127" t="str">
        <f t="shared" si="1"/>
        <v>2025-06</v>
      </c>
      <c r="G127" t="str">
        <f>IF(ISBLANK(IFERROR(INDEX('2-3 引出列表'!$A$2:$CE$8700,$A127,MATCH(G$1,'2-3 引出列表'!$A$1:$CD$1,0)),"")),"",IFERROR(INDEX('2-3 引出列表'!$A$2:$CE$8700,$A127,MATCH(G$1,'2-3 引出列表'!$A$1:$CD$1,0)),""))</f>
        <v>物料消耗.物料消耗</v>
      </c>
      <c r="H127" t="str">
        <f>IF(ISBLANK(IFERROR(INDEX('2-3 引出列表'!$A$2:$CE$8700,$A127,MATCH(H$1,'2-3 引出列表'!$A$1:$CD$1,0)),"")),"",IFERROR(INDEX('2-3 引出列表'!$A$2:$CE$8700,$A127,MATCH(H$1,'2-3 引出列表'!$A$1:$CD$1,0)),""))</f>
        <v>XHWZ-Z-2025-00011</v>
      </c>
      <c r="I127" t="str">
        <f>IF(ISBLANK(IFERROR(INDEX('2-3 引出列表'!$A$2:$CE$8700,$A127,MATCH(I$1,'2-3 引出列表'!$A$1:$CD$1,0)),"")),"",IFERROR(INDEX('2-3 引出列表'!$A$2:$CE$8700,$A127,MATCH(I$1,'2-3 引出列表'!$A$1:$CD$1,0)),""))</f>
        <v>金采易购</v>
      </c>
    </row>
    <row r="128" spans="1:9">
      <c r="A128">
        <v>127</v>
      </c>
      <c r="B128" t="str">
        <f>IF(ISBLANK(IFERROR(INDEX('2-3 引出列表'!$A$2:$CE$8700,$A128,MATCH(B$1,'2-3 引出列表'!$A$1:$CD$1,0)),"")),"",IFERROR(INDEX('2-3 引出列表'!$A$2:$CE$8700,$A128,MATCH(B$1,'2-3 引出列表'!$A$1:$CD$1,0)),""))</f>
        <v>FK250612000687</v>
      </c>
      <c r="C128">
        <f>IF(ISBLANK(IFERROR(INDEX('2-3 引出列表'!$A$2:$CE$8700,$A128,MATCH(C$1,'2-3 引出列表'!$A$1:$CD$1,0)),"")),"",IFERROR(INDEX('2-3 引出列表'!$A$2:$CE$8700,$A128,MATCH(C$1,'2-3 引出列表'!$A$1:$CD$1,0)),""))</f>
        <v>56524.4</v>
      </c>
      <c r="D128" t="str">
        <f>IF(ISBLANK(IFERROR(INDEX('2-3 引出列表'!$A$2:$CE$8700,$A128,MATCH(D$1,'2-3 引出列表'!$A$1:$CD$1,0)),"")),"",IFERROR(INDEX('2-3 引出列表'!$A$2:$CE$8700,$A128,MATCH(D$1,'2-3 引出列表'!$A$1:$CD$1,0)),""))</f>
        <v>已审核</v>
      </c>
      <c r="E128" t="str">
        <f>IF(ISBLANK(IFERROR(INDEX('2-3 引出列表'!$A$2:$CE$8700,$A128,MATCH(E$1,'2-3 引出列表'!$A$1:$CD$1,0)),"")),"",IFERROR(INDEX('2-3 引出列表'!$A$2:$CE$8700,$A128,MATCH(E$1,'2-3 引出列表'!$A$1:$CD$1,0)),""))</f>
        <v>2025-06-12</v>
      </c>
      <c r="F128" t="str">
        <f t="shared" si="1"/>
        <v>2025-06</v>
      </c>
      <c r="G128" t="str">
        <f>IF(ISBLANK(IFERROR(INDEX('2-3 引出列表'!$A$2:$CE$8700,$A128,MATCH(G$1,'2-3 引出列表'!$A$1:$CD$1,0)),"")),"",IFERROR(INDEX('2-3 引出列表'!$A$2:$CE$8700,$A128,MATCH(G$1,'2-3 引出列表'!$A$1:$CD$1,0)),""))</f>
        <v>物料消耗.物料消耗</v>
      </c>
      <c r="H128" t="str">
        <f>IF(ISBLANK(IFERROR(INDEX('2-3 引出列表'!$A$2:$CE$8700,$A128,MATCH(H$1,'2-3 引出列表'!$A$1:$CD$1,0)),"")),"",IFERROR(INDEX('2-3 引出列表'!$A$2:$CE$8700,$A128,MATCH(H$1,'2-3 引出列表'!$A$1:$CD$1,0)),""))</f>
        <v>XHWZ-Z-2025-00011</v>
      </c>
      <c r="I128" t="str">
        <f>IF(ISBLANK(IFERROR(INDEX('2-3 引出列表'!$A$2:$CE$8700,$A128,MATCH(I$1,'2-3 引出列表'!$A$1:$CD$1,0)),"")),"",IFERROR(INDEX('2-3 引出列表'!$A$2:$CE$8700,$A128,MATCH(I$1,'2-3 引出列表'!$A$1:$CD$1,0)),""))</f>
        <v>金采易购</v>
      </c>
    </row>
    <row r="129" spans="1:9">
      <c r="A129">
        <v>128</v>
      </c>
      <c r="B129" t="str">
        <f>IF(ISBLANK(IFERROR(INDEX('2-3 引出列表'!$A$2:$CE$8700,$A129,MATCH(B$1,'2-3 引出列表'!$A$1:$CD$1,0)),"")),"",IFERROR(INDEX('2-3 引出列表'!$A$2:$CE$8700,$A129,MATCH(B$1,'2-3 引出列表'!$A$1:$CD$1,0)),""))</f>
        <v>FK250612000687</v>
      </c>
      <c r="C129">
        <f>IF(ISBLANK(IFERROR(INDEX('2-3 引出列表'!$A$2:$CE$8700,$A129,MATCH(C$1,'2-3 引出列表'!$A$1:$CD$1,0)),"")),"",IFERROR(INDEX('2-3 引出列表'!$A$2:$CE$8700,$A129,MATCH(C$1,'2-3 引出列表'!$A$1:$CD$1,0)),""))</f>
        <v>56524.4</v>
      </c>
      <c r="D129" t="str">
        <f>IF(ISBLANK(IFERROR(INDEX('2-3 引出列表'!$A$2:$CE$8700,$A129,MATCH(D$1,'2-3 引出列表'!$A$1:$CD$1,0)),"")),"",IFERROR(INDEX('2-3 引出列表'!$A$2:$CE$8700,$A129,MATCH(D$1,'2-3 引出列表'!$A$1:$CD$1,0)),""))</f>
        <v>已审核</v>
      </c>
      <c r="E129" t="str">
        <f>IF(ISBLANK(IFERROR(INDEX('2-3 引出列表'!$A$2:$CE$8700,$A129,MATCH(E$1,'2-3 引出列表'!$A$1:$CD$1,0)),"")),"",IFERROR(INDEX('2-3 引出列表'!$A$2:$CE$8700,$A129,MATCH(E$1,'2-3 引出列表'!$A$1:$CD$1,0)),""))</f>
        <v>2025-06-12</v>
      </c>
      <c r="F129" t="str">
        <f t="shared" si="1"/>
        <v>2025-06</v>
      </c>
      <c r="G129" t="str">
        <f>IF(ISBLANK(IFERROR(INDEX('2-3 引出列表'!$A$2:$CE$8700,$A129,MATCH(G$1,'2-3 引出列表'!$A$1:$CD$1,0)),"")),"",IFERROR(INDEX('2-3 引出列表'!$A$2:$CE$8700,$A129,MATCH(G$1,'2-3 引出列表'!$A$1:$CD$1,0)),""))</f>
        <v>物料消耗.物料消耗</v>
      </c>
      <c r="H129" t="str">
        <f>IF(ISBLANK(IFERROR(INDEX('2-3 引出列表'!$A$2:$CE$8700,$A129,MATCH(H$1,'2-3 引出列表'!$A$1:$CD$1,0)),"")),"",IFERROR(INDEX('2-3 引出列表'!$A$2:$CE$8700,$A129,MATCH(H$1,'2-3 引出列表'!$A$1:$CD$1,0)),""))</f>
        <v>XHWZ-Z-2025-00011</v>
      </c>
      <c r="I129" t="str">
        <f>IF(ISBLANK(IFERROR(INDEX('2-3 引出列表'!$A$2:$CE$8700,$A129,MATCH(I$1,'2-3 引出列表'!$A$1:$CD$1,0)),"")),"",IFERROR(INDEX('2-3 引出列表'!$A$2:$CE$8700,$A129,MATCH(I$1,'2-3 引出列表'!$A$1:$CD$1,0)),""))</f>
        <v>金采易购</v>
      </c>
    </row>
    <row r="130" spans="1:9">
      <c r="A130">
        <v>129</v>
      </c>
      <c r="B130" t="str">
        <f>IF(ISBLANK(IFERROR(INDEX('2-3 引出列表'!$A$2:$CE$8700,$A130,MATCH(B$1,'2-3 引出列表'!$A$1:$CD$1,0)),"")),"",IFERROR(INDEX('2-3 引出列表'!$A$2:$CE$8700,$A130,MATCH(B$1,'2-3 引出列表'!$A$1:$CD$1,0)),""))</f>
        <v>FK250612000687</v>
      </c>
      <c r="C130">
        <f>IF(ISBLANK(IFERROR(INDEX('2-3 引出列表'!$A$2:$CE$8700,$A130,MATCH(C$1,'2-3 引出列表'!$A$1:$CD$1,0)),"")),"",IFERROR(INDEX('2-3 引出列表'!$A$2:$CE$8700,$A130,MATCH(C$1,'2-3 引出列表'!$A$1:$CD$1,0)),""))</f>
        <v>56524.4</v>
      </c>
      <c r="D130" t="str">
        <f>IF(ISBLANK(IFERROR(INDEX('2-3 引出列表'!$A$2:$CE$8700,$A130,MATCH(D$1,'2-3 引出列表'!$A$1:$CD$1,0)),"")),"",IFERROR(INDEX('2-3 引出列表'!$A$2:$CE$8700,$A130,MATCH(D$1,'2-3 引出列表'!$A$1:$CD$1,0)),""))</f>
        <v>已审核</v>
      </c>
      <c r="E130" t="str">
        <f>IF(ISBLANK(IFERROR(INDEX('2-3 引出列表'!$A$2:$CE$8700,$A130,MATCH(E$1,'2-3 引出列表'!$A$1:$CD$1,0)),"")),"",IFERROR(INDEX('2-3 引出列表'!$A$2:$CE$8700,$A130,MATCH(E$1,'2-3 引出列表'!$A$1:$CD$1,0)),""))</f>
        <v>2025-06-12</v>
      </c>
      <c r="F130" t="str">
        <f t="shared" ref="F130:F193" si="2">LEFT(E130,7)</f>
        <v>2025-06</v>
      </c>
      <c r="G130" t="str">
        <f>IF(ISBLANK(IFERROR(INDEX('2-3 引出列表'!$A$2:$CE$8700,$A130,MATCH(G$1,'2-3 引出列表'!$A$1:$CD$1,0)),"")),"",IFERROR(INDEX('2-3 引出列表'!$A$2:$CE$8700,$A130,MATCH(G$1,'2-3 引出列表'!$A$1:$CD$1,0)),""))</f>
        <v>物料消耗.物料消耗</v>
      </c>
      <c r="H130" t="str">
        <f>IF(ISBLANK(IFERROR(INDEX('2-3 引出列表'!$A$2:$CE$8700,$A130,MATCH(H$1,'2-3 引出列表'!$A$1:$CD$1,0)),"")),"",IFERROR(INDEX('2-3 引出列表'!$A$2:$CE$8700,$A130,MATCH(H$1,'2-3 引出列表'!$A$1:$CD$1,0)),""))</f>
        <v>XHWZ-Z-2025-00011</v>
      </c>
      <c r="I130" t="str">
        <f>IF(ISBLANK(IFERROR(INDEX('2-3 引出列表'!$A$2:$CE$8700,$A130,MATCH(I$1,'2-3 引出列表'!$A$1:$CD$1,0)),"")),"",IFERROR(INDEX('2-3 引出列表'!$A$2:$CE$8700,$A130,MATCH(I$1,'2-3 引出列表'!$A$1:$CD$1,0)),""))</f>
        <v>金采易购</v>
      </c>
    </row>
    <row r="131" spans="1:9">
      <c r="A131">
        <v>130</v>
      </c>
      <c r="B131" t="str">
        <f>IF(ISBLANK(IFERROR(INDEX('2-3 引出列表'!$A$2:$CE$8700,$A131,MATCH(B$1,'2-3 引出列表'!$A$1:$CD$1,0)),"")),"",IFERROR(INDEX('2-3 引出列表'!$A$2:$CE$8700,$A131,MATCH(B$1,'2-3 引出列表'!$A$1:$CD$1,0)),""))</f>
        <v>FK250612000687</v>
      </c>
      <c r="C131">
        <f>IF(ISBLANK(IFERROR(INDEX('2-3 引出列表'!$A$2:$CE$8700,$A131,MATCH(C$1,'2-3 引出列表'!$A$1:$CD$1,0)),"")),"",IFERROR(INDEX('2-3 引出列表'!$A$2:$CE$8700,$A131,MATCH(C$1,'2-3 引出列表'!$A$1:$CD$1,0)),""))</f>
        <v>56524.4</v>
      </c>
      <c r="D131" t="str">
        <f>IF(ISBLANK(IFERROR(INDEX('2-3 引出列表'!$A$2:$CE$8700,$A131,MATCH(D$1,'2-3 引出列表'!$A$1:$CD$1,0)),"")),"",IFERROR(INDEX('2-3 引出列表'!$A$2:$CE$8700,$A131,MATCH(D$1,'2-3 引出列表'!$A$1:$CD$1,0)),""))</f>
        <v>已审核</v>
      </c>
      <c r="E131" t="str">
        <f>IF(ISBLANK(IFERROR(INDEX('2-3 引出列表'!$A$2:$CE$8700,$A131,MATCH(E$1,'2-3 引出列表'!$A$1:$CD$1,0)),"")),"",IFERROR(INDEX('2-3 引出列表'!$A$2:$CE$8700,$A131,MATCH(E$1,'2-3 引出列表'!$A$1:$CD$1,0)),""))</f>
        <v>2025-06-12</v>
      </c>
      <c r="F131" t="str">
        <f t="shared" si="2"/>
        <v>2025-06</v>
      </c>
      <c r="G131" t="str">
        <f>IF(ISBLANK(IFERROR(INDEX('2-3 引出列表'!$A$2:$CE$8700,$A131,MATCH(G$1,'2-3 引出列表'!$A$1:$CD$1,0)),"")),"",IFERROR(INDEX('2-3 引出列表'!$A$2:$CE$8700,$A131,MATCH(G$1,'2-3 引出列表'!$A$1:$CD$1,0)),""))</f>
        <v>物料消耗.物料消耗</v>
      </c>
      <c r="H131" t="str">
        <f>IF(ISBLANK(IFERROR(INDEX('2-3 引出列表'!$A$2:$CE$8700,$A131,MATCH(H$1,'2-3 引出列表'!$A$1:$CD$1,0)),"")),"",IFERROR(INDEX('2-3 引出列表'!$A$2:$CE$8700,$A131,MATCH(H$1,'2-3 引出列表'!$A$1:$CD$1,0)),""))</f>
        <v>XHWZ-Z-2025-00011</v>
      </c>
      <c r="I131" t="str">
        <f>IF(ISBLANK(IFERROR(INDEX('2-3 引出列表'!$A$2:$CE$8700,$A131,MATCH(I$1,'2-3 引出列表'!$A$1:$CD$1,0)),"")),"",IFERROR(INDEX('2-3 引出列表'!$A$2:$CE$8700,$A131,MATCH(I$1,'2-3 引出列表'!$A$1:$CD$1,0)),""))</f>
        <v>金采易购</v>
      </c>
    </row>
    <row r="132" spans="1:9">
      <c r="A132">
        <v>131</v>
      </c>
      <c r="B132" t="str">
        <f>IF(ISBLANK(IFERROR(INDEX('2-3 引出列表'!$A$2:$CE$8700,$A132,MATCH(B$1,'2-3 引出列表'!$A$1:$CD$1,0)),"")),"",IFERROR(INDEX('2-3 引出列表'!$A$2:$CE$8700,$A132,MATCH(B$1,'2-3 引出列表'!$A$1:$CD$1,0)),""))</f>
        <v>FK250612000687</v>
      </c>
      <c r="C132">
        <f>IF(ISBLANK(IFERROR(INDEX('2-3 引出列表'!$A$2:$CE$8700,$A132,MATCH(C$1,'2-3 引出列表'!$A$1:$CD$1,0)),"")),"",IFERROR(INDEX('2-3 引出列表'!$A$2:$CE$8700,$A132,MATCH(C$1,'2-3 引出列表'!$A$1:$CD$1,0)),""))</f>
        <v>56524.4</v>
      </c>
      <c r="D132" t="str">
        <f>IF(ISBLANK(IFERROR(INDEX('2-3 引出列表'!$A$2:$CE$8700,$A132,MATCH(D$1,'2-3 引出列表'!$A$1:$CD$1,0)),"")),"",IFERROR(INDEX('2-3 引出列表'!$A$2:$CE$8700,$A132,MATCH(D$1,'2-3 引出列表'!$A$1:$CD$1,0)),""))</f>
        <v>已审核</v>
      </c>
      <c r="E132" t="str">
        <f>IF(ISBLANK(IFERROR(INDEX('2-3 引出列表'!$A$2:$CE$8700,$A132,MATCH(E$1,'2-3 引出列表'!$A$1:$CD$1,0)),"")),"",IFERROR(INDEX('2-3 引出列表'!$A$2:$CE$8700,$A132,MATCH(E$1,'2-3 引出列表'!$A$1:$CD$1,0)),""))</f>
        <v>2025-06-12</v>
      </c>
      <c r="F132" t="str">
        <f t="shared" si="2"/>
        <v>2025-06</v>
      </c>
      <c r="G132" t="str">
        <f>IF(ISBLANK(IFERROR(INDEX('2-3 引出列表'!$A$2:$CE$8700,$A132,MATCH(G$1,'2-3 引出列表'!$A$1:$CD$1,0)),"")),"",IFERROR(INDEX('2-3 引出列表'!$A$2:$CE$8700,$A132,MATCH(G$1,'2-3 引出列表'!$A$1:$CD$1,0)),""))</f>
        <v>物料消耗.物料消耗</v>
      </c>
      <c r="H132" t="str">
        <f>IF(ISBLANK(IFERROR(INDEX('2-3 引出列表'!$A$2:$CE$8700,$A132,MATCH(H$1,'2-3 引出列表'!$A$1:$CD$1,0)),"")),"",IFERROR(INDEX('2-3 引出列表'!$A$2:$CE$8700,$A132,MATCH(H$1,'2-3 引出列表'!$A$1:$CD$1,0)),""))</f>
        <v>XHWZ-Z-2025-00011</v>
      </c>
      <c r="I132" t="str">
        <f>IF(ISBLANK(IFERROR(INDEX('2-3 引出列表'!$A$2:$CE$8700,$A132,MATCH(I$1,'2-3 引出列表'!$A$1:$CD$1,0)),"")),"",IFERROR(INDEX('2-3 引出列表'!$A$2:$CE$8700,$A132,MATCH(I$1,'2-3 引出列表'!$A$1:$CD$1,0)),""))</f>
        <v>金采易购</v>
      </c>
    </row>
    <row r="133" spans="1:9">
      <c r="A133">
        <v>132</v>
      </c>
      <c r="B133" t="str">
        <f>IF(ISBLANK(IFERROR(INDEX('2-3 引出列表'!$A$2:$CE$8700,$A133,MATCH(B$1,'2-3 引出列表'!$A$1:$CD$1,0)),"")),"",IFERROR(INDEX('2-3 引出列表'!$A$2:$CE$8700,$A133,MATCH(B$1,'2-3 引出列表'!$A$1:$CD$1,0)),""))</f>
        <v>FK250612000687</v>
      </c>
      <c r="C133">
        <f>IF(ISBLANK(IFERROR(INDEX('2-3 引出列表'!$A$2:$CE$8700,$A133,MATCH(C$1,'2-3 引出列表'!$A$1:$CD$1,0)),"")),"",IFERROR(INDEX('2-3 引出列表'!$A$2:$CE$8700,$A133,MATCH(C$1,'2-3 引出列表'!$A$1:$CD$1,0)),""))</f>
        <v>56524.4</v>
      </c>
      <c r="D133" t="str">
        <f>IF(ISBLANK(IFERROR(INDEX('2-3 引出列表'!$A$2:$CE$8700,$A133,MATCH(D$1,'2-3 引出列表'!$A$1:$CD$1,0)),"")),"",IFERROR(INDEX('2-3 引出列表'!$A$2:$CE$8700,$A133,MATCH(D$1,'2-3 引出列表'!$A$1:$CD$1,0)),""))</f>
        <v>已审核</v>
      </c>
      <c r="E133" t="str">
        <f>IF(ISBLANK(IFERROR(INDEX('2-3 引出列表'!$A$2:$CE$8700,$A133,MATCH(E$1,'2-3 引出列表'!$A$1:$CD$1,0)),"")),"",IFERROR(INDEX('2-3 引出列表'!$A$2:$CE$8700,$A133,MATCH(E$1,'2-3 引出列表'!$A$1:$CD$1,0)),""))</f>
        <v>2025-06-12</v>
      </c>
      <c r="F133" t="str">
        <f t="shared" si="2"/>
        <v>2025-06</v>
      </c>
      <c r="G133" t="str">
        <f>IF(ISBLANK(IFERROR(INDEX('2-3 引出列表'!$A$2:$CE$8700,$A133,MATCH(G$1,'2-3 引出列表'!$A$1:$CD$1,0)),"")),"",IFERROR(INDEX('2-3 引出列表'!$A$2:$CE$8700,$A133,MATCH(G$1,'2-3 引出列表'!$A$1:$CD$1,0)),""))</f>
        <v>物料消耗.物料消耗</v>
      </c>
      <c r="H133" t="str">
        <f>IF(ISBLANK(IFERROR(INDEX('2-3 引出列表'!$A$2:$CE$8700,$A133,MATCH(H$1,'2-3 引出列表'!$A$1:$CD$1,0)),"")),"",IFERROR(INDEX('2-3 引出列表'!$A$2:$CE$8700,$A133,MATCH(H$1,'2-3 引出列表'!$A$1:$CD$1,0)),""))</f>
        <v>XHWZ-Z-2025-00011</v>
      </c>
      <c r="I133" t="str">
        <f>IF(ISBLANK(IFERROR(INDEX('2-3 引出列表'!$A$2:$CE$8700,$A133,MATCH(I$1,'2-3 引出列表'!$A$1:$CD$1,0)),"")),"",IFERROR(INDEX('2-3 引出列表'!$A$2:$CE$8700,$A133,MATCH(I$1,'2-3 引出列表'!$A$1:$CD$1,0)),""))</f>
        <v>金采易购</v>
      </c>
    </row>
    <row r="134" spans="1:9">
      <c r="A134">
        <v>133</v>
      </c>
      <c r="B134" t="str">
        <f>IF(ISBLANK(IFERROR(INDEX('2-3 引出列表'!$A$2:$CE$8700,$A134,MATCH(B$1,'2-3 引出列表'!$A$1:$CD$1,0)),"")),"",IFERROR(INDEX('2-3 引出列表'!$A$2:$CE$8700,$A134,MATCH(B$1,'2-3 引出列表'!$A$1:$CD$1,0)),""))</f>
        <v>FK250612000687</v>
      </c>
      <c r="C134">
        <f>IF(ISBLANK(IFERROR(INDEX('2-3 引出列表'!$A$2:$CE$8700,$A134,MATCH(C$1,'2-3 引出列表'!$A$1:$CD$1,0)),"")),"",IFERROR(INDEX('2-3 引出列表'!$A$2:$CE$8700,$A134,MATCH(C$1,'2-3 引出列表'!$A$1:$CD$1,0)),""))</f>
        <v>56524.4</v>
      </c>
      <c r="D134" t="str">
        <f>IF(ISBLANK(IFERROR(INDEX('2-3 引出列表'!$A$2:$CE$8700,$A134,MATCH(D$1,'2-3 引出列表'!$A$1:$CD$1,0)),"")),"",IFERROR(INDEX('2-3 引出列表'!$A$2:$CE$8700,$A134,MATCH(D$1,'2-3 引出列表'!$A$1:$CD$1,0)),""))</f>
        <v>已审核</v>
      </c>
      <c r="E134" t="str">
        <f>IF(ISBLANK(IFERROR(INDEX('2-3 引出列表'!$A$2:$CE$8700,$A134,MATCH(E$1,'2-3 引出列表'!$A$1:$CD$1,0)),"")),"",IFERROR(INDEX('2-3 引出列表'!$A$2:$CE$8700,$A134,MATCH(E$1,'2-3 引出列表'!$A$1:$CD$1,0)),""))</f>
        <v>2025-06-12</v>
      </c>
      <c r="F134" t="str">
        <f t="shared" si="2"/>
        <v>2025-06</v>
      </c>
      <c r="G134" t="str">
        <f>IF(ISBLANK(IFERROR(INDEX('2-3 引出列表'!$A$2:$CE$8700,$A134,MATCH(G$1,'2-3 引出列表'!$A$1:$CD$1,0)),"")),"",IFERROR(INDEX('2-3 引出列表'!$A$2:$CE$8700,$A134,MATCH(G$1,'2-3 引出列表'!$A$1:$CD$1,0)),""))</f>
        <v>物料消耗.物料消耗</v>
      </c>
      <c r="H134" t="str">
        <f>IF(ISBLANK(IFERROR(INDEX('2-3 引出列表'!$A$2:$CE$8700,$A134,MATCH(H$1,'2-3 引出列表'!$A$1:$CD$1,0)),"")),"",IFERROR(INDEX('2-3 引出列表'!$A$2:$CE$8700,$A134,MATCH(H$1,'2-3 引出列表'!$A$1:$CD$1,0)),""))</f>
        <v>XHWZ-Z-2025-00011</v>
      </c>
      <c r="I134" t="str">
        <f>IF(ISBLANK(IFERROR(INDEX('2-3 引出列表'!$A$2:$CE$8700,$A134,MATCH(I$1,'2-3 引出列表'!$A$1:$CD$1,0)),"")),"",IFERROR(INDEX('2-3 引出列表'!$A$2:$CE$8700,$A134,MATCH(I$1,'2-3 引出列表'!$A$1:$CD$1,0)),""))</f>
        <v>金采易购</v>
      </c>
    </row>
    <row r="135" spans="1:9">
      <c r="A135">
        <v>134</v>
      </c>
      <c r="B135" t="str">
        <f>IF(ISBLANK(IFERROR(INDEX('2-3 引出列表'!$A$2:$CE$8700,$A135,MATCH(B$1,'2-3 引出列表'!$A$1:$CD$1,0)),"")),"",IFERROR(INDEX('2-3 引出列表'!$A$2:$CE$8700,$A135,MATCH(B$1,'2-3 引出列表'!$A$1:$CD$1,0)),""))</f>
        <v>FK250612000687</v>
      </c>
      <c r="C135">
        <f>IF(ISBLANK(IFERROR(INDEX('2-3 引出列表'!$A$2:$CE$8700,$A135,MATCH(C$1,'2-3 引出列表'!$A$1:$CD$1,0)),"")),"",IFERROR(INDEX('2-3 引出列表'!$A$2:$CE$8700,$A135,MATCH(C$1,'2-3 引出列表'!$A$1:$CD$1,0)),""))</f>
        <v>56524.4</v>
      </c>
      <c r="D135" t="str">
        <f>IF(ISBLANK(IFERROR(INDEX('2-3 引出列表'!$A$2:$CE$8700,$A135,MATCH(D$1,'2-3 引出列表'!$A$1:$CD$1,0)),"")),"",IFERROR(INDEX('2-3 引出列表'!$A$2:$CE$8700,$A135,MATCH(D$1,'2-3 引出列表'!$A$1:$CD$1,0)),""))</f>
        <v>已审核</v>
      </c>
      <c r="E135" t="str">
        <f>IF(ISBLANK(IFERROR(INDEX('2-3 引出列表'!$A$2:$CE$8700,$A135,MATCH(E$1,'2-3 引出列表'!$A$1:$CD$1,0)),"")),"",IFERROR(INDEX('2-3 引出列表'!$A$2:$CE$8700,$A135,MATCH(E$1,'2-3 引出列表'!$A$1:$CD$1,0)),""))</f>
        <v>2025-06-12</v>
      </c>
      <c r="F135" t="str">
        <f t="shared" si="2"/>
        <v>2025-06</v>
      </c>
      <c r="G135" t="str">
        <f>IF(ISBLANK(IFERROR(INDEX('2-3 引出列表'!$A$2:$CE$8700,$A135,MATCH(G$1,'2-3 引出列表'!$A$1:$CD$1,0)),"")),"",IFERROR(INDEX('2-3 引出列表'!$A$2:$CE$8700,$A135,MATCH(G$1,'2-3 引出列表'!$A$1:$CD$1,0)),""))</f>
        <v>物料消耗.物料消耗</v>
      </c>
      <c r="H135" t="str">
        <f>IF(ISBLANK(IFERROR(INDEX('2-3 引出列表'!$A$2:$CE$8700,$A135,MATCH(H$1,'2-3 引出列表'!$A$1:$CD$1,0)),"")),"",IFERROR(INDEX('2-3 引出列表'!$A$2:$CE$8700,$A135,MATCH(H$1,'2-3 引出列表'!$A$1:$CD$1,0)),""))</f>
        <v>XHWZ-Z-2025-00011</v>
      </c>
      <c r="I135" t="str">
        <f>IF(ISBLANK(IFERROR(INDEX('2-3 引出列表'!$A$2:$CE$8700,$A135,MATCH(I$1,'2-3 引出列表'!$A$1:$CD$1,0)),"")),"",IFERROR(INDEX('2-3 引出列表'!$A$2:$CE$8700,$A135,MATCH(I$1,'2-3 引出列表'!$A$1:$CD$1,0)),""))</f>
        <v>金采易购</v>
      </c>
    </row>
    <row r="136" spans="1:9">
      <c r="A136">
        <v>135</v>
      </c>
      <c r="B136" t="str">
        <f>IF(ISBLANK(IFERROR(INDEX('2-3 引出列表'!$A$2:$CE$8700,$A136,MATCH(B$1,'2-3 引出列表'!$A$1:$CD$1,0)),"")),"",IFERROR(INDEX('2-3 引出列表'!$A$2:$CE$8700,$A136,MATCH(B$1,'2-3 引出列表'!$A$1:$CD$1,0)),""))</f>
        <v>FK250612000687</v>
      </c>
      <c r="C136">
        <f>IF(ISBLANK(IFERROR(INDEX('2-3 引出列表'!$A$2:$CE$8700,$A136,MATCH(C$1,'2-3 引出列表'!$A$1:$CD$1,0)),"")),"",IFERROR(INDEX('2-3 引出列表'!$A$2:$CE$8700,$A136,MATCH(C$1,'2-3 引出列表'!$A$1:$CD$1,0)),""))</f>
        <v>56524.4</v>
      </c>
      <c r="D136" t="str">
        <f>IF(ISBLANK(IFERROR(INDEX('2-3 引出列表'!$A$2:$CE$8700,$A136,MATCH(D$1,'2-3 引出列表'!$A$1:$CD$1,0)),"")),"",IFERROR(INDEX('2-3 引出列表'!$A$2:$CE$8700,$A136,MATCH(D$1,'2-3 引出列表'!$A$1:$CD$1,0)),""))</f>
        <v>已审核</v>
      </c>
      <c r="E136" t="str">
        <f>IF(ISBLANK(IFERROR(INDEX('2-3 引出列表'!$A$2:$CE$8700,$A136,MATCH(E$1,'2-3 引出列表'!$A$1:$CD$1,0)),"")),"",IFERROR(INDEX('2-3 引出列表'!$A$2:$CE$8700,$A136,MATCH(E$1,'2-3 引出列表'!$A$1:$CD$1,0)),""))</f>
        <v>2025-06-12</v>
      </c>
      <c r="F136" t="str">
        <f t="shared" si="2"/>
        <v>2025-06</v>
      </c>
      <c r="G136" t="str">
        <f>IF(ISBLANK(IFERROR(INDEX('2-3 引出列表'!$A$2:$CE$8700,$A136,MATCH(G$1,'2-3 引出列表'!$A$1:$CD$1,0)),"")),"",IFERROR(INDEX('2-3 引出列表'!$A$2:$CE$8700,$A136,MATCH(G$1,'2-3 引出列表'!$A$1:$CD$1,0)),""))</f>
        <v>物料消耗.物料消耗</v>
      </c>
      <c r="H136" t="str">
        <f>IF(ISBLANK(IFERROR(INDEX('2-3 引出列表'!$A$2:$CE$8700,$A136,MATCH(H$1,'2-3 引出列表'!$A$1:$CD$1,0)),"")),"",IFERROR(INDEX('2-3 引出列表'!$A$2:$CE$8700,$A136,MATCH(H$1,'2-3 引出列表'!$A$1:$CD$1,0)),""))</f>
        <v>XHWZ-Z-2025-00011</v>
      </c>
      <c r="I136" t="str">
        <f>IF(ISBLANK(IFERROR(INDEX('2-3 引出列表'!$A$2:$CE$8700,$A136,MATCH(I$1,'2-3 引出列表'!$A$1:$CD$1,0)),"")),"",IFERROR(INDEX('2-3 引出列表'!$A$2:$CE$8700,$A136,MATCH(I$1,'2-3 引出列表'!$A$1:$CD$1,0)),""))</f>
        <v>金采易购</v>
      </c>
    </row>
    <row r="137" spans="1:9">
      <c r="A137">
        <v>136</v>
      </c>
      <c r="B137" t="str">
        <f>IF(ISBLANK(IFERROR(INDEX('2-3 引出列表'!$A$2:$CE$8700,$A137,MATCH(B$1,'2-3 引出列表'!$A$1:$CD$1,0)),"")),"",IFERROR(INDEX('2-3 引出列表'!$A$2:$CE$8700,$A137,MATCH(B$1,'2-3 引出列表'!$A$1:$CD$1,0)),""))</f>
        <v>FK250612000687</v>
      </c>
      <c r="C137">
        <f>IF(ISBLANK(IFERROR(INDEX('2-3 引出列表'!$A$2:$CE$8700,$A137,MATCH(C$1,'2-3 引出列表'!$A$1:$CD$1,0)),"")),"",IFERROR(INDEX('2-3 引出列表'!$A$2:$CE$8700,$A137,MATCH(C$1,'2-3 引出列表'!$A$1:$CD$1,0)),""))</f>
        <v>56524.4</v>
      </c>
      <c r="D137" t="str">
        <f>IF(ISBLANK(IFERROR(INDEX('2-3 引出列表'!$A$2:$CE$8700,$A137,MATCH(D$1,'2-3 引出列表'!$A$1:$CD$1,0)),"")),"",IFERROR(INDEX('2-3 引出列表'!$A$2:$CE$8700,$A137,MATCH(D$1,'2-3 引出列表'!$A$1:$CD$1,0)),""))</f>
        <v>已审核</v>
      </c>
      <c r="E137" t="str">
        <f>IF(ISBLANK(IFERROR(INDEX('2-3 引出列表'!$A$2:$CE$8700,$A137,MATCH(E$1,'2-3 引出列表'!$A$1:$CD$1,0)),"")),"",IFERROR(INDEX('2-3 引出列表'!$A$2:$CE$8700,$A137,MATCH(E$1,'2-3 引出列表'!$A$1:$CD$1,0)),""))</f>
        <v>2025-06-12</v>
      </c>
      <c r="F137" t="str">
        <f t="shared" si="2"/>
        <v>2025-06</v>
      </c>
      <c r="G137" t="str">
        <f>IF(ISBLANK(IFERROR(INDEX('2-3 引出列表'!$A$2:$CE$8700,$A137,MATCH(G$1,'2-3 引出列表'!$A$1:$CD$1,0)),"")),"",IFERROR(INDEX('2-3 引出列表'!$A$2:$CE$8700,$A137,MATCH(G$1,'2-3 引出列表'!$A$1:$CD$1,0)),""))</f>
        <v>物料消耗.物料消耗</v>
      </c>
      <c r="H137" t="str">
        <f>IF(ISBLANK(IFERROR(INDEX('2-3 引出列表'!$A$2:$CE$8700,$A137,MATCH(H$1,'2-3 引出列表'!$A$1:$CD$1,0)),"")),"",IFERROR(INDEX('2-3 引出列表'!$A$2:$CE$8700,$A137,MATCH(H$1,'2-3 引出列表'!$A$1:$CD$1,0)),""))</f>
        <v>XHWZ-Z-2025-00011</v>
      </c>
      <c r="I137" t="str">
        <f>IF(ISBLANK(IFERROR(INDEX('2-3 引出列表'!$A$2:$CE$8700,$A137,MATCH(I$1,'2-3 引出列表'!$A$1:$CD$1,0)),"")),"",IFERROR(INDEX('2-3 引出列表'!$A$2:$CE$8700,$A137,MATCH(I$1,'2-3 引出列表'!$A$1:$CD$1,0)),""))</f>
        <v>金采易购</v>
      </c>
    </row>
    <row r="138" spans="1:9">
      <c r="A138">
        <v>137</v>
      </c>
      <c r="B138" t="str">
        <f>IF(ISBLANK(IFERROR(INDEX('2-3 引出列表'!$A$2:$CE$8700,$A138,MATCH(B$1,'2-3 引出列表'!$A$1:$CD$1,0)),"")),"",IFERROR(INDEX('2-3 引出列表'!$A$2:$CE$8700,$A138,MATCH(B$1,'2-3 引出列表'!$A$1:$CD$1,0)),""))</f>
        <v>FK250612000687</v>
      </c>
      <c r="C138">
        <f>IF(ISBLANK(IFERROR(INDEX('2-3 引出列表'!$A$2:$CE$8700,$A138,MATCH(C$1,'2-3 引出列表'!$A$1:$CD$1,0)),"")),"",IFERROR(INDEX('2-3 引出列表'!$A$2:$CE$8700,$A138,MATCH(C$1,'2-3 引出列表'!$A$1:$CD$1,0)),""))</f>
        <v>56524.4</v>
      </c>
      <c r="D138" t="str">
        <f>IF(ISBLANK(IFERROR(INDEX('2-3 引出列表'!$A$2:$CE$8700,$A138,MATCH(D$1,'2-3 引出列表'!$A$1:$CD$1,0)),"")),"",IFERROR(INDEX('2-3 引出列表'!$A$2:$CE$8700,$A138,MATCH(D$1,'2-3 引出列表'!$A$1:$CD$1,0)),""))</f>
        <v>已审核</v>
      </c>
      <c r="E138" t="str">
        <f>IF(ISBLANK(IFERROR(INDEX('2-3 引出列表'!$A$2:$CE$8700,$A138,MATCH(E$1,'2-3 引出列表'!$A$1:$CD$1,0)),"")),"",IFERROR(INDEX('2-3 引出列表'!$A$2:$CE$8700,$A138,MATCH(E$1,'2-3 引出列表'!$A$1:$CD$1,0)),""))</f>
        <v>2025-06-12</v>
      </c>
      <c r="F138" t="str">
        <f t="shared" si="2"/>
        <v>2025-06</v>
      </c>
      <c r="G138" t="str">
        <f>IF(ISBLANK(IFERROR(INDEX('2-3 引出列表'!$A$2:$CE$8700,$A138,MATCH(G$1,'2-3 引出列表'!$A$1:$CD$1,0)),"")),"",IFERROR(INDEX('2-3 引出列表'!$A$2:$CE$8700,$A138,MATCH(G$1,'2-3 引出列表'!$A$1:$CD$1,0)),""))</f>
        <v>物料消耗.物料消耗</v>
      </c>
      <c r="H138" t="str">
        <f>IF(ISBLANK(IFERROR(INDEX('2-3 引出列表'!$A$2:$CE$8700,$A138,MATCH(H$1,'2-3 引出列表'!$A$1:$CD$1,0)),"")),"",IFERROR(INDEX('2-3 引出列表'!$A$2:$CE$8700,$A138,MATCH(H$1,'2-3 引出列表'!$A$1:$CD$1,0)),""))</f>
        <v>XHWZ-Z-2025-00011</v>
      </c>
      <c r="I138" t="str">
        <f>IF(ISBLANK(IFERROR(INDEX('2-3 引出列表'!$A$2:$CE$8700,$A138,MATCH(I$1,'2-3 引出列表'!$A$1:$CD$1,0)),"")),"",IFERROR(INDEX('2-3 引出列表'!$A$2:$CE$8700,$A138,MATCH(I$1,'2-3 引出列表'!$A$1:$CD$1,0)),""))</f>
        <v>金采易购</v>
      </c>
    </row>
    <row r="139" spans="1:9">
      <c r="A139">
        <v>138</v>
      </c>
      <c r="B139" t="str">
        <f>IF(ISBLANK(IFERROR(INDEX('2-3 引出列表'!$A$2:$CE$8700,$A139,MATCH(B$1,'2-3 引出列表'!$A$1:$CD$1,0)),"")),"",IFERROR(INDEX('2-3 引出列表'!$A$2:$CE$8700,$A139,MATCH(B$1,'2-3 引出列表'!$A$1:$CD$1,0)),""))</f>
        <v>FK250612000687</v>
      </c>
      <c r="C139">
        <f>IF(ISBLANK(IFERROR(INDEX('2-3 引出列表'!$A$2:$CE$8700,$A139,MATCH(C$1,'2-3 引出列表'!$A$1:$CD$1,0)),"")),"",IFERROR(INDEX('2-3 引出列表'!$A$2:$CE$8700,$A139,MATCH(C$1,'2-3 引出列表'!$A$1:$CD$1,0)),""))</f>
        <v>56524.4</v>
      </c>
      <c r="D139" t="str">
        <f>IF(ISBLANK(IFERROR(INDEX('2-3 引出列表'!$A$2:$CE$8700,$A139,MATCH(D$1,'2-3 引出列表'!$A$1:$CD$1,0)),"")),"",IFERROR(INDEX('2-3 引出列表'!$A$2:$CE$8700,$A139,MATCH(D$1,'2-3 引出列表'!$A$1:$CD$1,0)),""))</f>
        <v>已审核</v>
      </c>
      <c r="E139" t="str">
        <f>IF(ISBLANK(IFERROR(INDEX('2-3 引出列表'!$A$2:$CE$8700,$A139,MATCH(E$1,'2-3 引出列表'!$A$1:$CD$1,0)),"")),"",IFERROR(INDEX('2-3 引出列表'!$A$2:$CE$8700,$A139,MATCH(E$1,'2-3 引出列表'!$A$1:$CD$1,0)),""))</f>
        <v>2025-06-12</v>
      </c>
      <c r="F139" t="str">
        <f t="shared" si="2"/>
        <v>2025-06</v>
      </c>
      <c r="G139" t="str">
        <f>IF(ISBLANK(IFERROR(INDEX('2-3 引出列表'!$A$2:$CE$8700,$A139,MATCH(G$1,'2-3 引出列表'!$A$1:$CD$1,0)),"")),"",IFERROR(INDEX('2-3 引出列表'!$A$2:$CE$8700,$A139,MATCH(G$1,'2-3 引出列表'!$A$1:$CD$1,0)),""))</f>
        <v>物料消耗.物料消耗</v>
      </c>
      <c r="H139" t="str">
        <f>IF(ISBLANK(IFERROR(INDEX('2-3 引出列表'!$A$2:$CE$8700,$A139,MATCH(H$1,'2-3 引出列表'!$A$1:$CD$1,0)),"")),"",IFERROR(INDEX('2-3 引出列表'!$A$2:$CE$8700,$A139,MATCH(H$1,'2-3 引出列表'!$A$1:$CD$1,0)),""))</f>
        <v>XHWZ-Z-2025-00011</v>
      </c>
      <c r="I139" t="str">
        <f>IF(ISBLANK(IFERROR(INDEX('2-3 引出列表'!$A$2:$CE$8700,$A139,MATCH(I$1,'2-3 引出列表'!$A$1:$CD$1,0)),"")),"",IFERROR(INDEX('2-3 引出列表'!$A$2:$CE$8700,$A139,MATCH(I$1,'2-3 引出列表'!$A$1:$CD$1,0)),""))</f>
        <v>金采易购</v>
      </c>
    </row>
    <row r="140" spans="1:9">
      <c r="A140">
        <v>139</v>
      </c>
      <c r="B140" t="str">
        <f>IF(ISBLANK(IFERROR(INDEX('2-3 引出列表'!$A$2:$CE$8700,$A140,MATCH(B$1,'2-3 引出列表'!$A$1:$CD$1,0)),"")),"",IFERROR(INDEX('2-3 引出列表'!$A$2:$CE$8700,$A140,MATCH(B$1,'2-3 引出列表'!$A$1:$CD$1,0)),""))</f>
        <v>FK250612000687</v>
      </c>
      <c r="C140">
        <f>IF(ISBLANK(IFERROR(INDEX('2-3 引出列表'!$A$2:$CE$8700,$A140,MATCH(C$1,'2-3 引出列表'!$A$1:$CD$1,0)),"")),"",IFERROR(INDEX('2-3 引出列表'!$A$2:$CE$8700,$A140,MATCH(C$1,'2-3 引出列表'!$A$1:$CD$1,0)),""))</f>
        <v>56524.4</v>
      </c>
      <c r="D140" t="str">
        <f>IF(ISBLANK(IFERROR(INDEX('2-3 引出列表'!$A$2:$CE$8700,$A140,MATCH(D$1,'2-3 引出列表'!$A$1:$CD$1,0)),"")),"",IFERROR(INDEX('2-3 引出列表'!$A$2:$CE$8700,$A140,MATCH(D$1,'2-3 引出列表'!$A$1:$CD$1,0)),""))</f>
        <v>已审核</v>
      </c>
      <c r="E140" t="str">
        <f>IF(ISBLANK(IFERROR(INDEX('2-3 引出列表'!$A$2:$CE$8700,$A140,MATCH(E$1,'2-3 引出列表'!$A$1:$CD$1,0)),"")),"",IFERROR(INDEX('2-3 引出列表'!$A$2:$CE$8700,$A140,MATCH(E$1,'2-3 引出列表'!$A$1:$CD$1,0)),""))</f>
        <v>2025-06-12</v>
      </c>
      <c r="F140" t="str">
        <f t="shared" si="2"/>
        <v>2025-06</v>
      </c>
      <c r="G140" t="str">
        <f>IF(ISBLANK(IFERROR(INDEX('2-3 引出列表'!$A$2:$CE$8700,$A140,MATCH(G$1,'2-3 引出列表'!$A$1:$CD$1,0)),"")),"",IFERROR(INDEX('2-3 引出列表'!$A$2:$CE$8700,$A140,MATCH(G$1,'2-3 引出列表'!$A$1:$CD$1,0)),""))</f>
        <v>物料消耗.物料消耗</v>
      </c>
      <c r="H140" t="str">
        <f>IF(ISBLANK(IFERROR(INDEX('2-3 引出列表'!$A$2:$CE$8700,$A140,MATCH(H$1,'2-3 引出列表'!$A$1:$CD$1,0)),"")),"",IFERROR(INDEX('2-3 引出列表'!$A$2:$CE$8700,$A140,MATCH(H$1,'2-3 引出列表'!$A$1:$CD$1,0)),""))</f>
        <v>XHWZ-Z-2025-00011</v>
      </c>
      <c r="I140" t="str">
        <f>IF(ISBLANK(IFERROR(INDEX('2-3 引出列表'!$A$2:$CE$8700,$A140,MATCH(I$1,'2-3 引出列表'!$A$1:$CD$1,0)),"")),"",IFERROR(INDEX('2-3 引出列表'!$A$2:$CE$8700,$A140,MATCH(I$1,'2-3 引出列表'!$A$1:$CD$1,0)),""))</f>
        <v>金采易购</v>
      </c>
    </row>
    <row r="141" spans="1:9">
      <c r="A141">
        <v>140</v>
      </c>
      <c r="B141" t="str">
        <f>IF(ISBLANK(IFERROR(INDEX('2-3 引出列表'!$A$2:$CE$8700,$A141,MATCH(B$1,'2-3 引出列表'!$A$1:$CD$1,0)),"")),"",IFERROR(INDEX('2-3 引出列表'!$A$2:$CE$8700,$A141,MATCH(B$1,'2-3 引出列表'!$A$1:$CD$1,0)),""))</f>
        <v>FK250612000687</v>
      </c>
      <c r="C141">
        <f>IF(ISBLANK(IFERROR(INDEX('2-3 引出列表'!$A$2:$CE$8700,$A141,MATCH(C$1,'2-3 引出列表'!$A$1:$CD$1,0)),"")),"",IFERROR(INDEX('2-3 引出列表'!$A$2:$CE$8700,$A141,MATCH(C$1,'2-3 引出列表'!$A$1:$CD$1,0)),""))</f>
        <v>56524.4</v>
      </c>
      <c r="D141" t="str">
        <f>IF(ISBLANK(IFERROR(INDEX('2-3 引出列表'!$A$2:$CE$8700,$A141,MATCH(D$1,'2-3 引出列表'!$A$1:$CD$1,0)),"")),"",IFERROR(INDEX('2-3 引出列表'!$A$2:$CE$8700,$A141,MATCH(D$1,'2-3 引出列表'!$A$1:$CD$1,0)),""))</f>
        <v>已审核</v>
      </c>
      <c r="E141" t="str">
        <f>IF(ISBLANK(IFERROR(INDEX('2-3 引出列表'!$A$2:$CE$8700,$A141,MATCH(E$1,'2-3 引出列表'!$A$1:$CD$1,0)),"")),"",IFERROR(INDEX('2-3 引出列表'!$A$2:$CE$8700,$A141,MATCH(E$1,'2-3 引出列表'!$A$1:$CD$1,0)),""))</f>
        <v>2025-06-12</v>
      </c>
      <c r="F141" t="str">
        <f t="shared" si="2"/>
        <v>2025-06</v>
      </c>
      <c r="G141" t="str">
        <f>IF(ISBLANK(IFERROR(INDEX('2-3 引出列表'!$A$2:$CE$8700,$A141,MATCH(G$1,'2-3 引出列表'!$A$1:$CD$1,0)),"")),"",IFERROR(INDEX('2-3 引出列表'!$A$2:$CE$8700,$A141,MATCH(G$1,'2-3 引出列表'!$A$1:$CD$1,0)),""))</f>
        <v>物料消耗.物料消耗</v>
      </c>
      <c r="H141" t="str">
        <f>IF(ISBLANK(IFERROR(INDEX('2-3 引出列表'!$A$2:$CE$8700,$A141,MATCH(H$1,'2-3 引出列表'!$A$1:$CD$1,0)),"")),"",IFERROR(INDEX('2-3 引出列表'!$A$2:$CE$8700,$A141,MATCH(H$1,'2-3 引出列表'!$A$1:$CD$1,0)),""))</f>
        <v>XHWZ-Z-2025-00011</v>
      </c>
      <c r="I141" t="str">
        <f>IF(ISBLANK(IFERROR(INDEX('2-3 引出列表'!$A$2:$CE$8700,$A141,MATCH(I$1,'2-3 引出列表'!$A$1:$CD$1,0)),"")),"",IFERROR(INDEX('2-3 引出列表'!$A$2:$CE$8700,$A141,MATCH(I$1,'2-3 引出列表'!$A$1:$CD$1,0)),""))</f>
        <v>金采易购</v>
      </c>
    </row>
    <row r="142" spans="1:9">
      <c r="A142">
        <v>141</v>
      </c>
      <c r="B142" t="str">
        <f>IF(ISBLANK(IFERROR(INDEX('2-3 引出列表'!$A$2:$CE$8700,$A142,MATCH(B$1,'2-3 引出列表'!$A$1:$CD$1,0)),"")),"",IFERROR(INDEX('2-3 引出列表'!$A$2:$CE$8700,$A142,MATCH(B$1,'2-3 引出列表'!$A$1:$CD$1,0)),""))</f>
        <v>FK250612000687</v>
      </c>
      <c r="C142">
        <f>IF(ISBLANK(IFERROR(INDEX('2-3 引出列表'!$A$2:$CE$8700,$A142,MATCH(C$1,'2-3 引出列表'!$A$1:$CD$1,0)),"")),"",IFERROR(INDEX('2-3 引出列表'!$A$2:$CE$8700,$A142,MATCH(C$1,'2-3 引出列表'!$A$1:$CD$1,0)),""))</f>
        <v>56524.4</v>
      </c>
      <c r="D142" t="str">
        <f>IF(ISBLANK(IFERROR(INDEX('2-3 引出列表'!$A$2:$CE$8700,$A142,MATCH(D$1,'2-3 引出列表'!$A$1:$CD$1,0)),"")),"",IFERROR(INDEX('2-3 引出列表'!$A$2:$CE$8700,$A142,MATCH(D$1,'2-3 引出列表'!$A$1:$CD$1,0)),""))</f>
        <v>已审核</v>
      </c>
      <c r="E142" t="str">
        <f>IF(ISBLANK(IFERROR(INDEX('2-3 引出列表'!$A$2:$CE$8700,$A142,MATCH(E$1,'2-3 引出列表'!$A$1:$CD$1,0)),"")),"",IFERROR(INDEX('2-3 引出列表'!$A$2:$CE$8700,$A142,MATCH(E$1,'2-3 引出列表'!$A$1:$CD$1,0)),""))</f>
        <v>2025-06-12</v>
      </c>
      <c r="F142" t="str">
        <f t="shared" si="2"/>
        <v>2025-06</v>
      </c>
      <c r="G142" t="str">
        <f>IF(ISBLANK(IFERROR(INDEX('2-3 引出列表'!$A$2:$CE$8700,$A142,MATCH(G$1,'2-3 引出列表'!$A$1:$CD$1,0)),"")),"",IFERROR(INDEX('2-3 引出列表'!$A$2:$CE$8700,$A142,MATCH(G$1,'2-3 引出列表'!$A$1:$CD$1,0)),""))</f>
        <v>物料消耗.物料消耗</v>
      </c>
      <c r="H142" t="str">
        <f>IF(ISBLANK(IFERROR(INDEX('2-3 引出列表'!$A$2:$CE$8700,$A142,MATCH(H$1,'2-3 引出列表'!$A$1:$CD$1,0)),"")),"",IFERROR(INDEX('2-3 引出列表'!$A$2:$CE$8700,$A142,MATCH(H$1,'2-3 引出列表'!$A$1:$CD$1,0)),""))</f>
        <v>XHWZ-Z-2025-00011</v>
      </c>
      <c r="I142" t="str">
        <f>IF(ISBLANK(IFERROR(INDEX('2-3 引出列表'!$A$2:$CE$8700,$A142,MATCH(I$1,'2-3 引出列表'!$A$1:$CD$1,0)),"")),"",IFERROR(INDEX('2-3 引出列表'!$A$2:$CE$8700,$A142,MATCH(I$1,'2-3 引出列表'!$A$1:$CD$1,0)),""))</f>
        <v>金采易购</v>
      </c>
    </row>
    <row r="143" spans="1:9">
      <c r="A143">
        <v>142</v>
      </c>
      <c r="B143" t="str">
        <f>IF(ISBLANK(IFERROR(INDEX('2-3 引出列表'!$A$2:$CE$8700,$A143,MATCH(B$1,'2-3 引出列表'!$A$1:$CD$1,0)),"")),"",IFERROR(INDEX('2-3 引出列表'!$A$2:$CE$8700,$A143,MATCH(B$1,'2-3 引出列表'!$A$1:$CD$1,0)),""))</f>
        <v>FK250612000687</v>
      </c>
      <c r="C143">
        <f>IF(ISBLANK(IFERROR(INDEX('2-3 引出列表'!$A$2:$CE$8700,$A143,MATCH(C$1,'2-3 引出列表'!$A$1:$CD$1,0)),"")),"",IFERROR(INDEX('2-3 引出列表'!$A$2:$CE$8700,$A143,MATCH(C$1,'2-3 引出列表'!$A$1:$CD$1,0)),""))</f>
        <v>56524.4</v>
      </c>
      <c r="D143" t="str">
        <f>IF(ISBLANK(IFERROR(INDEX('2-3 引出列表'!$A$2:$CE$8700,$A143,MATCH(D$1,'2-3 引出列表'!$A$1:$CD$1,0)),"")),"",IFERROR(INDEX('2-3 引出列表'!$A$2:$CE$8700,$A143,MATCH(D$1,'2-3 引出列表'!$A$1:$CD$1,0)),""))</f>
        <v>已审核</v>
      </c>
      <c r="E143" t="str">
        <f>IF(ISBLANK(IFERROR(INDEX('2-3 引出列表'!$A$2:$CE$8700,$A143,MATCH(E$1,'2-3 引出列表'!$A$1:$CD$1,0)),"")),"",IFERROR(INDEX('2-3 引出列表'!$A$2:$CE$8700,$A143,MATCH(E$1,'2-3 引出列表'!$A$1:$CD$1,0)),""))</f>
        <v>2025-06-12</v>
      </c>
      <c r="F143" t="str">
        <f t="shared" si="2"/>
        <v>2025-06</v>
      </c>
      <c r="G143" t="str">
        <f>IF(ISBLANK(IFERROR(INDEX('2-3 引出列表'!$A$2:$CE$8700,$A143,MATCH(G$1,'2-3 引出列表'!$A$1:$CD$1,0)),"")),"",IFERROR(INDEX('2-3 引出列表'!$A$2:$CE$8700,$A143,MATCH(G$1,'2-3 引出列表'!$A$1:$CD$1,0)),""))</f>
        <v>物料消耗.物料消耗</v>
      </c>
      <c r="H143" t="str">
        <f>IF(ISBLANK(IFERROR(INDEX('2-3 引出列表'!$A$2:$CE$8700,$A143,MATCH(H$1,'2-3 引出列表'!$A$1:$CD$1,0)),"")),"",IFERROR(INDEX('2-3 引出列表'!$A$2:$CE$8700,$A143,MATCH(H$1,'2-3 引出列表'!$A$1:$CD$1,0)),""))</f>
        <v>XHWZ-Z-2025-00011</v>
      </c>
      <c r="I143" t="str">
        <f>IF(ISBLANK(IFERROR(INDEX('2-3 引出列表'!$A$2:$CE$8700,$A143,MATCH(I$1,'2-3 引出列表'!$A$1:$CD$1,0)),"")),"",IFERROR(INDEX('2-3 引出列表'!$A$2:$CE$8700,$A143,MATCH(I$1,'2-3 引出列表'!$A$1:$CD$1,0)),""))</f>
        <v>金采易购</v>
      </c>
    </row>
    <row r="144" spans="1:9">
      <c r="A144">
        <v>143</v>
      </c>
      <c r="B144" t="str">
        <f>IF(ISBLANK(IFERROR(INDEX('2-3 引出列表'!$A$2:$CE$8700,$A144,MATCH(B$1,'2-3 引出列表'!$A$1:$CD$1,0)),"")),"",IFERROR(INDEX('2-3 引出列表'!$A$2:$CE$8700,$A144,MATCH(B$1,'2-3 引出列表'!$A$1:$CD$1,0)),""))</f>
        <v>FK250612000687</v>
      </c>
      <c r="C144">
        <f>IF(ISBLANK(IFERROR(INDEX('2-3 引出列表'!$A$2:$CE$8700,$A144,MATCH(C$1,'2-3 引出列表'!$A$1:$CD$1,0)),"")),"",IFERROR(INDEX('2-3 引出列表'!$A$2:$CE$8700,$A144,MATCH(C$1,'2-3 引出列表'!$A$1:$CD$1,0)),""))</f>
        <v>56524.4</v>
      </c>
      <c r="D144" t="str">
        <f>IF(ISBLANK(IFERROR(INDEX('2-3 引出列表'!$A$2:$CE$8700,$A144,MATCH(D$1,'2-3 引出列表'!$A$1:$CD$1,0)),"")),"",IFERROR(INDEX('2-3 引出列表'!$A$2:$CE$8700,$A144,MATCH(D$1,'2-3 引出列表'!$A$1:$CD$1,0)),""))</f>
        <v>已审核</v>
      </c>
      <c r="E144" t="str">
        <f>IF(ISBLANK(IFERROR(INDEX('2-3 引出列表'!$A$2:$CE$8700,$A144,MATCH(E$1,'2-3 引出列表'!$A$1:$CD$1,0)),"")),"",IFERROR(INDEX('2-3 引出列表'!$A$2:$CE$8700,$A144,MATCH(E$1,'2-3 引出列表'!$A$1:$CD$1,0)),""))</f>
        <v>2025-06-12</v>
      </c>
      <c r="F144" t="str">
        <f t="shared" si="2"/>
        <v>2025-06</v>
      </c>
      <c r="G144" t="str">
        <f>IF(ISBLANK(IFERROR(INDEX('2-3 引出列表'!$A$2:$CE$8700,$A144,MATCH(G$1,'2-3 引出列表'!$A$1:$CD$1,0)),"")),"",IFERROR(INDEX('2-3 引出列表'!$A$2:$CE$8700,$A144,MATCH(G$1,'2-3 引出列表'!$A$1:$CD$1,0)),""))</f>
        <v>物料消耗.物料消耗</v>
      </c>
      <c r="H144" t="str">
        <f>IF(ISBLANK(IFERROR(INDEX('2-3 引出列表'!$A$2:$CE$8700,$A144,MATCH(H$1,'2-3 引出列表'!$A$1:$CD$1,0)),"")),"",IFERROR(INDEX('2-3 引出列表'!$A$2:$CE$8700,$A144,MATCH(H$1,'2-3 引出列表'!$A$1:$CD$1,0)),""))</f>
        <v>XHWZ-Z-2025-00011</v>
      </c>
      <c r="I144" t="str">
        <f>IF(ISBLANK(IFERROR(INDEX('2-3 引出列表'!$A$2:$CE$8700,$A144,MATCH(I$1,'2-3 引出列表'!$A$1:$CD$1,0)),"")),"",IFERROR(INDEX('2-3 引出列表'!$A$2:$CE$8700,$A144,MATCH(I$1,'2-3 引出列表'!$A$1:$CD$1,0)),""))</f>
        <v>金采易购</v>
      </c>
    </row>
    <row r="145" spans="1:9">
      <c r="A145">
        <v>144</v>
      </c>
      <c r="B145" t="str">
        <f>IF(ISBLANK(IFERROR(INDEX('2-3 引出列表'!$A$2:$CE$8700,$A145,MATCH(B$1,'2-3 引出列表'!$A$1:$CD$1,0)),"")),"",IFERROR(INDEX('2-3 引出列表'!$A$2:$CE$8700,$A145,MATCH(B$1,'2-3 引出列表'!$A$1:$CD$1,0)),""))</f>
        <v>FK250612000687</v>
      </c>
      <c r="C145">
        <f>IF(ISBLANK(IFERROR(INDEX('2-3 引出列表'!$A$2:$CE$8700,$A145,MATCH(C$1,'2-3 引出列表'!$A$1:$CD$1,0)),"")),"",IFERROR(INDEX('2-3 引出列表'!$A$2:$CE$8700,$A145,MATCH(C$1,'2-3 引出列表'!$A$1:$CD$1,0)),""))</f>
        <v>56524.4</v>
      </c>
      <c r="D145" t="str">
        <f>IF(ISBLANK(IFERROR(INDEX('2-3 引出列表'!$A$2:$CE$8700,$A145,MATCH(D$1,'2-3 引出列表'!$A$1:$CD$1,0)),"")),"",IFERROR(INDEX('2-3 引出列表'!$A$2:$CE$8700,$A145,MATCH(D$1,'2-3 引出列表'!$A$1:$CD$1,0)),""))</f>
        <v>已审核</v>
      </c>
      <c r="E145" t="str">
        <f>IF(ISBLANK(IFERROR(INDEX('2-3 引出列表'!$A$2:$CE$8700,$A145,MATCH(E$1,'2-3 引出列表'!$A$1:$CD$1,0)),"")),"",IFERROR(INDEX('2-3 引出列表'!$A$2:$CE$8700,$A145,MATCH(E$1,'2-3 引出列表'!$A$1:$CD$1,0)),""))</f>
        <v>2025-06-12</v>
      </c>
      <c r="F145" t="str">
        <f t="shared" si="2"/>
        <v>2025-06</v>
      </c>
      <c r="G145" t="str">
        <f>IF(ISBLANK(IFERROR(INDEX('2-3 引出列表'!$A$2:$CE$8700,$A145,MATCH(G$1,'2-3 引出列表'!$A$1:$CD$1,0)),"")),"",IFERROR(INDEX('2-3 引出列表'!$A$2:$CE$8700,$A145,MATCH(G$1,'2-3 引出列表'!$A$1:$CD$1,0)),""))</f>
        <v>物料消耗.物料消耗</v>
      </c>
      <c r="H145" t="str">
        <f>IF(ISBLANK(IFERROR(INDEX('2-3 引出列表'!$A$2:$CE$8700,$A145,MATCH(H$1,'2-3 引出列表'!$A$1:$CD$1,0)),"")),"",IFERROR(INDEX('2-3 引出列表'!$A$2:$CE$8700,$A145,MATCH(H$1,'2-3 引出列表'!$A$1:$CD$1,0)),""))</f>
        <v>XHWZ-Z-2025-00011</v>
      </c>
      <c r="I145" t="str">
        <f>IF(ISBLANK(IFERROR(INDEX('2-3 引出列表'!$A$2:$CE$8700,$A145,MATCH(I$1,'2-3 引出列表'!$A$1:$CD$1,0)),"")),"",IFERROR(INDEX('2-3 引出列表'!$A$2:$CE$8700,$A145,MATCH(I$1,'2-3 引出列表'!$A$1:$CD$1,0)),""))</f>
        <v>金采易购</v>
      </c>
    </row>
    <row r="146" spans="1:9">
      <c r="A146">
        <v>145</v>
      </c>
      <c r="B146" t="str">
        <f>IF(ISBLANK(IFERROR(INDEX('2-3 引出列表'!$A$2:$CE$8700,$A146,MATCH(B$1,'2-3 引出列表'!$A$1:$CD$1,0)),"")),"",IFERROR(INDEX('2-3 引出列表'!$A$2:$CE$8700,$A146,MATCH(B$1,'2-3 引出列表'!$A$1:$CD$1,0)),""))</f>
        <v>FK250612000687</v>
      </c>
      <c r="C146">
        <f>IF(ISBLANK(IFERROR(INDEX('2-3 引出列表'!$A$2:$CE$8700,$A146,MATCH(C$1,'2-3 引出列表'!$A$1:$CD$1,0)),"")),"",IFERROR(INDEX('2-3 引出列表'!$A$2:$CE$8700,$A146,MATCH(C$1,'2-3 引出列表'!$A$1:$CD$1,0)),""))</f>
        <v>56524.4</v>
      </c>
      <c r="D146" t="str">
        <f>IF(ISBLANK(IFERROR(INDEX('2-3 引出列表'!$A$2:$CE$8700,$A146,MATCH(D$1,'2-3 引出列表'!$A$1:$CD$1,0)),"")),"",IFERROR(INDEX('2-3 引出列表'!$A$2:$CE$8700,$A146,MATCH(D$1,'2-3 引出列表'!$A$1:$CD$1,0)),""))</f>
        <v>已审核</v>
      </c>
      <c r="E146" t="str">
        <f>IF(ISBLANK(IFERROR(INDEX('2-3 引出列表'!$A$2:$CE$8700,$A146,MATCH(E$1,'2-3 引出列表'!$A$1:$CD$1,0)),"")),"",IFERROR(INDEX('2-3 引出列表'!$A$2:$CE$8700,$A146,MATCH(E$1,'2-3 引出列表'!$A$1:$CD$1,0)),""))</f>
        <v>2025-06-12</v>
      </c>
      <c r="F146" t="str">
        <f t="shared" si="2"/>
        <v>2025-06</v>
      </c>
      <c r="G146" t="str">
        <f>IF(ISBLANK(IFERROR(INDEX('2-3 引出列表'!$A$2:$CE$8700,$A146,MATCH(G$1,'2-3 引出列表'!$A$1:$CD$1,0)),"")),"",IFERROR(INDEX('2-3 引出列表'!$A$2:$CE$8700,$A146,MATCH(G$1,'2-3 引出列表'!$A$1:$CD$1,0)),""))</f>
        <v>物料消耗.物料消耗</v>
      </c>
      <c r="H146" t="str">
        <f>IF(ISBLANK(IFERROR(INDEX('2-3 引出列表'!$A$2:$CE$8700,$A146,MATCH(H$1,'2-3 引出列表'!$A$1:$CD$1,0)),"")),"",IFERROR(INDEX('2-3 引出列表'!$A$2:$CE$8700,$A146,MATCH(H$1,'2-3 引出列表'!$A$1:$CD$1,0)),""))</f>
        <v>XHWZ-Z-2025-00011</v>
      </c>
      <c r="I146" t="str">
        <f>IF(ISBLANK(IFERROR(INDEX('2-3 引出列表'!$A$2:$CE$8700,$A146,MATCH(I$1,'2-3 引出列表'!$A$1:$CD$1,0)),"")),"",IFERROR(INDEX('2-3 引出列表'!$A$2:$CE$8700,$A146,MATCH(I$1,'2-3 引出列表'!$A$1:$CD$1,0)),""))</f>
        <v>金采易购</v>
      </c>
    </row>
    <row r="147" spans="1:9">
      <c r="A147">
        <v>146</v>
      </c>
      <c r="B147" t="str">
        <f>IF(ISBLANK(IFERROR(INDEX('2-3 引出列表'!$A$2:$CE$8700,$A147,MATCH(B$1,'2-3 引出列表'!$A$1:$CD$1,0)),"")),"",IFERROR(INDEX('2-3 引出列表'!$A$2:$CE$8700,$A147,MATCH(B$1,'2-3 引出列表'!$A$1:$CD$1,0)),""))</f>
        <v>FK250612000687</v>
      </c>
      <c r="C147">
        <f>IF(ISBLANK(IFERROR(INDEX('2-3 引出列表'!$A$2:$CE$8700,$A147,MATCH(C$1,'2-3 引出列表'!$A$1:$CD$1,0)),"")),"",IFERROR(INDEX('2-3 引出列表'!$A$2:$CE$8700,$A147,MATCH(C$1,'2-3 引出列表'!$A$1:$CD$1,0)),""))</f>
        <v>56524.4</v>
      </c>
      <c r="D147" t="str">
        <f>IF(ISBLANK(IFERROR(INDEX('2-3 引出列表'!$A$2:$CE$8700,$A147,MATCH(D$1,'2-3 引出列表'!$A$1:$CD$1,0)),"")),"",IFERROR(INDEX('2-3 引出列表'!$A$2:$CE$8700,$A147,MATCH(D$1,'2-3 引出列表'!$A$1:$CD$1,0)),""))</f>
        <v>已审核</v>
      </c>
      <c r="E147" t="str">
        <f>IF(ISBLANK(IFERROR(INDEX('2-3 引出列表'!$A$2:$CE$8700,$A147,MATCH(E$1,'2-3 引出列表'!$A$1:$CD$1,0)),"")),"",IFERROR(INDEX('2-3 引出列表'!$A$2:$CE$8700,$A147,MATCH(E$1,'2-3 引出列表'!$A$1:$CD$1,0)),""))</f>
        <v>2025-06-12</v>
      </c>
      <c r="F147" t="str">
        <f t="shared" si="2"/>
        <v>2025-06</v>
      </c>
      <c r="G147" t="str">
        <f>IF(ISBLANK(IFERROR(INDEX('2-3 引出列表'!$A$2:$CE$8700,$A147,MATCH(G$1,'2-3 引出列表'!$A$1:$CD$1,0)),"")),"",IFERROR(INDEX('2-3 引出列表'!$A$2:$CE$8700,$A147,MATCH(G$1,'2-3 引出列表'!$A$1:$CD$1,0)),""))</f>
        <v>物料消耗.物料消耗</v>
      </c>
      <c r="H147" t="str">
        <f>IF(ISBLANK(IFERROR(INDEX('2-3 引出列表'!$A$2:$CE$8700,$A147,MATCH(H$1,'2-3 引出列表'!$A$1:$CD$1,0)),"")),"",IFERROR(INDEX('2-3 引出列表'!$A$2:$CE$8700,$A147,MATCH(H$1,'2-3 引出列表'!$A$1:$CD$1,0)),""))</f>
        <v>XHWZ-Z-2025-00011</v>
      </c>
      <c r="I147" t="str">
        <f>IF(ISBLANK(IFERROR(INDEX('2-3 引出列表'!$A$2:$CE$8700,$A147,MATCH(I$1,'2-3 引出列表'!$A$1:$CD$1,0)),"")),"",IFERROR(INDEX('2-3 引出列表'!$A$2:$CE$8700,$A147,MATCH(I$1,'2-3 引出列表'!$A$1:$CD$1,0)),""))</f>
        <v>金采易购</v>
      </c>
    </row>
    <row r="148" spans="1:9">
      <c r="A148">
        <v>147</v>
      </c>
      <c r="B148" t="str">
        <f>IF(ISBLANK(IFERROR(INDEX('2-3 引出列表'!$A$2:$CE$8700,$A148,MATCH(B$1,'2-3 引出列表'!$A$1:$CD$1,0)),"")),"",IFERROR(INDEX('2-3 引出列表'!$A$2:$CE$8700,$A148,MATCH(B$1,'2-3 引出列表'!$A$1:$CD$1,0)),""))</f>
        <v>FK250612000670</v>
      </c>
      <c r="C148">
        <f>IF(ISBLANK(IFERROR(INDEX('2-3 引出列表'!$A$2:$CE$8700,$A148,MATCH(C$1,'2-3 引出列表'!$A$1:$CD$1,0)),"")),"",IFERROR(INDEX('2-3 引出列表'!$A$2:$CE$8700,$A148,MATCH(C$1,'2-3 引出列表'!$A$1:$CD$1,0)),""))</f>
        <v>12098.5</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2025-06-12</v>
      </c>
      <c r="F148" t="str">
        <f t="shared" si="2"/>
        <v>2025-06</v>
      </c>
      <c r="G148" t="str">
        <f>IF(ISBLANK(IFERROR(INDEX('2-3 引出列表'!$A$2:$CE$8700,$A148,MATCH(G$1,'2-3 引出列表'!$A$1:$CD$1,0)),"")),"",IFERROR(INDEX('2-3 引出列表'!$A$2:$CE$8700,$A148,MATCH(G$1,'2-3 引出列表'!$A$1:$CD$1,0)),""))</f>
        <v>物料消耗.物料消耗</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金采易购</v>
      </c>
    </row>
    <row r="149" spans="1:9">
      <c r="A149">
        <v>148</v>
      </c>
      <c r="B149" t="str">
        <f>IF(ISBLANK(IFERROR(INDEX('2-3 引出列表'!$A$2:$CE$8700,$A149,MATCH(B$1,'2-3 引出列表'!$A$1:$CD$1,0)),"")),"",IFERROR(INDEX('2-3 引出列表'!$A$2:$CE$8700,$A149,MATCH(B$1,'2-3 引出列表'!$A$1:$CD$1,0)),""))</f>
        <v>FK250612000663</v>
      </c>
      <c r="C149">
        <f>IF(ISBLANK(IFERROR(INDEX('2-3 引出列表'!$A$2:$CE$8700,$A149,MATCH(C$1,'2-3 引出列表'!$A$1:$CD$1,0)),"")),"",IFERROR(INDEX('2-3 引出列表'!$A$2:$CE$8700,$A149,MATCH(C$1,'2-3 引出列表'!$A$1:$CD$1,0)),""))</f>
        <v>7900</v>
      </c>
      <c r="D149" t="str">
        <f>IF(ISBLANK(IFERROR(INDEX('2-3 引出列表'!$A$2:$CE$8700,$A149,MATCH(D$1,'2-3 引出列表'!$A$1:$CD$1,0)),"")),"",IFERROR(INDEX('2-3 引出列表'!$A$2:$CE$8700,$A149,MATCH(D$1,'2-3 引出列表'!$A$1:$CD$1,0)),""))</f>
        <v>已审核</v>
      </c>
      <c r="E149" t="str">
        <f>IF(ISBLANK(IFERROR(INDEX('2-3 引出列表'!$A$2:$CE$8700,$A149,MATCH(E$1,'2-3 引出列表'!$A$1:$CD$1,0)),"")),"",IFERROR(INDEX('2-3 引出列表'!$A$2:$CE$8700,$A149,MATCH(E$1,'2-3 引出列表'!$A$1:$CD$1,0)),""))</f>
        <v>2025-06-12</v>
      </c>
      <c r="F149" t="str">
        <f t="shared" si="2"/>
        <v>2025-06</v>
      </c>
      <c r="G149" t="str">
        <f>IF(ISBLANK(IFERROR(INDEX('2-3 引出列表'!$A$2:$CE$8700,$A149,MATCH(G$1,'2-3 引出列表'!$A$1:$CD$1,0)),"")),"",IFERROR(INDEX('2-3 引出列表'!$A$2:$CE$8700,$A149,MATCH(G$1,'2-3 引出列表'!$A$1:$CD$1,0)),""))</f>
        <v>外包服务费.保洁外包</v>
      </c>
      <c r="H149" t="str">
        <f>IF(ISBLANK(IFERROR(INDEX('2-3 引出列表'!$A$2:$CE$8700,$A149,MATCH(H$1,'2-3 引出列表'!$A$1:$CD$1,0)),"")),"",IFERROR(INDEX('2-3 引出列表'!$A$2:$CE$8700,$A149,MATCH(H$1,'2-3 引出列表'!$A$1:$CD$1,0)),""))</f>
        <v>GCFW-Z-2024-7045</v>
      </c>
      <c r="I149" t="str">
        <f>IF(ISBLANK(IFERROR(INDEX('2-3 引出列表'!$A$2:$CE$8700,$A149,MATCH(I$1,'2-3 引出列表'!$A$1:$CD$1,0)),"")),"",IFERROR(INDEX('2-3 引出列表'!$A$2:$CE$8700,$A149,MATCH(I$1,'2-3 引出列表'!$A$1:$CD$1,0)),""))</f>
        <v>金采易购</v>
      </c>
    </row>
    <row r="150" spans="1:9">
      <c r="A150">
        <v>149</v>
      </c>
      <c r="B150" t="str">
        <f>IF(ISBLANK(IFERROR(INDEX('2-3 引出列表'!$A$2:$CE$8700,$A150,MATCH(B$1,'2-3 引出列表'!$A$1:$CD$1,0)),"")),"",IFERROR(INDEX('2-3 引出列表'!$A$2:$CE$8700,$A150,MATCH(B$1,'2-3 引出列表'!$A$1:$CD$1,0)),""))</f>
        <v>FK250611000277</v>
      </c>
      <c r="C150">
        <f>IF(ISBLANK(IFERROR(INDEX('2-3 引出列表'!$A$2:$CE$8700,$A150,MATCH(C$1,'2-3 引出列表'!$A$1:$CD$1,0)),"")),"",IFERROR(INDEX('2-3 引出列表'!$A$2:$CE$8700,$A150,MATCH(C$1,'2-3 引出列表'!$A$1:$CD$1,0)),""))</f>
        <v>47837.64</v>
      </c>
      <c r="D150" t="str">
        <f>IF(ISBLANK(IFERROR(INDEX('2-3 引出列表'!$A$2:$CE$8700,$A150,MATCH(D$1,'2-3 引出列表'!$A$1:$CD$1,0)),"")),"",IFERROR(INDEX('2-3 引出列表'!$A$2:$CE$8700,$A150,MATCH(D$1,'2-3 引出列表'!$A$1:$CD$1,0)),""))</f>
        <v>已审核</v>
      </c>
      <c r="E150" t="str">
        <f>IF(ISBLANK(IFERROR(INDEX('2-3 引出列表'!$A$2:$CE$8700,$A150,MATCH(E$1,'2-3 引出列表'!$A$1:$CD$1,0)),"")),"",IFERROR(INDEX('2-3 引出列表'!$A$2:$CE$8700,$A150,MATCH(E$1,'2-3 引出列表'!$A$1:$CD$1,0)),""))</f>
        <v>2025-06-11</v>
      </c>
      <c r="F150" t="str">
        <f t="shared" si="2"/>
        <v>2025-06</v>
      </c>
      <c r="G150" t="str">
        <f>IF(ISBLANK(IFERROR(INDEX('2-3 引出列表'!$A$2:$CE$8700,$A150,MATCH(G$1,'2-3 引出列表'!$A$1:$CD$1,0)),"")),"",IFERROR(INDEX('2-3 引出列表'!$A$2:$CE$8700,$A150,MATCH(G$1,'2-3 引出列表'!$A$1:$CD$1,0)),""))</f>
        <v>物料消耗.物料消耗</v>
      </c>
      <c r="H150" t="str">
        <f>IF(ISBLANK(IFERROR(INDEX('2-3 引出列表'!$A$2:$CE$8700,$A150,MATCH(H$1,'2-3 引出列表'!$A$1:$CD$1,0)),"")),"",IFERROR(INDEX('2-3 引出列表'!$A$2:$CE$8700,$A150,MATCH(H$1,'2-3 引出列表'!$A$1:$CD$1,0)),""))</f>
        <v>XHWZ-Z-2025-00011</v>
      </c>
      <c r="I150" t="str">
        <f>IF(ISBLANK(IFERROR(INDEX('2-3 引出列表'!$A$2:$CE$8700,$A150,MATCH(I$1,'2-3 引出列表'!$A$1:$CD$1,0)),"")),"",IFERROR(INDEX('2-3 引出列表'!$A$2:$CE$8700,$A150,MATCH(I$1,'2-3 引出列表'!$A$1:$CD$1,0)),""))</f>
        <v>金采易购</v>
      </c>
    </row>
    <row r="151" spans="1:9">
      <c r="A151">
        <v>150</v>
      </c>
      <c r="B151" t="str">
        <f>IF(ISBLANK(IFERROR(INDEX('2-3 引出列表'!$A$2:$CE$8700,$A151,MATCH(B$1,'2-3 引出列表'!$A$1:$CD$1,0)),"")),"",IFERROR(INDEX('2-3 引出列表'!$A$2:$CE$8700,$A151,MATCH(B$1,'2-3 引出列表'!$A$1:$CD$1,0)),""))</f>
        <v>FK250611000277</v>
      </c>
      <c r="C151">
        <f>IF(ISBLANK(IFERROR(INDEX('2-3 引出列表'!$A$2:$CE$8700,$A151,MATCH(C$1,'2-3 引出列表'!$A$1:$CD$1,0)),"")),"",IFERROR(INDEX('2-3 引出列表'!$A$2:$CE$8700,$A151,MATCH(C$1,'2-3 引出列表'!$A$1:$CD$1,0)),""))</f>
        <v>47837.64</v>
      </c>
      <c r="D151" t="str">
        <f>IF(ISBLANK(IFERROR(INDEX('2-3 引出列表'!$A$2:$CE$8700,$A151,MATCH(D$1,'2-3 引出列表'!$A$1:$CD$1,0)),"")),"",IFERROR(INDEX('2-3 引出列表'!$A$2:$CE$8700,$A151,MATCH(D$1,'2-3 引出列表'!$A$1:$CD$1,0)),""))</f>
        <v>已审核</v>
      </c>
      <c r="E151" t="str">
        <f>IF(ISBLANK(IFERROR(INDEX('2-3 引出列表'!$A$2:$CE$8700,$A151,MATCH(E$1,'2-3 引出列表'!$A$1:$CD$1,0)),"")),"",IFERROR(INDEX('2-3 引出列表'!$A$2:$CE$8700,$A151,MATCH(E$1,'2-3 引出列表'!$A$1:$CD$1,0)),""))</f>
        <v>2025-06-11</v>
      </c>
      <c r="F151" t="str">
        <f t="shared" si="2"/>
        <v>2025-06</v>
      </c>
      <c r="G151" t="str">
        <f>IF(ISBLANK(IFERROR(INDEX('2-3 引出列表'!$A$2:$CE$8700,$A151,MATCH(G$1,'2-3 引出列表'!$A$1:$CD$1,0)),"")),"",IFERROR(INDEX('2-3 引出列表'!$A$2:$CE$8700,$A151,MATCH(G$1,'2-3 引出列表'!$A$1:$CD$1,0)),""))</f>
        <v>物料消耗.物料消耗</v>
      </c>
      <c r="H151" t="str">
        <f>IF(ISBLANK(IFERROR(INDEX('2-3 引出列表'!$A$2:$CE$8700,$A151,MATCH(H$1,'2-3 引出列表'!$A$1:$CD$1,0)),"")),"",IFERROR(INDEX('2-3 引出列表'!$A$2:$CE$8700,$A151,MATCH(H$1,'2-3 引出列表'!$A$1:$CD$1,0)),""))</f>
        <v>XHWZ-Z-2025-00011</v>
      </c>
      <c r="I151" t="str">
        <f>IF(ISBLANK(IFERROR(INDEX('2-3 引出列表'!$A$2:$CE$8700,$A151,MATCH(I$1,'2-3 引出列表'!$A$1:$CD$1,0)),"")),"",IFERROR(INDEX('2-3 引出列表'!$A$2:$CE$8700,$A151,MATCH(I$1,'2-3 引出列表'!$A$1:$CD$1,0)),""))</f>
        <v>金采易购</v>
      </c>
    </row>
    <row r="152" spans="1:9">
      <c r="A152">
        <v>151</v>
      </c>
      <c r="B152" t="str">
        <f>IF(ISBLANK(IFERROR(INDEX('2-3 引出列表'!$A$2:$CE$8700,$A152,MATCH(B$1,'2-3 引出列表'!$A$1:$CD$1,0)),"")),"",IFERROR(INDEX('2-3 引出列表'!$A$2:$CE$8700,$A152,MATCH(B$1,'2-3 引出列表'!$A$1:$CD$1,0)),""))</f>
        <v>FK250611000277</v>
      </c>
      <c r="C152">
        <f>IF(ISBLANK(IFERROR(INDEX('2-3 引出列表'!$A$2:$CE$8700,$A152,MATCH(C$1,'2-3 引出列表'!$A$1:$CD$1,0)),"")),"",IFERROR(INDEX('2-3 引出列表'!$A$2:$CE$8700,$A152,MATCH(C$1,'2-3 引出列表'!$A$1:$CD$1,0)),""))</f>
        <v>47837.64</v>
      </c>
      <c r="D152" t="str">
        <f>IF(ISBLANK(IFERROR(INDEX('2-3 引出列表'!$A$2:$CE$8700,$A152,MATCH(D$1,'2-3 引出列表'!$A$1:$CD$1,0)),"")),"",IFERROR(INDEX('2-3 引出列表'!$A$2:$CE$8700,$A152,MATCH(D$1,'2-3 引出列表'!$A$1:$CD$1,0)),""))</f>
        <v>已审核</v>
      </c>
      <c r="E152" t="str">
        <f>IF(ISBLANK(IFERROR(INDEX('2-3 引出列表'!$A$2:$CE$8700,$A152,MATCH(E$1,'2-3 引出列表'!$A$1:$CD$1,0)),"")),"",IFERROR(INDEX('2-3 引出列表'!$A$2:$CE$8700,$A152,MATCH(E$1,'2-3 引出列表'!$A$1:$CD$1,0)),""))</f>
        <v>2025-06-11</v>
      </c>
      <c r="F152" t="str">
        <f t="shared" si="2"/>
        <v>2025-06</v>
      </c>
      <c r="G152" t="str">
        <f>IF(ISBLANK(IFERROR(INDEX('2-3 引出列表'!$A$2:$CE$8700,$A152,MATCH(G$1,'2-3 引出列表'!$A$1:$CD$1,0)),"")),"",IFERROR(INDEX('2-3 引出列表'!$A$2:$CE$8700,$A152,MATCH(G$1,'2-3 引出列表'!$A$1:$CD$1,0)),""))</f>
        <v>物料消耗.物料消耗</v>
      </c>
      <c r="H152" t="str">
        <f>IF(ISBLANK(IFERROR(INDEX('2-3 引出列表'!$A$2:$CE$8700,$A152,MATCH(H$1,'2-3 引出列表'!$A$1:$CD$1,0)),"")),"",IFERROR(INDEX('2-3 引出列表'!$A$2:$CE$8700,$A152,MATCH(H$1,'2-3 引出列表'!$A$1:$CD$1,0)),""))</f>
        <v>XHWZ-Z-2025-00011</v>
      </c>
      <c r="I152" t="str">
        <f>IF(ISBLANK(IFERROR(INDEX('2-3 引出列表'!$A$2:$CE$8700,$A152,MATCH(I$1,'2-3 引出列表'!$A$1:$CD$1,0)),"")),"",IFERROR(INDEX('2-3 引出列表'!$A$2:$CE$8700,$A152,MATCH(I$1,'2-3 引出列表'!$A$1:$CD$1,0)),""))</f>
        <v>金采易购</v>
      </c>
    </row>
    <row r="153" spans="1:9">
      <c r="A153">
        <v>152</v>
      </c>
      <c r="B153" t="str">
        <f>IF(ISBLANK(IFERROR(INDEX('2-3 引出列表'!$A$2:$CE$8700,$A153,MATCH(B$1,'2-3 引出列表'!$A$1:$CD$1,0)),"")),"",IFERROR(INDEX('2-3 引出列表'!$A$2:$CE$8700,$A153,MATCH(B$1,'2-3 引出列表'!$A$1:$CD$1,0)),""))</f>
        <v>FK250611000277</v>
      </c>
      <c r="C153">
        <f>IF(ISBLANK(IFERROR(INDEX('2-3 引出列表'!$A$2:$CE$8700,$A153,MATCH(C$1,'2-3 引出列表'!$A$1:$CD$1,0)),"")),"",IFERROR(INDEX('2-3 引出列表'!$A$2:$CE$8700,$A153,MATCH(C$1,'2-3 引出列表'!$A$1:$CD$1,0)),""))</f>
        <v>47837.64</v>
      </c>
      <c r="D153" t="str">
        <f>IF(ISBLANK(IFERROR(INDEX('2-3 引出列表'!$A$2:$CE$8700,$A153,MATCH(D$1,'2-3 引出列表'!$A$1:$CD$1,0)),"")),"",IFERROR(INDEX('2-3 引出列表'!$A$2:$CE$8700,$A153,MATCH(D$1,'2-3 引出列表'!$A$1:$CD$1,0)),""))</f>
        <v>已审核</v>
      </c>
      <c r="E153" t="str">
        <f>IF(ISBLANK(IFERROR(INDEX('2-3 引出列表'!$A$2:$CE$8700,$A153,MATCH(E$1,'2-3 引出列表'!$A$1:$CD$1,0)),"")),"",IFERROR(INDEX('2-3 引出列表'!$A$2:$CE$8700,$A153,MATCH(E$1,'2-3 引出列表'!$A$1:$CD$1,0)),""))</f>
        <v>2025-06-11</v>
      </c>
      <c r="F153" t="str">
        <f t="shared" si="2"/>
        <v>2025-06</v>
      </c>
      <c r="G153" t="str">
        <f>IF(ISBLANK(IFERROR(INDEX('2-3 引出列表'!$A$2:$CE$8700,$A153,MATCH(G$1,'2-3 引出列表'!$A$1:$CD$1,0)),"")),"",IFERROR(INDEX('2-3 引出列表'!$A$2:$CE$8700,$A153,MATCH(G$1,'2-3 引出列表'!$A$1:$CD$1,0)),""))</f>
        <v>物料消耗.物料消耗</v>
      </c>
      <c r="H153" t="str">
        <f>IF(ISBLANK(IFERROR(INDEX('2-3 引出列表'!$A$2:$CE$8700,$A153,MATCH(H$1,'2-3 引出列表'!$A$1:$CD$1,0)),"")),"",IFERROR(INDEX('2-3 引出列表'!$A$2:$CE$8700,$A153,MATCH(H$1,'2-3 引出列表'!$A$1:$CD$1,0)),""))</f>
        <v>XHWZ-Z-2025-00011</v>
      </c>
      <c r="I153" t="str">
        <f>IF(ISBLANK(IFERROR(INDEX('2-3 引出列表'!$A$2:$CE$8700,$A153,MATCH(I$1,'2-3 引出列表'!$A$1:$CD$1,0)),"")),"",IFERROR(INDEX('2-3 引出列表'!$A$2:$CE$8700,$A153,MATCH(I$1,'2-3 引出列表'!$A$1:$CD$1,0)),""))</f>
        <v>金采易购</v>
      </c>
    </row>
    <row r="154" spans="1:9">
      <c r="A154">
        <v>153</v>
      </c>
      <c r="B154" t="str">
        <f>IF(ISBLANK(IFERROR(INDEX('2-3 引出列表'!$A$2:$CE$8700,$A154,MATCH(B$1,'2-3 引出列表'!$A$1:$CD$1,0)),"")),"",IFERROR(INDEX('2-3 引出列表'!$A$2:$CE$8700,$A154,MATCH(B$1,'2-3 引出列表'!$A$1:$CD$1,0)),""))</f>
        <v>FK250611000277</v>
      </c>
      <c r="C154">
        <f>IF(ISBLANK(IFERROR(INDEX('2-3 引出列表'!$A$2:$CE$8700,$A154,MATCH(C$1,'2-3 引出列表'!$A$1:$CD$1,0)),"")),"",IFERROR(INDEX('2-3 引出列表'!$A$2:$CE$8700,$A154,MATCH(C$1,'2-3 引出列表'!$A$1:$CD$1,0)),""))</f>
        <v>47837.64</v>
      </c>
      <c r="D154" t="str">
        <f>IF(ISBLANK(IFERROR(INDEX('2-3 引出列表'!$A$2:$CE$8700,$A154,MATCH(D$1,'2-3 引出列表'!$A$1:$CD$1,0)),"")),"",IFERROR(INDEX('2-3 引出列表'!$A$2:$CE$8700,$A154,MATCH(D$1,'2-3 引出列表'!$A$1:$CD$1,0)),""))</f>
        <v>已审核</v>
      </c>
      <c r="E154" t="str">
        <f>IF(ISBLANK(IFERROR(INDEX('2-3 引出列表'!$A$2:$CE$8700,$A154,MATCH(E$1,'2-3 引出列表'!$A$1:$CD$1,0)),"")),"",IFERROR(INDEX('2-3 引出列表'!$A$2:$CE$8700,$A154,MATCH(E$1,'2-3 引出列表'!$A$1:$CD$1,0)),""))</f>
        <v>2025-06-11</v>
      </c>
      <c r="F154" t="str">
        <f t="shared" si="2"/>
        <v>2025-06</v>
      </c>
      <c r="G154" t="str">
        <f>IF(ISBLANK(IFERROR(INDEX('2-3 引出列表'!$A$2:$CE$8700,$A154,MATCH(G$1,'2-3 引出列表'!$A$1:$CD$1,0)),"")),"",IFERROR(INDEX('2-3 引出列表'!$A$2:$CE$8700,$A154,MATCH(G$1,'2-3 引出列表'!$A$1:$CD$1,0)),""))</f>
        <v>物料消耗.物料消耗</v>
      </c>
      <c r="H154" t="str">
        <f>IF(ISBLANK(IFERROR(INDEX('2-3 引出列表'!$A$2:$CE$8700,$A154,MATCH(H$1,'2-3 引出列表'!$A$1:$CD$1,0)),"")),"",IFERROR(INDEX('2-3 引出列表'!$A$2:$CE$8700,$A154,MATCH(H$1,'2-3 引出列表'!$A$1:$CD$1,0)),""))</f>
        <v>XHWZ-Z-2025-00011</v>
      </c>
      <c r="I154" t="str">
        <f>IF(ISBLANK(IFERROR(INDEX('2-3 引出列表'!$A$2:$CE$8700,$A154,MATCH(I$1,'2-3 引出列表'!$A$1:$CD$1,0)),"")),"",IFERROR(INDEX('2-3 引出列表'!$A$2:$CE$8700,$A154,MATCH(I$1,'2-3 引出列表'!$A$1:$CD$1,0)),""))</f>
        <v>金采易购</v>
      </c>
    </row>
    <row r="155" spans="1:9">
      <c r="A155">
        <v>154</v>
      </c>
      <c r="B155" t="str">
        <f>IF(ISBLANK(IFERROR(INDEX('2-3 引出列表'!$A$2:$CE$8700,$A155,MATCH(B$1,'2-3 引出列表'!$A$1:$CD$1,0)),"")),"",IFERROR(INDEX('2-3 引出列表'!$A$2:$CE$8700,$A155,MATCH(B$1,'2-3 引出列表'!$A$1:$CD$1,0)),""))</f>
        <v>FK250611000277</v>
      </c>
      <c r="C155">
        <f>IF(ISBLANK(IFERROR(INDEX('2-3 引出列表'!$A$2:$CE$8700,$A155,MATCH(C$1,'2-3 引出列表'!$A$1:$CD$1,0)),"")),"",IFERROR(INDEX('2-3 引出列表'!$A$2:$CE$8700,$A155,MATCH(C$1,'2-3 引出列表'!$A$1:$CD$1,0)),""))</f>
        <v>47837.64</v>
      </c>
      <c r="D155" t="str">
        <f>IF(ISBLANK(IFERROR(INDEX('2-3 引出列表'!$A$2:$CE$8700,$A155,MATCH(D$1,'2-3 引出列表'!$A$1:$CD$1,0)),"")),"",IFERROR(INDEX('2-3 引出列表'!$A$2:$CE$8700,$A155,MATCH(D$1,'2-3 引出列表'!$A$1:$CD$1,0)),""))</f>
        <v>已审核</v>
      </c>
      <c r="E155" t="str">
        <f>IF(ISBLANK(IFERROR(INDEX('2-3 引出列表'!$A$2:$CE$8700,$A155,MATCH(E$1,'2-3 引出列表'!$A$1:$CD$1,0)),"")),"",IFERROR(INDEX('2-3 引出列表'!$A$2:$CE$8700,$A155,MATCH(E$1,'2-3 引出列表'!$A$1:$CD$1,0)),""))</f>
        <v>2025-06-11</v>
      </c>
      <c r="F155" t="str">
        <f t="shared" si="2"/>
        <v>2025-06</v>
      </c>
      <c r="G155" t="str">
        <f>IF(ISBLANK(IFERROR(INDEX('2-3 引出列表'!$A$2:$CE$8700,$A155,MATCH(G$1,'2-3 引出列表'!$A$1:$CD$1,0)),"")),"",IFERROR(INDEX('2-3 引出列表'!$A$2:$CE$8700,$A155,MATCH(G$1,'2-3 引出列表'!$A$1:$CD$1,0)),""))</f>
        <v>物料消耗.物料消耗</v>
      </c>
      <c r="H155" t="str">
        <f>IF(ISBLANK(IFERROR(INDEX('2-3 引出列表'!$A$2:$CE$8700,$A155,MATCH(H$1,'2-3 引出列表'!$A$1:$CD$1,0)),"")),"",IFERROR(INDEX('2-3 引出列表'!$A$2:$CE$8700,$A155,MATCH(H$1,'2-3 引出列表'!$A$1:$CD$1,0)),""))</f>
        <v>XHWZ-Z-2025-00011</v>
      </c>
      <c r="I155" t="str">
        <f>IF(ISBLANK(IFERROR(INDEX('2-3 引出列表'!$A$2:$CE$8700,$A155,MATCH(I$1,'2-3 引出列表'!$A$1:$CD$1,0)),"")),"",IFERROR(INDEX('2-3 引出列表'!$A$2:$CE$8700,$A155,MATCH(I$1,'2-3 引出列表'!$A$1:$CD$1,0)),""))</f>
        <v>金采易购</v>
      </c>
    </row>
    <row r="156" spans="1:9">
      <c r="A156">
        <v>155</v>
      </c>
      <c r="B156" t="str">
        <f>IF(ISBLANK(IFERROR(INDEX('2-3 引出列表'!$A$2:$CE$8700,$A156,MATCH(B$1,'2-3 引出列表'!$A$1:$CD$1,0)),"")),"",IFERROR(INDEX('2-3 引出列表'!$A$2:$CE$8700,$A156,MATCH(B$1,'2-3 引出列表'!$A$1:$CD$1,0)),""))</f>
        <v>FK250611000277</v>
      </c>
      <c r="C156">
        <f>IF(ISBLANK(IFERROR(INDEX('2-3 引出列表'!$A$2:$CE$8700,$A156,MATCH(C$1,'2-3 引出列表'!$A$1:$CD$1,0)),"")),"",IFERROR(INDEX('2-3 引出列表'!$A$2:$CE$8700,$A156,MATCH(C$1,'2-3 引出列表'!$A$1:$CD$1,0)),""))</f>
        <v>47837.64</v>
      </c>
      <c r="D156" t="str">
        <f>IF(ISBLANK(IFERROR(INDEX('2-3 引出列表'!$A$2:$CE$8700,$A156,MATCH(D$1,'2-3 引出列表'!$A$1:$CD$1,0)),"")),"",IFERROR(INDEX('2-3 引出列表'!$A$2:$CE$8700,$A156,MATCH(D$1,'2-3 引出列表'!$A$1:$CD$1,0)),""))</f>
        <v>已审核</v>
      </c>
      <c r="E156" t="str">
        <f>IF(ISBLANK(IFERROR(INDEX('2-3 引出列表'!$A$2:$CE$8700,$A156,MATCH(E$1,'2-3 引出列表'!$A$1:$CD$1,0)),"")),"",IFERROR(INDEX('2-3 引出列表'!$A$2:$CE$8700,$A156,MATCH(E$1,'2-3 引出列表'!$A$1:$CD$1,0)),""))</f>
        <v>2025-06-11</v>
      </c>
      <c r="F156" t="str">
        <f t="shared" si="2"/>
        <v>2025-06</v>
      </c>
      <c r="G156" t="str">
        <f>IF(ISBLANK(IFERROR(INDEX('2-3 引出列表'!$A$2:$CE$8700,$A156,MATCH(G$1,'2-3 引出列表'!$A$1:$CD$1,0)),"")),"",IFERROR(INDEX('2-3 引出列表'!$A$2:$CE$8700,$A156,MATCH(G$1,'2-3 引出列表'!$A$1:$CD$1,0)),""))</f>
        <v>物料消耗.物料消耗</v>
      </c>
      <c r="H156" t="str">
        <f>IF(ISBLANK(IFERROR(INDEX('2-3 引出列表'!$A$2:$CE$8700,$A156,MATCH(H$1,'2-3 引出列表'!$A$1:$CD$1,0)),"")),"",IFERROR(INDEX('2-3 引出列表'!$A$2:$CE$8700,$A156,MATCH(H$1,'2-3 引出列表'!$A$1:$CD$1,0)),""))</f>
        <v>XHWZ-Z-2025-00011</v>
      </c>
      <c r="I156" t="str">
        <f>IF(ISBLANK(IFERROR(INDEX('2-3 引出列表'!$A$2:$CE$8700,$A156,MATCH(I$1,'2-3 引出列表'!$A$1:$CD$1,0)),"")),"",IFERROR(INDEX('2-3 引出列表'!$A$2:$CE$8700,$A156,MATCH(I$1,'2-3 引出列表'!$A$1:$CD$1,0)),""))</f>
        <v>金采易购</v>
      </c>
    </row>
    <row r="157" spans="1:9">
      <c r="A157">
        <v>156</v>
      </c>
      <c r="B157" t="str">
        <f>IF(ISBLANK(IFERROR(INDEX('2-3 引出列表'!$A$2:$CE$8700,$A157,MATCH(B$1,'2-3 引出列表'!$A$1:$CD$1,0)),"")),"",IFERROR(INDEX('2-3 引出列表'!$A$2:$CE$8700,$A157,MATCH(B$1,'2-3 引出列表'!$A$1:$CD$1,0)),""))</f>
        <v>FK250611000277</v>
      </c>
      <c r="C157">
        <f>IF(ISBLANK(IFERROR(INDEX('2-3 引出列表'!$A$2:$CE$8700,$A157,MATCH(C$1,'2-3 引出列表'!$A$1:$CD$1,0)),"")),"",IFERROR(INDEX('2-3 引出列表'!$A$2:$CE$8700,$A157,MATCH(C$1,'2-3 引出列表'!$A$1:$CD$1,0)),""))</f>
        <v>47837.64</v>
      </c>
      <c r="D157" t="str">
        <f>IF(ISBLANK(IFERROR(INDEX('2-3 引出列表'!$A$2:$CE$8700,$A157,MATCH(D$1,'2-3 引出列表'!$A$1:$CD$1,0)),"")),"",IFERROR(INDEX('2-3 引出列表'!$A$2:$CE$8700,$A157,MATCH(D$1,'2-3 引出列表'!$A$1:$CD$1,0)),""))</f>
        <v>已审核</v>
      </c>
      <c r="E157" t="str">
        <f>IF(ISBLANK(IFERROR(INDEX('2-3 引出列表'!$A$2:$CE$8700,$A157,MATCH(E$1,'2-3 引出列表'!$A$1:$CD$1,0)),"")),"",IFERROR(INDEX('2-3 引出列表'!$A$2:$CE$8700,$A157,MATCH(E$1,'2-3 引出列表'!$A$1:$CD$1,0)),""))</f>
        <v>2025-06-11</v>
      </c>
      <c r="F157" t="str">
        <f t="shared" si="2"/>
        <v>2025-06</v>
      </c>
      <c r="G157" t="str">
        <f>IF(ISBLANK(IFERROR(INDEX('2-3 引出列表'!$A$2:$CE$8700,$A157,MATCH(G$1,'2-3 引出列表'!$A$1:$CD$1,0)),"")),"",IFERROR(INDEX('2-3 引出列表'!$A$2:$CE$8700,$A157,MATCH(G$1,'2-3 引出列表'!$A$1:$CD$1,0)),""))</f>
        <v>物料消耗.物料消耗</v>
      </c>
      <c r="H157" t="str">
        <f>IF(ISBLANK(IFERROR(INDEX('2-3 引出列表'!$A$2:$CE$8700,$A157,MATCH(H$1,'2-3 引出列表'!$A$1:$CD$1,0)),"")),"",IFERROR(INDEX('2-3 引出列表'!$A$2:$CE$8700,$A157,MATCH(H$1,'2-3 引出列表'!$A$1:$CD$1,0)),""))</f>
        <v>XHWZ-Z-2025-00011</v>
      </c>
      <c r="I157" t="str">
        <f>IF(ISBLANK(IFERROR(INDEX('2-3 引出列表'!$A$2:$CE$8700,$A157,MATCH(I$1,'2-3 引出列表'!$A$1:$CD$1,0)),"")),"",IFERROR(INDEX('2-3 引出列表'!$A$2:$CE$8700,$A157,MATCH(I$1,'2-3 引出列表'!$A$1:$CD$1,0)),""))</f>
        <v>金采易购</v>
      </c>
    </row>
    <row r="158" spans="1:9">
      <c r="A158">
        <v>157</v>
      </c>
      <c r="B158" t="str">
        <f>IF(ISBLANK(IFERROR(INDEX('2-3 引出列表'!$A$2:$CE$8700,$A158,MATCH(B$1,'2-3 引出列表'!$A$1:$CD$1,0)),"")),"",IFERROR(INDEX('2-3 引出列表'!$A$2:$CE$8700,$A158,MATCH(B$1,'2-3 引出列表'!$A$1:$CD$1,0)),""))</f>
        <v>FK250611000277</v>
      </c>
      <c r="C158">
        <f>IF(ISBLANK(IFERROR(INDEX('2-3 引出列表'!$A$2:$CE$8700,$A158,MATCH(C$1,'2-3 引出列表'!$A$1:$CD$1,0)),"")),"",IFERROR(INDEX('2-3 引出列表'!$A$2:$CE$8700,$A158,MATCH(C$1,'2-3 引出列表'!$A$1:$CD$1,0)),""))</f>
        <v>47837.64</v>
      </c>
      <c r="D158" t="str">
        <f>IF(ISBLANK(IFERROR(INDEX('2-3 引出列表'!$A$2:$CE$8700,$A158,MATCH(D$1,'2-3 引出列表'!$A$1:$CD$1,0)),"")),"",IFERROR(INDEX('2-3 引出列表'!$A$2:$CE$8700,$A158,MATCH(D$1,'2-3 引出列表'!$A$1:$CD$1,0)),""))</f>
        <v>已审核</v>
      </c>
      <c r="E158" t="str">
        <f>IF(ISBLANK(IFERROR(INDEX('2-3 引出列表'!$A$2:$CE$8700,$A158,MATCH(E$1,'2-3 引出列表'!$A$1:$CD$1,0)),"")),"",IFERROR(INDEX('2-3 引出列表'!$A$2:$CE$8700,$A158,MATCH(E$1,'2-3 引出列表'!$A$1:$CD$1,0)),""))</f>
        <v>2025-06-11</v>
      </c>
      <c r="F158" t="str">
        <f t="shared" si="2"/>
        <v>2025-06</v>
      </c>
      <c r="G158" t="str">
        <f>IF(ISBLANK(IFERROR(INDEX('2-3 引出列表'!$A$2:$CE$8700,$A158,MATCH(G$1,'2-3 引出列表'!$A$1:$CD$1,0)),"")),"",IFERROR(INDEX('2-3 引出列表'!$A$2:$CE$8700,$A158,MATCH(G$1,'2-3 引出列表'!$A$1:$CD$1,0)),""))</f>
        <v>物料消耗.物料消耗</v>
      </c>
      <c r="H158" t="str">
        <f>IF(ISBLANK(IFERROR(INDEX('2-3 引出列表'!$A$2:$CE$8700,$A158,MATCH(H$1,'2-3 引出列表'!$A$1:$CD$1,0)),"")),"",IFERROR(INDEX('2-3 引出列表'!$A$2:$CE$8700,$A158,MATCH(H$1,'2-3 引出列表'!$A$1:$CD$1,0)),""))</f>
        <v>XHWZ-Z-2025-00011</v>
      </c>
      <c r="I158" t="str">
        <f>IF(ISBLANK(IFERROR(INDEX('2-3 引出列表'!$A$2:$CE$8700,$A158,MATCH(I$1,'2-3 引出列表'!$A$1:$CD$1,0)),"")),"",IFERROR(INDEX('2-3 引出列表'!$A$2:$CE$8700,$A158,MATCH(I$1,'2-3 引出列表'!$A$1:$CD$1,0)),""))</f>
        <v>金采易购</v>
      </c>
    </row>
    <row r="159" spans="1:9">
      <c r="A159">
        <v>158</v>
      </c>
      <c r="B159" t="str">
        <f>IF(ISBLANK(IFERROR(INDEX('2-3 引出列表'!$A$2:$CE$8700,$A159,MATCH(B$1,'2-3 引出列表'!$A$1:$CD$1,0)),"")),"",IFERROR(INDEX('2-3 引出列表'!$A$2:$CE$8700,$A159,MATCH(B$1,'2-3 引出列表'!$A$1:$CD$1,0)),""))</f>
        <v>FK250611000277</v>
      </c>
      <c r="C159">
        <f>IF(ISBLANK(IFERROR(INDEX('2-3 引出列表'!$A$2:$CE$8700,$A159,MATCH(C$1,'2-3 引出列表'!$A$1:$CD$1,0)),"")),"",IFERROR(INDEX('2-3 引出列表'!$A$2:$CE$8700,$A159,MATCH(C$1,'2-3 引出列表'!$A$1:$CD$1,0)),""))</f>
        <v>47837.64</v>
      </c>
      <c r="D159" t="str">
        <f>IF(ISBLANK(IFERROR(INDEX('2-3 引出列表'!$A$2:$CE$8700,$A159,MATCH(D$1,'2-3 引出列表'!$A$1:$CD$1,0)),"")),"",IFERROR(INDEX('2-3 引出列表'!$A$2:$CE$8700,$A159,MATCH(D$1,'2-3 引出列表'!$A$1:$CD$1,0)),""))</f>
        <v>已审核</v>
      </c>
      <c r="E159" t="str">
        <f>IF(ISBLANK(IFERROR(INDEX('2-3 引出列表'!$A$2:$CE$8700,$A159,MATCH(E$1,'2-3 引出列表'!$A$1:$CD$1,0)),"")),"",IFERROR(INDEX('2-3 引出列表'!$A$2:$CE$8700,$A159,MATCH(E$1,'2-3 引出列表'!$A$1:$CD$1,0)),""))</f>
        <v>2025-06-11</v>
      </c>
      <c r="F159" t="str">
        <f t="shared" si="2"/>
        <v>2025-06</v>
      </c>
      <c r="G159" t="str">
        <f>IF(ISBLANK(IFERROR(INDEX('2-3 引出列表'!$A$2:$CE$8700,$A159,MATCH(G$1,'2-3 引出列表'!$A$1:$CD$1,0)),"")),"",IFERROR(INDEX('2-3 引出列表'!$A$2:$CE$8700,$A159,MATCH(G$1,'2-3 引出列表'!$A$1:$CD$1,0)),""))</f>
        <v>物料消耗.物料消耗</v>
      </c>
      <c r="H159" t="str">
        <f>IF(ISBLANK(IFERROR(INDEX('2-3 引出列表'!$A$2:$CE$8700,$A159,MATCH(H$1,'2-3 引出列表'!$A$1:$CD$1,0)),"")),"",IFERROR(INDEX('2-3 引出列表'!$A$2:$CE$8700,$A159,MATCH(H$1,'2-3 引出列表'!$A$1:$CD$1,0)),""))</f>
        <v>XHWZ-Z-2025-00011</v>
      </c>
      <c r="I159" t="str">
        <f>IF(ISBLANK(IFERROR(INDEX('2-3 引出列表'!$A$2:$CE$8700,$A159,MATCH(I$1,'2-3 引出列表'!$A$1:$CD$1,0)),"")),"",IFERROR(INDEX('2-3 引出列表'!$A$2:$CE$8700,$A159,MATCH(I$1,'2-3 引出列表'!$A$1:$CD$1,0)),""))</f>
        <v>金采易购</v>
      </c>
    </row>
    <row r="160" spans="1:9">
      <c r="A160">
        <v>159</v>
      </c>
      <c r="B160" t="str">
        <f>IF(ISBLANK(IFERROR(INDEX('2-3 引出列表'!$A$2:$CE$8700,$A160,MATCH(B$1,'2-3 引出列表'!$A$1:$CD$1,0)),"")),"",IFERROR(INDEX('2-3 引出列表'!$A$2:$CE$8700,$A160,MATCH(B$1,'2-3 引出列表'!$A$1:$CD$1,0)),""))</f>
        <v>FK250611000277</v>
      </c>
      <c r="C160">
        <f>IF(ISBLANK(IFERROR(INDEX('2-3 引出列表'!$A$2:$CE$8700,$A160,MATCH(C$1,'2-3 引出列表'!$A$1:$CD$1,0)),"")),"",IFERROR(INDEX('2-3 引出列表'!$A$2:$CE$8700,$A160,MATCH(C$1,'2-3 引出列表'!$A$1:$CD$1,0)),""))</f>
        <v>47837.64</v>
      </c>
      <c r="D160" t="str">
        <f>IF(ISBLANK(IFERROR(INDEX('2-3 引出列表'!$A$2:$CE$8700,$A160,MATCH(D$1,'2-3 引出列表'!$A$1:$CD$1,0)),"")),"",IFERROR(INDEX('2-3 引出列表'!$A$2:$CE$8700,$A160,MATCH(D$1,'2-3 引出列表'!$A$1:$CD$1,0)),""))</f>
        <v>已审核</v>
      </c>
      <c r="E160" t="str">
        <f>IF(ISBLANK(IFERROR(INDEX('2-3 引出列表'!$A$2:$CE$8700,$A160,MATCH(E$1,'2-3 引出列表'!$A$1:$CD$1,0)),"")),"",IFERROR(INDEX('2-3 引出列表'!$A$2:$CE$8700,$A160,MATCH(E$1,'2-3 引出列表'!$A$1:$CD$1,0)),""))</f>
        <v>2025-06-11</v>
      </c>
      <c r="F160" t="str">
        <f t="shared" si="2"/>
        <v>2025-06</v>
      </c>
      <c r="G160" t="str">
        <f>IF(ISBLANK(IFERROR(INDEX('2-3 引出列表'!$A$2:$CE$8700,$A160,MATCH(G$1,'2-3 引出列表'!$A$1:$CD$1,0)),"")),"",IFERROR(INDEX('2-3 引出列表'!$A$2:$CE$8700,$A160,MATCH(G$1,'2-3 引出列表'!$A$1:$CD$1,0)),""))</f>
        <v>物料消耗.物料消耗</v>
      </c>
      <c r="H160" t="str">
        <f>IF(ISBLANK(IFERROR(INDEX('2-3 引出列表'!$A$2:$CE$8700,$A160,MATCH(H$1,'2-3 引出列表'!$A$1:$CD$1,0)),"")),"",IFERROR(INDEX('2-3 引出列表'!$A$2:$CE$8700,$A160,MATCH(H$1,'2-3 引出列表'!$A$1:$CD$1,0)),""))</f>
        <v>XHWZ-Z-2025-00011</v>
      </c>
      <c r="I160" t="str">
        <f>IF(ISBLANK(IFERROR(INDEX('2-3 引出列表'!$A$2:$CE$8700,$A160,MATCH(I$1,'2-3 引出列表'!$A$1:$CD$1,0)),"")),"",IFERROR(INDEX('2-3 引出列表'!$A$2:$CE$8700,$A160,MATCH(I$1,'2-3 引出列表'!$A$1:$CD$1,0)),""))</f>
        <v>金采易购</v>
      </c>
    </row>
    <row r="161" spans="1:9">
      <c r="A161">
        <v>160</v>
      </c>
      <c r="B161" t="str">
        <f>IF(ISBLANK(IFERROR(INDEX('2-3 引出列表'!$A$2:$CE$8700,$A161,MATCH(B$1,'2-3 引出列表'!$A$1:$CD$1,0)),"")),"",IFERROR(INDEX('2-3 引出列表'!$A$2:$CE$8700,$A161,MATCH(B$1,'2-3 引出列表'!$A$1:$CD$1,0)),""))</f>
        <v>FK250611000277</v>
      </c>
      <c r="C161">
        <f>IF(ISBLANK(IFERROR(INDEX('2-3 引出列表'!$A$2:$CE$8700,$A161,MATCH(C$1,'2-3 引出列表'!$A$1:$CD$1,0)),"")),"",IFERROR(INDEX('2-3 引出列表'!$A$2:$CE$8700,$A161,MATCH(C$1,'2-3 引出列表'!$A$1:$CD$1,0)),""))</f>
        <v>47837.64</v>
      </c>
      <c r="D161" t="str">
        <f>IF(ISBLANK(IFERROR(INDEX('2-3 引出列表'!$A$2:$CE$8700,$A161,MATCH(D$1,'2-3 引出列表'!$A$1:$CD$1,0)),"")),"",IFERROR(INDEX('2-3 引出列表'!$A$2:$CE$8700,$A161,MATCH(D$1,'2-3 引出列表'!$A$1:$CD$1,0)),""))</f>
        <v>已审核</v>
      </c>
      <c r="E161" t="str">
        <f>IF(ISBLANK(IFERROR(INDEX('2-3 引出列表'!$A$2:$CE$8700,$A161,MATCH(E$1,'2-3 引出列表'!$A$1:$CD$1,0)),"")),"",IFERROR(INDEX('2-3 引出列表'!$A$2:$CE$8700,$A161,MATCH(E$1,'2-3 引出列表'!$A$1:$CD$1,0)),""))</f>
        <v>2025-06-11</v>
      </c>
      <c r="F161" t="str">
        <f t="shared" si="2"/>
        <v>2025-06</v>
      </c>
      <c r="G161" t="str">
        <f>IF(ISBLANK(IFERROR(INDEX('2-3 引出列表'!$A$2:$CE$8700,$A161,MATCH(G$1,'2-3 引出列表'!$A$1:$CD$1,0)),"")),"",IFERROR(INDEX('2-3 引出列表'!$A$2:$CE$8700,$A161,MATCH(G$1,'2-3 引出列表'!$A$1:$CD$1,0)),""))</f>
        <v>物料消耗.物料消耗</v>
      </c>
      <c r="H161" t="str">
        <f>IF(ISBLANK(IFERROR(INDEX('2-3 引出列表'!$A$2:$CE$8700,$A161,MATCH(H$1,'2-3 引出列表'!$A$1:$CD$1,0)),"")),"",IFERROR(INDEX('2-3 引出列表'!$A$2:$CE$8700,$A161,MATCH(H$1,'2-3 引出列表'!$A$1:$CD$1,0)),""))</f>
        <v>XHWZ-Z-2025-00011</v>
      </c>
      <c r="I161" t="str">
        <f>IF(ISBLANK(IFERROR(INDEX('2-3 引出列表'!$A$2:$CE$8700,$A161,MATCH(I$1,'2-3 引出列表'!$A$1:$CD$1,0)),"")),"",IFERROR(INDEX('2-3 引出列表'!$A$2:$CE$8700,$A161,MATCH(I$1,'2-3 引出列表'!$A$1:$CD$1,0)),""))</f>
        <v>金采易购</v>
      </c>
    </row>
    <row r="162" spans="1:9">
      <c r="A162">
        <v>161</v>
      </c>
      <c r="B162" t="str">
        <f>IF(ISBLANK(IFERROR(INDEX('2-3 引出列表'!$A$2:$CE$8700,$A162,MATCH(B$1,'2-3 引出列表'!$A$1:$CD$1,0)),"")),"",IFERROR(INDEX('2-3 引出列表'!$A$2:$CE$8700,$A162,MATCH(B$1,'2-3 引出列表'!$A$1:$CD$1,0)),""))</f>
        <v>FK250611000277</v>
      </c>
      <c r="C162">
        <f>IF(ISBLANK(IFERROR(INDEX('2-3 引出列表'!$A$2:$CE$8700,$A162,MATCH(C$1,'2-3 引出列表'!$A$1:$CD$1,0)),"")),"",IFERROR(INDEX('2-3 引出列表'!$A$2:$CE$8700,$A162,MATCH(C$1,'2-3 引出列表'!$A$1:$CD$1,0)),""))</f>
        <v>47837.64</v>
      </c>
      <c r="D162" t="str">
        <f>IF(ISBLANK(IFERROR(INDEX('2-3 引出列表'!$A$2:$CE$8700,$A162,MATCH(D$1,'2-3 引出列表'!$A$1:$CD$1,0)),"")),"",IFERROR(INDEX('2-3 引出列表'!$A$2:$CE$8700,$A162,MATCH(D$1,'2-3 引出列表'!$A$1:$CD$1,0)),""))</f>
        <v>已审核</v>
      </c>
      <c r="E162" t="str">
        <f>IF(ISBLANK(IFERROR(INDEX('2-3 引出列表'!$A$2:$CE$8700,$A162,MATCH(E$1,'2-3 引出列表'!$A$1:$CD$1,0)),"")),"",IFERROR(INDEX('2-3 引出列表'!$A$2:$CE$8700,$A162,MATCH(E$1,'2-3 引出列表'!$A$1:$CD$1,0)),""))</f>
        <v>2025-06-11</v>
      </c>
      <c r="F162" t="str">
        <f t="shared" si="2"/>
        <v>2025-06</v>
      </c>
      <c r="G162" t="str">
        <f>IF(ISBLANK(IFERROR(INDEX('2-3 引出列表'!$A$2:$CE$8700,$A162,MATCH(G$1,'2-3 引出列表'!$A$1:$CD$1,0)),"")),"",IFERROR(INDEX('2-3 引出列表'!$A$2:$CE$8700,$A162,MATCH(G$1,'2-3 引出列表'!$A$1:$CD$1,0)),""))</f>
        <v>物料消耗.物料消耗</v>
      </c>
      <c r="H162" t="str">
        <f>IF(ISBLANK(IFERROR(INDEX('2-3 引出列表'!$A$2:$CE$8700,$A162,MATCH(H$1,'2-3 引出列表'!$A$1:$CD$1,0)),"")),"",IFERROR(INDEX('2-3 引出列表'!$A$2:$CE$8700,$A162,MATCH(H$1,'2-3 引出列表'!$A$1:$CD$1,0)),""))</f>
        <v>XHWZ-Z-2025-00011</v>
      </c>
      <c r="I162" t="str">
        <f>IF(ISBLANK(IFERROR(INDEX('2-3 引出列表'!$A$2:$CE$8700,$A162,MATCH(I$1,'2-3 引出列表'!$A$1:$CD$1,0)),"")),"",IFERROR(INDEX('2-3 引出列表'!$A$2:$CE$8700,$A162,MATCH(I$1,'2-3 引出列表'!$A$1:$CD$1,0)),""))</f>
        <v>金采易购</v>
      </c>
    </row>
    <row r="163" spans="1:9">
      <c r="A163">
        <v>162</v>
      </c>
      <c r="B163" t="str">
        <f>IF(ISBLANK(IFERROR(INDEX('2-3 引出列表'!$A$2:$CE$8700,$A163,MATCH(B$1,'2-3 引出列表'!$A$1:$CD$1,0)),"")),"",IFERROR(INDEX('2-3 引出列表'!$A$2:$CE$8700,$A163,MATCH(B$1,'2-3 引出列表'!$A$1:$CD$1,0)),""))</f>
        <v>FK250611000277</v>
      </c>
      <c r="C163">
        <f>IF(ISBLANK(IFERROR(INDEX('2-3 引出列表'!$A$2:$CE$8700,$A163,MATCH(C$1,'2-3 引出列表'!$A$1:$CD$1,0)),"")),"",IFERROR(INDEX('2-3 引出列表'!$A$2:$CE$8700,$A163,MATCH(C$1,'2-3 引出列表'!$A$1:$CD$1,0)),""))</f>
        <v>47837.64</v>
      </c>
      <c r="D163" t="str">
        <f>IF(ISBLANK(IFERROR(INDEX('2-3 引出列表'!$A$2:$CE$8700,$A163,MATCH(D$1,'2-3 引出列表'!$A$1:$CD$1,0)),"")),"",IFERROR(INDEX('2-3 引出列表'!$A$2:$CE$8700,$A163,MATCH(D$1,'2-3 引出列表'!$A$1:$CD$1,0)),""))</f>
        <v>已审核</v>
      </c>
      <c r="E163" t="str">
        <f>IF(ISBLANK(IFERROR(INDEX('2-3 引出列表'!$A$2:$CE$8700,$A163,MATCH(E$1,'2-3 引出列表'!$A$1:$CD$1,0)),"")),"",IFERROR(INDEX('2-3 引出列表'!$A$2:$CE$8700,$A163,MATCH(E$1,'2-3 引出列表'!$A$1:$CD$1,0)),""))</f>
        <v>2025-06-11</v>
      </c>
      <c r="F163" t="str">
        <f t="shared" si="2"/>
        <v>2025-06</v>
      </c>
      <c r="G163" t="str">
        <f>IF(ISBLANK(IFERROR(INDEX('2-3 引出列表'!$A$2:$CE$8700,$A163,MATCH(G$1,'2-3 引出列表'!$A$1:$CD$1,0)),"")),"",IFERROR(INDEX('2-3 引出列表'!$A$2:$CE$8700,$A163,MATCH(G$1,'2-3 引出列表'!$A$1:$CD$1,0)),""))</f>
        <v>物料消耗.物料消耗</v>
      </c>
      <c r="H163" t="str">
        <f>IF(ISBLANK(IFERROR(INDEX('2-3 引出列表'!$A$2:$CE$8700,$A163,MATCH(H$1,'2-3 引出列表'!$A$1:$CD$1,0)),"")),"",IFERROR(INDEX('2-3 引出列表'!$A$2:$CE$8700,$A163,MATCH(H$1,'2-3 引出列表'!$A$1:$CD$1,0)),""))</f>
        <v>XHWZ-Z-2025-00011</v>
      </c>
      <c r="I163" t="str">
        <f>IF(ISBLANK(IFERROR(INDEX('2-3 引出列表'!$A$2:$CE$8700,$A163,MATCH(I$1,'2-3 引出列表'!$A$1:$CD$1,0)),"")),"",IFERROR(INDEX('2-3 引出列表'!$A$2:$CE$8700,$A163,MATCH(I$1,'2-3 引出列表'!$A$1:$CD$1,0)),""))</f>
        <v>金采易购</v>
      </c>
    </row>
    <row r="164" spans="1:9">
      <c r="A164">
        <v>163</v>
      </c>
      <c r="B164" t="str">
        <f>IF(ISBLANK(IFERROR(INDEX('2-3 引出列表'!$A$2:$CE$8700,$A164,MATCH(B$1,'2-3 引出列表'!$A$1:$CD$1,0)),"")),"",IFERROR(INDEX('2-3 引出列表'!$A$2:$CE$8700,$A164,MATCH(B$1,'2-3 引出列表'!$A$1:$CD$1,0)),""))</f>
        <v>FK250611000277</v>
      </c>
      <c r="C164">
        <f>IF(ISBLANK(IFERROR(INDEX('2-3 引出列表'!$A$2:$CE$8700,$A164,MATCH(C$1,'2-3 引出列表'!$A$1:$CD$1,0)),"")),"",IFERROR(INDEX('2-3 引出列表'!$A$2:$CE$8700,$A164,MATCH(C$1,'2-3 引出列表'!$A$1:$CD$1,0)),""))</f>
        <v>47837.64</v>
      </c>
      <c r="D164" t="str">
        <f>IF(ISBLANK(IFERROR(INDEX('2-3 引出列表'!$A$2:$CE$8700,$A164,MATCH(D$1,'2-3 引出列表'!$A$1:$CD$1,0)),"")),"",IFERROR(INDEX('2-3 引出列表'!$A$2:$CE$8700,$A164,MATCH(D$1,'2-3 引出列表'!$A$1:$CD$1,0)),""))</f>
        <v>已审核</v>
      </c>
      <c r="E164" t="str">
        <f>IF(ISBLANK(IFERROR(INDEX('2-3 引出列表'!$A$2:$CE$8700,$A164,MATCH(E$1,'2-3 引出列表'!$A$1:$CD$1,0)),"")),"",IFERROR(INDEX('2-3 引出列表'!$A$2:$CE$8700,$A164,MATCH(E$1,'2-3 引出列表'!$A$1:$CD$1,0)),""))</f>
        <v>2025-06-11</v>
      </c>
      <c r="F164" t="str">
        <f t="shared" si="2"/>
        <v>2025-06</v>
      </c>
      <c r="G164" t="str">
        <f>IF(ISBLANK(IFERROR(INDEX('2-3 引出列表'!$A$2:$CE$8700,$A164,MATCH(G$1,'2-3 引出列表'!$A$1:$CD$1,0)),"")),"",IFERROR(INDEX('2-3 引出列表'!$A$2:$CE$8700,$A164,MATCH(G$1,'2-3 引出列表'!$A$1:$CD$1,0)),""))</f>
        <v>物料消耗.物料消耗</v>
      </c>
      <c r="H164" t="str">
        <f>IF(ISBLANK(IFERROR(INDEX('2-3 引出列表'!$A$2:$CE$8700,$A164,MATCH(H$1,'2-3 引出列表'!$A$1:$CD$1,0)),"")),"",IFERROR(INDEX('2-3 引出列表'!$A$2:$CE$8700,$A164,MATCH(H$1,'2-3 引出列表'!$A$1:$CD$1,0)),""))</f>
        <v>XHWZ-Z-2025-00011</v>
      </c>
      <c r="I164" t="str">
        <f>IF(ISBLANK(IFERROR(INDEX('2-3 引出列表'!$A$2:$CE$8700,$A164,MATCH(I$1,'2-3 引出列表'!$A$1:$CD$1,0)),"")),"",IFERROR(INDEX('2-3 引出列表'!$A$2:$CE$8700,$A164,MATCH(I$1,'2-3 引出列表'!$A$1:$CD$1,0)),""))</f>
        <v>金采易购</v>
      </c>
    </row>
    <row r="165" spans="1:9">
      <c r="A165">
        <v>164</v>
      </c>
      <c r="B165" t="str">
        <f>IF(ISBLANK(IFERROR(INDEX('2-3 引出列表'!$A$2:$CE$8700,$A165,MATCH(B$1,'2-3 引出列表'!$A$1:$CD$1,0)),"")),"",IFERROR(INDEX('2-3 引出列表'!$A$2:$CE$8700,$A165,MATCH(B$1,'2-3 引出列表'!$A$1:$CD$1,0)),""))</f>
        <v>FK250611000277</v>
      </c>
      <c r="C165">
        <f>IF(ISBLANK(IFERROR(INDEX('2-3 引出列表'!$A$2:$CE$8700,$A165,MATCH(C$1,'2-3 引出列表'!$A$1:$CD$1,0)),"")),"",IFERROR(INDEX('2-3 引出列表'!$A$2:$CE$8700,$A165,MATCH(C$1,'2-3 引出列表'!$A$1:$CD$1,0)),""))</f>
        <v>47837.64</v>
      </c>
      <c r="D165" t="str">
        <f>IF(ISBLANK(IFERROR(INDEX('2-3 引出列表'!$A$2:$CE$8700,$A165,MATCH(D$1,'2-3 引出列表'!$A$1:$CD$1,0)),"")),"",IFERROR(INDEX('2-3 引出列表'!$A$2:$CE$8700,$A165,MATCH(D$1,'2-3 引出列表'!$A$1:$CD$1,0)),""))</f>
        <v>已审核</v>
      </c>
      <c r="E165" t="str">
        <f>IF(ISBLANK(IFERROR(INDEX('2-3 引出列表'!$A$2:$CE$8700,$A165,MATCH(E$1,'2-3 引出列表'!$A$1:$CD$1,0)),"")),"",IFERROR(INDEX('2-3 引出列表'!$A$2:$CE$8700,$A165,MATCH(E$1,'2-3 引出列表'!$A$1:$CD$1,0)),""))</f>
        <v>2025-06-11</v>
      </c>
      <c r="F165" t="str">
        <f t="shared" si="2"/>
        <v>2025-06</v>
      </c>
      <c r="G165" t="str">
        <f>IF(ISBLANK(IFERROR(INDEX('2-3 引出列表'!$A$2:$CE$8700,$A165,MATCH(G$1,'2-3 引出列表'!$A$1:$CD$1,0)),"")),"",IFERROR(INDEX('2-3 引出列表'!$A$2:$CE$8700,$A165,MATCH(G$1,'2-3 引出列表'!$A$1:$CD$1,0)),""))</f>
        <v>物料消耗.物料消耗</v>
      </c>
      <c r="H165" t="str">
        <f>IF(ISBLANK(IFERROR(INDEX('2-3 引出列表'!$A$2:$CE$8700,$A165,MATCH(H$1,'2-3 引出列表'!$A$1:$CD$1,0)),"")),"",IFERROR(INDEX('2-3 引出列表'!$A$2:$CE$8700,$A165,MATCH(H$1,'2-3 引出列表'!$A$1:$CD$1,0)),""))</f>
        <v>XHWZ-Z-2025-00011</v>
      </c>
      <c r="I165" t="str">
        <f>IF(ISBLANK(IFERROR(INDEX('2-3 引出列表'!$A$2:$CE$8700,$A165,MATCH(I$1,'2-3 引出列表'!$A$1:$CD$1,0)),"")),"",IFERROR(INDEX('2-3 引出列表'!$A$2:$CE$8700,$A165,MATCH(I$1,'2-3 引出列表'!$A$1:$CD$1,0)),""))</f>
        <v>金采易购</v>
      </c>
    </row>
    <row r="166" spans="1:9">
      <c r="A166">
        <v>165</v>
      </c>
      <c r="B166" t="str">
        <f>IF(ISBLANK(IFERROR(INDEX('2-3 引出列表'!$A$2:$CE$8700,$A166,MATCH(B$1,'2-3 引出列表'!$A$1:$CD$1,0)),"")),"",IFERROR(INDEX('2-3 引出列表'!$A$2:$CE$8700,$A166,MATCH(B$1,'2-3 引出列表'!$A$1:$CD$1,0)),""))</f>
        <v>FK250611000277</v>
      </c>
      <c r="C166">
        <f>IF(ISBLANK(IFERROR(INDEX('2-3 引出列表'!$A$2:$CE$8700,$A166,MATCH(C$1,'2-3 引出列表'!$A$1:$CD$1,0)),"")),"",IFERROR(INDEX('2-3 引出列表'!$A$2:$CE$8700,$A166,MATCH(C$1,'2-3 引出列表'!$A$1:$CD$1,0)),""))</f>
        <v>47837.64</v>
      </c>
      <c r="D166" t="str">
        <f>IF(ISBLANK(IFERROR(INDEX('2-3 引出列表'!$A$2:$CE$8700,$A166,MATCH(D$1,'2-3 引出列表'!$A$1:$CD$1,0)),"")),"",IFERROR(INDEX('2-3 引出列表'!$A$2:$CE$8700,$A166,MATCH(D$1,'2-3 引出列表'!$A$1:$CD$1,0)),""))</f>
        <v>已审核</v>
      </c>
      <c r="E166" t="str">
        <f>IF(ISBLANK(IFERROR(INDEX('2-3 引出列表'!$A$2:$CE$8700,$A166,MATCH(E$1,'2-3 引出列表'!$A$1:$CD$1,0)),"")),"",IFERROR(INDEX('2-3 引出列表'!$A$2:$CE$8700,$A166,MATCH(E$1,'2-3 引出列表'!$A$1:$CD$1,0)),""))</f>
        <v>2025-06-11</v>
      </c>
      <c r="F166" t="str">
        <f t="shared" si="2"/>
        <v>2025-06</v>
      </c>
      <c r="G166" t="str">
        <f>IF(ISBLANK(IFERROR(INDEX('2-3 引出列表'!$A$2:$CE$8700,$A166,MATCH(G$1,'2-3 引出列表'!$A$1:$CD$1,0)),"")),"",IFERROR(INDEX('2-3 引出列表'!$A$2:$CE$8700,$A166,MATCH(G$1,'2-3 引出列表'!$A$1:$CD$1,0)),""))</f>
        <v>物料消耗.物料消耗</v>
      </c>
      <c r="H166" t="str">
        <f>IF(ISBLANK(IFERROR(INDEX('2-3 引出列表'!$A$2:$CE$8700,$A166,MATCH(H$1,'2-3 引出列表'!$A$1:$CD$1,0)),"")),"",IFERROR(INDEX('2-3 引出列表'!$A$2:$CE$8700,$A166,MATCH(H$1,'2-3 引出列表'!$A$1:$CD$1,0)),""))</f>
        <v>XHWZ-Z-2025-00011</v>
      </c>
      <c r="I166" t="str">
        <f>IF(ISBLANK(IFERROR(INDEX('2-3 引出列表'!$A$2:$CE$8700,$A166,MATCH(I$1,'2-3 引出列表'!$A$1:$CD$1,0)),"")),"",IFERROR(INDEX('2-3 引出列表'!$A$2:$CE$8700,$A166,MATCH(I$1,'2-3 引出列表'!$A$1:$CD$1,0)),""))</f>
        <v>金采易购</v>
      </c>
    </row>
    <row r="167" spans="1:9">
      <c r="A167">
        <v>166</v>
      </c>
      <c r="B167" t="str">
        <f>IF(ISBLANK(IFERROR(INDEX('2-3 引出列表'!$A$2:$CE$8700,$A167,MATCH(B$1,'2-3 引出列表'!$A$1:$CD$1,0)),"")),"",IFERROR(INDEX('2-3 引出列表'!$A$2:$CE$8700,$A167,MATCH(B$1,'2-3 引出列表'!$A$1:$CD$1,0)),""))</f>
        <v>FK250611000277</v>
      </c>
      <c r="C167">
        <f>IF(ISBLANK(IFERROR(INDEX('2-3 引出列表'!$A$2:$CE$8700,$A167,MATCH(C$1,'2-3 引出列表'!$A$1:$CD$1,0)),"")),"",IFERROR(INDEX('2-3 引出列表'!$A$2:$CE$8700,$A167,MATCH(C$1,'2-3 引出列表'!$A$1:$CD$1,0)),""))</f>
        <v>47837.64</v>
      </c>
      <c r="D167" t="str">
        <f>IF(ISBLANK(IFERROR(INDEX('2-3 引出列表'!$A$2:$CE$8700,$A167,MATCH(D$1,'2-3 引出列表'!$A$1:$CD$1,0)),"")),"",IFERROR(INDEX('2-3 引出列表'!$A$2:$CE$8700,$A167,MATCH(D$1,'2-3 引出列表'!$A$1:$CD$1,0)),""))</f>
        <v>已审核</v>
      </c>
      <c r="E167" t="str">
        <f>IF(ISBLANK(IFERROR(INDEX('2-3 引出列表'!$A$2:$CE$8700,$A167,MATCH(E$1,'2-3 引出列表'!$A$1:$CD$1,0)),"")),"",IFERROR(INDEX('2-3 引出列表'!$A$2:$CE$8700,$A167,MATCH(E$1,'2-3 引出列表'!$A$1:$CD$1,0)),""))</f>
        <v>2025-06-11</v>
      </c>
      <c r="F167" t="str">
        <f t="shared" si="2"/>
        <v>2025-06</v>
      </c>
      <c r="G167" t="str">
        <f>IF(ISBLANK(IFERROR(INDEX('2-3 引出列表'!$A$2:$CE$8700,$A167,MATCH(G$1,'2-3 引出列表'!$A$1:$CD$1,0)),"")),"",IFERROR(INDEX('2-3 引出列表'!$A$2:$CE$8700,$A167,MATCH(G$1,'2-3 引出列表'!$A$1:$CD$1,0)),""))</f>
        <v>物料消耗.物料消耗</v>
      </c>
      <c r="H167" t="str">
        <f>IF(ISBLANK(IFERROR(INDEX('2-3 引出列表'!$A$2:$CE$8700,$A167,MATCH(H$1,'2-3 引出列表'!$A$1:$CD$1,0)),"")),"",IFERROR(INDEX('2-3 引出列表'!$A$2:$CE$8700,$A167,MATCH(H$1,'2-3 引出列表'!$A$1:$CD$1,0)),""))</f>
        <v>XHWZ-Z-2025-00011</v>
      </c>
      <c r="I167" t="str">
        <f>IF(ISBLANK(IFERROR(INDEX('2-3 引出列表'!$A$2:$CE$8700,$A167,MATCH(I$1,'2-3 引出列表'!$A$1:$CD$1,0)),"")),"",IFERROR(INDEX('2-3 引出列表'!$A$2:$CE$8700,$A167,MATCH(I$1,'2-3 引出列表'!$A$1:$CD$1,0)),""))</f>
        <v>金采易购</v>
      </c>
    </row>
    <row r="168" spans="1:9">
      <c r="A168">
        <v>167</v>
      </c>
      <c r="B168" t="str">
        <f>IF(ISBLANK(IFERROR(INDEX('2-3 引出列表'!$A$2:$CE$8700,$A168,MATCH(B$1,'2-3 引出列表'!$A$1:$CD$1,0)),"")),"",IFERROR(INDEX('2-3 引出列表'!$A$2:$CE$8700,$A168,MATCH(B$1,'2-3 引出列表'!$A$1:$CD$1,0)),""))</f>
        <v>FK250611000277</v>
      </c>
      <c r="C168">
        <f>IF(ISBLANK(IFERROR(INDEX('2-3 引出列表'!$A$2:$CE$8700,$A168,MATCH(C$1,'2-3 引出列表'!$A$1:$CD$1,0)),"")),"",IFERROR(INDEX('2-3 引出列表'!$A$2:$CE$8700,$A168,MATCH(C$1,'2-3 引出列表'!$A$1:$CD$1,0)),""))</f>
        <v>47837.64</v>
      </c>
      <c r="D168" t="str">
        <f>IF(ISBLANK(IFERROR(INDEX('2-3 引出列表'!$A$2:$CE$8700,$A168,MATCH(D$1,'2-3 引出列表'!$A$1:$CD$1,0)),"")),"",IFERROR(INDEX('2-3 引出列表'!$A$2:$CE$8700,$A168,MATCH(D$1,'2-3 引出列表'!$A$1:$CD$1,0)),""))</f>
        <v>已审核</v>
      </c>
      <c r="E168" t="str">
        <f>IF(ISBLANK(IFERROR(INDEX('2-3 引出列表'!$A$2:$CE$8700,$A168,MATCH(E$1,'2-3 引出列表'!$A$1:$CD$1,0)),"")),"",IFERROR(INDEX('2-3 引出列表'!$A$2:$CE$8700,$A168,MATCH(E$1,'2-3 引出列表'!$A$1:$CD$1,0)),""))</f>
        <v>2025-06-11</v>
      </c>
      <c r="F168" t="str">
        <f t="shared" si="2"/>
        <v>2025-06</v>
      </c>
      <c r="G168" t="str">
        <f>IF(ISBLANK(IFERROR(INDEX('2-3 引出列表'!$A$2:$CE$8700,$A168,MATCH(G$1,'2-3 引出列表'!$A$1:$CD$1,0)),"")),"",IFERROR(INDEX('2-3 引出列表'!$A$2:$CE$8700,$A168,MATCH(G$1,'2-3 引出列表'!$A$1:$CD$1,0)),""))</f>
        <v>物料消耗.物料消耗</v>
      </c>
      <c r="H168" t="str">
        <f>IF(ISBLANK(IFERROR(INDEX('2-3 引出列表'!$A$2:$CE$8700,$A168,MATCH(H$1,'2-3 引出列表'!$A$1:$CD$1,0)),"")),"",IFERROR(INDEX('2-3 引出列表'!$A$2:$CE$8700,$A168,MATCH(H$1,'2-3 引出列表'!$A$1:$CD$1,0)),""))</f>
        <v>XHWZ-Z-2025-00011</v>
      </c>
      <c r="I168" t="str">
        <f>IF(ISBLANK(IFERROR(INDEX('2-3 引出列表'!$A$2:$CE$8700,$A168,MATCH(I$1,'2-3 引出列表'!$A$1:$CD$1,0)),"")),"",IFERROR(INDEX('2-3 引出列表'!$A$2:$CE$8700,$A168,MATCH(I$1,'2-3 引出列表'!$A$1:$CD$1,0)),""))</f>
        <v>金采易购</v>
      </c>
    </row>
    <row r="169" spans="1:9">
      <c r="A169">
        <v>168</v>
      </c>
      <c r="B169" t="str">
        <f>IF(ISBLANK(IFERROR(INDEX('2-3 引出列表'!$A$2:$CE$8700,$A169,MATCH(B$1,'2-3 引出列表'!$A$1:$CD$1,0)),"")),"",IFERROR(INDEX('2-3 引出列表'!$A$2:$CE$8700,$A169,MATCH(B$1,'2-3 引出列表'!$A$1:$CD$1,0)),""))</f>
        <v>FK250611000277</v>
      </c>
      <c r="C169">
        <f>IF(ISBLANK(IFERROR(INDEX('2-3 引出列表'!$A$2:$CE$8700,$A169,MATCH(C$1,'2-3 引出列表'!$A$1:$CD$1,0)),"")),"",IFERROR(INDEX('2-3 引出列表'!$A$2:$CE$8700,$A169,MATCH(C$1,'2-3 引出列表'!$A$1:$CD$1,0)),""))</f>
        <v>47837.64</v>
      </c>
      <c r="D169" t="str">
        <f>IF(ISBLANK(IFERROR(INDEX('2-3 引出列表'!$A$2:$CE$8700,$A169,MATCH(D$1,'2-3 引出列表'!$A$1:$CD$1,0)),"")),"",IFERROR(INDEX('2-3 引出列表'!$A$2:$CE$8700,$A169,MATCH(D$1,'2-3 引出列表'!$A$1:$CD$1,0)),""))</f>
        <v>已审核</v>
      </c>
      <c r="E169" t="str">
        <f>IF(ISBLANK(IFERROR(INDEX('2-3 引出列表'!$A$2:$CE$8700,$A169,MATCH(E$1,'2-3 引出列表'!$A$1:$CD$1,0)),"")),"",IFERROR(INDEX('2-3 引出列表'!$A$2:$CE$8700,$A169,MATCH(E$1,'2-3 引出列表'!$A$1:$CD$1,0)),""))</f>
        <v>2025-06-11</v>
      </c>
      <c r="F169" t="str">
        <f t="shared" si="2"/>
        <v>2025-06</v>
      </c>
      <c r="G169" t="str">
        <f>IF(ISBLANK(IFERROR(INDEX('2-3 引出列表'!$A$2:$CE$8700,$A169,MATCH(G$1,'2-3 引出列表'!$A$1:$CD$1,0)),"")),"",IFERROR(INDEX('2-3 引出列表'!$A$2:$CE$8700,$A169,MATCH(G$1,'2-3 引出列表'!$A$1:$CD$1,0)),""))</f>
        <v>物料消耗.物料消耗</v>
      </c>
      <c r="H169" t="str">
        <f>IF(ISBLANK(IFERROR(INDEX('2-3 引出列表'!$A$2:$CE$8700,$A169,MATCH(H$1,'2-3 引出列表'!$A$1:$CD$1,0)),"")),"",IFERROR(INDEX('2-3 引出列表'!$A$2:$CE$8700,$A169,MATCH(H$1,'2-3 引出列表'!$A$1:$CD$1,0)),""))</f>
        <v>XHWZ-Z-2025-00011</v>
      </c>
      <c r="I169" t="str">
        <f>IF(ISBLANK(IFERROR(INDEX('2-3 引出列表'!$A$2:$CE$8700,$A169,MATCH(I$1,'2-3 引出列表'!$A$1:$CD$1,0)),"")),"",IFERROR(INDEX('2-3 引出列表'!$A$2:$CE$8700,$A169,MATCH(I$1,'2-3 引出列表'!$A$1:$CD$1,0)),""))</f>
        <v>金采易购</v>
      </c>
    </row>
    <row r="170" spans="1:9">
      <c r="A170">
        <v>169</v>
      </c>
      <c r="B170" t="str">
        <f>IF(ISBLANK(IFERROR(INDEX('2-3 引出列表'!$A$2:$CE$8700,$A170,MATCH(B$1,'2-3 引出列表'!$A$1:$CD$1,0)),"")),"",IFERROR(INDEX('2-3 引出列表'!$A$2:$CE$8700,$A170,MATCH(B$1,'2-3 引出列表'!$A$1:$CD$1,0)),""))</f>
        <v>FK250611000277</v>
      </c>
      <c r="C170">
        <f>IF(ISBLANK(IFERROR(INDEX('2-3 引出列表'!$A$2:$CE$8700,$A170,MATCH(C$1,'2-3 引出列表'!$A$1:$CD$1,0)),"")),"",IFERROR(INDEX('2-3 引出列表'!$A$2:$CE$8700,$A170,MATCH(C$1,'2-3 引出列表'!$A$1:$CD$1,0)),""))</f>
        <v>47837.64</v>
      </c>
      <c r="D170" t="str">
        <f>IF(ISBLANK(IFERROR(INDEX('2-3 引出列表'!$A$2:$CE$8700,$A170,MATCH(D$1,'2-3 引出列表'!$A$1:$CD$1,0)),"")),"",IFERROR(INDEX('2-3 引出列表'!$A$2:$CE$8700,$A170,MATCH(D$1,'2-3 引出列表'!$A$1:$CD$1,0)),""))</f>
        <v>已审核</v>
      </c>
      <c r="E170" t="str">
        <f>IF(ISBLANK(IFERROR(INDEX('2-3 引出列表'!$A$2:$CE$8700,$A170,MATCH(E$1,'2-3 引出列表'!$A$1:$CD$1,0)),"")),"",IFERROR(INDEX('2-3 引出列表'!$A$2:$CE$8700,$A170,MATCH(E$1,'2-3 引出列表'!$A$1:$CD$1,0)),""))</f>
        <v>2025-06-11</v>
      </c>
      <c r="F170" t="str">
        <f t="shared" si="2"/>
        <v>2025-06</v>
      </c>
      <c r="G170" t="str">
        <f>IF(ISBLANK(IFERROR(INDEX('2-3 引出列表'!$A$2:$CE$8700,$A170,MATCH(G$1,'2-3 引出列表'!$A$1:$CD$1,0)),"")),"",IFERROR(INDEX('2-3 引出列表'!$A$2:$CE$8700,$A170,MATCH(G$1,'2-3 引出列表'!$A$1:$CD$1,0)),""))</f>
        <v>物料消耗.物料消耗</v>
      </c>
      <c r="H170" t="str">
        <f>IF(ISBLANK(IFERROR(INDEX('2-3 引出列表'!$A$2:$CE$8700,$A170,MATCH(H$1,'2-3 引出列表'!$A$1:$CD$1,0)),"")),"",IFERROR(INDEX('2-3 引出列表'!$A$2:$CE$8700,$A170,MATCH(H$1,'2-3 引出列表'!$A$1:$CD$1,0)),""))</f>
        <v>XHWZ-Z-2025-00011</v>
      </c>
      <c r="I170" t="str">
        <f>IF(ISBLANK(IFERROR(INDEX('2-3 引出列表'!$A$2:$CE$8700,$A170,MATCH(I$1,'2-3 引出列表'!$A$1:$CD$1,0)),"")),"",IFERROR(INDEX('2-3 引出列表'!$A$2:$CE$8700,$A170,MATCH(I$1,'2-3 引出列表'!$A$1:$CD$1,0)),""))</f>
        <v>金采易购</v>
      </c>
    </row>
    <row r="171" spans="1:9">
      <c r="A171">
        <v>170</v>
      </c>
      <c r="B171" t="str">
        <f>IF(ISBLANK(IFERROR(INDEX('2-3 引出列表'!$A$2:$CE$8700,$A171,MATCH(B$1,'2-3 引出列表'!$A$1:$CD$1,0)),"")),"",IFERROR(INDEX('2-3 引出列表'!$A$2:$CE$8700,$A171,MATCH(B$1,'2-3 引出列表'!$A$1:$CD$1,0)),""))</f>
        <v>FK250611000277</v>
      </c>
      <c r="C171">
        <f>IF(ISBLANK(IFERROR(INDEX('2-3 引出列表'!$A$2:$CE$8700,$A171,MATCH(C$1,'2-3 引出列表'!$A$1:$CD$1,0)),"")),"",IFERROR(INDEX('2-3 引出列表'!$A$2:$CE$8700,$A171,MATCH(C$1,'2-3 引出列表'!$A$1:$CD$1,0)),""))</f>
        <v>47837.64</v>
      </c>
      <c r="D171" t="str">
        <f>IF(ISBLANK(IFERROR(INDEX('2-3 引出列表'!$A$2:$CE$8700,$A171,MATCH(D$1,'2-3 引出列表'!$A$1:$CD$1,0)),"")),"",IFERROR(INDEX('2-3 引出列表'!$A$2:$CE$8700,$A171,MATCH(D$1,'2-3 引出列表'!$A$1:$CD$1,0)),""))</f>
        <v>已审核</v>
      </c>
      <c r="E171" t="str">
        <f>IF(ISBLANK(IFERROR(INDEX('2-3 引出列表'!$A$2:$CE$8700,$A171,MATCH(E$1,'2-3 引出列表'!$A$1:$CD$1,0)),"")),"",IFERROR(INDEX('2-3 引出列表'!$A$2:$CE$8700,$A171,MATCH(E$1,'2-3 引出列表'!$A$1:$CD$1,0)),""))</f>
        <v>2025-06-11</v>
      </c>
      <c r="F171" t="str">
        <f t="shared" si="2"/>
        <v>2025-06</v>
      </c>
      <c r="G171" t="str">
        <f>IF(ISBLANK(IFERROR(INDEX('2-3 引出列表'!$A$2:$CE$8700,$A171,MATCH(G$1,'2-3 引出列表'!$A$1:$CD$1,0)),"")),"",IFERROR(INDEX('2-3 引出列表'!$A$2:$CE$8700,$A171,MATCH(G$1,'2-3 引出列表'!$A$1:$CD$1,0)),""))</f>
        <v>物料消耗.物料消耗</v>
      </c>
      <c r="H171" t="str">
        <f>IF(ISBLANK(IFERROR(INDEX('2-3 引出列表'!$A$2:$CE$8700,$A171,MATCH(H$1,'2-3 引出列表'!$A$1:$CD$1,0)),"")),"",IFERROR(INDEX('2-3 引出列表'!$A$2:$CE$8700,$A171,MATCH(H$1,'2-3 引出列表'!$A$1:$CD$1,0)),""))</f>
        <v>XHWZ-Z-2025-00011</v>
      </c>
      <c r="I171" t="str">
        <f>IF(ISBLANK(IFERROR(INDEX('2-3 引出列表'!$A$2:$CE$8700,$A171,MATCH(I$1,'2-3 引出列表'!$A$1:$CD$1,0)),"")),"",IFERROR(INDEX('2-3 引出列表'!$A$2:$CE$8700,$A171,MATCH(I$1,'2-3 引出列表'!$A$1:$CD$1,0)),""))</f>
        <v>金采易购</v>
      </c>
    </row>
    <row r="172" spans="1:9">
      <c r="A172">
        <v>171</v>
      </c>
      <c r="B172" t="str">
        <f>IF(ISBLANK(IFERROR(INDEX('2-3 引出列表'!$A$2:$CE$8700,$A172,MATCH(B$1,'2-3 引出列表'!$A$1:$CD$1,0)),"")),"",IFERROR(INDEX('2-3 引出列表'!$A$2:$CE$8700,$A172,MATCH(B$1,'2-3 引出列表'!$A$1:$CD$1,0)),""))</f>
        <v>FK250611000277</v>
      </c>
      <c r="C172">
        <f>IF(ISBLANK(IFERROR(INDEX('2-3 引出列表'!$A$2:$CE$8700,$A172,MATCH(C$1,'2-3 引出列表'!$A$1:$CD$1,0)),"")),"",IFERROR(INDEX('2-3 引出列表'!$A$2:$CE$8700,$A172,MATCH(C$1,'2-3 引出列表'!$A$1:$CD$1,0)),""))</f>
        <v>47837.64</v>
      </c>
      <c r="D172" t="str">
        <f>IF(ISBLANK(IFERROR(INDEX('2-3 引出列表'!$A$2:$CE$8700,$A172,MATCH(D$1,'2-3 引出列表'!$A$1:$CD$1,0)),"")),"",IFERROR(INDEX('2-3 引出列表'!$A$2:$CE$8700,$A172,MATCH(D$1,'2-3 引出列表'!$A$1:$CD$1,0)),""))</f>
        <v>已审核</v>
      </c>
      <c r="E172" t="str">
        <f>IF(ISBLANK(IFERROR(INDEX('2-3 引出列表'!$A$2:$CE$8700,$A172,MATCH(E$1,'2-3 引出列表'!$A$1:$CD$1,0)),"")),"",IFERROR(INDEX('2-3 引出列表'!$A$2:$CE$8700,$A172,MATCH(E$1,'2-3 引出列表'!$A$1:$CD$1,0)),""))</f>
        <v>2025-06-11</v>
      </c>
      <c r="F172" t="str">
        <f t="shared" si="2"/>
        <v>2025-06</v>
      </c>
      <c r="G172" t="str">
        <f>IF(ISBLANK(IFERROR(INDEX('2-3 引出列表'!$A$2:$CE$8700,$A172,MATCH(G$1,'2-3 引出列表'!$A$1:$CD$1,0)),"")),"",IFERROR(INDEX('2-3 引出列表'!$A$2:$CE$8700,$A172,MATCH(G$1,'2-3 引出列表'!$A$1:$CD$1,0)),""))</f>
        <v>物料消耗.物料消耗</v>
      </c>
      <c r="H172" t="str">
        <f>IF(ISBLANK(IFERROR(INDEX('2-3 引出列表'!$A$2:$CE$8700,$A172,MATCH(H$1,'2-3 引出列表'!$A$1:$CD$1,0)),"")),"",IFERROR(INDEX('2-3 引出列表'!$A$2:$CE$8700,$A172,MATCH(H$1,'2-3 引出列表'!$A$1:$CD$1,0)),""))</f>
        <v>XHWZ-Z-2025-00011</v>
      </c>
      <c r="I172" t="str">
        <f>IF(ISBLANK(IFERROR(INDEX('2-3 引出列表'!$A$2:$CE$8700,$A172,MATCH(I$1,'2-3 引出列表'!$A$1:$CD$1,0)),"")),"",IFERROR(INDEX('2-3 引出列表'!$A$2:$CE$8700,$A172,MATCH(I$1,'2-3 引出列表'!$A$1:$CD$1,0)),""))</f>
        <v>金采易购</v>
      </c>
    </row>
    <row r="173" spans="1:9">
      <c r="A173">
        <v>172</v>
      </c>
      <c r="B173" t="str">
        <f>IF(ISBLANK(IFERROR(INDEX('2-3 引出列表'!$A$2:$CE$8700,$A173,MATCH(B$1,'2-3 引出列表'!$A$1:$CD$1,0)),"")),"",IFERROR(INDEX('2-3 引出列表'!$A$2:$CE$8700,$A173,MATCH(B$1,'2-3 引出列表'!$A$1:$CD$1,0)),""))</f>
        <v>FK250611000277</v>
      </c>
      <c r="C173">
        <f>IF(ISBLANK(IFERROR(INDEX('2-3 引出列表'!$A$2:$CE$8700,$A173,MATCH(C$1,'2-3 引出列表'!$A$1:$CD$1,0)),"")),"",IFERROR(INDEX('2-3 引出列表'!$A$2:$CE$8700,$A173,MATCH(C$1,'2-3 引出列表'!$A$1:$CD$1,0)),""))</f>
        <v>47837.64</v>
      </c>
      <c r="D173" t="str">
        <f>IF(ISBLANK(IFERROR(INDEX('2-3 引出列表'!$A$2:$CE$8700,$A173,MATCH(D$1,'2-3 引出列表'!$A$1:$CD$1,0)),"")),"",IFERROR(INDEX('2-3 引出列表'!$A$2:$CE$8700,$A173,MATCH(D$1,'2-3 引出列表'!$A$1:$CD$1,0)),""))</f>
        <v>已审核</v>
      </c>
      <c r="E173" t="str">
        <f>IF(ISBLANK(IFERROR(INDEX('2-3 引出列表'!$A$2:$CE$8700,$A173,MATCH(E$1,'2-3 引出列表'!$A$1:$CD$1,0)),"")),"",IFERROR(INDEX('2-3 引出列表'!$A$2:$CE$8700,$A173,MATCH(E$1,'2-3 引出列表'!$A$1:$CD$1,0)),""))</f>
        <v>2025-06-11</v>
      </c>
      <c r="F173" t="str">
        <f t="shared" si="2"/>
        <v>2025-06</v>
      </c>
      <c r="G173" t="str">
        <f>IF(ISBLANK(IFERROR(INDEX('2-3 引出列表'!$A$2:$CE$8700,$A173,MATCH(G$1,'2-3 引出列表'!$A$1:$CD$1,0)),"")),"",IFERROR(INDEX('2-3 引出列表'!$A$2:$CE$8700,$A173,MATCH(G$1,'2-3 引出列表'!$A$1:$CD$1,0)),""))</f>
        <v>物料消耗.物料消耗</v>
      </c>
      <c r="H173" t="str">
        <f>IF(ISBLANK(IFERROR(INDEX('2-3 引出列表'!$A$2:$CE$8700,$A173,MATCH(H$1,'2-3 引出列表'!$A$1:$CD$1,0)),"")),"",IFERROR(INDEX('2-3 引出列表'!$A$2:$CE$8700,$A173,MATCH(H$1,'2-3 引出列表'!$A$1:$CD$1,0)),""))</f>
        <v>XHWZ-Z-2025-00011</v>
      </c>
      <c r="I173" t="str">
        <f>IF(ISBLANK(IFERROR(INDEX('2-3 引出列表'!$A$2:$CE$8700,$A173,MATCH(I$1,'2-3 引出列表'!$A$1:$CD$1,0)),"")),"",IFERROR(INDEX('2-3 引出列表'!$A$2:$CE$8700,$A173,MATCH(I$1,'2-3 引出列表'!$A$1:$CD$1,0)),""))</f>
        <v>金采易购</v>
      </c>
    </row>
    <row r="174" spans="1:9">
      <c r="A174">
        <v>173</v>
      </c>
      <c r="B174" t="str">
        <f>IF(ISBLANK(IFERROR(INDEX('2-3 引出列表'!$A$2:$CE$8700,$A174,MATCH(B$1,'2-3 引出列表'!$A$1:$CD$1,0)),"")),"",IFERROR(INDEX('2-3 引出列表'!$A$2:$CE$8700,$A174,MATCH(B$1,'2-3 引出列表'!$A$1:$CD$1,0)),""))</f>
        <v>FK250611000277</v>
      </c>
      <c r="C174">
        <f>IF(ISBLANK(IFERROR(INDEX('2-3 引出列表'!$A$2:$CE$8700,$A174,MATCH(C$1,'2-3 引出列表'!$A$1:$CD$1,0)),"")),"",IFERROR(INDEX('2-3 引出列表'!$A$2:$CE$8700,$A174,MATCH(C$1,'2-3 引出列表'!$A$1:$CD$1,0)),""))</f>
        <v>47837.64</v>
      </c>
      <c r="D174" t="str">
        <f>IF(ISBLANK(IFERROR(INDEX('2-3 引出列表'!$A$2:$CE$8700,$A174,MATCH(D$1,'2-3 引出列表'!$A$1:$CD$1,0)),"")),"",IFERROR(INDEX('2-3 引出列表'!$A$2:$CE$8700,$A174,MATCH(D$1,'2-3 引出列表'!$A$1:$CD$1,0)),""))</f>
        <v>已审核</v>
      </c>
      <c r="E174" t="str">
        <f>IF(ISBLANK(IFERROR(INDEX('2-3 引出列表'!$A$2:$CE$8700,$A174,MATCH(E$1,'2-3 引出列表'!$A$1:$CD$1,0)),"")),"",IFERROR(INDEX('2-3 引出列表'!$A$2:$CE$8700,$A174,MATCH(E$1,'2-3 引出列表'!$A$1:$CD$1,0)),""))</f>
        <v>2025-06-11</v>
      </c>
      <c r="F174" t="str">
        <f t="shared" si="2"/>
        <v>2025-06</v>
      </c>
      <c r="G174" t="str">
        <f>IF(ISBLANK(IFERROR(INDEX('2-3 引出列表'!$A$2:$CE$8700,$A174,MATCH(G$1,'2-3 引出列表'!$A$1:$CD$1,0)),"")),"",IFERROR(INDEX('2-3 引出列表'!$A$2:$CE$8700,$A174,MATCH(G$1,'2-3 引出列表'!$A$1:$CD$1,0)),""))</f>
        <v>物料消耗.物料消耗</v>
      </c>
      <c r="H174" t="str">
        <f>IF(ISBLANK(IFERROR(INDEX('2-3 引出列表'!$A$2:$CE$8700,$A174,MATCH(H$1,'2-3 引出列表'!$A$1:$CD$1,0)),"")),"",IFERROR(INDEX('2-3 引出列表'!$A$2:$CE$8700,$A174,MATCH(H$1,'2-3 引出列表'!$A$1:$CD$1,0)),""))</f>
        <v>XHWZ-Z-2025-00011</v>
      </c>
      <c r="I174" t="str">
        <f>IF(ISBLANK(IFERROR(INDEX('2-3 引出列表'!$A$2:$CE$8700,$A174,MATCH(I$1,'2-3 引出列表'!$A$1:$CD$1,0)),"")),"",IFERROR(INDEX('2-3 引出列表'!$A$2:$CE$8700,$A174,MATCH(I$1,'2-3 引出列表'!$A$1:$CD$1,0)),""))</f>
        <v>金采易购</v>
      </c>
    </row>
    <row r="175" spans="1:9">
      <c r="A175">
        <v>174</v>
      </c>
      <c r="B175" t="str">
        <f>IF(ISBLANK(IFERROR(INDEX('2-3 引出列表'!$A$2:$CE$8700,$A175,MATCH(B$1,'2-3 引出列表'!$A$1:$CD$1,0)),"")),"",IFERROR(INDEX('2-3 引出列表'!$A$2:$CE$8700,$A175,MATCH(B$1,'2-3 引出列表'!$A$1:$CD$1,0)),""))</f>
        <v>FK250611000277</v>
      </c>
      <c r="C175">
        <f>IF(ISBLANK(IFERROR(INDEX('2-3 引出列表'!$A$2:$CE$8700,$A175,MATCH(C$1,'2-3 引出列表'!$A$1:$CD$1,0)),"")),"",IFERROR(INDEX('2-3 引出列表'!$A$2:$CE$8700,$A175,MATCH(C$1,'2-3 引出列表'!$A$1:$CD$1,0)),""))</f>
        <v>47837.64</v>
      </c>
      <c r="D175" t="str">
        <f>IF(ISBLANK(IFERROR(INDEX('2-3 引出列表'!$A$2:$CE$8700,$A175,MATCH(D$1,'2-3 引出列表'!$A$1:$CD$1,0)),"")),"",IFERROR(INDEX('2-3 引出列表'!$A$2:$CE$8700,$A175,MATCH(D$1,'2-3 引出列表'!$A$1:$CD$1,0)),""))</f>
        <v>已审核</v>
      </c>
      <c r="E175" t="str">
        <f>IF(ISBLANK(IFERROR(INDEX('2-3 引出列表'!$A$2:$CE$8700,$A175,MATCH(E$1,'2-3 引出列表'!$A$1:$CD$1,0)),"")),"",IFERROR(INDEX('2-3 引出列表'!$A$2:$CE$8700,$A175,MATCH(E$1,'2-3 引出列表'!$A$1:$CD$1,0)),""))</f>
        <v>2025-06-11</v>
      </c>
      <c r="F175" t="str">
        <f t="shared" si="2"/>
        <v>2025-06</v>
      </c>
      <c r="G175" t="str">
        <f>IF(ISBLANK(IFERROR(INDEX('2-3 引出列表'!$A$2:$CE$8700,$A175,MATCH(G$1,'2-3 引出列表'!$A$1:$CD$1,0)),"")),"",IFERROR(INDEX('2-3 引出列表'!$A$2:$CE$8700,$A175,MATCH(G$1,'2-3 引出列表'!$A$1:$CD$1,0)),""))</f>
        <v>物料消耗.物料消耗</v>
      </c>
      <c r="H175" t="str">
        <f>IF(ISBLANK(IFERROR(INDEX('2-3 引出列表'!$A$2:$CE$8700,$A175,MATCH(H$1,'2-3 引出列表'!$A$1:$CD$1,0)),"")),"",IFERROR(INDEX('2-3 引出列表'!$A$2:$CE$8700,$A175,MATCH(H$1,'2-3 引出列表'!$A$1:$CD$1,0)),""))</f>
        <v>XHWZ-Z-2025-00011</v>
      </c>
      <c r="I175" t="str">
        <f>IF(ISBLANK(IFERROR(INDEX('2-3 引出列表'!$A$2:$CE$8700,$A175,MATCH(I$1,'2-3 引出列表'!$A$1:$CD$1,0)),"")),"",IFERROR(INDEX('2-3 引出列表'!$A$2:$CE$8700,$A175,MATCH(I$1,'2-3 引出列表'!$A$1:$CD$1,0)),""))</f>
        <v>金采易购</v>
      </c>
    </row>
    <row r="176" spans="1:9">
      <c r="A176">
        <v>175</v>
      </c>
      <c r="B176" t="str">
        <f>IF(ISBLANK(IFERROR(INDEX('2-3 引出列表'!$A$2:$CE$8700,$A176,MATCH(B$1,'2-3 引出列表'!$A$1:$CD$1,0)),"")),"",IFERROR(INDEX('2-3 引出列表'!$A$2:$CE$8700,$A176,MATCH(B$1,'2-3 引出列表'!$A$1:$CD$1,0)),""))</f>
        <v>FK250611000277</v>
      </c>
      <c r="C176">
        <f>IF(ISBLANK(IFERROR(INDEX('2-3 引出列表'!$A$2:$CE$8700,$A176,MATCH(C$1,'2-3 引出列表'!$A$1:$CD$1,0)),"")),"",IFERROR(INDEX('2-3 引出列表'!$A$2:$CE$8700,$A176,MATCH(C$1,'2-3 引出列表'!$A$1:$CD$1,0)),""))</f>
        <v>47837.64</v>
      </c>
      <c r="D176" t="str">
        <f>IF(ISBLANK(IFERROR(INDEX('2-3 引出列表'!$A$2:$CE$8700,$A176,MATCH(D$1,'2-3 引出列表'!$A$1:$CD$1,0)),"")),"",IFERROR(INDEX('2-3 引出列表'!$A$2:$CE$8700,$A176,MATCH(D$1,'2-3 引出列表'!$A$1:$CD$1,0)),""))</f>
        <v>已审核</v>
      </c>
      <c r="E176" t="str">
        <f>IF(ISBLANK(IFERROR(INDEX('2-3 引出列表'!$A$2:$CE$8700,$A176,MATCH(E$1,'2-3 引出列表'!$A$1:$CD$1,0)),"")),"",IFERROR(INDEX('2-3 引出列表'!$A$2:$CE$8700,$A176,MATCH(E$1,'2-3 引出列表'!$A$1:$CD$1,0)),""))</f>
        <v>2025-06-11</v>
      </c>
      <c r="F176" t="str">
        <f t="shared" si="2"/>
        <v>2025-06</v>
      </c>
      <c r="G176" t="str">
        <f>IF(ISBLANK(IFERROR(INDEX('2-3 引出列表'!$A$2:$CE$8700,$A176,MATCH(G$1,'2-3 引出列表'!$A$1:$CD$1,0)),"")),"",IFERROR(INDEX('2-3 引出列表'!$A$2:$CE$8700,$A176,MATCH(G$1,'2-3 引出列表'!$A$1:$CD$1,0)),""))</f>
        <v>物料消耗.物料消耗</v>
      </c>
      <c r="H176" t="str">
        <f>IF(ISBLANK(IFERROR(INDEX('2-3 引出列表'!$A$2:$CE$8700,$A176,MATCH(H$1,'2-3 引出列表'!$A$1:$CD$1,0)),"")),"",IFERROR(INDEX('2-3 引出列表'!$A$2:$CE$8700,$A176,MATCH(H$1,'2-3 引出列表'!$A$1:$CD$1,0)),""))</f>
        <v>XHWZ-Z-2025-00011</v>
      </c>
      <c r="I176" t="str">
        <f>IF(ISBLANK(IFERROR(INDEX('2-3 引出列表'!$A$2:$CE$8700,$A176,MATCH(I$1,'2-3 引出列表'!$A$1:$CD$1,0)),"")),"",IFERROR(INDEX('2-3 引出列表'!$A$2:$CE$8700,$A176,MATCH(I$1,'2-3 引出列表'!$A$1:$CD$1,0)),""))</f>
        <v>金采易购</v>
      </c>
    </row>
    <row r="177" spans="1:9">
      <c r="A177">
        <v>176</v>
      </c>
      <c r="B177" t="str">
        <f>IF(ISBLANK(IFERROR(INDEX('2-3 引出列表'!$A$2:$CE$8700,$A177,MATCH(B$1,'2-3 引出列表'!$A$1:$CD$1,0)),"")),"",IFERROR(INDEX('2-3 引出列表'!$A$2:$CE$8700,$A177,MATCH(B$1,'2-3 引出列表'!$A$1:$CD$1,0)),""))</f>
        <v>FK250611000277</v>
      </c>
      <c r="C177">
        <f>IF(ISBLANK(IFERROR(INDEX('2-3 引出列表'!$A$2:$CE$8700,$A177,MATCH(C$1,'2-3 引出列表'!$A$1:$CD$1,0)),"")),"",IFERROR(INDEX('2-3 引出列表'!$A$2:$CE$8700,$A177,MATCH(C$1,'2-3 引出列表'!$A$1:$CD$1,0)),""))</f>
        <v>47837.64</v>
      </c>
      <c r="D177" t="str">
        <f>IF(ISBLANK(IFERROR(INDEX('2-3 引出列表'!$A$2:$CE$8700,$A177,MATCH(D$1,'2-3 引出列表'!$A$1:$CD$1,0)),"")),"",IFERROR(INDEX('2-3 引出列表'!$A$2:$CE$8700,$A177,MATCH(D$1,'2-3 引出列表'!$A$1:$CD$1,0)),""))</f>
        <v>已审核</v>
      </c>
      <c r="E177" t="str">
        <f>IF(ISBLANK(IFERROR(INDEX('2-3 引出列表'!$A$2:$CE$8700,$A177,MATCH(E$1,'2-3 引出列表'!$A$1:$CD$1,0)),"")),"",IFERROR(INDEX('2-3 引出列表'!$A$2:$CE$8700,$A177,MATCH(E$1,'2-3 引出列表'!$A$1:$CD$1,0)),""))</f>
        <v>2025-06-11</v>
      </c>
      <c r="F177" t="str">
        <f t="shared" si="2"/>
        <v>2025-06</v>
      </c>
      <c r="G177" t="str">
        <f>IF(ISBLANK(IFERROR(INDEX('2-3 引出列表'!$A$2:$CE$8700,$A177,MATCH(G$1,'2-3 引出列表'!$A$1:$CD$1,0)),"")),"",IFERROR(INDEX('2-3 引出列表'!$A$2:$CE$8700,$A177,MATCH(G$1,'2-3 引出列表'!$A$1:$CD$1,0)),""))</f>
        <v>物料消耗.物料消耗</v>
      </c>
      <c r="H177" t="str">
        <f>IF(ISBLANK(IFERROR(INDEX('2-3 引出列表'!$A$2:$CE$8700,$A177,MATCH(H$1,'2-3 引出列表'!$A$1:$CD$1,0)),"")),"",IFERROR(INDEX('2-3 引出列表'!$A$2:$CE$8700,$A177,MATCH(H$1,'2-3 引出列表'!$A$1:$CD$1,0)),""))</f>
        <v>XHWZ-Z-2025-00011</v>
      </c>
      <c r="I177" t="str">
        <f>IF(ISBLANK(IFERROR(INDEX('2-3 引出列表'!$A$2:$CE$8700,$A177,MATCH(I$1,'2-3 引出列表'!$A$1:$CD$1,0)),"")),"",IFERROR(INDEX('2-3 引出列表'!$A$2:$CE$8700,$A177,MATCH(I$1,'2-3 引出列表'!$A$1:$CD$1,0)),""))</f>
        <v>金采易购</v>
      </c>
    </row>
    <row r="178" spans="1:9">
      <c r="A178">
        <v>177</v>
      </c>
      <c r="B178" t="str">
        <f>IF(ISBLANK(IFERROR(INDEX('2-3 引出列表'!$A$2:$CE$8700,$A178,MATCH(B$1,'2-3 引出列表'!$A$1:$CD$1,0)),"")),"",IFERROR(INDEX('2-3 引出列表'!$A$2:$CE$8700,$A178,MATCH(B$1,'2-3 引出列表'!$A$1:$CD$1,0)),""))</f>
        <v>FK250611000277</v>
      </c>
      <c r="C178">
        <f>IF(ISBLANK(IFERROR(INDEX('2-3 引出列表'!$A$2:$CE$8700,$A178,MATCH(C$1,'2-3 引出列表'!$A$1:$CD$1,0)),"")),"",IFERROR(INDEX('2-3 引出列表'!$A$2:$CE$8700,$A178,MATCH(C$1,'2-3 引出列表'!$A$1:$CD$1,0)),""))</f>
        <v>47837.64</v>
      </c>
      <c r="D178" t="str">
        <f>IF(ISBLANK(IFERROR(INDEX('2-3 引出列表'!$A$2:$CE$8700,$A178,MATCH(D$1,'2-3 引出列表'!$A$1:$CD$1,0)),"")),"",IFERROR(INDEX('2-3 引出列表'!$A$2:$CE$8700,$A178,MATCH(D$1,'2-3 引出列表'!$A$1:$CD$1,0)),""))</f>
        <v>已审核</v>
      </c>
      <c r="E178" t="str">
        <f>IF(ISBLANK(IFERROR(INDEX('2-3 引出列表'!$A$2:$CE$8700,$A178,MATCH(E$1,'2-3 引出列表'!$A$1:$CD$1,0)),"")),"",IFERROR(INDEX('2-3 引出列表'!$A$2:$CE$8700,$A178,MATCH(E$1,'2-3 引出列表'!$A$1:$CD$1,0)),""))</f>
        <v>2025-06-11</v>
      </c>
      <c r="F178" t="str">
        <f t="shared" si="2"/>
        <v>2025-06</v>
      </c>
      <c r="G178" t="str">
        <f>IF(ISBLANK(IFERROR(INDEX('2-3 引出列表'!$A$2:$CE$8700,$A178,MATCH(G$1,'2-3 引出列表'!$A$1:$CD$1,0)),"")),"",IFERROR(INDEX('2-3 引出列表'!$A$2:$CE$8700,$A178,MATCH(G$1,'2-3 引出列表'!$A$1:$CD$1,0)),""))</f>
        <v>物料消耗.物料消耗</v>
      </c>
      <c r="H178" t="str">
        <f>IF(ISBLANK(IFERROR(INDEX('2-3 引出列表'!$A$2:$CE$8700,$A178,MATCH(H$1,'2-3 引出列表'!$A$1:$CD$1,0)),"")),"",IFERROR(INDEX('2-3 引出列表'!$A$2:$CE$8700,$A178,MATCH(H$1,'2-3 引出列表'!$A$1:$CD$1,0)),""))</f>
        <v>XHWZ-Z-2025-00011</v>
      </c>
      <c r="I178" t="str">
        <f>IF(ISBLANK(IFERROR(INDEX('2-3 引出列表'!$A$2:$CE$8700,$A178,MATCH(I$1,'2-3 引出列表'!$A$1:$CD$1,0)),"")),"",IFERROR(INDEX('2-3 引出列表'!$A$2:$CE$8700,$A178,MATCH(I$1,'2-3 引出列表'!$A$1:$CD$1,0)),""))</f>
        <v>金采易购</v>
      </c>
    </row>
    <row r="179" spans="1:9">
      <c r="A179">
        <v>178</v>
      </c>
      <c r="B179" t="str">
        <f>IF(ISBLANK(IFERROR(INDEX('2-3 引出列表'!$A$2:$CE$8700,$A179,MATCH(B$1,'2-3 引出列表'!$A$1:$CD$1,0)),"")),"",IFERROR(INDEX('2-3 引出列表'!$A$2:$CE$8700,$A179,MATCH(B$1,'2-3 引出列表'!$A$1:$CD$1,0)),""))</f>
        <v>FK250611000277</v>
      </c>
      <c r="C179">
        <f>IF(ISBLANK(IFERROR(INDEX('2-3 引出列表'!$A$2:$CE$8700,$A179,MATCH(C$1,'2-3 引出列表'!$A$1:$CD$1,0)),"")),"",IFERROR(INDEX('2-3 引出列表'!$A$2:$CE$8700,$A179,MATCH(C$1,'2-3 引出列表'!$A$1:$CD$1,0)),""))</f>
        <v>47837.64</v>
      </c>
      <c r="D179" t="str">
        <f>IF(ISBLANK(IFERROR(INDEX('2-3 引出列表'!$A$2:$CE$8700,$A179,MATCH(D$1,'2-3 引出列表'!$A$1:$CD$1,0)),"")),"",IFERROR(INDEX('2-3 引出列表'!$A$2:$CE$8700,$A179,MATCH(D$1,'2-3 引出列表'!$A$1:$CD$1,0)),""))</f>
        <v>已审核</v>
      </c>
      <c r="E179" t="str">
        <f>IF(ISBLANK(IFERROR(INDEX('2-3 引出列表'!$A$2:$CE$8700,$A179,MATCH(E$1,'2-3 引出列表'!$A$1:$CD$1,0)),"")),"",IFERROR(INDEX('2-3 引出列表'!$A$2:$CE$8700,$A179,MATCH(E$1,'2-3 引出列表'!$A$1:$CD$1,0)),""))</f>
        <v>2025-06-11</v>
      </c>
      <c r="F179" t="str">
        <f t="shared" si="2"/>
        <v>2025-06</v>
      </c>
      <c r="G179" t="str">
        <f>IF(ISBLANK(IFERROR(INDEX('2-3 引出列表'!$A$2:$CE$8700,$A179,MATCH(G$1,'2-3 引出列表'!$A$1:$CD$1,0)),"")),"",IFERROR(INDEX('2-3 引出列表'!$A$2:$CE$8700,$A179,MATCH(G$1,'2-3 引出列表'!$A$1:$CD$1,0)),""))</f>
        <v>物料消耗.物料消耗</v>
      </c>
      <c r="H179" t="str">
        <f>IF(ISBLANK(IFERROR(INDEX('2-3 引出列表'!$A$2:$CE$8700,$A179,MATCH(H$1,'2-3 引出列表'!$A$1:$CD$1,0)),"")),"",IFERROR(INDEX('2-3 引出列表'!$A$2:$CE$8700,$A179,MATCH(H$1,'2-3 引出列表'!$A$1:$CD$1,0)),""))</f>
        <v>XHWZ-Z-2025-00011</v>
      </c>
      <c r="I179" t="str">
        <f>IF(ISBLANK(IFERROR(INDEX('2-3 引出列表'!$A$2:$CE$8700,$A179,MATCH(I$1,'2-3 引出列表'!$A$1:$CD$1,0)),"")),"",IFERROR(INDEX('2-3 引出列表'!$A$2:$CE$8700,$A179,MATCH(I$1,'2-3 引出列表'!$A$1:$CD$1,0)),""))</f>
        <v>金采易购</v>
      </c>
    </row>
    <row r="180" spans="1:9">
      <c r="A180">
        <v>179</v>
      </c>
      <c r="B180" t="str">
        <f>IF(ISBLANK(IFERROR(INDEX('2-3 引出列表'!$A$2:$CE$8700,$A180,MATCH(B$1,'2-3 引出列表'!$A$1:$CD$1,0)),"")),"",IFERROR(INDEX('2-3 引出列表'!$A$2:$CE$8700,$A180,MATCH(B$1,'2-3 引出列表'!$A$1:$CD$1,0)),""))</f>
        <v>FK250611000277</v>
      </c>
      <c r="C180">
        <f>IF(ISBLANK(IFERROR(INDEX('2-3 引出列表'!$A$2:$CE$8700,$A180,MATCH(C$1,'2-3 引出列表'!$A$1:$CD$1,0)),"")),"",IFERROR(INDEX('2-3 引出列表'!$A$2:$CE$8700,$A180,MATCH(C$1,'2-3 引出列表'!$A$1:$CD$1,0)),""))</f>
        <v>47837.64</v>
      </c>
      <c r="D180" t="str">
        <f>IF(ISBLANK(IFERROR(INDEX('2-3 引出列表'!$A$2:$CE$8700,$A180,MATCH(D$1,'2-3 引出列表'!$A$1:$CD$1,0)),"")),"",IFERROR(INDEX('2-3 引出列表'!$A$2:$CE$8700,$A180,MATCH(D$1,'2-3 引出列表'!$A$1:$CD$1,0)),""))</f>
        <v>已审核</v>
      </c>
      <c r="E180" t="str">
        <f>IF(ISBLANK(IFERROR(INDEX('2-3 引出列表'!$A$2:$CE$8700,$A180,MATCH(E$1,'2-3 引出列表'!$A$1:$CD$1,0)),"")),"",IFERROR(INDEX('2-3 引出列表'!$A$2:$CE$8700,$A180,MATCH(E$1,'2-3 引出列表'!$A$1:$CD$1,0)),""))</f>
        <v>2025-06-11</v>
      </c>
      <c r="F180" t="str">
        <f t="shared" si="2"/>
        <v>2025-06</v>
      </c>
      <c r="G180" t="str">
        <f>IF(ISBLANK(IFERROR(INDEX('2-3 引出列表'!$A$2:$CE$8700,$A180,MATCH(G$1,'2-3 引出列表'!$A$1:$CD$1,0)),"")),"",IFERROR(INDEX('2-3 引出列表'!$A$2:$CE$8700,$A180,MATCH(G$1,'2-3 引出列表'!$A$1:$CD$1,0)),""))</f>
        <v>物料消耗.物料消耗</v>
      </c>
      <c r="H180" t="str">
        <f>IF(ISBLANK(IFERROR(INDEX('2-3 引出列表'!$A$2:$CE$8700,$A180,MATCH(H$1,'2-3 引出列表'!$A$1:$CD$1,0)),"")),"",IFERROR(INDEX('2-3 引出列表'!$A$2:$CE$8700,$A180,MATCH(H$1,'2-3 引出列表'!$A$1:$CD$1,0)),""))</f>
        <v>XHWZ-Z-2025-00011</v>
      </c>
      <c r="I180" t="str">
        <f>IF(ISBLANK(IFERROR(INDEX('2-3 引出列表'!$A$2:$CE$8700,$A180,MATCH(I$1,'2-3 引出列表'!$A$1:$CD$1,0)),"")),"",IFERROR(INDEX('2-3 引出列表'!$A$2:$CE$8700,$A180,MATCH(I$1,'2-3 引出列表'!$A$1:$CD$1,0)),""))</f>
        <v>金采易购</v>
      </c>
    </row>
    <row r="181" spans="1:9">
      <c r="A181">
        <v>180</v>
      </c>
      <c r="B181" t="str">
        <f>IF(ISBLANK(IFERROR(INDEX('2-3 引出列表'!$A$2:$CE$8700,$A181,MATCH(B$1,'2-3 引出列表'!$A$1:$CD$1,0)),"")),"",IFERROR(INDEX('2-3 引出列表'!$A$2:$CE$8700,$A181,MATCH(B$1,'2-3 引出列表'!$A$1:$CD$1,0)),""))</f>
        <v>FK250611000277</v>
      </c>
      <c r="C181">
        <f>IF(ISBLANK(IFERROR(INDEX('2-3 引出列表'!$A$2:$CE$8700,$A181,MATCH(C$1,'2-3 引出列表'!$A$1:$CD$1,0)),"")),"",IFERROR(INDEX('2-3 引出列表'!$A$2:$CE$8700,$A181,MATCH(C$1,'2-3 引出列表'!$A$1:$CD$1,0)),""))</f>
        <v>47837.64</v>
      </c>
      <c r="D181" t="str">
        <f>IF(ISBLANK(IFERROR(INDEX('2-3 引出列表'!$A$2:$CE$8700,$A181,MATCH(D$1,'2-3 引出列表'!$A$1:$CD$1,0)),"")),"",IFERROR(INDEX('2-3 引出列表'!$A$2:$CE$8700,$A181,MATCH(D$1,'2-3 引出列表'!$A$1:$CD$1,0)),""))</f>
        <v>已审核</v>
      </c>
      <c r="E181" t="str">
        <f>IF(ISBLANK(IFERROR(INDEX('2-3 引出列表'!$A$2:$CE$8700,$A181,MATCH(E$1,'2-3 引出列表'!$A$1:$CD$1,0)),"")),"",IFERROR(INDEX('2-3 引出列表'!$A$2:$CE$8700,$A181,MATCH(E$1,'2-3 引出列表'!$A$1:$CD$1,0)),""))</f>
        <v>2025-06-11</v>
      </c>
      <c r="F181" t="str">
        <f t="shared" si="2"/>
        <v>2025-06</v>
      </c>
      <c r="G181" t="str">
        <f>IF(ISBLANK(IFERROR(INDEX('2-3 引出列表'!$A$2:$CE$8700,$A181,MATCH(G$1,'2-3 引出列表'!$A$1:$CD$1,0)),"")),"",IFERROR(INDEX('2-3 引出列表'!$A$2:$CE$8700,$A181,MATCH(G$1,'2-3 引出列表'!$A$1:$CD$1,0)),""))</f>
        <v>物料消耗.物料消耗</v>
      </c>
      <c r="H181" t="str">
        <f>IF(ISBLANK(IFERROR(INDEX('2-3 引出列表'!$A$2:$CE$8700,$A181,MATCH(H$1,'2-3 引出列表'!$A$1:$CD$1,0)),"")),"",IFERROR(INDEX('2-3 引出列表'!$A$2:$CE$8700,$A181,MATCH(H$1,'2-3 引出列表'!$A$1:$CD$1,0)),""))</f>
        <v>XHWZ-Z-2025-00011</v>
      </c>
      <c r="I181" t="str">
        <f>IF(ISBLANK(IFERROR(INDEX('2-3 引出列表'!$A$2:$CE$8700,$A181,MATCH(I$1,'2-3 引出列表'!$A$1:$CD$1,0)),"")),"",IFERROR(INDEX('2-3 引出列表'!$A$2:$CE$8700,$A181,MATCH(I$1,'2-3 引出列表'!$A$1:$CD$1,0)),""))</f>
        <v>金采易购</v>
      </c>
    </row>
    <row r="182" spans="1:9">
      <c r="A182">
        <v>181</v>
      </c>
      <c r="B182" t="str">
        <f>IF(ISBLANK(IFERROR(INDEX('2-3 引出列表'!$A$2:$CE$8700,$A182,MATCH(B$1,'2-3 引出列表'!$A$1:$CD$1,0)),"")),"",IFERROR(INDEX('2-3 引出列表'!$A$2:$CE$8700,$A182,MATCH(B$1,'2-3 引出列表'!$A$1:$CD$1,0)),""))</f>
        <v>FK250611000243</v>
      </c>
      <c r="C182">
        <f>IF(ISBLANK(IFERROR(INDEX('2-3 引出列表'!$A$2:$CE$8700,$A182,MATCH(C$1,'2-3 引出列表'!$A$1:$CD$1,0)),"")),"",IFERROR(INDEX('2-3 引出列表'!$A$2:$CE$8700,$A182,MATCH(C$1,'2-3 引出列表'!$A$1:$CD$1,0)),""))</f>
        <v>7900</v>
      </c>
      <c r="D182" t="str">
        <f>IF(ISBLANK(IFERROR(INDEX('2-3 引出列表'!$A$2:$CE$8700,$A182,MATCH(D$1,'2-3 引出列表'!$A$1:$CD$1,0)),"")),"",IFERROR(INDEX('2-3 引出列表'!$A$2:$CE$8700,$A182,MATCH(D$1,'2-3 引出列表'!$A$1:$CD$1,0)),""))</f>
        <v>已审核</v>
      </c>
      <c r="E182" t="str">
        <f>IF(ISBLANK(IFERROR(INDEX('2-3 引出列表'!$A$2:$CE$8700,$A182,MATCH(E$1,'2-3 引出列表'!$A$1:$CD$1,0)),"")),"",IFERROR(INDEX('2-3 引出列表'!$A$2:$CE$8700,$A182,MATCH(E$1,'2-3 引出列表'!$A$1:$CD$1,0)),""))</f>
        <v>2025-06-11</v>
      </c>
      <c r="F182" t="str">
        <f t="shared" si="2"/>
        <v>2025-06</v>
      </c>
      <c r="G182" t="str">
        <f>IF(ISBLANK(IFERROR(INDEX('2-3 引出列表'!$A$2:$CE$8700,$A182,MATCH(G$1,'2-3 引出列表'!$A$1:$CD$1,0)),"")),"",IFERROR(INDEX('2-3 引出列表'!$A$2:$CE$8700,$A182,MATCH(G$1,'2-3 引出列表'!$A$1:$CD$1,0)),""))</f>
        <v>外包服务费.保洁外包</v>
      </c>
      <c r="H182" t="str">
        <f>IF(ISBLANK(IFERROR(INDEX('2-3 引出列表'!$A$2:$CE$8700,$A182,MATCH(H$1,'2-3 引出列表'!$A$1:$CD$1,0)),"")),"",IFERROR(INDEX('2-3 引出列表'!$A$2:$CE$8700,$A182,MATCH(H$1,'2-3 引出列表'!$A$1:$CD$1,0)),""))</f>
        <v>GCFW-Z-2024-7045</v>
      </c>
      <c r="I182" t="str">
        <f>IF(ISBLANK(IFERROR(INDEX('2-3 引出列表'!$A$2:$CE$8700,$A182,MATCH(I$1,'2-3 引出列表'!$A$1:$CD$1,0)),"")),"",IFERROR(INDEX('2-3 引出列表'!$A$2:$CE$8700,$A182,MATCH(I$1,'2-3 引出列表'!$A$1:$CD$1,0)),""))</f>
        <v>金采易购</v>
      </c>
    </row>
    <row r="183" spans="1:9">
      <c r="A183">
        <v>182</v>
      </c>
      <c r="B183" t="str">
        <f>IF(ISBLANK(IFERROR(INDEX('2-3 引出列表'!$A$2:$CE$8700,$A183,MATCH(B$1,'2-3 引出列表'!$A$1:$CD$1,0)),"")),"",IFERROR(INDEX('2-3 引出列表'!$A$2:$CE$8700,$A183,MATCH(B$1,'2-3 引出列表'!$A$1:$CD$1,0)),""))</f>
        <v/>
      </c>
      <c r="C183">
        <f>IF(ISBLANK(IFERROR(INDEX('2-3 引出列表'!$A$2:$CE$8700,$A183,MATCH(C$1,'2-3 引出列表'!$A$1:$CD$1,0)),"")),"",IFERROR(INDEX('2-3 引出列表'!$A$2:$CE$8700,$A183,MATCH(C$1,'2-3 引出列表'!$A$1:$CD$1,0)),""))</f>
        <v>8540.6</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2025-01-21</v>
      </c>
      <c r="F183" t="str">
        <f t="shared" si="2"/>
        <v>2025-01</v>
      </c>
      <c r="G183" t="str">
        <f>IF(ISBLANK(IFERROR(INDEX('2-3 引出列表'!$A$2:$CE$8700,$A183,MATCH(G$1,'2-3 引出列表'!$A$1:$CD$1,0)),"")),"",IFERROR(INDEX('2-3 引出列表'!$A$2:$CE$8700,$A183,MATCH(G$1,'2-3 引出列表'!$A$1:$CD$1,0)),""))</f>
        <v>业务活动.业务招待费</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
      </c>
    </row>
    <row r="184" spans="1:9">
      <c r="A184">
        <v>183</v>
      </c>
      <c r="B184" t="str">
        <f>IF(ISBLANK(IFERROR(INDEX('2-3 引出列表'!$A$2:$CE$8700,$A184,MATCH(B$1,'2-3 引出列表'!$A$1:$CD$1,0)),"")),"",IFERROR(INDEX('2-3 引出列表'!$A$2:$CE$8700,$A184,MATCH(B$1,'2-3 引出列表'!$A$1:$CD$1,0)),""))</f>
        <v/>
      </c>
      <c r="C184">
        <f>IF(ISBLANK(IFERROR(INDEX('2-3 引出列表'!$A$2:$CE$8700,$A184,MATCH(C$1,'2-3 引出列表'!$A$1:$CD$1,0)),"")),"",IFERROR(INDEX('2-3 引出列表'!$A$2:$CE$8700,$A184,MATCH(C$1,'2-3 引出列表'!$A$1:$CD$1,0)),""))</f>
        <v>1400</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2025-01-21</v>
      </c>
      <c r="F184" t="str">
        <f t="shared" si="2"/>
        <v>2025-01</v>
      </c>
      <c r="G184" t="str">
        <f>IF(ISBLANK(IFERROR(INDEX('2-3 引出列表'!$A$2:$CE$8700,$A184,MATCH(G$1,'2-3 引出列表'!$A$1:$CD$1,0)),"")),"",IFERROR(INDEX('2-3 引出列表'!$A$2:$CE$8700,$A184,MATCH(G$1,'2-3 引出列表'!$A$1:$CD$1,0)),""))</f>
        <v>借款.员工借款</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
      </c>
    </row>
    <row r="185" spans="1:9">
      <c r="A185">
        <v>184</v>
      </c>
      <c r="B185" t="str">
        <f>IF(ISBLANK(IFERROR(INDEX('2-3 引出列表'!$A$2:$CE$8700,$A185,MATCH(B$1,'2-3 引出列表'!$A$1:$CD$1,0)),"")),"",IFERROR(INDEX('2-3 引出列表'!$A$2:$CE$8700,$A185,MATCH(B$1,'2-3 引出列表'!$A$1:$CD$1,0)),""))</f>
        <v>FK250116001489</v>
      </c>
      <c r="C185">
        <f>IF(ISBLANK(IFERROR(INDEX('2-3 引出列表'!$A$2:$CE$8700,$A185,MATCH(C$1,'2-3 引出列表'!$A$1:$CD$1,0)),"")),"",IFERROR(INDEX('2-3 引出列表'!$A$2:$CE$8700,$A185,MATCH(C$1,'2-3 引出列表'!$A$1:$CD$1,0)),""))</f>
        <v>112308</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2025-01-16</v>
      </c>
      <c r="F185" t="str">
        <f t="shared" si="2"/>
        <v>2025-01</v>
      </c>
      <c r="G185" t="str">
        <f>IF(ISBLANK(IFERROR(INDEX('2-3 引出列表'!$A$2:$CE$8700,$A185,MATCH(G$1,'2-3 引出列表'!$A$1:$CD$1,0)),"")),"",IFERROR(INDEX('2-3 引出列表'!$A$2:$CE$8700,$A185,MATCH(G$1,'2-3 引出列表'!$A$1:$CD$1,0)),""))</f>
        <v>物料消耗.物料消耗</v>
      </c>
      <c r="H185" t="str">
        <f>IF(ISBLANK(IFERROR(INDEX('2-3 引出列表'!$A$2:$CE$8700,$A185,MATCH(H$1,'2-3 引出列表'!$A$1:$CD$1,0)),"")),"",IFERROR(INDEX('2-3 引出列表'!$A$2:$CE$8700,$A185,MATCH(H$1,'2-3 引出列表'!$A$1:$CD$1,0)),""))</f>
        <v>XHWZ-Z-2024-0010</v>
      </c>
      <c r="I185" t="str">
        <f>IF(ISBLANK(IFERROR(INDEX('2-3 引出列表'!$A$2:$CE$8700,$A185,MATCH(I$1,'2-3 引出列表'!$A$1:$CD$1,0)),"")),"",IFERROR(INDEX('2-3 引出列表'!$A$2:$CE$8700,$A185,MATCH(I$1,'2-3 引出列表'!$A$1:$CD$1,0)),""))</f>
        <v>金采易购</v>
      </c>
    </row>
    <row r="186" spans="1:9">
      <c r="A186">
        <v>185</v>
      </c>
      <c r="B186" t="str">
        <f>IF(ISBLANK(IFERROR(INDEX('2-3 引出列表'!$A$2:$CE$8700,$A186,MATCH(B$1,'2-3 引出列表'!$A$1:$CD$1,0)),"")),"",IFERROR(INDEX('2-3 引出列表'!$A$2:$CE$8700,$A186,MATCH(B$1,'2-3 引出列表'!$A$1:$CD$1,0)),""))</f>
        <v>FK250116001489</v>
      </c>
      <c r="C186">
        <f>IF(ISBLANK(IFERROR(INDEX('2-3 引出列表'!$A$2:$CE$8700,$A186,MATCH(C$1,'2-3 引出列表'!$A$1:$CD$1,0)),"")),"",IFERROR(INDEX('2-3 引出列表'!$A$2:$CE$8700,$A186,MATCH(C$1,'2-3 引出列表'!$A$1:$CD$1,0)),""))</f>
        <v>112308</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2025-01-16</v>
      </c>
      <c r="F186" t="str">
        <f t="shared" si="2"/>
        <v>2025-01</v>
      </c>
      <c r="G186" t="str">
        <f>IF(ISBLANK(IFERROR(INDEX('2-3 引出列表'!$A$2:$CE$8700,$A186,MATCH(G$1,'2-3 引出列表'!$A$1:$CD$1,0)),"")),"",IFERROR(INDEX('2-3 引出列表'!$A$2:$CE$8700,$A186,MATCH(G$1,'2-3 引出列表'!$A$1:$CD$1,0)),""))</f>
        <v>物料消耗.物料消耗</v>
      </c>
      <c r="H186" t="str">
        <f>IF(ISBLANK(IFERROR(INDEX('2-3 引出列表'!$A$2:$CE$8700,$A186,MATCH(H$1,'2-3 引出列表'!$A$1:$CD$1,0)),"")),"",IFERROR(INDEX('2-3 引出列表'!$A$2:$CE$8700,$A186,MATCH(H$1,'2-3 引出列表'!$A$1:$CD$1,0)),""))</f>
        <v>XHWZ-Z-2024-0010</v>
      </c>
      <c r="I186" t="str">
        <f>IF(ISBLANK(IFERROR(INDEX('2-3 引出列表'!$A$2:$CE$8700,$A186,MATCH(I$1,'2-3 引出列表'!$A$1:$CD$1,0)),"")),"",IFERROR(INDEX('2-3 引出列表'!$A$2:$CE$8700,$A186,MATCH(I$1,'2-3 引出列表'!$A$1:$CD$1,0)),""))</f>
        <v>金采易购</v>
      </c>
    </row>
    <row r="187" spans="1:9">
      <c r="A187">
        <v>186</v>
      </c>
      <c r="B187" t="str">
        <f>IF(ISBLANK(IFERROR(INDEX('2-3 引出列表'!$A$2:$CE$8700,$A187,MATCH(B$1,'2-3 引出列表'!$A$1:$CD$1,0)),"")),"",IFERROR(INDEX('2-3 引出列表'!$A$2:$CE$8700,$A187,MATCH(B$1,'2-3 引出列表'!$A$1:$CD$1,0)),""))</f>
        <v>FK250116001489</v>
      </c>
      <c r="C187">
        <f>IF(ISBLANK(IFERROR(INDEX('2-3 引出列表'!$A$2:$CE$8700,$A187,MATCH(C$1,'2-3 引出列表'!$A$1:$CD$1,0)),"")),"",IFERROR(INDEX('2-3 引出列表'!$A$2:$CE$8700,$A187,MATCH(C$1,'2-3 引出列表'!$A$1:$CD$1,0)),""))</f>
        <v>112308</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2025-01-16</v>
      </c>
      <c r="F187" t="str">
        <f t="shared" si="2"/>
        <v>2025-01</v>
      </c>
      <c r="G187" t="str">
        <f>IF(ISBLANK(IFERROR(INDEX('2-3 引出列表'!$A$2:$CE$8700,$A187,MATCH(G$1,'2-3 引出列表'!$A$1:$CD$1,0)),"")),"",IFERROR(INDEX('2-3 引出列表'!$A$2:$CE$8700,$A187,MATCH(G$1,'2-3 引出列表'!$A$1:$CD$1,0)),""))</f>
        <v>物料消耗.物料消耗</v>
      </c>
      <c r="H187" t="str">
        <f>IF(ISBLANK(IFERROR(INDEX('2-3 引出列表'!$A$2:$CE$8700,$A187,MATCH(H$1,'2-3 引出列表'!$A$1:$CD$1,0)),"")),"",IFERROR(INDEX('2-3 引出列表'!$A$2:$CE$8700,$A187,MATCH(H$1,'2-3 引出列表'!$A$1:$CD$1,0)),""))</f>
        <v>XHWZ-Z-2024-0010</v>
      </c>
      <c r="I187" t="str">
        <f>IF(ISBLANK(IFERROR(INDEX('2-3 引出列表'!$A$2:$CE$8700,$A187,MATCH(I$1,'2-3 引出列表'!$A$1:$CD$1,0)),"")),"",IFERROR(INDEX('2-3 引出列表'!$A$2:$CE$8700,$A187,MATCH(I$1,'2-3 引出列表'!$A$1:$CD$1,0)),""))</f>
        <v>金采易购</v>
      </c>
    </row>
    <row r="188" spans="1:9">
      <c r="A188">
        <v>187</v>
      </c>
      <c r="B188" t="str">
        <f>IF(ISBLANK(IFERROR(INDEX('2-3 引出列表'!$A$2:$CE$8700,$A188,MATCH(B$1,'2-3 引出列表'!$A$1:$CD$1,0)),"")),"",IFERROR(INDEX('2-3 引出列表'!$A$2:$CE$8700,$A188,MATCH(B$1,'2-3 引出列表'!$A$1:$CD$1,0)),""))</f>
        <v>FK250116001489</v>
      </c>
      <c r="C188">
        <f>IF(ISBLANK(IFERROR(INDEX('2-3 引出列表'!$A$2:$CE$8700,$A188,MATCH(C$1,'2-3 引出列表'!$A$1:$CD$1,0)),"")),"",IFERROR(INDEX('2-3 引出列表'!$A$2:$CE$8700,$A188,MATCH(C$1,'2-3 引出列表'!$A$1:$CD$1,0)),""))</f>
        <v>112308</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2025-01-16</v>
      </c>
      <c r="F188" t="str">
        <f t="shared" si="2"/>
        <v>2025-01</v>
      </c>
      <c r="G188" t="str">
        <f>IF(ISBLANK(IFERROR(INDEX('2-3 引出列表'!$A$2:$CE$8700,$A188,MATCH(G$1,'2-3 引出列表'!$A$1:$CD$1,0)),"")),"",IFERROR(INDEX('2-3 引出列表'!$A$2:$CE$8700,$A188,MATCH(G$1,'2-3 引出列表'!$A$1:$CD$1,0)),""))</f>
        <v>物料消耗.物料消耗</v>
      </c>
      <c r="H188" t="str">
        <f>IF(ISBLANK(IFERROR(INDEX('2-3 引出列表'!$A$2:$CE$8700,$A188,MATCH(H$1,'2-3 引出列表'!$A$1:$CD$1,0)),"")),"",IFERROR(INDEX('2-3 引出列表'!$A$2:$CE$8700,$A188,MATCH(H$1,'2-3 引出列表'!$A$1:$CD$1,0)),""))</f>
        <v>XHWZ-Z-2024-0010</v>
      </c>
      <c r="I188" t="str">
        <f>IF(ISBLANK(IFERROR(INDEX('2-3 引出列表'!$A$2:$CE$8700,$A188,MATCH(I$1,'2-3 引出列表'!$A$1:$CD$1,0)),"")),"",IFERROR(INDEX('2-3 引出列表'!$A$2:$CE$8700,$A188,MATCH(I$1,'2-3 引出列表'!$A$1:$CD$1,0)),""))</f>
        <v>金采易购</v>
      </c>
    </row>
    <row r="189" spans="1:9">
      <c r="A189">
        <v>188</v>
      </c>
      <c r="B189" t="str">
        <f>IF(ISBLANK(IFERROR(INDEX('2-3 引出列表'!$A$2:$CE$8700,$A189,MATCH(B$1,'2-3 引出列表'!$A$1:$CD$1,0)),"")),"",IFERROR(INDEX('2-3 引出列表'!$A$2:$CE$8700,$A189,MATCH(B$1,'2-3 引出列表'!$A$1:$CD$1,0)),""))</f>
        <v>FK250116001489</v>
      </c>
      <c r="C189">
        <f>IF(ISBLANK(IFERROR(INDEX('2-3 引出列表'!$A$2:$CE$8700,$A189,MATCH(C$1,'2-3 引出列表'!$A$1:$CD$1,0)),"")),"",IFERROR(INDEX('2-3 引出列表'!$A$2:$CE$8700,$A189,MATCH(C$1,'2-3 引出列表'!$A$1:$CD$1,0)),""))</f>
        <v>112308</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2025-01-16</v>
      </c>
      <c r="F189" t="str">
        <f t="shared" si="2"/>
        <v>2025-01</v>
      </c>
      <c r="G189" t="str">
        <f>IF(ISBLANK(IFERROR(INDEX('2-3 引出列表'!$A$2:$CE$8700,$A189,MATCH(G$1,'2-3 引出列表'!$A$1:$CD$1,0)),"")),"",IFERROR(INDEX('2-3 引出列表'!$A$2:$CE$8700,$A189,MATCH(G$1,'2-3 引出列表'!$A$1:$CD$1,0)),""))</f>
        <v>物料消耗.物料消耗</v>
      </c>
      <c r="H189" t="str">
        <f>IF(ISBLANK(IFERROR(INDEX('2-3 引出列表'!$A$2:$CE$8700,$A189,MATCH(H$1,'2-3 引出列表'!$A$1:$CD$1,0)),"")),"",IFERROR(INDEX('2-3 引出列表'!$A$2:$CE$8700,$A189,MATCH(H$1,'2-3 引出列表'!$A$1:$CD$1,0)),""))</f>
        <v>XHWZ-Z-2024-0010</v>
      </c>
      <c r="I189" t="str">
        <f>IF(ISBLANK(IFERROR(INDEX('2-3 引出列表'!$A$2:$CE$8700,$A189,MATCH(I$1,'2-3 引出列表'!$A$1:$CD$1,0)),"")),"",IFERROR(INDEX('2-3 引出列表'!$A$2:$CE$8700,$A189,MATCH(I$1,'2-3 引出列表'!$A$1:$CD$1,0)),""))</f>
        <v>金采易购</v>
      </c>
    </row>
    <row r="190" spans="1:9">
      <c r="A190">
        <v>189</v>
      </c>
      <c r="B190" t="str">
        <f>IF(ISBLANK(IFERROR(INDEX('2-3 引出列表'!$A$2:$CE$8700,$A190,MATCH(B$1,'2-3 引出列表'!$A$1:$CD$1,0)),"")),"",IFERROR(INDEX('2-3 引出列表'!$A$2:$CE$8700,$A190,MATCH(B$1,'2-3 引出列表'!$A$1:$CD$1,0)),""))</f>
        <v>FK250116001489</v>
      </c>
      <c r="C190">
        <f>IF(ISBLANK(IFERROR(INDEX('2-3 引出列表'!$A$2:$CE$8700,$A190,MATCH(C$1,'2-3 引出列表'!$A$1:$CD$1,0)),"")),"",IFERROR(INDEX('2-3 引出列表'!$A$2:$CE$8700,$A190,MATCH(C$1,'2-3 引出列表'!$A$1:$CD$1,0)),""))</f>
        <v>112308</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2025-01-16</v>
      </c>
      <c r="F190" t="str">
        <f t="shared" si="2"/>
        <v>2025-01</v>
      </c>
      <c r="G190" t="str">
        <f>IF(ISBLANK(IFERROR(INDEX('2-3 引出列表'!$A$2:$CE$8700,$A190,MATCH(G$1,'2-3 引出列表'!$A$1:$CD$1,0)),"")),"",IFERROR(INDEX('2-3 引出列表'!$A$2:$CE$8700,$A190,MATCH(G$1,'2-3 引出列表'!$A$1:$CD$1,0)),""))</f>
        <v>物料消耗.物料消耗</v>
      </c>
      <c r="H190" t="str">
        <f>IF(ISBLANK(IFERROR(INDEX('2-3 引出列表'!$A$2:$CE$8700,$A190,MATCH(H$1,'2-3 引出列表'!$A$1:$CD$1,0)),"")),"",IFERROR(INDEX('2-3 引出列表'!$A$2:$CE$8700,$A190,MATCH(H$1,'2-3 引出列表'!$A$1:$CD$1,0)),""))</f>
        <v>XHWZ-Z-2024-0010</v>
      </c>
      <c r="I190" t="str">
        <f>IF(ISBLANK(IFERROR(INDEX('2-3 引出列表'!$A$2:$CE$8700,$A190,MATCH(I$1,'2-3 引出列表'!$A$1:$CD$1,0)),"")),"",IFERROR(INDEX('2-3 引出列表'!$A$2:$CE$8700,$A190,MATCH(I$1,'2-3 引出列表'!$A$1:$CD$1,0)),""))</f>
        <v>金采易购</v>
      </c>
    </row>
    <row r="191" spans="1:9">
      <c r="A191">
        <v>190</v>
      </c>
      <c r="B191" t="str">
        <f>IF(ISBLANK(IFERROR(INDEX('2-3 引出列表'!$A$2:$CE$8700,$A191,MATCH(B$1,'2-3 引出列表'!$A$1:$CD$1,0)),"")),"",IFERROR(INDEX('2-3 引出列表'!$A$2:$CE$8700,$A191,MATCH(B$1,'2-3 引出列表'!$A$1:$CD$1,0)),""))</f>
        <v>FK250116001489</v>
      </c>
      <c r="C191">
        <f>IF(ISBLANK(IFERROR(INDEX('2-3 引出列表'!$A$2:$CE$8700,$A191,MATCH(C$1,'2-3 引出列表'!$A$1:$CD$1,0)),"")),"",IFERROR(INDEX('2-3 引出列表'!$A$2:$CE$8700,$A191,MATCH(C$1,'2-3 引出列表'!$A$1:$CD$1,0)),""))</f>
        <v>112308</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2025-01-16</v>
      </c>
      <c r="F191" t="str">
        <f t="shared" si="2"/>
        <v>2025-01</v>
      </c>
      <c r="G191" t="str">
        <f>IF(ISBLANK(IFERROR(INDEX('2-3 引出列表'!$A$2:$CE$8700,$A191,MATCH(G$1,'2-3 引出列表'!$A$1:$CD$1,0)),"")),"",IFERROR(INDEX('2-3 引出列表'!$A$2:$CE$8700,$A191,MATCH(G$1,'2-3 引出列表'!$A$1:$CD$1,0)),""))</f>
        <v>物料消耗.物料消耗</v>
      </c>
      <c r="H191" t="str">
        <f>IF(ISBLANK(IFERROR(INDEX('2-3 引出列表'!$A$2:$CE$8700,$A191,MATCH(H$1,'2-3 引出列表'!$A$1:$CD$1,0)),"")),"",IFERROR(INDEX('2-3 引出列表'!$A$2:$CE$8700,$A191,MATCH(H$1,'2-3 引出列表'!$A$1:$CD$1,0)),""))</f>
        <v>XHWZ-Z-2024-0010</v>
      </c>
      <c r="I191" t="str">
        <f>IF(ISBLANK(IFERROR(INDEX('2-3 引出列表'!$A$2:$CE$8700,$A191,MATCH(I$1,'2-3 引出列表'!$A$1:$CD$1,0)),"")),"",IFERROR(INDEX('2-3 引出列表'!$A$2:$CE$8700,$A191,MATCH(I$1,'2-3 引出列表'!$A$1:$CD$1,0)),""))</f>
        <v>金采易购</v>
      </c>
    </row>
    <row r="192" spans="1:9">
      <c r="A192">
        <v>191</v>
      </c>
      <c r="B192" t="str">
        <f>IF(ISBLANK(IFERROR(INDEX('2-3 引出列表'!$A$2:$CE$8700,$A192,MATCH(B$1,'2-3 引出列表'!$A$1:$CD$1,0)),"")),"",IFERROR(INDEX('2-3 引出列表'!$A$2:$CE$8700,$A192,MATCH(B$1,'2-3 引出列表'!$A$1:$CD$1,0)),""))</f>
        <v>FK250116001489</v>
      </c>
      <c r="C192">
        <f>IF(ISBLANK(IFERROR(INDEX('2-3 引出列表'!$A$2:$CE$8700,$A192,MATCH(C$1,'2-3 引出列表'!$A$1:$CD$1,0)),"")),"",IFERROR(INDEX('2-3 引出列表'!$A$2:$CE$8700,$A192,MATCH(C$1,'2-3 引出列表'!$A$1:$CD$1,0)),""))</f>
        <v>112308</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2025-01-16</v>
      </c>
      <c r="F192" t="str">
        <f t="shared" si="2"/>
        <v>2025-01</v>
      </c>
      <c r="G192" t="str">
        <f>IF(ISBLANK(IFERROR(INDEX('2-3 引出列表'!$A$2:$CE$8700,$A192,MATCH(G$1,'2-3 引出列表'!$A$1:$CD$1,0)),"")),"",IFERROR(INDEX('2-3 引出列表'!$A$2:$CE$8700,$A192,MATCH(G$1,'2-3 引出列表'!$A$1:$CD$1,0)),""))</f>
        <v>物料消耗.物料消耗</v>
      </c>
      <c r="H192" t="str">
        <f>IF(ISBLANK(IFERROR(INDEX('2-3 引出列表'!$A$2:$CE$8700,$A192,MATCH(H$1,'2-3 引出列表'!$A$1:$CD$1,0)),"")),"",IFERROR(INDEX('2-3 引出列表'!$A$2:$CE$8700,$A192,MATCH(H$1,'2-3 引出列表'!$A$1:$CD$1,0)),""))</f>
        <v>XHWZ-Z-2024-0010</v>
      </c>
      <c r="I192" t="str">
        <f>IF(ISBLANK(IFERROR(INDEX('2-3 引出列表'!$A$2:$CE$8700,$A192,MATCH(I$1,'2-3 引出列表'!$A$1:$CD$1,0)),"")),"",IFERROR(INDEX('2-3 引出列表'!$A$2:$CE$8700,$A192,MATCH(I$1,'2-3 引出列表'!$A$1:$CD$1,0)),""))</f>
        <v>金采易购</v>
      </c>
    </row>
    <row r="193" spans="1:9">
      <c r="A193">
        <v>192</v>
      </c>
      <c r="B193" t="str">
        <f>IF(ISBLANK(IFERROR(INDEX('2-3 引出列表'!$A$2:$CE$8700,$A193,MATCH(B$1,'2-3 引出列表'!$A$1:$CD$1,0)),"")),"",IFERROR(INDEX('2-3 引出列表'!$A$2:$CE$8700,$A193,MATCH(B$1,'2-3 引出列表'!$A$1:$CD$1,0)),""))</f>
        <v>FK250116001489</v>
      </c>
      <c r="C193">
        <f>IF(ISBLANK(IFERROR(INDEX('2-3 引出列表'!$A$2:$CE$8700,$A193,MATCH(C$1,'2-3 引出列表'!$A$1:$CD$1,0)),"")),"",IFERROR(INDEX('2-3 引出列表'!$A$2:$CE$8700,$A193,MATCH(C$1,'2-3 引出列表'!$A$1:$CD$1,0)),""))</f>
        <v>112308</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2025-01-16</v>
      </c>
      <c r="F193" t="str">
        <f t="shared" si="2"/>
        <v>2025-01</v>
      </c>
      <c r="G193" t="str">
        <f>IF(ISBLANK(IFERROR(INDEX('2-3 引出列表'!$A$2:$CE$8700,$A193,MATCH(G$1,'2-3 引出列表'!$A$1:$CD$1,0)),"")),"",IFERROR(INDEX('2-3 引出列表'!$A$2:$CE$8700,$A193,MATCH(G$1,'2-3 引出列表'!$A$1:$CD$1,0)),""))</f>
        <v>物料消耗.物料消耗</v>
      </c>
      <c r="H193" t="str">
        <f>IF(ISBLANK(IFERROR(INDEX('2-3 引出列表'!$A$2:$CE$8700,$A193,MATCH(H$1,'2-3 引出列表'!$A$1:$CD$1,0)),"")),"",IFERROR(INDEX('2-3 引出列表'!$A$2:$CE$8700,$A193,MATCH(H$1,'2-3 引出列表'!$A$1:$CD$1,0)),""))</f>
        <v>XHWZ-Z-2024-0010</v>
      </c>
      <c r="I193" t="str">
        <f>IF(ISBLANK(IFERROR(INDEX('2-3 引出列表'!$A$2:$CE$8700,$A193,MATCH(I$1,'2-3 引出列表'!$A$1:$CD$1,0)),"")),"",IFERROR(INDEX('2-3 引出列表'!$A$2:$CE$8700,$A193,MATCH(I$1,'2-3 引出列表'!$A$1:$CD$1,0)),""))</f>
        <v>金采易购</v>
      </c>
    </row>
    <row r="194" spans="1:9">
      <c r="A194">
        <v>193</v>
      </c>
      <c r="B194" t="str">
        <f>IF(ISBLANK(IFERROR(INDEX('2-3 引出列表'!$A$2:$CE$8700,$A194,MATCH(B$1,'2-3 引出列表'!$A$1:$CD$1,0)),"")),"",IFERROR(INDEX('2-3 引出列表'!$A$2:$CE$8700,$A194,MATCH(B$1,'2-3 引出列表'!$A$1:$CD$1,0)),""))</f>
        <v>FK250116001489</v>
      </c>
      <c r="C194">
        <f>IF(ISBLANK(IFERROR(INDEX('2-3 引出列表'!$A$2:$CE$8700,$A194,MATCH(C$1,'2-3 引出列表'!$A$1:$CD$1,0)),"")),"",IFERROR(INDEX('2-3 引出列表'!$A$2:$CE$8700,$A194,MATCH(C$1,'2-3 引出列表'!$A$1:$CD$1,0)),""))</f>
        <v>112308</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2025-01-16</v>
      </c>
      <c r="F194" t="str">
        <f t="shared" ref="F194:F257" si="3">LEFT(E194,7)</f>
        <v>2025-01</v>
      </c>
      <c r="G194" t="str">
        <f>IF(ISBLANK(IFERROR(INDEX('2-3 引出列表'!$A$2:$CE$8700,$A194,MATCH(G$1,'2-3 引出列表'!$A$1:$CD$1,0)),"")),"",IFERROR(INDEX('2-3 引出列表'!$A$2:$CE$8700,$A194,MATCH(G$1,'2-3 引出列表'!$A$1:$CD$1,0)),""))</f>
        <v>物料消耗.物料消耗</v>
      </c>
      <c r="H194" t="str">
        <f>IF(ISBLANK(IFERROR(INDEX('2-3 引出列表'!$A$2:$CE$8700,$A194,MATCH(H$1,'2-3 引出列表'!$A$1:$CD$1,0)),"")),"",IFERROR(INDEX('2-3 引出列表'!$A$2:$CE$8700,$A194,MATCH(H$1,'2-3 引出列表'!$A$1:$CD$1,0)),""))</f>
        <v>XHWZ-Z-2024-0010</v>
      </c>
      <c r="I194" t="str">
        <f>IF(ISBLANK(IFERROR(INDEX('2-3 引出列表'!$A$2:$CE$8700,$A194,MATCH(I$1,'2-3 引出列表'!$A$1:$CD$1,0)),"")),"",IFERROR(INDEX('2-3 引出列表'!$A$2:$CE$8700,$A194,MATCH(I$1,'2-3 引出列表'!$A$1:$CD$1,0)),""))</f>
        <v>金采易购</v>
      </c>
    </row>
    <row r="195" spans="1:9">
      <c r="A195">
        <v>194</v>
      </c>
      <c r="B195" t="str">
        <f>IF(ISBLANK(IFERROR(INDEX('2-3 引出列表'!$A$2:$CE$8700,$A195,MATCH(B$1,'2-3 引出列表'!$A$1:$CD$1,0)),"")),"",IFERROR(INDEX('2-3 引出列表'!$A$2:$CE$8700,$A195,MATCH(B$1,'2-3 引出列表'!$A$1:$CD$1,0)),""))</f>
        <v>FK250116001489</v>
      </c>
      <c r="C195">
        <f>IF(ISBLANK(IFERROR(INDEX('2-3 引出列表'!$A$2:$CE$8700,$A195,MATCH(C$1,'2-3 引出列表'!$A$1:$CD$1,0)),"")),"",IFERROR(INDEX('2-3 引出列表'!$A$2:$CE$8700,$A195,MATCH(C$1,'2-3 引出列表'!$A$1:$CD$1,0)),""))</f>
        <v>112308</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2025-01-16</v>
      </c>
      <c r="F195" t="str">
        <f t="shared" si="3"/>
        <v>2025-01</v>
      </c>
      <c r="G195" t="str">
        <f>IF(ISBLANK(IFERROR(INDEX('2-3 引出列表'!$A$2:$CE$8700,$A195,MATCH(G$1,'2-3 引出列表'!$A$1:$CD$1,0)),"")),"",IFERROR(INDEX('2-3 引出列表'!$A$2:$CE$8700,$A195,MATCH(G$1,'2-3 引出列表'!$A$1:$CD$1,0)),""))</f>
        <v>物料消耗.物料消耗</v>
      </c>
      <c r="H195" t="str">
        <f>IF(ISBLANK(IFERROR(INDEX('2-3 引出列表'!$A$2:$CE$8700,$A195,MATCH(H$1,'2-3 引出列表'!$A$1:$CD$1,0)),"")),"",IFERROR(INDEX('2-3 引出列表'!$A$2:$CE$8700,$A195,MATCH(H$1,'2-3 引出列表'!$A$1:$CD$1,0)),""))</f>
        <v>XHWZ-Z-2024-0010</v>
      </c>
      <c r="I195" t="str">
        <f>IF(ISBLANK(IFERROR(INDEX('2-3 引出列表'!$A$2:$CE$8700,$A195,MATCH(I$1,'2-3 引出列表'!$A$1:$CD$1,0)),"")),"",IFERROR(INDEX('2-3 引出列表'!$A$2:$CE$8700,$A195,MATCH(I$1,'2-3 引出列表'!$A$1:$CD$1,0)),""))</f>
        <v>金采易购</v>
      </c>
    </row>
    <row r="196" spans="1:9">
      <c r="A196">
        <v>195</v>
      </c>
      <c r="B196" t="str">
        <f>IF(ISBLANK(IFERROR(INDEX('2-3 引出列表'!$A$2:$CE$8700,$A196,MATCH(B$1,'2-3 引出列表'!$A$1:$CD$1,0)),"")),"",IFERROR(INDEX('2-3 引出列表'!$A$2:$CE$8700,$A196,MATCH(B$1,'2-3 引出列表'!$A$1:$CD$1,0)),""))</f>
        <v>FK250116001489</v>
      </c>
      <c r="C196">
        <f>IF(ISBLANK(IFERROR(INDEX('2-3 引出列表'!$A$2:$CE$8700,$A196,MATCH(C$1,'2-3 引出列表'!$A$1:$CD$1,0)),"")),"",IFERROR(INDEX('2-3 引出列表'!$A$2:$CE$8700,$A196,MATCH(C$1,'2-3 引出列表'!$A$1:$CD$1,0)),""))</f>
        <v>112308</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2025-01-16</v>
      </c>
      <c r="F196" t="str">
        <f t="shared" si="3"/>
        <v>2025-01</v>
      </c>
      <c r="G196" t="str">
        <f>IF(ISBLANK(IFERROR(INDEX('2-3 引出列表'!$A$2:$CE$8700,$A196,MATCH(G$1,'2-3 引出列表'!$A$1:$CD$1,0)),"")),"",IFERROR(INDEX('2-3 引出列表'!$A$2:$CE$8700,$A196,MATCH(G$1,'2-3 引出列表'!$A$1:$CD$1,0)),""))</f>
        <v>物料消耗.物料消耗</v>
      </c>
      <c r="H196" t="str">
        <f>IF(ISBLANK(IFERROR(INDEX('2-3 引出列表'!$A$2:$CE$8700,$A196,MATCH(H$1,'2-3 引出列表'!$A$1:$CD$1,0)),"")),"",IFERROR(INDEX('2-3 引出列表'!$A$2:$CE$8700,$A196,MATCH(H$1,'2-3 引出列表'!$A$1:$CD$1,0)),""))</f>
        <v>XHWZ-Z-2024-0010</v>
      </c>
      <c r="I196" t="str">
        <f>IF(ISBLANK(IFERROR(INDEX('2-3 引出列表'!$A$2:$CE$8700,$A196,MATCH(I$1,'2-3 引出列表'!$A$1:$CD$1,0)),"")),"",IFERROR(INDEX('2-3 引出列表'!$A$2:$CE$8700,$A196,MATCH(I$1,'2-3 引出列表'!$A$1:$CD$1,0)),""))</f>
        <v>金采易购</v>
      </c>
    </row>
    <row r="197" spans="1:9">
      <c r="A197">
        <v>196</v>
      </c>
      <c r="B197" t="str">
        <f>IF(ISBLANK(IFERROR(INDEX('2-3 引出列表'!$A$2:$CE$8700,$A197,MATCH(B$1,'2-3 引出列表'!$A$1:$CD$1,0)),"")),"",IFERROR(INDEX('2-3 引出列表'!$A$2:$CE$8700,$A197,MATCH(B$1,'2-3 引出列表'!$A$1:$CD$1,0)),""))</f>
        <v>FK250116001489</v>
      </c>
      <c r="C197">
        <f>IF(ISBLANK(IFERROR(INDEX('2-3 引出列表'!$A$2:$CE$8700,$A197,MATCH(C$1,'2-3 引出列表'!$A$1:$CD$1,0)),"")),"",IFERROR(INDEX('2-3 引出列表'!$A$2:$CE$8700,$A197,MATCH(C$1,'2-3 引出列表'!$A$1:$CD$1,0)),""))</f>
        <v>112308</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2025-01-16</v>
      </c>
      <c r="F197" t="str">
        <f t="shared" si="3"/>
        <v>2025-01</v>
      </c>
      <c r="G197" t="str">
        <f>IF(ISBLANK(IFERROR(INDEX('2-3 引出列表'!$A$2:$CE$8700,$A197,MATCH(G$1,'2-3 引出列表'!$A$1:$CD$1,0)),"")),"",IFERROR(INDEX('2-3 引出列表'!$A$2:$CE$8700,$A197,MATCH(G$1,'2-3 引出列表'!$A$1:$CD$1,0)),""))</f>
        <v>物料消耗.物料消耗</v>
      </c>
      <c r="H197" t="str">
        <f>IF(ISBLANK(IFERROR(INDEX('2-3 引出列表'!$A$2:$CE$8700,$A197,MATCH(H$1,'2-3 引出列表'!$A$1:$CD$1,0)),"")),"",IFERROR(INDEX('2-3 引出列表'!$A$2:$CE$8700,$A197,MATCH(H$1,'2-3 引出列表'!$A$1:$CD$1,0)),""))</f>
        <v>XHWZ-Z-2024-0010</v>
      </c>
      <c r="I197" t="str">
        <f>IF(ISBLANK(IFERROR(INDEX('2-3 引出列表'!$A$2:$CE$8700,$A197,MATCH(I$1,'2-3 引出列表'!$A$1:$CD$1,0)),"")),"",IFERROR(INDEX('2-3 引出列表'!$A$2:$CE$8700,$A197,MATCH(I$1,'2-3 引出列表'!$A$1:$CD$1,0)),""))</f>
        <v>金采易购</v>
      </c>
    </row>
    <row r="198" spans="1:9">
      <c r="A198">
        <v>197</v>
      </c>
      <c r="B198" t="str">
        <f>IF(ISBLANK(IFERROR(INDEX('2-3 引出列表'!$A$2:$CE$8700,$A198,MATCH(B$1,'2-3 引出列表'!$A$1:$CD$1,0)),"")),"",IFERROR(INDEX('2-3 引出列表'!$A$2:$CE$8700,$A198,MATCH(B$1,'2-3 引出列表'!$A$1:$CD$1,0)),""))</f>
        <v>FK250116001489</v>
      </c>
      <c r="C198">
        <f>IF(ISBLANK(IFERROR(INDEX('2-3 引出列表'!$A$2:$CE$8700,$A198,MATCH(C$1,'2-3 引出列表'!$A$1:$CD$1,0)),"")),"",IFERROR(INDEX('2-3 引出列表'!$A$2:$CE$8700,$A198,MATCH(C$1,'2-3 引出列表'!$A$1:$CD$1,0)),""))</f>
        <v>112308</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2025-01-16</v>
      </c>
      <c r="F198" t="str">
        <f t="shared" si="3"/>
        <v>2025-01</v>
      </c>
      <c r="G198" t="str">
        <f>IF(ISBLANK(IFERROR(INDEX('2-3 引出列表'!$A$2:$CE$8700,$A198,MATCH(G$1,'2-3 引出列表'!$A$1:$CD$1,0)),"")),"",IFERROR(INDEX('2-3 引出列表'!$A$2:$CE$8700,$A198,MATCH(G$1,'2-3 引出列表'!$A$1:$CD$1,0)),""))</f>
        <v>物料消耗.物料消耗</v>
      </c>
      <c r="H198" t="str">
        <f>IF(ISBLANK(IFERROR(INDEX('2-3 引出列表'!$A$2:$CE$8700,$A198,MATCH(H$1,'2-3 引出列表'!$A$1:$CD$1,0)),"")),"",IFERROR(INDEX('2-3 引出列表'!$A$2:$CE$8700,$A198,MATCH(H$1,'2-3 引出列表'!$A$1:$CD$1,0)),""))</f>
        <v>XHWZ-Z-2024-0010</v>
      </c>
      <c r="I198" t="str">
        <f>IF(ISBLANK(IFERROR(INDEX('2-3 引出列表'!$A$2:$CE$8700,$A198,MATCH(I$1,'2-3 引出列表'!$A$1:$CD$1,0)),"")),"",IFERROR(INDEX('2-3 引出列表'!$A$2:$CE$8700,$A198,MATCH(I$1,'2-3 引出列表'!$A$1:$CD$1,0)),""))</f>
        <v>金采易购</v>
      </c>
    </row>
    <row r="199" spans="1:9">
      <c r="A199">
        <v>198</v>
      </c>
      <c r="B199" t="str">
        <f>IF(ISBLANK(IFERROR(INDEX('2-3 引出列表'!$A$2:$CE$8700,$A199,MATCH(B$1,'2-3 引出列表'!$A$1:$CD$1,0)),"")),"",IFERROR(INDEX('2-3 引出列表'!$A$2:$CE$8700,$A199,MATCH(B$1,'2-3 引出列表'!$A$1:$CD$1,0)),""))</f>
        <v>FK250116001489</v>
      </c>
      <c r="C199">
        <f>IF(ISBLANK(IFERROR(INDEX('2-3 引出列表'!$A$2:$CE$8700,$A199,MATCH(C$1,'2-3 引出列表'!$A$1:$CD$1,0)),"")),"",IFERROR(INDEX('2-3 引出列表'!$A$2:$CE$8700,$A199,MATCH(C$1,'2-3 引出列表'!$A$1:$CD$1,0)),""))</f>
        <v>112308</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2025-01-16</v>
      </c>
      <c r="F199" t="str">
        <f t="shared" si="3"/>
        <v>2025-01</v>
      </c>
      <c r="G199" t="str">
        <f>IF(ISBLANK(IFERROR(INDEX('2-3 引出列表'!$A$2:$CE$8700,$A199,MATCH(G$1,'2-3 引出列表'!$A$1:$CD$1,0)),"")),"",IFERROR(INDEX('2-3 引出列表'!$A$2:$CE$8700,$A199,MATCH(G$1,'2-3 引出列表'!$A$1:$CD$1,0)),""))</f>
        <v>物料消耗.物料消耗</v>
      </c>
      <c r="H199" t="str">
        <f>IF(ISBLANK(IFERROR(INDEX('2-3 引出列表'!$A$2:$CE$8700,$A199,MATCH(H$1,'2-3 引出列表'!$A$1:$CD$1,0)),"")),"",IFERROR(INDEX('2-3 引出列表'!$A$2:$CE$8700,$A199,MATCH(H$1,'2-3 引出列表'!$A$1:$CD$1,0)),""))</f>
        <v>XHWZ-Z-2024-0010</v>
      </c>
      <c r="I199" t="str">
        <f>IF(ISBLANK(IFERROR(INDEX('2-3 引出列表'!$A$2:$CE$8700,$A199,MATCH(I$1,'2-3 引出列表'!$A$1:$CD$1,0)),"")),"",IFERROR(INDEX('2-3 引出列表'!$A$2:$CE$8700,$A199,MATCH(I$1,'2-3 引出列表'!$A$1:$CD$1,0)),""))</f>
        <v>金采易购</v>
      </c>
    </row>
    <row r="200" spans="1:9">
      <c r="A200">
        <v>199</v>
      </c>
      <c r="B200" t="str">
        <f>IF(ISBLANK(IFERROR(INDEX('2-3 引出列表'!$A$2:$CE$8700,$A200,MATCH(B$1,'2-3 引出列表'!$A$1:$CD$1,0)),"")),"",IFERROR(INDEX('2-3 引出列表'!$A$2:$CE$8700,$A200,MATCH(B$1,'2-3 引出列表'!$A$1:$CD$1,0)),""))</f>
        <v>FK250116001489</v>
      </c>
      <c r="C200">
        <f>IF(ISBLANK(IFERROR(INDEX('2-3 引出列表'!$A$2:$CE$8700,$A200,MATCH(C$1,'2-3 引出列表'!$A$1:$CD$1,0)),"")),"",IFERROR(INDEX('2-3 引出列表'!$A$2:$CE$8700,$A200,MATCH(C$1,'2-3 引出列表'!$A$1:$CD$1,0)),""))</f>
        <v>112308</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2025-01-16</v>
      </c>
      <c r="F200" t="str">
        <f t="shared" si="3"/>
        <v>2025-01</v>
      </c>
      <c r="G200" t="str">
        <f>IF(ISBLANK(IFERROR(INDEX('2-3 引出列表'!$A$2:$CE$8700,$A200,MATCH(G$1,'2-3 引出列表'!$A$1:$CD$1,0)),"")),"",IFERROR(INDEX('2-3 引出列表'!$A$2:$CE$8700,$A200,MATCH(G$1,'2-3 引出列表'!$A$1:$CD$1,0)),""))</f>
        <v>物料消耗.物料消耗</v>
      </c>
      <c r="H200" t="str">
        <f>IF(ISBLANK(IFERROR(INDEX('2-3 引出列表'!$A$2:$CE$8700,$A200,MATCH(H$1,'2-3 引出列表'!$A$1:$CD$1,0)),"")),"",IFERROR(INDEX('2-3 引出列表'!$A$2:$CE$8700,$A200,MATCH(H$1,'2-3 引出列表'!$A$1:$CD$1,0)),""))</f>
        <v>XHWZ-Z-2024-0010</v>
      </c>
      <c r="I200" t="str">
        <f>IF(ISBLANK(IFERROR(INDEX('2-3 引出列表'!$A$2:$CE$8700,$A200,MATCH(I$1,'2-3 引出列表'!$A$1:$CD$1,0)),"")),"",IFERROR(INDEX('2-3 引出列表'!$A$2:$CE$8700,$A200,MATCH(I$1,'2-3 引出列表'!$A$1:$CD$1,0)),""))</f>
        <v>金采易购</v>
      </c>
    </row>
    <row r="201" spans="1:9">
      <c r="A201">
        <v>200</v>
      </c>
      <c r="B201" t="str">
        <f>IF(ISBLANK(IFERROR(INDEX('2-3 引出列表'!$A$2:$CE$8700,$A201,MATCH(B$1,'2-3 引出列表'!$A$1:$CD$1,0)),"")),"",IFERROR(INDEX('2-3 引出列表'!$A$2:$CE$8700,$A201,MATCH(B$1,'2-3 引出列表'!$A$1:$CD$1,0)),""))</f>
        <v>FK250116001489</v>
      </c>
      <c r="C201">
        <f>IF(ISBLANK(IFERROR(INDEX('2-3 引出列表'!$A$2:$CE$8700,$A201,MATCH(C$1,'2-3 引出列表'!$A$1:$CD$1,0)),"")),"",IFERROR(INDEX('2-3 引出列表'!$A$2:$CE$8700,$A201,MATCH(C$1,'2-3 引出列表'!$A$1:$CD$1,0)),""))</f>
        <v>112308</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2025-01-16</v>
      </c>
      <c r="F201" t="str">
        <f t="shared" si="3"/>
        <v>2025-01</v>
      </c>
      <c r="G201" t="str">
        <f>IF(ISBLANK(IFERROR(INDEX('2-3 引出列表'!$A$2:$CE$8700,$A201,MATCH(G$1,'2-3 引出列表'!$A$1:$CD$1,0)),"")),"",IFERROR(INDEX('2-3 引出列表'!$A$2:$CE$8700,$A201,MATCH(G$1,'2-3 引出列表'!$A$1:$CD$1,0)),""))</f>
        <v>物料消耗.物料消耗</v>
      </c>
      <c r="H201" t="str">
        <f>IF(ISBLANK(IFERROR(INDEX('2-3 引出列表'!$A$2:$CE$8700,$A201,MATCH(H$1,'2-3 引出列表'!$A$1:$CD$1,0)),"")),"",IFERROR(INDEX('2-3 引出列表'!$A$2:$CE$8700,$A201,MATCH(H$1,'2-3 引出列表'!$A$1:$CD$1,0)),""))</f>
        <v>XHWZ-Z-2024-0010</v>
      </c>
      <c r="I201" t="str">
        <f>IF(ISBLANK(IFERROR(INDEX('2-3 引出列表'!$A$2:$CE$8700,$A201,MATCH(I$1,'2-3 引出列表'!$A$1:$CD$1,0)),"")),"",IFERROR(INDEX('2-3 引出列表'!$A$2:$CE$8700,$A201,MATCH(I$1,'2-3 引出列表'!$A$1:$CD$1,0)),""))</f>
        <v>金采易购</v>
      </c>
    </row>
    <row r="202" spans="1:9">
      <c r="A202">
        <v>201</v>
      </c>
      <c r="B202" t="str">
        <f>IF(ISBLANK(IFERROR(INDEX('2-3 引出列表'!$A$2:$CE$8700,$A202,MATCH(B$1,'2-3 引出列表'!$A$1:$CD$1,0)),"")),"",IFERROR(INDEX('2-3 引出列表'!$A$2:$CE$8700,$A202,MATCH(B$1,'2-3 引出列表'!$A$1:$CD$1,0)),""))</f>
        <v>FK250116001489</v>
      </c>
      <c r="C202">
        <f>IF(ISBLANK(IFERROR(INDEX('2-3 引出列表'!$A$2:$CE$8700,$A202,MATCH(C$1,'2-3 引出列表'!$A$1:$CD$1,0)),"")),"",IFERROR(INDEX('2-3 引出列表'!$A$2:$CE$8700,$A202,MATCH(C$1,'2-3 引出列表'!$A$1:$CD$1,0)),""))</f>
        <v>112308</v>
      </c>
      <c r="D202" t="str">
        <f>IF(ISBLANK(IFERROR(INDEX('2-3 引出列表'!$A$2:$CE$8700,$A202,MATCH(D$1,'2-3 引出列表'!$A$1:$CD$1,0)),"")),"",IFERROR(INDEX('2-3 引出列表'!$A$2:$CE$8700,$A202,MATCH(D$1,'2-3 引出列表'!$A$1:$CD$1,0)),""))</f>
        <v>已付款</v>
      </c>
      <c r="E202" t="str">
        <f>IF(ISBLANK(IFERROR(INDEX('2-3 引出列表'!$A$2:$CE$8700,$A202,MATCH(E$1,'2-3 引出列表'!$A$1:$CD$1,0)),"")),"",IFERROR(INDEX('2-3 引出列表'!$A$2:$CE$8700,$A202,MATCH(E$1,'2-3 引出列表'!$A$1:$CD$1,0)),""))</f>
        <v>2025-01-16</v>
      </c>
      <c r="F202" t="str">
        <f t="shared" si="3"/>
        <v>2025-01</v>
      </c>
      <c r="G202" t="str">
        <f>IF(ISBLANK(IFERROR(INDEX('2-3 引出列表'!$A$2:$CE$8700,$A202,MATCH(G$1,'2-3 引出列表'!$A$1:$CD$1,0)),"")),"",IFERROR(INDEX('2-3 引出列表'!$A$2:$CE$8700,$A202,MATCH(G$1,'2-3 引出列表'!$A$1:$CD$1,0)),""))</f>
        <v>物料消耗.物料消耗</v>
      </c>
      <c r="H202" t="str">
        <f>IF(ISBLANK(IFERROR(INDEX('2-3 引出列表'!$A$2:$CE$8700,$A202,MATCH(H$1,'2-3 引出列表'!$A$1:$CD$1,0)),"")),"",IFERROR(INDEX('2-3 引出列表'!$A$2:$CE$8700,$A202,MATCH(H$1,'2-3 引出列表'!$A$1:$CD$1,0)),""))</f>
        <v>XHWZ-Z-2024-0010</v>
      </c>
      <c r="I202" t="str">
        <f>IF(ISBLANK(IFERROR(INDEX('2-3 引出列表'!$A$2:$CE$8700,$A202,MATCH(I$1,'2-3 引出列表'!$A$1:$CD$1,0)),"")),"",IFERROR(INDEX('2-3 引出列表'!$A$2:$CE$8700,$A202,MATCH(I$1,'2-3 引出列表'!$A$1:$CD$1,0)),""))</f>
        <v>金采易购</v>
      </c>
    </row>
    <row r="203" spans="1:9">
      <c r="A203">
        <v>202</v>
      </c>
      <c r="B203" t="str">
        <f>IF(ISBLANK(IFERROR(INDEX('2-3 引出列表'!$A$2:$CE$8700,$A203,MATCH(B$1,'2-3 引出列表'!$A$1:$CD$1,0)),"")),"",IFERROR(INDEX('2-3 引出列表'!$A$2:$CE$8700,$A203,MATCH(B$1,'2-3 引出列表'!$A$1:$CD$1,0)),""))</f>
        <v>FK250116001489</v>
      </c>
      <c r="C203">
        <f>IF(ISBLANK(IFERROR(INDEX('2-3 引出列表'!$A$2:$CE$8700,$A203,MATCH(C$1,'2-3 引出列表'!$A$1:$CD$1,0)),"")),"",IFERROR(INDEX('2-3 引出列表'!$A$2:$CE$8700,$A203,MATCH(C$1,'2-3 引出列表'!$A$1:$CD$1,0)),""))</f>
        <v>112308</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2025-01-16</v>
      </c>
      <c r="F203" t="str">
        <f t="shared" si="3"/>
        <v>2025-01</v>
      </c>
      <c r="G203" t="str">
        <f>IF(ISBLANK(IFERROR(INDEX('2-3 引出列表'!$A$2:$CE$8700,$A203,MATCH(G$1,'2-3 引出列表'!$A$1:$CD$1,0)),"")),"",IFERROR(INDEX('2-3 引出列表'!$A$2:$CE$8700,$A203,MATCH(G$1,'2-3 引出列表'!$A$1:$CD$1,0)),""))</f>
        <v>物料消耗.物料消耗</v>
      </c>
      <c r="H203" t="str">
        <f>IF(ISBLANK(IFERROR(INDEX('2-3 引出列表'!$A$2:$CE$8700,$A203,MATCH(H$1,'2-3 引出列表'!$A$1:$CD$1,0)),"")),"",IFERROR(INDEX('2-3 引出列表'!$A$2:$CE$8700,$A203,MATCH(H$1,'2-3 引出列表'!$A$1:$CD$1,0)),""))</f>
        <v>XHWZ-Z-2024-0010</v>
      </c>
      <c r="I203" t="str">
        <f>IF(ISBLANK(IFERROR(INDEX('2-3 引出列表'!$A$2:$CE$8700,$A203,MATCH(I$1,'2-3 引出列表'!$A$1:$CD$1,0)),"")),"",IFERROR(INDEX('2-3 引出列表'!$A$2:$CE$8700,$A203,MATCH(I$1,'2-3 引出列表'!$A$1:$CD$1,0)),""))</f>
        <v>金采易购</v>
      </c>
    </row>
    <row r="204" spans="1:9">
      <c r="A204">
        <v>203</v>
      </c>
      <c r="B204" t="str">
        <f>IF(ISBLANK(IFERROR(INDEX('2-3 引出列表'!$A$2:$CE$8700,$A204,MATCH(B$1,'2-3 引出列表'!$A$1:$CD$1,0)),"")),"",IFERROR(INDEX('2-3 引出列表'!$A$2:$CE$8700,$A204,MATCH(B$1,'2-3 引出列表'!$A$1:$CD$1,0)),""))</f>
        <v>FK250116001489</v>
      </c>
      <c r="C204">
        <f>IF(ISBLANK(IFERROR(INDEX('2-3 引出列表'!$A$2:$CE$8700,$A204,MATCH(C$1,'2-3 引出列表'!$A$1:$CD$1,0)),"")),"",IFERROR(INDEX('2-3 引出列表'!$A$2:$CE$8700,$A204,MATCH(C$1,'2-3 引出列表'!$A$1:$CD$1,0)),""))</f>
        <v>112308</v>
      </c>
      <c r="D204" t="str">
        <f>IF(ISBLANK(IFERROR(INDEX('2-3 引出列表'!$A$2:$CE$8700,$A204,MATCH(D$1,'2-3 引出列表'!$A$1:$CD$1,0)),"")),"",IFERROR(INDEX('2-3 引出列表'!$A$2:$CE$8700,$A204,MATCH(D$1,'2-3 引出列表'!$A$1:$CD$1,0)),""))</f>
        <v>已付款</v>
      </c>
      <c r="E204" t="str">
        <f>IF(ISBLANK(IFERROR(INDEX('2-3 引出列表'!$A$2:$CE$8700,$A204,MATCH(E$1,'2-3 引出列表'!$A$1:$CD$1,0)),"")),"",IFERROR(INDEX('2-3 引出列表'!$A$2:$CE$8700,$A204,MATCH(E$1,'2-3 引出列表'!$A$1:$CD$1,0)),""))</f>
        <v>2025-01-16</v>
      </c>
      <c r="F204" t="str">
        <f t="shared" si="3"/>
        <v>2025-01</v>
      </c>
      <c r="G204" t="str">
        <f>IF(ISBLANK(IFERROR(INDEX('2-3 引出列表'!$A$2:$CE$8700,$A204,MATCH(G$1,'2-3 引出列表'!$A$1:$CD$1,0)),"")),"",IFERROR(INDEX('2-3 引出列表'!$A$2:$CE$8700,$A204,MATCH(G$1,'2-3 引出列表'!$A$1:$CD$1,0)),""))</f>
        <v>物料消耗.物料消耗</v>
      </c>
      <c r="H204" t="str">
        <f>IF(ISBLANK(IFERROR(INDEX('2-3 引出列表'!$A$2:$CE$8700,$A204,MATCH(H$1,'2-3 引出列表'!$A$1:$CD$1,0)),"")),"",IFERROR(INDEX('2-3 引出列表'!$A$2:$CE$8700,$A204,MATCH(H$1,'2-3 引出列表'!$A$1:$CD$1,0)),""))</f>
        <v>XHWZ-Z-2024-0010</v>
      </c>
      <c r="I204" t="str">
        <f>IF(ISBLANK(IFERROR(INDEX('2-3 引出列表'!$A$2:$CE$8700,$A204,MATCH(I$1,'2-3 引出列表'!$A$1:$CD$1,0)),"")),"",IFERROR(INDEX('2-3 引出列表'!$A$2:$CE$8700,$A204,MATCH(I$1,'2-3 引出列表'!$A$1:$CD$1,0)),""))</f>
        <v>金采易购</v>
      </c>
    </row>
    <row r="205" spans="1:9">
      <c r="A205">
        <v>204</v>
      </c>
      <c r="B205" t="str">
        <f>IF(ISBLANK(IFERROR(INDEX('2-3 引出列表'!$A$2:$CE$8700,$A205,MATCH(B$1,'2-3 引出列表'!$A$1:$CD$1,0)),"")),"",IFERROR(INDEX('2-3 引出列表'!$A$2:$CE$8700,$A205,MATCH(B$1,'2-3 引出列表'!$A$1:$CD$1,0)),""))</f>
        <v>FK250116001489</v>
      </c>
      <c r="C205">
        <f>IF(ISBLANK(IFERROR(INDEX('2-3 引出列表'!$A$2:$CE$8700,$A205,MATCH(C$1,'2-3 引出列表'!$A$1:$CD$1,0)),"")),"",IFERROR(INDEX('2-3 引出列表'!$A$2:$CE$8700,$A205,MATCH(C$1,'2-3 引出列表'!$A$1:$CD$1,0)),""))</f>
        <v>112308</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2025-01-16</v>
      </c>
      <c r="F205" t="str">
        <f t="shared" si="3"/>
        <v>2025-01</v>
      </c>
      <c r="G205" t="str">
        <f>IF(ISBLANK(IFERROR(INDEX('2-3 引出列表'!$A$2:$CE$8700,$A205,MATCH(G$1,'2-3 引出列表'!$A$1:$CD$1,0)),"")),"",IFERROR(INDEX('2-3 引出列表'!$A$2:$CE$8700,$A205,MATCH(G$1,'2-3 引出列表'!$A$1:$CD$1,0)),""))</f>
        <v>物料消耗.物料消耗</v>
      </c>
      <c r="H205" t="str">
        <f>IF(ISBLANK(IFERROR(INDEX('2-3 引出列表'!$A$2:$CE$8700,$A205,MATCH(H$1,'2-3 引出列表'!$A$1:$CD$1,0)),"")),"",IFERROR(INDEX('2-3 引出列表'!$A$2:$CE$8700,$A205,MATCH(H$1,'2-3 引出列表'!$A$1:$CD$1,0)),""))</f>
        <v>XHWZ-Z-2024-0010</v>
      </c>
      <c r="I205" t="str">
        <f>IF(ISBLANK(IFERROR(INDEX('2-3 引出列表'!$A$2:$CE$8700,$A205,MATCH(I$1,'2-3 引出列表'!$A$1:$CD$1,0)),"")),"",IFERROR(INDEX('2-3 引出列表'!$A$2:$CE$8700,$A205,MATCH(I$1,'2-3 引出列表'!$A$1:$CD$1,0)),""))</f>
        <v>金采易购</v>
      </c>
    </row>
    <row r="206" spans="1:9">
      <c r="A206">
        <v>205</v>
      </c>
      <c r="B206" t="str">
        <f>IF(ISBLANK(IFERROR(INDEX('2-3 引出列表'!$A$2:$CE$8700,$A206,MATCH(B$1,'2-3 引出列表'!$A$1:$CD$1,0)),"")),"",IFERROR(INDEX('2-3 引出列表'!$A$2:$CE$8700,$A206,MATCH(B$1,'2-3 引出列表'!$A$1:$CD$1,0)),""))</f>
        <v>FK250116001489</v>
      </c>
      <c r="C206">
        <f>IF(ISBLANK(IFERROR(INDEX('2-3 引出列表'!$A$2:$CE$8700,$A206,MATCH(C$1,'2-3 引出列表'!$A$1:$CD$1,0)),"")),"",IFERROR(INDEX('2-3 引出列表'!$A$2:$CE$8700,$A206,MATCH(C$1,'2-3 引出列表'!$A$1:$CD$1,0)),""))</f>
        <v>112308</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2025-01-16</v>
      </c>
      <c r="F206" t="str">
        <f t="shared" si="3"/>
        <v>2025-01</v>
      </c>
      <c r="G206" t="str">
        <f>IF(ISBLANK(IFERROR(INDEX('2-3 引出列表'!$A$2:$CE$8700,$A206,MATCH(G$1,'2-3 引出列表'!$A$1:$CD$1,0)),"")),"",IFERROR(INDEX('2-3 引出列表'!$A$2:$CE$8700,$A206,MATCH(G$1,'2-3 引出列表'!$A$1:$CD$1,0)),""))</f>
        <v>物料消耗.物料消耗</v>
      </c>
      <c r="H206" t="str">
        <f>IF(ISBLANK(IFERROR(INDEX('2-3 引出列表'!$A$2:$CE$8700,$A206,MATCH(H$1,'2-3 引出列表'!$A$1:$CD$1,0)),"")),"",IFERROR(INDEX('2-3 引出列表'!$A$2:$CE$8700,$A206,MATCH(H$1,'2-3 引出列表'!$A$1:$CD$1,0)),""))</f>
        <v>XHWZ-Z-2024-0010</v>
      </c>
      <c r="I206" t="str">
        <f>IF(ISBLANK(IFERROR(INDEX('2-3 引出列表'!$A$2:$CE$8700,$A206,MATCH(I$1,'2-3 引出列表'!$A$1:$CD$1,0)),"")),"",IFERROR(INDEX('2-3 引出列表'!$A$2:$CE$8700,$A206,MATCH(I$1,'2-3 引出列表'!$A$1:$CD$1,0)),""))</f>
        <v>金采易购</v>
      </c>
    </row>
    <row r="207" spans="1:9">
      <c r="A207">
        <v>206</v>
      </c>
      <c r="B207" t="str">
        <f>IF(ISBLANK(IFERROR(INDEX('2-3 引出列表'!$A$2:$CE$8700,$A207,MATCH(B$1,'2-3 引出列表'!$A$1:$CD$1,0)),"")),"",IFERROR(INDEX('2-3 引出列表'!$A$2:$CE$8700,$A207,MATCH(B$1,'2-3 引出列表'!$A$1:$CD$1,0)),""))</f>
        <v>FK250116001489</v>
      </c>
      <c r="C207">
        <f>IF(ISBLANK(IFERROR(INDEX('2-3 引出列表'!$A$2:$CE$8700,$A207,MATCH(C$1,'2-3 引出列表'!$A$1:$CD$1,0)),"")),"",IFERROR(INDEX('2-3 引出列表'!$A$2:$CE$8700,$A207,MATCH(C$1,'2-3 引出列表'!$A$1:$CD$1,0)),""))</f>
        <v>112308</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2025-01-16</v>
      </c>
      <c r="F207" t="str">
        <f t="shared" si="3"/>
        <v>2025-01</v>
      </c>
      <c r="G207" t="str">
        <f>IF(ISBLANK(IFERROR(INDEX('2-3 引出列表'!$A$2:$CE$8700,$A207,MATCH(G$1,'2-3 引出列表'!$A$1:$CD$1,0)),"")),"",IFERROR(INDEX('2-3 引出列表'!$A$2:$CE$8700,$A207,MATCH(G$1,'2-3 引出列表'!$A$1:$CD$1,0)),""))</f>
        <v>物料消耗.物料消耗</v>
      </c>
      <c r="H207" t="str">
        <f>IF(ISBLANK(IFERROR(INDEX('2-3 引出列表'!$A$2:$CE$8700,$A207,MATCH(H$1,'2-3 引出列表'!$A$1:$CD$1,0)),"")),"",IFERROR(INDEX('2-3 引出列表'!$A$2:$CE$8700,$A207,MATCH(H$1,'2-3 引出列表'!$A$1:$CD$1,0)),""))</f>
        <v>XHWZ-Z-2024-0010</v>
      </c>
      <c r="I207" t="str">
        <f>IF(ISBLANK(IFERROR(INDEX('2-3 引出列表'!$A$2:$CE$8700,$A207,MATCH(I$1,'2-3 引出列表'!$A$1:$CD$1,0)),"")),"",IFERROR(INDEX('2-3 引出列表'!$A$2:$CE$8700,$A207,MATCH(I$1,'2-3 引出列表'!$A$1:$CD$1,0)),""))</f>
        <v>金采易购</v>
      </c>
    </row>
    <row r="208" spans="1:9">
      <c r="A208">
        <v>207</v>
      </c>
      <c r="B208" t="str">
        <f>IF(ISBLANK(IFERROR(INDEX('2-3 引出列表'!$A$2:$CE$8700,$A208,MATCH(B$1,'2-3 引出列表'!$A$1:$CD$1,0)),"")),"",IFERROR(INDEX('2-3 引出列表'!$A$2:$CE$8700,$A208,MATCH(B$1,'2-3 引出列表'!$A$1:$CD$1,0)),""))</f>
        <v>FK250116001489</v>
      </c>
      <c r="C208">
        <f>IF(ISBLANK(IFERROR(INDEX('2-3 引出列表'!$A$2:$CE$8700,$A208,MATCH(C$1,'2-3 引出列表'!$A$1:$CD$1,0)),"")),"",IFERROR(INDEX('2-3 引出列表'!$A$2:$CE$8700,$A208,MATCH(C$1,'2-3 引出列表'!$A$1:$CD$1,0)),""))</f>
        <v>112308</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2025-01-16</v>
      </c>
      <c r="F208" t="str">
        <f t="shared" si="3"/>
        <v>2025-01</v>
      </c>
      <c r="G208" t="str">
        <f>IF(ISBLANK(IFERROR(INDEX('2-3 引出列表'!$A$2:$CE$8700,$A208,MATCH(G$1,'2-3 引出列表'!$A$1:$CD$1,0)),"")),"",IFERROR(INDEX('2-3 引出列表'!$A$2:$CE$8700,$A208,MATCH(G$1,'2-3 引出列表'!$A$1:$CD$1,0)),""))</f>
        <v>物料消耗.物料消耗</v>
      </c>
      <c r="H208" t="str">
        <f>IF(ISBLANK(IFERROR(INDEX('2-3 引出列表'!$A$2:$CE$8700,$A208,MATCH(H$1,'2-3 引出列表'!$A$1:$CD$1,0)),"")),"",IFERROR(INDEX('2-3 引出列表'!$A$2:$CE$8700,$A208,MATCH(H$1,'2-3 引出列表'!$A$1:$CD$1,0)),""))</f>
        <v>XHWZ-Z-2024-0010</v>
      </c>
      <c r="I208" t="str">
        <f>IF(ISBLANK(IFERROR(INDEX('2-3 引出列表'!$A$2:$CE$8700,$A208,MATCH(I$1,'2-3 引出列表'!$A$1:$CD$1,0)),"")),"",IFERROR(INDEX('2-3 引出列表'!$A$2:$CE$8700,$A208,MATCH(I$1,'2-3 引出列表'!$A$1:$CD$1,0)),""))</f>
        <v>金采易购</v>
      </c>
    </row>
    <row r="209" spans="1:9">
      <c r="A209">
        <v>208</v>
      </c>
      <c r="B209" t="str">
        <f>IF(ISBLANK(IFERROR(INDEX('2-3 引出列表'!$A$2:$CE$8700,$A209,MATCH(B$1,'2-3 引出列表'!$A$1:$CD$1,0)),"")),"",IFERROR(INDEX('2-3 引出列表'!$A$2:$CE$8700,$A209,MATCH(B$1,'2-3 引出列表'!$A$1:$CD$1,0)),""))</f>
        <v>FK250116001489</v>
      </c>
      <c r="C209">
        <f>IF(ISBLANK(IFERROR(INDEX('2-3 引出列表'!$A$2:$CE$8700,$A209,MATCH(C$1,'2-3 引出列表'!$A$1:$CD$1,0)),"")),"",IFERROR(INDEX('2-3 引出列表'!$A$2:$CE$8700,$A209,MATCH(C$1,'2-3 引出列表'!$A$1:$CD$1,0)),""))</f>
        <v>112308</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2025-01-16</v>
      </c>
      <c r="F209" t="str">
        <f t="shared" si="3"/>
        <v>2025-01</v>
      </c>
      <c r="G209" t="str">
        <f>IF(ISBLANK(IFERROR(INDEX('2-3 引出列表'!$A$2:$CE$8700,$A209,MATCH(G$1,'2-3 引出列表'!$A$1:$CD$1,0)),"")),"",IFERROR(INDEX('2-3 引出列表'!$A$2:$CE$8700,$A209,MATCH(G$1,'2-3 引出列表'!$A$1:$CD$1,0)),""))</f>
        <v>物料消耗.物料消耗</v>
      </c>
      <c r="H209" t="str">
        <f>IF(ISBLANK(IFERROR(INDEX('2-3 引出列表'!$A$2:$CE$8700,$A209,MATCH(H$1,'2-3 引出列表'!$A$1:$CD$1,0)),"")),"",IFERROR(INDEX('2-3 引出列表'!$A$2:$CE$8700,$A209,MATCH(H$1,'2-3 引出列表'!$A$1:$CD$1,0)),""))</f>
        <v>XHWZ-Z-2024-0010</v>
      </c>
      <c r="I209" t="str">
        <f>IF(ISBLANK(IFERROR(INDEX('2-3 引出列表'!$A$2:$CE$8700,$A209,MATCH(I$1,'2-3 引出列表'!$A$1:$CD$1,0)),"")),"",IFERROR(INDEX('2-3 引出列表'!$A$2:$CE$8700,$A209,MATCH(I$1,'2-3 引出列表'!$A$1:$CD$1,0)),""))</f>
        <v>金采易购</v>
      </c>
    </row>
    <row r="210" spans="1:9">
      <c r="A210">
        <v>209</v>
      </c>
      <c r="B210" t="str">
        <f>IF(ISBLANK(IFERROR(INDEX('2-3 引出列表'!$A$2:$CE$8700,$A210,MATCH(B$1,'2-3 引出列表'!$A$1:$CD$1,0)),"")),"",IFERROR(INDEX('2-3 引出列表'!$A$2:$CE$8700,$A210,MATCH(B$1,'2-3 引出列表'!$A$1:$CD$1,0)),""))</f>
        <v>FK250116001489</v>
      </c>
      <c r="C210">
        <f>IF(ISBLANK(IFERROR(INDEX('2-3 引出列表'!$A$2:$CE$8700,$A210,MATCH(C$1,'2-3 引出列表'!$A$1:$CD$1,0)),"")),"",IFERROR(INDEX('2-3 引出列表'!$A$2:$CE$8700,$A210,MATCH(C$1,'2-3 引出列表'!$A$1:$CD$1,0)),""))</f>
        <v>112308</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2025-01-16</v>
      </c>
      <c r="F210" t="str">
        <f t="shared" si="3"/>
        <v>2025-01</v>
      </c>
      <c r="G210" t="str">
        <f>IF(ISBLANK(IFERROR(INDEX('2-3 引出列表'!$A$2:$CE$8700,$A210,MATCH(G$1,'2-3 引出列表'!$A$1:$CD$1,0)),"")),"",IFERROR(INDEX('2-3 引出列表'!$A$2:$CE$8700,$A210,MATCH(G$1,'2-3 引出列表'!$A$1:$CD$1,0)),""))</f>
        <v>物料消耗.物料消耗</v>
      </c>
      <c r="H210" t="str">
        <f>IF(ISBLANK(IFERROR(INDEX('2-3 引出列表'!$A$2:$CE$8700,$A210,MATCH(H$1,'2-3 引出列表'!$A$1:$CD$1,0)),"")),"",IFERROR(INDEX('2-3 引出列表'!$A$2:$CE$8700,$A210,MATCH(H$1,'2-3 引出列表'!$A$1:$CD$1,0)),""))</f>
        <v>XHWZ-Z-2024-0010</v>
      </c>
      <c r="I210" t="str">
        <f>IF(ISBLANK(IFERROR(INDEX('2-3 引出列表'!$A$2:$CE$8700,$A210,MATCH(I$1,'2-3 引出列表'!$A$1:$CD$1,0)),"")),"",IFERROR(INDEX('2-3 引出列表'!$A$2:$CE$8700,$A210,MATCH(I$1,'2-3 引出列表'!$A$1:$CD$1,0)),""))</f>
        <v>金采易购</v>
      </c>
    </row>
    <row r="211" spans="1:9">
      <c r="A211">
        <v>210</v>
      </c>
      <c r="B211" t="str">
        <f>IF(ISBLANK(IFERROR(INDEX('2-3 引出列表'!$A$2:$CE$8700,$A211,MATCH(B$1,'2-3 引出列表'!$A$1:$CD$1,0)),"")),"",IFERROR(INDEX('2-3 引出列表'!$A$2:$CE$8700,$A211,MATCH(B$1,'2-3 引出列表'!$A$1:$CD$1,0)),""))</f>
        <v>FK250116001489</v>
      </c>
      <c r="C211">
        <f>IF(ISBLANK(IFERROR(INDEX('2-3 引出列表'!$A$2:$CE$8700,$A211,MATCH(C$1,'2-3 引出列表'!$A$1:$CD$1,0)),"")),"",IFERROR(INDEX('2-3 引出列表'!$A$2:$CE$8700,$A211,MATCH(C$1,'2-3 引出列表'!$A$1:$CD$1,0)),""))</f>
        <v>112308</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2025-01-16</v>
      </c>
      <c r="F211" t="str">
        <f t="shared" si="3"/>
        <v>2025-01</v>
      </c>
      <c r="G211" t="str">
        <f>IF(ISBLANK(IFERROR(INDEX('2-3 引出列表'!$A$2:$CE$8700,$A211,MATCH(G$1,'2-3 引出列表'!$A$1:$CD$1,0)),"")),"",IFERROR(INDEX('2-3 引出列表'!$A$2:$CE$8700,$A211,MATCH(G$1,'2-3 引出列表'!$A$1:$CD$1,0)),""))</f>
        <v>物料消耗.物料消耗</v>
      </c>
      <c r="H211" t="str">
        <f>IF(ISBLANK(IFERROR(INDEX('2-3 引出列表'!$A$2:$CE$8700,$A211,MATCH(H$1,'2-3 引出列表'!$A$1:$CD$1,0)),"")),"",IFERROR(INDEX('2-3 引出列表'!$A$2:$CE$8700,$A211,MATCH(H$1,'2-3 引出列表'!$A$1:$CD$1,0)),""))</f>
        <v>XHWZ-Z-2024-0010</v>
      </c>
      <c r="I211" t="str">
        <f>IF(ISBLANK(IFERROR(INDEX('2-3 引出列表'!$A$2:$CE$8700,$A211,MATCH(I$1,'2-3 引出列表'!$A$1:$CD$1,0)),"")),"",IFERROR(INDEX('2-3 引出列表'!$A$2:$CE$8700,$A211,MATCH(I$1,'2-3 引出列表'!$A$1:$CD$1,0)),""))</f>
        <v>金采易购</v>
      </c>
    </row>
    <row r="212" spans="1:9">
      <c r="A212">
        <v>211</v>
      </c>
      <c r="B212" t="str">
        <f>IF(ISBLANK(IFERROR(INDEX('2-3 引出列表'!$A$2:$CE$8700,$A212,MATCH(B$1,'2-3 引出列表'!$A$1:$CD$1,0)),"")),"",IFERROR(INDEX('2-3 引出列表'!$A$2:$CE$8700,$A212,MATCH(B$1,'2-3 引出列表'!$A$1:$CD$1,0)),""))</f>
        <v>FK250116001489</v>
      </c>
      <c r="C212">
        <f>IF(ISBLANK(IFERROR(INDEX('2-3 引出列表'!$A$2:$CE$8700,$A212,MATCH(C$1,'2-3 引出列表'!$A$1:$CD$1,0)),"")),"",IFERROR(INDEX('2-3 引出列表'!$A$2:$CE$8700,$A212,MATCH(C$1,'2-3 引出列表'!$A$1:$CD$1,0)),""))</f>
        <v>112308</v>
      </c>
      <c r="D212" t="str">
        <f>IF(ISBLANK(IFERROR(INDEX('2-3 引出列表'!$A$2:$CE$8700,$A212,MATCH(D$1,'2-3 引出列表'!$A$1:$CD$1,0)),"")),"",IFERROR(INDEX('2-3 引出列表'!$A$2:$CE$8700,$A212,MATCH(D$1,'2-3 引出列表'!$A$1:$CD$1,0)),""))</f>
        <v>已付款</v>
      </c>
      <c r="E212" t="str">
        <f>IF(ISBLANK(IFERROR(INDEX('2-3 引出列表'!$A$2:$CE$8700,$A212,MATCH(E$1,'2-3 引出列表'!$A$1:$CD$1,0)),"")),"",IFERROR(INDEX('2-3 引出列表'!$A$2:$CE$8700,$A212,MATCH(E$1,'2-3 引出列表'!$A$1:$CD$1,0)),""))</f>
        <v>2025-01-16</v>
      </c>
      <c r="F212" t="str">
        <f t="shared" si="3"/>
        <v>2025-01</v>
      </c>
      <c r="G212" t="str">
        <f>IF(ISBLANK(IFERROR(INDEX('2-3 引出列表'!$A$2:$CE$8700,$A212,MATCH(G$1,'2-3 引出列表'!$A$1:$CD$1,0)),"")),"",IFERROR(INDEX('2-3 引出列表'!$A$2:$CE$8700,$A212,MATCH(G$1,'2-3 引出列表'!$A$1:$CD$1,0)),""))</f>
        <v>物料消耗.物料消耗</v>
      </c>
      <c r="H212" t="str">
        <f>IF(ISBLANK(IFERROR(INDEX('2-3 引出列表'!$A$2:$CE$8700,$A212,MATCH(H$1,'2-3 引出列表'!$A$1:$CD$1,0)),"")),"",IFERROR(INDEX('2-3 引出列表'!$A$2:$CE$8700,$A212,MATCH(H$1,'2-3 引出列表'!$A$1:$CD$1,0)),""))</f>
        <v>XHWZ-Z-2024-0010</v>
      </c>
      <c r="I212" t="str">
        <f>IF(ISBLANK(IFERROR(INDEX('2-3 引出列表'!$A$2:$CE$8700,$A212,MATCH(I$1,'2-3 引出列表'!$A$1:$CD$1,0)),"")),"",IFERROR(INDEX('2-3 引出列表'!$A$2:$CE$8700,$A212,MATCH(I$1,'2-3 引出列表'!$A$1:$CD$1,0)),""))</f>
        <v>金采易购</v>
      </c>
    </row>
    <row r="213" spans="1:9">
      <c r="A213">
        <v>212</v>
      </c>
      <c r="B213" t="str">
        <f>IF(ISBLANK(IFERROR(INDEX('2-3 引出列表'!$A$2:$CE$8700,$A213,MATCH(B$1,'2-3 引出列表'!$A$1:$CD$1,0)),"")),"",IFERROR(INDEX('2-3 引出列表'!$A$2:$CE$8700,$A213,MATCH(B$1,'2-3 引出列表'!$A$1:$CD$1,0)),""))</f>
        <v>FK250116001489</v>
      </c>
      <c r="C213">
        <f>IF(ISBLANK(IFERROR(INDEX('2-3 引出列表'!$A$2:$CE$8700,$A213,MATCH(C$1,'2-3 引出列表'!$A$1:$CD$1,0)),"")),"",IFERROR(INDEX('2-3 引出列表'!$A$2:$CE$8700,$A213,MATCH(C$1,'2-3 引出列表'!$A$1:$CD$1,0)),""))</f>
        <v>112308</v>
      </c>
      <c r="D213" t="str">
        <f>IF(ISBLANK(IFERROR(INDEX('2-3 引出列表'!$A$2:$CE$8700,$A213,MATCH(D$1,'2-3 引出列表'!$A$1:$CD$1,0)),"")),"",IFERROR(INDEX('2-3 引出列表'!$A$2:$CE$8700,$A213,MATCH(D$1,'2-3 引出列表'!$A$1:$CD$1,0)),""))</f>
        <v>已付款</v>
      </c>
      <c r="E213" t="str">
        <f>IF(ISBLANK(IFERROR(INDEX('2-3 引出列表'!$A$2:$CE$8700,$A213,MATCH(E$1,'2-3 引出列表'!$A$1:$CD$1,0)),"")),"",IFERROR(INDEX('2-3 引出列表'!$A$2:$CE$8700,$A213,MATCH(E$1,'2-3 引出列表'!$A$1:$CD$1,0)),""))</f>
        <v>2025-01-16</v>
      </c>
      <c r="F213" t="str">
        <f t="shared" si="3"/>
        <v>2025-01</v>
      </c>
      <c r="G213" t="str">
        <f>IF(ISBLANK(IFERROR(INDEX('2-3 引出列表'!$A$2:$CE$8700,$A213,MATCH(G$1,'2-3 引出列表'!$A$1:$CD$1,0)),"")),"",IFERROR(INDEX('2-3 引出列表'!$A$2:$CE$8700,$A213,MATCH(G$1,'2-3 引出列表'!$A$1:$CD$1,0)),""))</f>
        <v>物料消耗.物料消耗</v>
      </c>
      <c r="H213" t="str">
        <f>IF(ISBLANK(IFERROR(INDEX('2-3 引出列表'!$A$2:$CE$8700,$A213,MATCH(H$1,'2-3 引出列表'!$A$1:$CD$1,0)),"")),"",IFERROR(INDEX('2-3 引出列表'!$A$2:$CE$8700,$A213,MATCH(H$1,'2-3 引出列表'!$A$1:$CD$1,0)),""))</f>
        <v>XHWZ-Z-2024-0010</v>
      </c>
      <c r="I213" t="str">
        <f>IF(ISBLANK(IFERROR(INDEX('2-3 引出列表'!$A$2:$CE$8700,$A213,MATCH(I$1,'2-3 引出列表'!$A$1:$CD$1,0)),"")),"",IFERROR(INDEX('2-3 引出列表'!$A$2:$CE$8700,$A213,MATCH(I$1,'2-3 引出列表'!$A$1:$CD$1,0)),""))</f>
        <v>金采易购</v>
      </c>
    </row>
    <row r="214" spans="1:9">
      <c r="A214">
        <v>213</v>
      </c>
      <c r="B214" t="str">
        <f>IF(ISBLANK(IFERROR(INDEX('2-3 引出列表'!$A$2:$CE$8700,$A214,MATCH(B$1,'2-3 引出列表'!$A$1:$CD$1,0)),"")),"",IFERROR(INDEX('2-3 引出列表'!$A$2:$CE$8700,$A214,MATCH(B$1,'2-3 引出列表'!$A$1:$CD$1,0)),""))</f>
        <v>FK250116001489</v>
      </c>
      <c r="C214">
        <f>IF(ISBLANK(IFERROR(INDEX('2-3 引出列表'!$A$2:$CE$8700,$A214,MATCH(C$1,'2-3 引出列表'!$A$1:$CD$1,0)),"")),"",IFERROR(INDEX('2-3 引出列表'!$A$2:$CE$8700,$A214,MATCH(C$1,'2-3 引出列表'!$A$1:$CD$1,0)),""))</f>
        <v>112308</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2025-01-16</v>
      </c>
      <c r="F214" t="str">
        <f t="shared" si="3"/>
        <v>2025-01</v>
      </c>
      <c r="G214" t="str">
        <f>IF(ISBLANK(IFERROR(INDEX('2-3 引出列表'!$A$2:$CE$8700,$A214,MATCH(G$1,'2-3 引出列表'!$A$1:$CD$1,0)),"")),"",IFERROR(INDEX('2-3 引出列表'!$A$2:$CE$8700,$A214,MATCH(G$1,'2-3 引出列表'!$A$1:$CD$1,0)),""))</f>
        <v>物料消耗.物料消耗</v>
      </c>
      <c r="H214" t="str">
        <f>IF(ISBLANK(IFERROR(INDEX('2-3 引出列表'!$A$2:$CE$8700,$A214,MATCH(H$1,'2-3 引出列表'!$A$1:$CD$1,0)),"")),"",IFERROR(INDEX('2-3 引出列表'!$A$2:$CE$8700,$A214,MATCH(H$1,'2-3 引出列表'!$A$1:$CD$1,0)),""))</f>
        <v>XHWZ-Z-2024-0010</v>
      </c>
      <c r="I214" t="str">
        <f>IF(ISBLANK(IFERROR(INDEX('2-3 引出列表'!$A$2:$CE$8700,$A214,MATCH(I$1,'2-3 引出列表'!$A$1:$CD$1,0)),"")),"",IFERROR(INDEX('2-3 引出列表'!$A$2:$CE$8700,$A214,MATCH(I$1,'2-3 引出列表'!$A$1:$CD$1,0)),""))</f>
        <v>金采易购</v>
      </c>
    </row>
    <row r="215" spans="1:9">
      <c r="A215">
        <v>214</v>
      </c>
      <c r="B215" t="str">
        <f>IF(ISBLANK(IFERROR(INDEX('2-3 引出列表'!$A$2:$CE$8700,$A215,MATCH(B$1,'2-3 引出列表'!$A$1:$CD$1,0)),"")),"",IFERROR(INDEX('2-3 引出列表'!$A$2:$CE$8700,$A215,MATCH(B$1,'2-3 引出列表'!$A$1:$CD$1,0)),""))</f>
        <v>FK250116001489</v>
      </c>
      <c r="C215">
        <f>IF(ISBLANK(IFERROR(INDEX('2-3 引出列表'!$A$2:$CE$8700,$A215,MATCH(C$1,'2-3 引出列表'!$A$1:$CD$1,0)),"")),"",IFERROR(INDEX('2-3 引出列表'!$A$2:$CE$8700,$A215,MATCH(C$1,'2-3 引出列表'!$A$1:$CD$1,0)),""))</f>
        <v>112308</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2025-01-16</v>
      </c>
      <c r="F215" t="str">
        <f t="shared" si="3"/>
        <v>2025-01</v>
      </c>
      <c r="G215" t="str">
        <f>IF(ISBLANK(IFERROR(INDEX('2-3 引出列表'!$A$2:$CE$8700,$A215,MATCH(G$1,'2-3 引出列表'!$A$1:$CD$1,0)),"")),"",IFERROR(INDEX('2-3 引出列表'!$A$2:$CE$8700,$A215,MATCH(G$1,'2-3 引出列表'!$A$1:$CD$1,0)),""))</f>
        <v>物料消耗.物料消耗</v>
      </c>
      <c r="H215" t="str">
        <f>IF(ISBLANK(IFERROR(INDEX('2-3 引出列表'!$A$2:$CE$8700,$A215,MATCH(H$1,'2-3 引出列表'!$A$1:$CD$1,0)),"")),"",IFERROR(INDEX('2-3 引出列表'!$A$2:$CE$8700,$A215,MATCH(H$1,'2-3 引出列表'!$A$1:$CD$1,0)),""))</f>
        <v>XHWZ-Z-2024-0010</v>
      </c>
      <c r="I215" t="str">
        <f>IF(ISBLANK(IFERROR(INDEX('2-3 引出列表'!$A$2:$CE$8700,$A215,MATCH(I$1,'2-3 引出列表'!$A$1:$CD$1,0)),"")),"",IFERROR(INDEX('2-3 引出列表'!$A$2:$CE$8700,$A215,MATCH(I$1,'2-3 引出列表'!$A$1:$CD$1,0)),""))</f>
        <v>金采易购</v>
      </c>
    </row>
    <row r="216" spans="1:9">
      <c r="A216">
        <v>215</v>
      </c>
      <c r="B216" t="str">
        <f>IF(ISBLANK(IFERROR(INDEX('2-3 引出列表'!$A$2:$CE$8700,$A216,MATCH(B$1,'2-3 引出列表'!$A$1:$CD$1,0)),"")),"",IFERROR(INDEX('2-3 引出列表'!$A$2:$CE$8700,$A216,MATCH(B$1,'2-3 引出列表'!$A$1:$CD$1,0)),""))</f>
        <v>FK250116001489</v>
      </c>
      <c r="C216">
        <f>IF(ISBLANK(IFERROR(INDEX('2-3 引出列表'!$A$2:$CE$8700,$A216,MATCH(C$1,'2-3 引出列表'!$A$1:$CD$1,0)),"")),"",IFERROR(INDEX('2-3 引出列表'!$A$2:$CE$8700,$A216,MATCH(C$1,'2-3 引出列表'!$A$1:$CD$1,0)),""))</f>
        <v>112308</v>
      </c>
      <c r="D216" t="str">
        <f>IF(ISBLANK(IFERROR(INDEX('2-3 引出列表'!$A$2:$CE$8700,$A216,MATCH(D$1,'2-3 引出列表'!$A$1:$CD$1,0)),"")),"",IFERROR(INDEX('2-3 引出列表'!$A$2:$CE$8700,$A216,MATCH(D$1,'2-3 引出列表'!$A$1:$CD$1,0)),""))</f>
        <v>已付款</v>
      </c>
      <c r="E216" t="str">
        <f>IF(ISBLANK(IFERROR(INDEX('2-3 引出列表'!$A$2:$CE$8700,$A216,MATCH(E$1,'2-3 引出列表'!$A$1:$CD$1,0)),"")),"",IFERROR(INDEX('2-3 引出列表'!$A$2:$CE$8700,$A216,MATCH(E$1,'2-3 引出列表'!$A$1:$CD$1,0)),""))</f>
        <v>2025-01-16</v>
      </c>
      <c r="F216" t="str">
        <f t="shared" si="3"/>
        <v>2025-01</v>
      </c>
      <c r="G216" t="str">
        <f>IF(ISBLANK(IFERROR(INDEX('2-3 引出列表'!$A$2:$CE$8700,$A216,MATCH(G$1,'2-3 引出列表'!$A$1:$CD$1,0)),"")),"",IFERROR(INDEX('2-3 引出列表'!$A$2:$CE$8700,$A216,MATCH(G$1,'2-3 引出列表'!$A$1:$CD$1,0)),""))</f>
        <v>物料消耗.物料消耗</v>
      </c>
      <c r="H216" t="str">
        <f>IF(ISBLANK(IFERROR(INDEX('2-3 引出列表'!$A$2:$CE$8700,$A216,MATCH(H$1,'2-3 引出列表'!$A$1:$CD$1,0)),"")),"",IFERROR(INDEX('2-3 引出列表'!$A$2:$CE$8700,$A216,MATCH(H$1,'2-3 引出列表'!$A$1:$CD$1,0)),""))</f>
        <v>XHWZ-Z-2024-0010</v>
      </c>
      <c r="I216" t="str">
        <f>IF(ISBLANK(IFERROR(INDEX('2-3 引出列表'!$A$2:$CE$8700,$A216,MATCH(I$1,'2-3 引出列表'!$A$1:$CD$1,0)),"")),"",IFERROR(INDEX('2-3 引出列表'!$A$2:$CE$8700,$A216,MATCH(I$1,'2-3 引出列表'!$A$1:$CD$1,0)),""))</f>
        <v>金采易购</v>
      </c>
    </row>
    <row r="217" spans="1:9">
      <c r="A217">
        <v>216</v>
      </c>
      <c r="B217" t="str">
        <f>IF(ISBLANK(IFERROR(INDEX('2-3 引出列表'!$A$2:$CE$8700,$A217,MATCH(B$1,'2-3 引出列表'!$A$1:$CD$1,0)),"")),"",IFERROR(INDEX('2-3 引出列表'!$A$2:$CE$8700,$A217,MATCH(B$1,'2-3 引出列表'!$A$1:$CD$1,0)),""))</f>
        <v>FK250116001489</v>
      </c>
      <c r="C217">
        <f>IF(ISBLANK(IFERROR(INDEX('2-3 引出列表'!$A$2:$CE$8700,$A217,MATCH(C$1,'2-3 引出列表'!$A$1:$CD$1,0)),"")),"",IFERROR(INDEX('2-3 引出列表'!$A$2:$CE$8700,$A217,MATCH(C$1,'2-3 引出列表'!$A$1:$CD$1,0)),""))</f>
        <v>112308</v>
      </c>
      <c r="D217" t="str">
        <f>IF(ISBLANK(IFERROR(INDEX('2-3 引出列表'!$A$2:$CE$8700,$A217,MATCH(D$1,'2-3 引出列表'!$A$1:$CD$1,0)),"")),"",IFERROR(INDEX('2-3 引出列表'!$A$2:$CE$8700,$A217,MATCH(D$1,'2-3 引出列表'!$A$1:$CD$1,0)),""))</f>
        <v>已付款</v>
      </c>
      <c r="E217" t="str">
        <f>IF(ISBLANK(IFERROR(INDEX('2-3 引出列表'!$A$2:$CE$8700,$A217,MATCH(E$1,'2-3 引出列表'!$A$1:$CD$1,0)),"")),"",IFERROR(INDEX('2-3 引出列表'!$A$2:$CE$8700,$A217,MATCH(E$1,'2-3 引出列表'!$A$1:$CD$1,0)),""))</f>
        <v>2025-01-16</v>
      </c>
      <c r="F217" t="str">
        <f t="shared" si="3"/>
        <v>2025-01</v>
      </c>
      <c r="G217" t="str">
        <f>IF(ISBLANK(IFERROR(INDEX('2-3 引出列表'!$A$2:$CE$8700,$A217,MATCH(G$1,'2-3 引出列表'!$A$1:$CD$1,0)),"")),"",IFERROR(INDEX('2-3 引出列表'!$A$2:$CE$8700,$A217,MATCH(G$1,'2-3 引出列表'!$A$1:$CD$1,0)),""))</f>
        <v>物料消耗.物料消耗</v>
      </c>
      <c r="H217" t="str">
        <f>IF(ISBLANK(IFERROR(INDEX('2-3 引出列表'!$A$2:$CE$8700,$A217,MATCH(H$1,'2-3 引出列表'!$A$1:$CD$1,0)),"")),"",IFERROR(INDEX('2-3 引出列表'!$A$2:$CE$8700,$A217,MATCH(H$1,'2-3 引出列表'!$A$1:$CD$1,0)),""))</f>
        <v>XHWZ-Z-2024-0010</v>
      </c>
      <c r="I217" t="str">
        <f>IF(ISBLANK(IFERROR(INDEX('2-3 引出列表'!$A$2:$CE$8700,$A217,MATCH(I$1,'2-3 引出列表'!$A$1:$CD$1,0)),"")),"",IFERROR(INDEX('2-3 引出列表'!$A$2:$CE$8700,$A217,MATCH(I$1,'2-3 引出列表'!$A$1:$CD$1,0)),""))</f>
        <v>金采易购</v>
      </c>
    </row>
    <row r="218" spans="1:9">
      <c r="A218">
        <v>217</v>
      </c>
      <c r="B218" t="str">
        <f>IF(ISBLANK(IFERROR(INDEX('2-3 引出列表'!$A$2:$CE$8700,$A218,MATCH(B$1,'2-3 引出列表'!$A$1:$CD$1,0)),"")),"",IFERROR(INDEX('2-3 引出列表'!$A$2:$CE$8700,$A218,MATCH(B$1,'2-3 引出列表'!$A$1:$CD$1,0)),""))</f>
        <v>FK250116001489</v>
      </c>
      <c r="C218">
        <f>IF(ISBLANK(IFERROR(INDEX('2-3 引出列表'!$A$2:$CE$8700,$A218,MATCH(C$1,'2-3 引出列表'!$A$1:$CD$1,0)),"")),"",IFERROR(INDEX('2-3 引出列表'!$A$2:$CE$8700,$A218,MATCH(C$1,'2-3 引出列表'!$A$1:$CD$1,0)),""))</f>
        <v>112308</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2025-01-16</v>
      </c>
      <c r="F218" t="str">
        <f t="shared" si="3"/>
        <v>2025-01</v>
      </c>
      <c r="G218" t="str">
        <f>IF(ISBLANK(IFERROR(INDEX('2-3 引出列表'!$A$2:$CE$8700,$A218,MATCH(G$1,'2-3 引出列表'!$A$1:$CD$1,0)),"")),"",IFERROR(INDEX('2-3 引出列表'!$A$2:$CE$8700,$A218,MATCH(G$1,'2-3 引出列表'!$A$1:$CD$1,0)),""))</f>
        <v>物料消耗.物料消耗</v>
      </c>
      <c r="H218" t="str">
        <f>IF(ISBLANK(IFERROR(INDEX('2-3 引出列表'!$A$2:$CE$8700,$A218,MATCH(H$1,'2-3 引出列表'!$A$1:$CD$1,0)),"")),"",IFERROR(INDEX('2-3 引出列表'!$A$2:$CE$8700,$A218,MATCH(H$1,'2-3 引出列表'!$A$1:$CD$1,0)),""))</f>
        <v>XHWZ-Z-2024-0010</v>
      </c>
      <c r="I218" t="str">
        <f>IF(ISBLANK(IFERROR(INDEX('2-3 引出列表'!$A$2:$CE$8700,$A218,MATCH(I$1,'2-3 引出列表'!$A$1:$CD$1,0)),"")),"",IFERROR(INDEX('2-3 引出列表'!$A$2:$CE$8700,$A218,MATCH(I$1,'2-3 引出列表'!$A$1:$CD$1,0)),""))</f>
        <v>金采易购</v>
      </c>
    </row>
    <row r="219" spans="1:9">
      <c r="A219">
        <v>218</v>
      </c>
      <c r="B219" t="str">
        <f>IF(ISBLANK(IFERROR(INDEX('2-3 引出列表'!$A$2:$CE$8700,$A219,MATCH(B$1,'2-3 引出列表'!$A$1:$CD$1,0)),"")),"",IFERROR(INDEX('2-3 引出列表'!$A$2:$CE$8700,$A219,MATCH(B$1,'2-3 引出列表'!$A$1:$CD$1,0)),""))</f>
        <v>FK250116001489</v>
      </c>
      <c r="C219">
        <f>IF(ISBLANK(IFERROR(INDEX('2-3 引出列表'!$A$2:$CE$8700,$A219,MATCH(C$1,'2-3 引出列表'!$A$1:$CD$1,0)),"")),"",IFERROR(INDEX('2-3 引出列表'!$A$2:$CE$8700,$A219,MATCH(C$1,'2-3 引出列表'!$A$1:$CD$1,0)),""))</f>
        <v>112308</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2025-01-16</v>
      </c>
      <c r="F219" t="str">
        <f t="shared" si="3"/>
        <v>2025-01</v>
      </c>
      <c r="G219" t="str">
        <f>IF(ISBLANK(IFERROR(INDEX('2-3 引出列表'!$A$2:$CE$8700,$A219,MATCH(G$1,'2-3 引出列表'!$A$1:$CD$1,0)),"")),"",IFERROR(INDEX('2-3 引出列表'!$A$2:$CE$8700,$A219,MATCH(G$1,'2-3 引出列表'!$A$1:$CD$1,0)),""))</f>
        <v>物料消耗.物料消耗</v>
      </c>
      <c r="H219" t="str">
        <f>IF(ISBLANK(IFERROR(INDEX('2-3 引出列表'!$A$2:$CE$8700,$A219,MATCH(H$1,'2-3 引出列表'!$A$1:$CD$1,0)),"")),"",IFERROR(INDEX('2-3 引出列表'!$A$2:$CE$8700,$A219,MATCH(H$1,'2-3 引出列表'!$A$1:$CD$1,0)),""))</f>
        <v>XHWZ-Z-2024-0010</v>
      </c>
      <c r="I219" t="str">
        <f>IF(ISBLANK(IFERROR(INDEX('2-3 引出列表'!$A$2:$CE$8700,$A219,MATCH(I$1,'2-3 引出列表'!$A$1:$CD$1,0)),"")),"",IFERROR(INDEX('2-3 引出列表'!$A$2:$CE$8700,$A219,MATCH(I$1,'2-3 引出列表'!$A$1:$CD$1,0)),""))</f>
        <v>金采易购</v>
      </c>
    </row>
    <row r="220" spans="1:9">
      <c r="A220">
        <v>219</v>
      </c>
      <c r="B220" t="str">
        <f>IF(ISBLANK(IFERROR(INDEX('2-3 引出列表'!$A$2:$CE$8700,$A220,MATCH(B$1,'2-3 引出列表'!$A$1:$CD$1,0)),"")),"",IFERROR(INDEX('2-3 引出列表'!$A$2:$CE$8700,$A220,MATCH(B$1,'2-3 引出列表'!$A$1:$CD$1,0)),""))</f>
        <v>FK250116001489</v>
      </c>
      <c r="C220">
        <f>IF(ISBLANK(IFERROR(INDEX('2-3 引出列表'!$A$2:$CE$8700,$A220,MATCH(C$1,'2-3 引出列表'!$A$1:$CD$1,0)),"")),"",IFERROR(INDEX('2-3 引出列表'!$A$2:$CE$8700,$A220,MATCH(C$1,'2-3 引出列表'!$A$1:$CD$1,0)),""))</f>
        <v>112308</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2025-01-16</v>
      </c>
      <c r="F220" t="str">
        <f t="shared" si="3"/>
        <v>2025-01</v>
      </c>
      <c r="G220" t="str">
        <f>IF(ISBLANK(IFERROR(INDEX('2-3 引出列表'!$A$2:$CE$8700,$A220,MATCH(G$1,'2-3 引出列表'!$A$1:$CD$1,0)),"")),"",IFERROR(INDEX('2-3 引出列表'!$A$2:$CE$8700,$A220,MATCH(G$1,'2-3 引出列表'!$A$1:$CD$1,0)),""))</f>
        <v>物料消耗.物料消耗</v>
      </c>
      <c r="H220" t="str">
        <f>IF(ISBLANK(IFERROR(INDEX('2-3 引出列表'!$A$2:$CE$8700,$A220,MATCH(H$1,'2-3 引出列表'!$A$1:$CD$1,0)),"")),"",IFERROR(INDEX('2-3 引出列表'!$A$2:$CE$8700,$A220,MATCH(H$1,'2-3 引出列表'!$A$1:$CD$1,0)),""))</f>
        <v>XHWZ-Z-2024-0010</v>
      </c>
      <c r="I220" t="str">
        <f>IF(ISBLANK(IFERROR(INDEX('2-3 引出列表'!$A$2:$CE$8700,$A220,MATCH(I$1,'2-3 引出列表'!$A$1:$CD$1,0)),"")),"",IFERROR(INDEX('2-3 引出列表'!$A$2:$CE$8700,$A220,MATCH(I$1,'2-3 引出列表'!$A$1:$CD$1,0)),""))</f>
        <v>金采易购</v>
      </c>
    </row>
    <row r="221" spans="1:9">
      <c r="A221">
        <v>220</v>
      </c>
      <c r="B221" t="str">
        <f>IF(ISBLANK(IFERROR(INDEX('2-3 引出列表'!$A$2:$CE$8700,$A221,MATCH(B$1,'2-3 引出列表'!$A$1:$CD$1,0)),"")),"",IFERROR(INDEX('2-3 引出列表'!$A$2:$CE$8700,$A221,MATCH(B$1,'2-3 引出列表'!$A$1:$CD$1,0)),""))</f>
        <v>FK250116001489</v>
      </c>
      <c r="C221">
        <f>IF(ISBLANK(IFERROR(INDEX('2-3 引出列表'!$A$2:$CE$8700,$A221,MATCH(C$1,'2-3 引出列表'!$A$1:$CD$1,0)),"")),"",IFERROR(INDEX('2-3 引出列表'!$A$2:$CE$8700,$A221,MATCH(C$1,'2-3 引出列表'!$A$1:$CD$1,0)),""))</f>
        <v>112308</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2025-01-16</v>
      </c>
      <c r="F221" t="str">
        <f t="shared" si="3"/>
        <v>2025-01</v>
      </c>
      <c r="G221" t="str">
        <f>IF(ISBLANK(IFERROR(INDEX('2-3 引出列表'!$A$2:$CE$8700,$A221,MATCH(G$1,'2-3 引出列表'!$A$1:$CD$1,0)),"")),"",IFERROR(INDEX('2-3 引出列表'!$A$2:$CE$8700,$A221,MATCH(G$1,'2-3 引出列表'!$A$1:$CD$1,0)),""))</f>
        <v>物料消耗.物料消耗</v>
      </c>
      <c r="H221" t="str">
        <f>IF(ISBLANK(IFERROR(INDEX('2-3 引出列表'!$A$2:$CE$8700,$A221,MATCH(H$1,'2-3 引出列表'!$A$1:$CD$1,0)),"")),"",IFERROR(INDEX('2-3 引出列表'!$A$2:$CE$8700,$A221,MATCH(H$1,'2-3 引出列表'!$A$1:$CD$1,0)),""))</f>
        <v>XHWZ-Z-2024-0010</v>
      </c>
      <c r="I221" t="str">
        <f>IF(ISBLANK(IFERROR(INDEX('2-3 引出列表'!$A$2:$CE$8700,$A221,MATCH(I$1,'2-3 引出列表'!$A$1:$CD$1,0)),"")),"",IFERROR(INDEX('2-3 引出列表'!$A$2:$CE$8700,$A221,MATCH(I$1,'2-3 引出列表'!$A$1:$CD$1,0)),""))</f>
        <v>金采易购</v>
      </c>
    </row>
    <row r="222" spans="1:9">
      <c r="A222">
        <v>221</v>
      </c>
      <c r="B222" t="str">
        <f>IF(ISBLANK(IFERROR(INDEX('2-3 引出列表'!$A$2:$CE$8700,$A222,MATCH(B$1,'2-3 引出列表'!$A$1:$CD$1,0)),"")),"",IFERROR(INDEX('2-3 引出列表'!$A$2:$CE$8700,$A222,MATCH(B$1,'2-3 引出列表'!$A$1:$CD$1,0)),""))</f>
        <v>FK250116001489</v>
      </c>
      <c r="C222">
        <f>IF(ISBLANK(IFERROR(INDEX('2-3 引出列表'!$A$2:$CE$8700,$A222,MATCH(C$1,'2-3 引出列表'!$A$1:$CD$1,0)),"")),"",IFERROR(INDEX('2-3 引出列表'!$A$2:$CE$8700,$A222,MATCH(C$1,'2-3 引出列表'!$A$1:$CD$1,0)),""))</f>
        <v>112308</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2025-01-16</v>
      </c>
      <c r="F222" t="str">
        <f t="shared" si="3"/>
        <v>2025-01</v>
      </c>
      <c r="G222" t="str">
        <f>IF(ISBLANK(IFERROR(INDEX('2-3 引出列表'!$A$2:$CE$8700,$A222,MATCH(G$1,'2-3 引出列表'!$A$1:$CD$1,0)),"")),"",IFERROR(INDEX('2-3 引出列表'!$A$2:$CE$8700,$A222,MATCH(G$1,'2-3 引出列表'!$A$1:$CD$1,0)),""))</f>
        <v>物料消耗.物料消耗</v>
      </c>
      <c r="H222" t="str">
        <f>IF(ISBLANK(IFERROR(INDEX('2-3 引出列表'!$A$2:$CE$8700,$A222,MATCH(H$1,'2-3 引出列表'!$A$1:$CD$1,0)),"")),"",IFERROR(INDEX('2-3 引出列表'!$A$2:$CE$8700,$A222,MATCH(H$1,'2-3 引出列表'!$A$1:$CD$1,0)),""))</f>
        <v>XHWZ-Z-2024-0010</v>
      </c>
      <c r="I222" t="str">
        <f>IF(ISBLANK(IFERROR(INDEX('2-3 引出列表'!$A$2:$CE$8700,$A222,MATCH(I$1,'2-3 引出列表'!$A$1:$CD$1,0)),"")),"",IFERROR(INDEX('2-3 引出列表'!$A$2:$CE$8700,$A222,MATCH(I$1,'2-3 引出列表'!$A$1:$CD$1,0)),""))</f>
        <v>金采易购</v>
      </c>
    </row>
    <row r="223" spans="1:9">
      <c r="A223">
        <v>222</v>
      </c>
      <c r="B223" t="str">
        <f>IF(ISBLANK(IFERROR(INDEX('2-3 引出列表'!$A$2:$CE$8700,$A223,MATCH(B$1,'2-3 引出列表'!$A$1:$CD$1,0)),"")),"",IFERROR(INDEX('2-3 引出列表'!$A$2:$CE$8700,$A223,MATCH(B$1,'2-3 引出列表'!$A$1:$CD$1,0)),""))</f>
        <v>FK250116001489</v>
      </c>
      <c r="C223">
        <f>IF(ISBLANK(IFERROR(INDEX('2-3 引出列表'!$A$2:$CE$8700,$A223,MATCH(C$1,'2-3 引出列表'!$A$1:$CD$1,0)),"")),"",IFERROR(INDEX('2-3 引出列表'!$A$2:$CE$8700,$A223,MATCH(C$1,'2-3 引出列表'!$A$1:$CD$1,0)),""))</f>
        <v>112308</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2025-01-16</v>
      </c>
      <c r="F223" t="str">
        <f t="shared" si="3"/>
        <v>2025-01</v>
      </c>
      <c r="G223" t="str">
        <f>IF(ISBLANK(IFERROR(INDEX('2-3 引出列表'!$A$2:$CE$8700,$A223,MATCH(G$1,'2-3 引出列表'!$A$1:$CD$1,0)),"")),"",IFERROR(INDEX('2-3 引出列表'!$A$2:$CE$8700,$A223,MATCH(G$1,'2-3 引出列表'!$A$1:$CD$1,0)),""))</f>
        <v>物料消耗.物料消耗</v>
      </c>
      <c r="H223" t="str">
        <f>IF(ISBLANK(IFERROR(INDEX('2-3 引出列表'!$A$2:$CE$8700,$A223,MATCH(H$1,'2-3 引出列表'!$A$1:$CD$1,0)),"")),"",IFERROR(INDEX('2-3 引出列表'!$A$2:$CE$8700,$A223,MATCH(H$1,'2-3 引出列表'!$A$1:$CD$1,0)),""))</f>
        <v>XHWZ-Z-2024-0010</v>
      </c>
      <c r="I223" t="str">
        <f>IF(ISBLANK(IFERROR(INDEX('2-3 引出列表'!$A$2:$CE$8700,$A223,MATCH(I$1,'2-3 引出列表'!$A$1:$CD$1,0)),"")),"",IFERROR(INDEX('2-3 引出列表'!$A$2:$CE$8700,$A223,MATCH(I$1,'2-3 引出列表'!$A$1:$CD$1,0)),""))</f>
        <v>金采易购</v>
      </c>
    </row>
    <row r="224" spans="1:9">
      <c r="A224">
        <v>223</v>
      </c>
      <c r="B224" t="str">
        <f>IF(ISBLANK(IFERROR(INDEX('2-3 引出列表'!$A$2:$CE$8700,$A224,MATCH(B$1,'2-3 引出列表'!$A$1:$CD$1,0)),"")),"",IFERROR(INDEX('2-3 引出列表'!$A$2:$CE$8700,$A224,MATCH(B$1,'2-3 引出列表'!$A$1:$CD$1,0)),""))</f>
        <v>FK250116001489</v>
      </c>
      <c r="C224">
        <f>IF(ISBLANK(IFERROR(INDEX('2-3 引出列表'!$A$2:$CE$8700,$A224,MATCH(C$1,'2-3 引出列表'!$A$1:$CD$1,0)),"")),"",IFERROR(INDEX('2-3 引出列表'!$A$2:$CE$8700,$A224,MATCH(C$1,'2-3 引出列表'!$A$1:$CD$1,0)),""))</f>
        <v>112308</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2025-01-16</v>
      </c>
      <c r="F224" t="str">
        <f t="shared" si="3"/>
        <v>2025-01</v>
      </c>
      <c r="G224" t="str">
        <f>IF(ISBLANK(IFERROR(INDEX('2-3 引出列表'!$A$2:$CE$8700,$A224,MATCH(G$1,'2-3 引出列表'!$A$1:$CD$1,0)),"")),"",IFERROR(INDEX('2-3 引出列表'!$A$2:$CE$8700,$A224,MATCH(G$1,'2-3 引出列表'!$A$1:$CD$1,0)),""))</f>
        <v>物料消耗.物料消耗</v>
      </c>
      <c r="H224" t="str">
        <f>IF(ISBLANK(IFERROR(INDEX('2-3 引出列表'!$A$2:$CE$8700,$A224,MATCH(H$1,'2-3 引出列表'!$A$1:$CD$1,0)),"")),"",IFERROR(INDEX('2-3 引出列表'!$A$2:$CE$8700,$A224,MATCH(H$1,'2-3 引出列表'!$A$1:$CD$1,0)),""))</f>
        <v>XHWZ-Z-2024-0010</v>
      </c>
      <c r="I224" t="str">
        <f>IF(ISBLANK(IFERROR(INDEX('2-3 引出列表'!$A$2:$CE$8700,$A224,MATCH(I$1,'2-3 引出列表'!$A$1:$CD$1,0)),"")),"",IFERROR(INDEX('2-3 引出列表'!$A$2:$CE$8700,$A224,MATCH(I$1,'2-3 引出列表'!$A$1:$CD$1,0)),""))</f>
        <v>金采易购</v>
      </c>
    </row>
    <row r="225" spans="1:9">
      <c r="A225">
        <v>224</v>
      </c>
      <c r="B225" t="str">
        <f>IF(ISBLANK(IFERROR(INDEX('2-3 引出列表'!$A$2:$CE$8700,$A225,MATCH(B$1,'2-3 引出列表'!$A$1:$CD$1,0)),"")),"",IFERROR(INDEX('2-3 引出列表'!$A$2:$CE$8700,$A225,MATCH(B$1,'2-3 引出列表'!$A$1:$CD$1,0)),""))</f>
        <v>FK250116001489</v>
      </c>
      <c r="C225">
        <f>IF(ISBLANK(IFERROR(INDEX('2-3 引出列表'!$A$2:$CE$8700,$A225,MATCH(C$1,'2-3 引出列表'!$A$1:$CD$1,0)),"")),"",IFERROR(INDEX('2-3 引出列表'!$A$2:$CE$8700,$A225,MATCH(C$1,'2-3 引出列表'!$A$1:$CD$1,0)),""))</f>
        <v>112308</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2025-01-16</v>
      </c>
      <c r="F225" t="str">
        <f t="shared" si="3"/>
        <v>2025-01</v>
      </c>
      <c r="G225" t="str">
        <f>IF(ISBLANK(IFERROR(INDEX('2-3 引出列表'!$A$2:$CE$8700,$A225,MATCH(G$1,'2-3 引出列表'!$A$1:$CD$1,0)),"")),"",IFERROR(INDEX('2-3 引出列表'!$A$2:$CE$8700,$A225,MATCH(G$1,'2-3 引出列表'!$A$1:$CD$1,0)),""))</f>
        <v>物料消耗.物料消耗</v>
      </c>
      <c r="H225" t="str">
        <f>IF(ISBLANK(IFERROR(INDEX('2-3 引出列表'!$A$2:$CE$8700,$A225,MATCH(H$1,'2-3 引出列表'!$A$1:$CD$1,0)),"")),"",IFERROR(INDEX('2-3 引出列表'!$A$2:$CE$8700,$A225,MATCH(H$1,'2-3 引出列表'!$A$1:$CD$1,0)),""))</f>
        <v>XHWZ-Z-2024-0010</v>
      </c>
      <c r="I225" t="str">
        <f>IF(ISBLANK(IFERROR(INDEX('2-3 引出列表'!$A$2:$CE$8700,$A225,MATCH(I$1,'2-3 引出列表'!$A$1:$CD$1,0)),"")),"",IFERROR(INDEX('2-3 引出列表'!$A$2:$CE$8700,$A225,MATCH(I$1,'2-3 引出列表'!$A$1:$CD$1,0)),""))</f>
        <v>金采易购</v>
      </c>
    </row>
    <row r="226" spans="1:9">
      <c r="A226">
        <v>225</v>
      </c>
      <c r="B226" t="str">
        <f>IF(ISBLANK(IFERROR(INDEX('2-3 引出列表'!$A$2:$CE$8700,$A226,MATCH(B$1,'2-3 引出列表'!$A$1:$CD$1,0)),"")),"",IFERROR(INDEX('2-3 引出列表'!$A$2:$CE$8700,$A226,MATCH(B$1,'2-3 引出列表'!$A$1:$CD$1,0)),""))</f>
        <v>FK250116001489</v>
      </c>
      <c r="C226">
        <f>IF(ISBLANK(IFERROR(INDEX('2-3 引出列表'!$A$2:$CE$8700,$A226,MATCH(C$1,'2-3 引出列表'!$A$1:$CD$1,0)),"")),"",IFERROR(INDEX('2-3 引出列表'!$A$2:$CE$8700,$A226,MATCH(C$1,'2-3 引出列表'!$A$1:$CD$1,0)),""))</f>
        <v>112308</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2025-01-16</v>
      </c>
      <c r="F226" t="str">
        <f t="shared" si="3"/>
        <v>2025-01</v>
      </c>
      <c r="G226" t="str">
        <f>IF(ISBLANK(IFERROR(INDEX('2-3 引出列表'!$A$2:$CE$8700,$A226,MATCH(G$1,'2-3 引出列表'!$A$1:$CD$1,0)),"")),"",IFERROR(INDEX('2-3 引出列表'!$A$2:$CE$8700,$A226,MATCH(G$1,'2-3 引出列表'!$A$1:$CD$1,0)),""))</f>
        <v>物料消耗.物料消耗</v>
      </c>
      <c r="H226" t="str">
        <f>IF(ISBLANK(IFERROR(INDEX('2-3 引出列表'!$A$2:$CE$8700,$A226,MATCH(H$1,'2-3 引出列表'!$A$1:$CD$1,0)),"")),"",IFERROR(INDEX('2-3 引出列表'!$A$2:$CE$8700,$A226,MATCH(H$1,'2-3 引出列表'!$A$1:$CD$1,0)),""))</f>
        <v>XHWZ-Z-2024-0010</v>
      </c>
      <c r="I226" t="str">
        <f>IF(ISBLANK(IFERROR(INDEX('2-3 引出列表'!$A$2:$CE$8700,$A226,MATCH(I$1,'2-3 引出列表'!$A$1:$CD$1,0)),"")),"",IFERROR(INDEX('2-3 引出列表'!$A$2:$CE$8700,$A226,MATCH(I$1,'2-3 引出列表'!$A$1:$CD$1,0)),""))</f>
        <v>金采易购</v>
      </c>
    </row>
    <row r="227" spans="1:9">
      <c r="A227">
        <v>226</v>
      </c>
      <c r="B227" t="str">
        <f>IF(ISBLANK(IFERROR(INDEX('2-3 引出列表'!$A$2:$CE$8700,$A227,MATCH(B$1,'2-3 引出列表'!$A$1:$CD$1,0)),"")),"",IFERROR(INDEX('2-3 引出列表'!$A$2:$CE$8700,$A227,MATCH(B$1,'2-3 引出列表'!$A$1:$CD$1,0)),""))</f>
        <v>FK250116001489</v>
      </c>
      <c r="C227">
        <f>IF(ISBLANK(IFERROR(INDEX('2-3 引出列表'!$A$2:$CE$8700,$A227,MATCH(C$1,'2-3 引出列表'!$A$1:$CD$1,0)),"")),"",IFERROR(INDEX('2-3 引出列表'!$A$2:$CE$8700,$A227,MATCH(C$1,'2-3 引出列表'!$A$1:$CD$1,0)),""))</f>
        <v>112308</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2025-01-16</v>
      </c>
      <c r="F227" t="str">
        <f t="shared" si="3"/>
        <v>2025-01</v>
      </c>
      <c r="G227" t="str">
        <f>IF(ISBLANK(IFERROR(INDEX('2-3 引出列表'!$A$2:$CE$8700,$A227,MATCH(G$1,'2-3 引出列表'!$A$1:$CD$1,0)),"")),"",IFERROR(INDEX('2-3 引出列表'!$A$2:$CE$8700,$A227,MATCH(G$1,'2-3 引出列表'!$A$1:$CD$1,0)),""))</f>
        <v>物料消耗.物料消耗</v>
      </c>
      <c r="H227" t="str">
        <f>IF(ISBLANK(IFERROR(INDEX('2-3 引出列表'!$A$2:$CE$8700,$A227,MATCH(H$1,'2-3 引出列表'!$A$1:$CD$1,0)),"")),"",IFERROR(INDEX('2-3 引出列表'!$A$2:$CE$8700,$A227,MATCH(H$1,'2-3 引出列表'!$A$1:$CD$1,0)),""))</f>
        <v>XHWZ-Z-2024-0010</v>
      </c>
      <c r="I227" t="str">
        <f>IF(ISBLANK(IFERROR(INDEX('2-3 引出列表'!$A$2:$CE$8700,$A227,MATCH(I$1,'2-3 引出列表'!$A$1:$CD$1,0)),"")),"",IFERROR(INDEX('2-3 引出列表'!$A$2:$CE$8700,$A227,MATCH(I$1,'2-3 引出列表'!$A$1:$CD$1,0)),""))</f>
        <v>金采易购</v>
      </c>
    </row>
    <row r="228" spans="1:9">
      <c r="A228">
        <v>227</v>
      </c>
      <c r="B228" t="str">
        <f>IF(ISBLANK(IFERROR(INDEX('2-3 引出列表'!$A$2:$CE$8700,$A228,MATCH(B$1,'2-3 引出列表'!$A$1:$CD$1,0)),"")),"",IFERROR(INDEX('2-3 引出列表'!$A$2:$CE$8700,$A228,MATCH(B$1,'2-3 引出列表'!$A$1:$CD$1,0)),""))</f>
        <v>FK250116001489</v>
      </c>
      <c r="C228">
        <f>IF(ISBLANK(IFERROR(INDEX('2-3 引出列表'!$A$2:$CE$8700,$A228,MATCH(C$1,'2-3 引出列表'!$A$1:$CD$1,0)),"")),"",IFERROR(INDEX('2-3 引出列表'!$A$2:$CE$8700,$A228,MATCH(C$1,'2-3 引出列表'!$A$1:$CD$1,0)),""))</f>
        <v>112308</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2025-01-16</v>
      </c>
      <c r="F228" t="str">
        <f t="shared" si="3"/>
        <v>2025-01</v>
      </c>
      <c r="G228" t="str">
        <f>IF(ISBLANK(IFERROR(INDEX('2-3 引出列表'!$A$2:$CE$8700,$A228,MATCH(G$1,'2-3 引出列表'!$A$1:$CD$1,0)),"")),"",IFERROR(INDEX('2-3 引出列表'!$A$2:$CE$8700,$A228,MATCH(G$1,'2-3 引出列表'!$A$1:$CD$1,0)),""))</f>
        <v>物料消耗.物料消耗</v>
      </c>
      <c r="H228" t="str">
        <f>IF(ISBLANK(IFERROR(INDEX('2-3 引出列表'!$A$2:$CE$8700,$A228,MATCH(H$1,'2-3 引出列表'!$A$1:$CD$1,0)),"")),"",IFERROR(INDEX('2-3 引出列表'!$A$2:$CE$8700,$A228,MATCH(H$1,'2-3 引出列表'!$A$1:$CD$1,0)),""))</f>
        <v>XHWZ-Z-2024-0010</v>
      </c>
      <c r="I228" t="str">
        <f>IF(ISBLANK(IFERROR(INDEX('2-3 引出列表'!$A$2:$CE$8700,$A228,MATCH(I$1,'2-3 引出列表'!$A$1:$CD$1,0)),"")),"",IFERROR(INDEX('2-3 引出列表'!$A$2:$CE$8700,$A228,MATCH(I$1,'2-3 引出列表'!$A$1:$CD$1,0)),""))</f>
        <v>金采易购</v>
      </c>
    </row>
    <row r="229" spans="1:9">
      <c r="A229">
        <v>228</v>
      </c>
      <c r="B229" t="str">
        <f>IF(ISBLANK(IFERROR(INDEX('2-3 引出列表'!$A$2:$CE$8700,$A229,MATCH(B$1,'2-3 引出列表'!$A$1:$CD$1,0)),"")),"",IFERROR(INDEX('2-3 引出列表'!$A$2:$CE$8700,$A229,MATCH(B$1,'2-3 引出列表'!$A$1:$CD$1,0)),""))</f>
        <v>FK250116001489</v>
      </c>
      <c r="C229">
        <f>IF(ISBLANK(IFERROR(INDEX('2-3 引出列表'!$A$2:$CE$8700,$A229,MATCH(C$1,'2-3 引出列表'!$A$1:$CD$1,0)),"")),"",IFERROR(INDEX('2-3 引出列表'!$A$2:$CE$8700,$A229,MATCH(C$1,'2-3 引出列表'!$A$1:$CD$1,0)),""))</f>
        <v>112308</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2025-01-16</v>
      </c>
      <c r="F229" t="str">
        <f t="shared" si="3"/>
        <v>2025-01</v>
      </c>
      <c r="G229" t="str">
        <f>IF(ISBLANK(IFERROR(INDEX('2-3 引出列表'!$A$2:$CE$8700,$A229,MATCH(G$1,'2-3 引出列表'!$A$1:$CD$1,0)),"")),"",IFERROR(INDEX('2-3 引出列表'!$A$2:$CE$8700,$A229,MATCH(G$1,'2-3 引出列表'!$A$1:$CD$1,0)),""))</f>
        <v>物料消耗.物料消耗</v>
      </c>
      <c r="H229" t="str">
        <f>IF(ISBLANK(IFERROR(INDEX('2-3 引出列表'!$A$2:$CE$8700,$A229,MATCH(H$1,'2-3 引出列表'!$A$1:$CD$1,0)),"")),"",IFERROR(INDEX('2-3 引出列表'!$A$2:$CE$8700,$A229,MATCH(H$1,'2-3 引出列表'!$A$1:$CD$1,0)),""))</f>
        <v>XHWZ-Z-2024-0010</v>
      </c>
      <c r="I229" t="str">
        <f>IF(ISBLANK(IFERROR(INDEX('2-3 引出列表'!$A$2:$CE$8700,$A229,MATCH(I$1,'2-3 引出列表'!$A$1:$CD$1,0)),"")),"",IFERROR(INDEX('2-3 引出列表'!$A$2:$CE$8700,$A229,MATCH(I$1,'2-3 引出列表'!$A$1:$CD$1,0)),""))</f>
        <v>金采易购</v>
      </c>
    </row>
    <row r="230" spans="1:9">
      <c r="A230">
        <v>229</v>
      </c>
      <c r="B230" t="str">
        <f>IF(ISBLANK(IFERROR(INDEX('2-3 引出列表'!$A$2:$CE$8700,$A230,MATCH(B$1,'2-3 引出列表'!$A$1:$CD$1,0)),"")),"",IFERROR(INDEX('2-3 引出列表'!$A$2:$CE$8700,$A230,MATCH(B$1,'2-3 引出列表'!$A$1:$CD$1,0)),""))</f>
        <v>FK250116001489</v>
      </c>
      <c r="C230">
        <f>IF(ISBLANK(IFERROR(INDEX('2-3 引出列表'!$A$2:$CE$8700,$A230,MATCH(C$1,'2-3 引出列表'!$A$1:$CD$1,0)),"")),"",IFERROR(INDEX('2-3 引出列表'!$A$2:$CE$8700,$A230,MATCH(C$1,'2-3 引出列表'!$A$1:$CD$1,0)),""))</f>
        <v>112308</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2025-01-16</v>
      </c>
      <c r="F230" t="str">
        <f t="shared" si="3"/>
        <v>2025-01</v>
      </c>
      <c r="G230" t="str">
        <f>IF(ISBLANK(IFERROR(INDEX('2-3 引出列表'!$A$2:$CE$8700,$A230,MATCH(G$1,'2-3 引出列表'!$A$1:$CD$1,0)),"")),"",IFERROR(INDEX('2-3 引出列表'!$A$2:$CE$8700,$A230,MATCH(G$1,'2-3 引出列表'!$A$1:$CD$1,0)),""))</f>
        <v>物料消耗.物料消耗</v>
      </c>
      <c r="H230" t="str">
        <f>IF(ISBLANK(IFERROR(INDEX('2-3 引出列表'!$A$2:$CE$8700,$A230,MATCH(H$1,'2-3 引出列表'!$A$1:$CD$1,0)),"")),"",IFERROR(INDEX('2-3 引出列表'!$A$2:$CE$8700,$A230,MATCH(H$1,'2-3 引出列表'!$A$1:$CD$1,0)),""))</f>
        <v>XHWZ-Z-2024-0010</v>
      </c>
      <c r="I230" t="str">
        <f>IF(ISBLANK(IFERROR(INDEX('2-3 引出列表'!$A$2:$CE$8700,$A230,MATCH(I$1,'2-3 引出列表'!$A$1:$CD$1,0)),"")),"",IFERROR(INDEX('2-3 引出列表'!$A$2:$CE$8700,$A230,MATCH(I$1,'2-3 引出列表'!$A$1:$CD$1,0)),""))</f>
        <v>金采易购</v>
      </c>
    </row>
    <row r="231" spans="1:9">
      <c r="A231">
        <v>230</v>
      </c>
      <c r="B231" t="str">
        <f>IF(ISBLANK(IFERROR(INDEX('2-3 引出列表'!$A$2:$CE$8700,$A231,MATCH(B$1,'2-3 引出列表'!$A$1:$CD$1,0)),"")),"",IFERROR(INDEX('2-3 引出列表'!$A$2:$CE$8700,$A231,MATCH(B$1,'2-3 引出列表'!$A$1:$CD$1,0)),""))</f>
        <v>FK250116001489</v>
      </c>
      <c r="C231">
        <f>IF(ISBLANK(IFERROR(INDEX('2-3 引出列表'!$A$2:$CE$8700,$A231,MATCH(C$1,'2-3 引出列表'!$A$1:$CD$1,0)),"")),"",IFERROR(INDEX('2-3 引出列表'!$A$2:$CE$8700,$A231,MATCH(C$1,'2-3 引出列表'!$A$1:$CD$1,0)),""))</f>
        <v>112308</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2025-01-16</v>
      </c>
      <c r="F231" t="str">
        <f t="shared" si="3"/>
        <v>2025-01</v>
      </c>
      <c r="G231" t="str">
        <f>IF(ISBLANK(IFERROR(INDEX('2-3 引出列表'!$A$2:$CE$8700,$A231,MATCH(G$1,'2-3 引出列表'!$A$1:$CD$1,0)),"")),"",IFERROR(INDEX('2-3 引出列表'!$A$2:$CE$8700,$A231,MATCH(G$1,'2-3 引出列表'!$A$1:$CD$1,0)),""))</f>
        <v>物料消耗.物料消耗</v>
      </c>
      <c r="H231" t="str">
        <f>IF(ISBLANK(IFERROR(INDEX('2-3 引出列表'!$A$2:$CE$8700,$A231,MATCH(H$1,'2-3 引出列表'!$A$1:$CD$1,0)),"")),"",IFERROR(INDEX('2-3 引出列表'!$A$2:$CE$8700,$A231,MATCH(H$1,'2-3 引出列表'!$A$1:$CD$1,0)),""))</f>
        <v>XHWZ-Z-2024-0010</v>
      </c>
      <c r="I231" t="str">
        <f>IF(ISBLANK(IFERROR(INDEX('2-3 引出列表'!$A$2:$CE$8700,$A231,MATCH(I$1,'2-3 引出列表'!$A$1:$CD$1,0)),"")),"",IFERROR(INDEX('2-3 引出列表'!$A$2:$CE$8700,$A231,MATCH(I$1,'2-3 引出列表'!$A$1:$CD$1,0)),""))</f>
        <v>金采易购</v>
      </c>
    </row>
    <row r="232" spans="1:9">
      <c r="A232">
        <v>231</v>
      </c>
      <c r="B232" t="str">
        <f>IF(ISBLANK(IFERROR(INDEX('2-3 引出列表'!$A$2:$CE$8700,$A232,MATCH(B$1,'2-3 引出列表'!$A$1:$CD$1,0)),"")),"",IFERROR(INDEX('2-3 引出列表'!$A$2:$CE$8700,$A232,MATCH(B$1,'2-3 引出列表'!$A$1:$CD$1,0)),""))</f>
        <v>FK250116001489</v>
      </c>
      <c r="C232">
        <f>IF(ISBLANK(IFERROR(INDEX('2-3 引出列表'!$A$2:$CE$8700,$A232,MATCH(C$1,'2-3 引出列表'!$A$1:$CD$1,0)),"")),"",IFERROR(INDEX('2-3 引出列表'!$A$2:$CE$8700,$A232,MATCH(C$1,'2-3 引出列表'!$A$1:$CD$1,0)),""))</f>
        <v>112308</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2025-01-16</v>
      </c>
      <c r="F232" t="str">
        <f t="shared" si="3"/>
        <v>2025-01</v>
      </c>
      <c r="G232" t="str">
        <f>IF(ISBLANK(IFERROR(INDEX('2-3 引出列表'!$A$2:$CE$8700,$A232,MATCH(G$1,'2-3 引出列表'!$A$1:$CD$1,0)),"")),"",IFERROR(INDEX('2-3 引出列表'!$A$2:$CE$8700,$A232,MATCH(G$1,'2-3 引出列表'!$A$1:$CD$1,0)),""))</f>
        <v>物料消耗.物料消耗</v>
      </c>
      <c r="H232" t="str">
        <f>IF(ISBLANK(IFERROR(INDEX('2-3 引出列表'!$A$2:$CE$8700,$A232,MATCH(H$1,'2-3 引出列表'!$A$1:$CD$1,0)),"")),"",IFERROR(INDEX('2-3 引出列表'!$A$2:$CE$8700,$A232,MATCH(H$1,'2-3 引出列表'!$A$1:$CD$1,0)),""))</f>
        <v>XHWZ-Z-2024-0010</v>
      </c>
      <c r="I232" t="str">
        <f>IF(ISBLANK(IFERROR(INDEX('2-3 引出列表'!$A$2:$CE$8700,$A232,MATCH(I$1,'2-3 引出列表'!$A$1:$CD$1,0)),"")),"",IFERROR(INDEX('2-3 引出列表'!$A$2:$CE$8700,$A232,MATCH(I$1,'2-3 引出列表'!$A$1:$CD$1,0)),""))</f>
        <v>金采易购</v>
      </c>
    </row>
    <row r="233" spans="1:9">
      <c r="A233">
        <v>232</v>
      </c>
      <c r="B233" t="str">
        <f>IF(ISBLANK(IFERROR(INDEX('2-3 引出列表'!$A$2:$CE$8700,$A233,MATCH(B$1,'2-3 引出列表'!$A$1:$CD$1,0)),"")),"",IFERROR(INDEX('2-3 引出列表'!$A$2:$CE$8700,$A233,MATCH(B$1,'2-3 引出列表'!$A$1:$CD$1,0)),""))</f>
        <v>FK250116001489</v>
      </c>
      <c r="C233">
        <f>IF(ISBLANK(IFERROR(INDEX('2-3 引出列表'!$A$2:$CE$8700,$A233,MATCH(C$1,'2-3 引出列表'!$A$1:$CD$1,0)),"")),"",IFERROR(INDEX('2-3 引出列表'!$A$2:$CE$8700,$A233,MATCH(C$1,'2-3 引出列表'!$A$1:$CD$1,0)),""))</f>
        <v>112308</v>
      </c>
      <c r="D233" t="str">
        <f>IF(ISBLANK(IFERROR(INDEX('2-3 引出列表'!$A$2:$CE$8700,$A233,MATCH(D$1,'2-3 引出列表'!$A$1:$CD$1,0)),"")),"",IFERROR(INDEX('2-3 引出列表'!$A$2:$CE$8700,$A233,MATCH(D$1,'2-3 引出列表'!$A$1:$CD$1,0)),""))</f>
        <v>已付款</v>
      </c>
      <c r="E233" t="str">
        <f>IF(ISBLANK(IFERROR(INDEX('2-3 引出列表'!$A$2:$CE$8700,$A233,MATCH(E$1,'2-3 引出列表'!$A$1:$CD$1,0)),"")),"",IFERROR(INDEX('2-3 引出列表'!$A$2:$CE$8700,$A233,MATCH(E$1,'2-3 引出列表'!$A$1:$CD$1,0)),""))</f>
        <v>2025-01-16</v>
      </c>
      <c r="F233" t="str">
        <f t="shared" si="3"/>
        <v>2025-01</v>
      </c>
      <c r="G233" t="str">
        <f>IF(ISBLANK(IFERROR(INDEX('2-3 引出列表'!$A$2:$CE$8700,$A233,MATCH(G$1,'2-3 引出列表'!$A$1:$CD$1,0)),"")),"",IFERROR(INDEX('2-3 引出列表'!$A$2:$CE$8700,$A233,MATCH(G$1,'2-3 引出列表'!$A$1:$CD$1,0)),""))</f>
        <v>物料消耗.物料消耗</v>
      </c>
      <c r="H233" t="str">
        <f>IF(ISBLANK(IFERROR(INDEX('2-3 引出列表'!$A$2:$CE$8700,$A233,MATCH(H$1,'2-3 引出列表'!$A$1:$CD$1,0)),"")),"",IFERROR(INDEX('2-3 引出列表'!$A$2:$CE$8700,$A233,MATCH(H$1,'2-3 引出列表'!$A$1:$CD$1,0)),""))</f>
        <v>XHWZ-Z-2024-0010</v>
      </c>
      <c r="I233" t="str">
        <f>IF(ISBLANK(IFERROR(INDEX('2-3 引出列表'!$A$2:$CE$8700,$A233,MATCH(I$1,'2-3 引出列表'!$A$1:$CD$1,0)),"")),"",IFERROR(INDEX('2-3 引出列表'!$A$2:$CE$8700,$A233,MATCH(I$1,'2-3 引出列表'!$A$1:$CD$1,0)),""))</f>
        <v>金采易购</v>
      </c>
    </row>
    <row r="234" spans="1:9">
      <c r="A234">
        <v>233</v>
      </c>
      <c r="B234" t="str">
        <f>IF(ISBLANK(IFERROR(INDEX('2-3 引出列表'!$A$2:$CE$8700,$A234,MATCH(B$1,'2-3 引出列表'!$A$1:$CD$1,0)),"")),"",IFERROR(INDEX('2-3 引出列表'!$A$2:$CE$8700,$A234,MATCH(B$1,'2-3 引出列表'!$A$1:$CD$1,0)),""))</f>
        <v>FK250116001489</v>
      </c>
      <c r="C234">
        <f>IF(ISBLANK(IFERROR(INDEX('2-3 引出列表'!$A$2:$CE$8700,$A234,MATCH(C$1,'2-3 引出列表'!$A$1:$CD$1,0)),"")),"",IFERROR(INDEX('2-3 引出列表'!$A$2:$CE$8700,$A234,MATCH(C$1,'2-3 引出列表'!$A$1:$CD$1,0)),""))</f>
        <v>112308</v>
      </c>
      <c r="D234" t="str">
        <f>IF(ISBLANK(IFERROR(INDEX('2-3 引出列表'!$A$2:$CE$8700,$A234,MATCH(D$1,'2-3 引出列表'!$A$1:$CD$1,0)),"")),"",IFERROR(INDEX('2-3 引出列表'!$A$2:$CE$8700,$A234,MATCH(D$1,'2-3 引出列表'!$A$1:$CD$1,0)),""))</f>
        <v>已付款</v>
      </c>
      <c r="E234" t="str">
        <f>IF(ISBLANK(IFERROR(INDEX('2-3 引出列表'!$A$2:$CE$8700,$A234,MATCH(E$1,'2-3 引出列表'!$A$1:$CD$1,0)),"")),"",IFERROR(INDEX('2-3 引出列表'!$A$2:$CE$8700,$A234,MATCH(E$1,'2-3 引出列表'!$A$1:$CD$1,0)),""))</f>
        <v>2025-01-16</v>
      </c>
      <c r="F234" t="str">
        <f t="shared" si="3"/>
        <v>2025-01</v>
      </c>
      <c r="G234" t="str">
        <f>IF(ISBLANK(IFERROR(INDEX('2-3 引出列表'!$A$2:$CE$8700,$A234,MATCH(G$1,'2-3 引出列表'!$A$1:$CD$1,0)),"")),"",IFERROR(INDEX('2-3 引出列表'!$A$2:$CE$8700,$A234,MATCH(G$1,'2-3 引出列表'!$A$1:$CD$1,0)),""))</f>
        <v>物料消耗.物料消耗</v>
      </c>
      <c r="H234" t="str">
        <f>IF(ISBLANK(IFERROR(INDEX('2-3 引出列表'!$A$2:$CE$8700,$A234,MATCH(H$1,'2-3 引出列表'!$A$1:$CD$1,0)),"")),"",IFERROR(INDEX('2-3 引出列表'!$A$2:$CE$8700,$A234,MATCH(H$1,'2-3 引出列表'!$A$1:$CD$1,0)),""))</f>
        <v>XHWZ-Z-2024-0010</v>
      </c>
      <c r="I234" t="str">
        <f>IF(ISBLANK(IFERROR(INDEX('2-3 引出列表'!$A$2:$CE$8700,$A234,MATCH(I$1,'2-3 引出列表'!$A$1:$CD$1,0)),"")),"",IFERROR(INDEX('2-3 引出列表'!$A$2:$CE$8700,$A234,MATCH(I$1,'2-3 引出列表'!$A$1:$CD$1,0)),""))</f>
        <v>金采易购</v>
      </c>
    </row>
    <row r="235" spans="1:9">
      <c r="A235">
        <v>234</v>
      </c>
      <c r="B235" t="str">
        <f>IF(ISBLANK(IFERROR(INDEX('2-3 引出列表'!$A$2:$CE$8700,$A235,MATCH(B$1,'2-3 引出列表'!$A$1:$CD$1,0)),"")),"",IFERROR(INDEX('2-3 引出列表'!$A$2:$CE$8700,$A235,MATCH(B$1,'2-3 引出列表'!$A$1:$CD$1,0)),""))</f>
        <v>FK250116001489</v>
      </c>
      <c r="C235">
        <f>IF(ISBLANK(IFERROR(INDEX('2-3 引出列表'!$A$2:$CE$8700,$A235,MATCH(C$1,'2-3 引出列表'!$A$1:$CD$1,0)),"")),"",IFERROR(INDEX('2-3 引出列表'!$A$2:$CE$8700,$A235,MATCH(C$1,'2-3 引出列表'!$A$1:$CD$1,0)),""))</f>
        <v>112308</v>
      </c>
      <c r="D235" t="str">
        <f>IF(ISBLANK(IFERROR(INDEX('2-3 引出列表'!$A$2:$CE$8700,$A235,MATCH(D$1,'2-3 引出列表'!$A$1:$CD$1,0)),"")),"",IFERROR(INDEX('2-3 引出列表'!$A$2:$CE$8700,$A235,MATCH(D$1,'2-3 引出列表'!$A$1:$CD$1,0)),""))</f>
        <v>已付款</v>
      </c>
      <c r="E235" t="str">
        <f>IF(ISBLANK(IFERROR(INDEX('2-3 引出列表'!$A$2:$CE$8700,$A235,MATCH(E$1,'2-3 引出列表'!$A$1:$CD$1,0)),"")),"",IFERROR(INDEX('2-3 引出列表'!$A$2:$CE$8700,$A235,MATCH(E$1,'2-3 引出列表'!$A$1:$CD$1,0)),""))</f>
        <v>2025-01-16</v>
      </c>
      <c r="F235" t="str">
        <f t="shared" si="3"/>
        <v>2025-01</v>
      </c>
      <c r="G235" t="str">
        <f>IF(ISBLANK(IFERROR(INDEX('2-3 引出列表'!$A$2:$CE$8700,$A235,MATCH(G$1,'2-3 引出列表'!$A$1:$CD$1,0)),"")),"",IFERROR(INDEX('2-3 引出列表'!$A$2:$CE$8700,$A235,MATCH(G$1,'2-3 引出列表'!$A$1:$CD$1,0)),""))</f>
        <v>物料消耗.物料消耗</v>
      </c>
      <c r="H235" t="str">
        <f>IF(ISBLANK(IFERROR(INDEX('2-3 引出列表'!$A$2:$CE$8700,$A235,MATCH(H$1,'2-3 引出列表'!$A$1:$CD$1,0)),"")),"",IFERROR(INDEX('2-3 引出列表'!$A$2:$CE$8700,$A235,MATCH(H$1,'2-3 引出列表'!$A$1:$CD$1,0)),""))</f>
        <v>XHWZ-Z-2024-0010</v>
      </c>
      <c r="I235" t="str">
        <f>IF(ISBLANK(IFERROR(INDEX('2-3 引出列表'!$A$2:$CE$8700,$A235,MATCH(I$1,'2-3 引出列表'!$A$1:$CD$1,0)),"")),"",IFERROR(INDEX('2-3 引出列表'!$A$2:$CE$8700,$A235,MATCH(I$1,'2-3 引出列表'!$A$1:$CD$1,0)),""))</f>
        <v>金采易购</v>
      </c>
    </row>
    <row r="236" spans="1:9">
      <c r="A236">
        <v>235</v>
      </c>
      <c r="B236" t="str">
        <f>IF(ISBLANK(IFERROR(INDEX('2-3 引出列表'!$A$2:$CE$8700,$A236,MATCH(B$1,'2-3 引出列表'!$A$1:$CD$1,0)),"")),"",IFERROR(INDEX('2-3 引出列表'!$A$2:$CE$8700,$A236,MATCH(B$1,'2-3 引出列表'!$A$1:$CD$1,0)),""))</f>
        <v>FK250116001489</v>
      </c>
      <c r="C236">
        <f>IF(ISBLANK(IFERROR(INDEX('2-3 引出列表'!$A$2:$CE$8700,$A236,MATCH(C$1,'2-3 引出列表'!$A$1:$CD$1,0)),"")),"",IFERROR(INDEX('2-3 引出列表'!$A$2:$CE$8700,$A236,MATCH(C$1,'2-3 引出列表'!$A$1:$CD$1,0)),""))</f>
        <v>112308</v>
      </c>
      <c r="D236" t="str">
        <f>IF(ISBLANK(IFERROR(INDEX('2-3 引出列表'!$A$2:$CE$8700,$A236,MATCH(D$1,'2-3 引出列表'!$A$1:$CD$1,0)),"")),"",IFERROR(INDEX('2-3 引出列表'!$A$2:$CE$8700,$A236,MATCH(D$1,'2-3 引出列表'!$A$1:$CD$1,0)),""))</f>
        <v>已付款</v>
      </c>
      <c r="E236" t="str">
        <f>IF(ISBLANK(IFERROR(INDEX('2-3 引出列表'!$A$2:$CE$8700,$A236,MATCH(E$1,'2-3 引出列表'!$A$1:$CD$1,0)),"")),"",IFERROR(INDEX('2-3 引出列表'!$A$2:$CE$8700,$A236,MATCH(E$1,'2-3 引出列表'!$A$1:$CD$1,0)),""))</f>
        <v>2025-01-16</v>
      </c>
      <c r="F236" t="str">
        <f t="shared" si="3"/>
        <v>2025-01</v>
      </c>
      <c r="G236" t="str">
        <f>IF(ISBLANK(IFERROR(INDEX('2-3 引出列表'!$A$2:$CE$8700,$A236,MATCH(G$1,'2-3 引出列表'!$A$1:$CD$1,0)),"")),"",IFERROR(INDEX('2-3 引出列表'!$A$2:$CE$8700,$A236,MATCH(G$1,'2-3 引出列表'!$A$1:$CD$1,0)),""))</f>
        <v>物料消耗.物料消耗</v>
      </c>
      <c r="H236" t="str">
        <f>IF(ISBLANK(IFERROR(INDEX('2-3 引出列表'!$A$2:$CE$8700,$A236,MATCH(H$1,'2-3 引出列表'!$A$1:$CD$1,0)),"")),"",IFERROR(INDEX('2-3 引出列表'!$A$2:$CE$8700,$A236,MATCH(H$1,'2-3 引出列表'!$A$1:$CD$1,0)),""))</f>
        <v>XHWZ-Z-2024-0010</v>
      </c>
      <c r="I236" t="str">
        <f>IF(ISBLANK(IFERROR(INDEX('2-3 引出列表'!$A$2:$CE$8700,$A236,MATCH(I$1,'2-3 引出列表'!$A$1:$CD$1,0)),"")),"",IFERROR(INDEX('2-3 引出列表'!$A$2:$CE$8700,$A236,MATCH(I$1,'2-3 引出列表'!$A$1:$CD$1,0)),""))</f>
        <v>金采易购</v>
      </c>
    </row>
    <row r="237" spans="1:9">
      <c r="A237">
        <v>236</v>
      </c>
      <c r="B237" t="str">
        <f>IF(ISBLANK(IFERROR(INDEX('2-3 引出列表'!$A$2:$CE$8700,$A237,MATCH(B$1,'2-3 引出列表'!$A$1:$CD$1,0)),"")),"",IFERROR(INDEX('2-3 引出列表'!$A$2:$CE$8700,$A237,MATCH(B$1,'2-3 引出列表'!$A$1:$CD$1,0)),""))</f>
        <v>FK250116001489</v>
      </c>
      <c r="C237">
        <f>IF(ISBLANK(IFERROR(INDEX('2-3 引出列表'!$A$2:$CE$8700,$A237,MATCH(C$1,'2-3 引出列表'!$A$1:$CD$1,0)),"")),"",IFERROR(INDEX('2-3 引出列表'!$A$2:$CE$8700,$A237,MATCH(C$1,'2-3 引出列表'!$A$1:$CD$1,0)),""))</f>
        <v>112308</v>
      </c>
      <c r="D237" t="str">
        <f>IF(ISBLANK(IFERROR(INDEX('2-3 引出列表'!$A$2:$CE$8700,$A237,MATCH(D$1,'2-3 引出列表'!$A$1:$CD$1,0)),"")),"",IFERROR(INDEX('2-3 引出列表'!$A$2:$CE$8700,$A237,MATCH(D$1,'2-3 引出列表'!$A$1:$CD$1,0)),""))</f>
        <v>已付款</v>
      </c>
      <c r="E237" t="str">
        <f>IF(ISBLANK(IFERROR(INDEX('2-3 引出列表'!$A$2:$CE$8700,$A237,MATCH(E$1,'2-3 引出列表'!$A$1:$CD$1,0)),"")),"",IFERROR(INDEX('2-3 引出列表'!$A$2:$CE$8700,$A237,MATCH(E$1,'2-3 引出列表'!$A$1:$CD$1,0)),""))</f>
        <v>2025-01-16</v>
      </c>
      <c r="F237" t="str">
        <f t="shared" si="3"/>
        <v>2025-01</v>
      </c>
      <c r="G237" t="str">
        <f>IF(ISBLANK(IFERROR(INDEX('2-3 引出列表'!$A$2:$CE$8700,$A237,MATCH(G$1,'2-3 引出列表'!$A$1:$CD$1,0)),"")),"",IFERROR(INDEX('2-3 引出列表'!$A$2:$CE$8700,$A237,MATCH(G$1,'2-3 引出列表'!$A$1:$CD$1,0)),""))</f>
        <v>物料消耗.物料消耗</v>
      </c>
      <c r="H237" t="str">
        <f>IF(ISBLANK(IFERROR(INDEX('2-3 引出列表'!$A$2:$CE$8700,$A237,MATCH(H$1,'2-3 引出列表'!$A$1:$CD$1,0)),"")),"",IFERROR(INDEX('2-3 引出列表'!$A$2:$CE$8700,$A237,MATCH(H$1,'2-3 引出列表'!$A$1:$CD$1,0)),""))</f>
        <v>XHWZ-Z-2024-0010</v>
      </c>
      <c r="I237" t="str">
        <f>IF(ISBLANK(IFERROR(INDEX('2-3 引出列表'!$A$2:$CE$8700,$A237,MATCH(I$1,'2-3 引出列表'!$A$1:$CD$1,0)),"")),"",IFERROR(INDEX('2-3 引出列表'!$A$2:$CE$8700,$A237,MATCH(I$1,'2-3 引出列表'!$A$1:$CD$1,0)),""))</f>
        <v>金采易购</v>
      </c>
    </row>
    <row r="238" spans="1:9">
      <c r="A238">
        <v>237</v>
      </c>
      <c r="B238" t="str">
        <f>IF(ISBLANK(IFERROR(INDEX('2-3 引出列表'!$A$2:$CE$8700,$A238,MATCH(B$1,'2-3 引出列表'!$A$1:$CD$1,0)),"")),"",IFERROR(INDEX('2-3 引出列表'!$A$2:$CE$8700,$A238,MATCH(B$1,'2-3 引出列表'!$A$1:$CD$1,0)),""))</f>
        <v>FK250116001489</v>
      </c>
      <c r="C238">
        <f>IF(ISBLANK(IFERROR(INDEX('2-3 引出列表'!$A$2:$CE$8700,$A238,MATCH(C$1,'2-3 引出列表'!$A$1:$CD$1,0)),"")),"",IFERROR(INDEX('2-3 引出列表'!$A$2:$CE$8700,$A238,MATCH(C$1,'2-3 引出列表'!$A$1:$CD$1,0)),""))</f>
        <v>112308</v>
      </c>
      <c r="D238" t="str">
        <f>IF(ISBLANK(IFERROR(INDEX('2-3 引出列表'!$A$2:$CE$8700,$A238,MATCH(D$1,'2-3 引出列表'!$A$1:$CD$1,0)),"")),"",IFERROR(INDEX('2-3 引出列表'!$A$2:$CE$8700,$A238,MATCH(D$1,'2-3 引出列表'!$A$1:$CD$1,0)),""))</f>
        <v>已付款</v>
      </c>
      <c r="E238" t="str">
        <f>IF(ISBLANK(IFERROR(INDEX('2-3 引出列表'!$A$2:$CE$8700,$A238,MATCH(E$1,'2-3 引出列表'!$A$1:$CD$1,0)),"")),"",IFERROR(INDEX('2-3 引出列表'!$A$2:$CE$8700,$A238,MATCH(E$1,'2-3 引出列表'!$A$1:$CD$1,0)),""))</f>
        <v>2025-01-16</v>
      </c>
      <c r="F238" t="str">
        <f t="shared" si="3"/>
        <v>2025-01</v>
      </c>
      <c r="G238" t="str">
        <f>IF(ISBLANK(IFERROR(INDEX('2-3 引出列表'!$A$2:$CE$8700,$A238,MATCH(G$1,'2-3 引出列表'!$A$1:$CD$1,0)),"")),"",IFERROR(INDEX('2-3 引出列表'!$A$2:$CE$8700,$A238,MATCH(G$1,'2-3 引出列表'!$A$1:$CD$1,0)),""))</f>
        <v>物料消耗.物料消耗</v>
      </c>
      <c r="H238" t="str">
        <f>IF(ISBLANK(IFERROR(INDEX('2-3 引出列表'!$A$2:$CE$8700,$A238,MATCH(H$1,'2-3 引出列表'!$A$1:$CD$1,0)),"")),"",IFERROR(INDEX('2-3 引出列表'!$A$2:$CE$8700,$A238,MATCH(H$1,'2-3 引出列表'!$A$1:$CD$1,0)),""))</f>
        <v>XHWZ-Z-2024-0010</v>
      </c>
      <c r="I238" t="str">
        <f>IF(ISBLANK(IFERROR(INDEX('2-3 引出列表'!$A$2:$CE$8700,$A238,MATCH(I$1,'2-3 引出列表'!$A$1:$CD$1,0)),"")),"",IFERROR(INDEX('2-3 引出列表'!$A$2:$CE$8700,$A238,MATCH(I$1,'2-3 引出列表'!$A$1:$CD$1,0)),""))</f>
        <v>金采易购</v>
      </c>
    </row>
    <row r="239" spans="1:9">
      <c r="A239">
        <v>238</v>
      </c>
      <c r="B239" t="str">
        <f>IF(ISBLANK(IFERROR(INDEX('2-3 引出列表'!$A$2:$CE$8700,$A239,MATCH(B$1,'2-3 引出列表'!$A$1:$CD$1,0)),"")),"",IFERROR(INDEX('2-3 引出列表'!$A$2:$CE$8700,$A239,MATCH(B$1,'2-3 引出列表'!$A$1:$CD$1,0)),""))</f>
        <v>FK250116001489</v>
      </c>
      <c r="C239">
        <f>IF(ISBLANK(IFERROR(INDEX('2-3 引出列表'!$A$2:$CE$8700,$A239,MATCH(C$1,'2-3 引出列表'!$A$1:$CD$1,0)),"")),"",IFERROR(INDEX('2-3 引出列表'!$A$2:$CE$8700,$A239,MATCH(C$1,'2-3 引出列表'!$A$1:$CD$1,0)),""))</f>
        <v>112308</v>
      </c>
      <c r="D239" t="str">
        <f>IF(ISBLANK(IFERROR(INDEX('2-3 引出列表'!$A$2:$CE$8700,$A239,MATCH(D$1,'2-3 引出列表'!$A$1:$CD$1,0)),"")),"",IFERROR(INDEX('2-3 引出列表'!$A$2:$CE$8700,$A239,MATCH(D$1,'2-3 引出列表'!$A$1:$CD$1,0)),""))</f>
        <v>已付款</v>
      </c>
      <c r="E239" t="str">
        <f>IF(ISBLANK(IFERROR(INDEX('2-3 引出列表'!$A$2:$CE$8700,$A239,MATCH(E$1,'2-3 引出列表'!$A$1:$CD$1,0)),"")),"",IFERROR(INDEX('2-3 引出列表'!$A$2:$CE$8700,$A239,MATCH(E$1,'2-3 引出列表'!$A$1:$CD$1,0)),""))</f>
        <v>2025-01-16</v>
      </c>
      <c r="F239" t="str">
        <f t="shared" si="3"/>
        <v>2025-01</v>
      </c>
      <c r="G239" t="str">
        <f>IF(ISBLANK(IFERROR(INDEX('2-3 引出列表'!$A$2:$CE$8700,$A239,MATCH(G$1,'2-3 引出列表'!$A$1:$CD$1,0)),"")),"",IFERROR(INDEX('2-3 引出列表'!$A$2:$CE$8700,$A239,MATCH(G$1,'2-3 引出列表'!$A$1:$CD$1,0)),""))</f>
        <v>物料消耗.物料消耗</v>
      </c>
      <c r="H239" t="str">
        <f>IF(ISBLANK(IFERROR(INDEX('2-3 引出列表'!$A$2:$CE$8700,$A239,MATCH(H$1,'2-3 引出列表'!$A$1:$CD$1,0)),"")),"",IFERROR(INDEX('2-3 引出列表'!$A$2:$CE$8700,$A239,MATCH(H$1,'2-3 引出列表'!$A$1:$CD$1,0)),""))</f>
        <v>XHWZ-Z-2024-0010</v>
      </c>
      <c r="I239" t="str">
        <f>IF(ISBLANK(IFERROR(INDEX('2-3 引出列表'!$A$2:$CE$8700,$A239,MATCH(I$1,'2-3 引出列表'!$A$1:$CD$1,0)),"")),"",IFERROR(INDEX('2-3 引出列表'!$A$2:$CE$8700,$A239,MATCH(I$1,'2-3 引出列表'!$A$1:$CD$1,0)),""))</f>
        <v>金采易购</v>
      </c>
    </row>
    <row r="240" spans="1:9">
      <c r="A240">
        <v>239</v>
      </c>
      <c r="B240" t="str">
        <f>IF(ISBLANK(IFERROR(INDEX('2-3 引出列表'!$A$2:$CE$8700,$A240,MATCH(B$1,'2-3 引出列表'!$A$1:$CD$1,0)),"")),"",IFERROR(INDEX('2-3 引出列表'!$A$2:$CE$8700,$A240,MATCH(B$1,'2-3 引出列表'!$A$1:$CD$1,0)),""))</f>
        <v>FK250116001489</v>
      </c>
      <c r="C240">
        <f>IF(ISBLANK(IFERROR(INDEX('2-3 引出列表'!$A$2:$CE$8700,$A240,MATCH(C$1,'2-3 引出列表'!$A$1:$CD$1,0)),"")),"",IFERROR(INDEX('2-3 引出列表'!$A$2:$CE$8700,$A240,MATCH(C$1,'2-3 引出列表'!$A$1:$CD$1,0)),""))</f>
        <v>112308</v>
      </c>
      <c r="D240" t="str">
        <f>IF(ISBLANK(IFERROR(INDEX('2-3 引出列表'!$A$2:$CE$8700,$A240,MATCH(D$1,'2-3 引出列表'!$A$1:$CD$1,0)),"")),"",IFERROR(INDEX('2-3 引出列表'!$A$2:$CE$8700,$A240,MATCH(D$1,'2-3 引出列表'!$A$1:$CD$1,0)),""))</f>
        <v>已付款</v>
      </c>
      <c r="E240" t="str">
        <f>IF(ISBLANK(IFERROR(INDEX('2-3 引出列表'!$A$2:$CE$8700,$A240,MATCH(E$1,'2-3 引出列表'!$A$1:$CD$1,0)),"")),"",IFERROR(INDEX('2-3 引出列表'!$A$2:$CE$8700,$A240,MATCH(E$1,'2-3 引出列表'!$A$1:$CD$1,0)),""))</f>
        <v>2025-01-16</v>
      </c>
      <c r="F240" t="str">
        <f t="shared" si="3"/>
        <v>2025-01</v>
      </c>
      <c r="G240" t="str">
        <f>IF(ISBLANK(IFERROR(INDEX('2-3 引出列表'!$A$2:$CE$8700,$A240,MATCH(G$1,'2-3 引出列表'!$A$1:$CD$1,0)),"")),"",IFERROR(INDEX('2-3 引出列表'!$A$2:$CE$8700,$A240,MATCH(G$1,'2-3 引出列表'!$A$1:$CD$1,0)),""))</f>
        <v>物料消耗.物料消耗</v>
      </c>
      <c r="H240" t="str">
        <f>IF(ISBLANK(IFERROR(INDEX('2-3 引出列表'!$A$2:$CE$8700,$A240,MATCH(H$1,'2-3 引出列表'!$A$1:$CD$1,0)),"")),"",IFERROR(INDEX('2-3 引出列表'!$A$2:$CE$8700,$A240,MATCH(H$1,'2-3 引出列表'!$A$1:$CD$1,0)),""))</f>
        <v>XHWZ-Z-2024-0010</v>
      </c>
      <c r="I240" t="str">
        <f>IF(ISBLANK(IFERROR(INDEX('2-3 引出列表'!$A$2:$CE$8700,$A240,MATCH(I$1,'2-3 引出列表'!$A$1:$CD$1,0)),"")),"",IFERROR(INDEX('2-3 引出列表'!$A$2:$CE$8700,$A240,MATCH(I$1,'2-3 引出列表'!$A$1:$CD$1,0)),""))</f>
        <v>金采易购</v>
      </c>
    </row>
    <row r="241" spans="1:9">
      <c r="A241">
        <v>240</v>
      </c>
      <c r="B241" t="str">
        <f>IF(ISBLANK(IFERROR(INDEX('2-3 引出列表'!$A$2:$CE$8700,$A241,MATCH(B$1,'2-3 引出列表'!$A$1:$CD$1,0)),"")),"",IFERROR(INDEX('2-3 引出列表'!$A$2:$CE$8700,$A241,MATCH(B$1,'2-3 引出列表'!$A$1:$CD$1,0)),""))</f>
        <v>FK250116001489</v>
      </c>
      <c r="C241">
        <f>IF(ISBLANK(IFERROR(INDEX('2-3 引出列表'!$A$2:$CE$8700,$A241,MATCH(C$1,'2-3 引出列表'!$A$1:$CD$1,0)),"")),"",IFERROR(INDEX('2-3 引出列表'!$A$2:$CE$8700,$A241,MATCH(C$1,'2-3 引出列表'!$A$1:$CD$1,0)),""))</f>
        <v>112308</v>
      </c>
      <c r="D241" t="str">
        <f>IF(ISBLANK(IFERROR(INDEX('2-3 引出列表'!$A$2:$CE$8700,$A241,MATCH(D$1,'2-3 引出列表'!$A$1:$CD$1,0)),"")),"",IFERROR(INDEX('2-3 引出列表'!$A$2:$CE$8700,$A241,MATCH(D$1,'2-3 引出列表'!$A$1:$CD$1,0)),""))</f>
        <v>已付款</v>
      </c>
      <c r="E241" t="str">
        <f>IF(ISBLANK(IFERROR(INDEX('2-3 引出列表'!$A$2:$CE$8700,$A241,MATCH(E$1,'2-3 引出列表'!$A$1:$CD$1,0)),"")),"",IFERROR(INDEX('2-3 引出列表'!$A$2:$CE$8700,$A241,MATCH(E$1,'2-3 引出列表'!$A$1:$CD$1,0)),""))</f>
        <v>2025-01-16</v>
      </c>
      <c r="F241" t="str">
        <f t="shared" si="3"/>
        <v>2025-01</v>
      </c>
      <c r="G241" t="str">
        <f>IF(ISBLANK(IFERROR(INDEX('2-3 引出列表'!$A$2:$CE$8700,$A241,MATCH(G$1,'2-3 引出列表'!$A$1:$CD$1,0)),"")),"",IFERROR(INDEX('2-3 引出列表'!$A$2:$CE$8700,$A241,MATCH(G$1,'2-3 引出列表'!$A$1:$CD$1,0)),""))</f>
        <v>物料消耗.物料消耗</v>
      </c>
      <c r="H241" t="str">
        <f>IF(ISBLANK(IFERROR(INDEX('2-3 引出列表'!$A$2:$CE$8700,$A241,MATCH(H$1,'2-3 引出列表'!$A$1:$CD$1,0)),"")),"",IFERROR(INDEX('2-3 引出列表'!$A$2:$CE$8700,$A241,MATCH(H$1,'2-3 引出列表'!$A$1:$CD$1,0)),""))</f>
        <v>XHWZ-Z-2024-0010</v>
      </c>
      <c r="I241" t="str">
        <f>IF(ISBLANK(IFERROR(INDEX('2-3 引出列表'!$A$2:$CE$8700,$A241,MATCH(I$1,'2-3 引出列表'!$A$1:$CD$1,0)),"")),"",IFERROR(INDEX('2-3 引出列表'!$A$2:$CE$8700,$A241,MATCH(I$1,'2-3 引出列表'!$A$1:$CD$1,0)),""))</f>
        <v>金采易购</v>
      </c>
    </row>
    <row r="242" spans="1:9">
      <c r="A242">
        <v>241</v>
      </c>
      <c r="B242" t="str">
        <f>IF(ISBLANK(IFERROR(INDEX('2-3 引出列表'!$A$2:$CE$8700,$A242,MATCH(B$1,'2-3 引出列表'!$A$1:$CD$1,0)),"")),"",IFERROR(INDEX('2-3 引出列表'!$A$2:$CE$8700,$A242,MATCH(B$1,'2-3 引出列表'!$A$1:$CD$1,0)),""))</f>
        <v>FK250116001489</v>
      </c>
      <c r="C242">
        <f>IF(ISBLANK(IFERROR(INDEX('2-3 引出列表'!$A$2:$CE$8700,$A242,MATCH(C$1,'2-3 引出列表'!$A$1:$CD$1,0)),"")),"",IFERROR(INDEX('2-3 引出列表'!$A$2:$CE$8700,$A242,MATCH(C$1,'2-3 引出列表'!$A$1:$CD$1,0)),""))</f>
        <v>112308</v>
      </c>
      <c r="D242" t="str">
        <f>IF(ISBLANK(IFERROR(INDEX('2-3 引出列表'!$A$2:$CE$8700,$A242,MATCH(D$1,'2-3 引出列表'!$A$1:$CD$1,0)),"")),"",IFERROR(INDEX('2-3 引出列表'!$A$2:$CE$8700,$A242,MATCH(D$1,'2-3 引出列表'!$A$1:$CD$1,0)),""))</f>
        <v>已付款</v>
      </c>
      <c r="E242" t="str">
        <f>IF(ISBLANK(IFERROR(INDEX('2-3 引出列表'!$A$2:$CE$8700,$A242,MATCH(E$1,'2-3 引出列表'!$A$1:$CD$1,0)),"")),"",IFERROR(INDEX('2-3 引出列表'!$A$2:$CE$8700,$A242,MATCH(E$1,'2-3 引出列表'!$A$1:$CD$1,0)),""))</f>
        <v>2025-01-16</v>
      </c>
      <c r="F242" t="str">
        <f t="shared" si="3"/>
        <v>2025-01</v>
      </c>
      <c r="G242" t="str">
        <f>IF(ISBLANK(IFERROR(INDEX('2-3 引出列表'!$A$2:$CE$8700,$A242,MATCH(G$1,'2-3 引出列表'!$A$1:$CD$1,0)),"")),"",IFERROR(INDEX('2-3 引出列表'!$A$2:$CE$8700,$A242,MATCH(G$1,'2-3 引出列表'!$A$1:$CD$1,0)),""))</f>
        <v>物料消耗.物料消耗</v>
      </c>
      <c r="H242" t="str">
        <f>IF(ISBLANK(IFERROR(INDEX('2-3 引出列表'!$A$2:$CE$8700,$A242,MATCH(H$1,'2-3 引出列表'!$A$1:$CD$1,0)),"")),"",IFERROR(INDEX('2-3 引出列表'!$A$2:$CE$8700,$A242,MATCH(H$1,'2-3 引出列表'!$A$1:$CD$1,0)),""))</f>
        <v>XHWZ-Z-2024-0010</v>
      </c>
      <c r="I242" t="str">
        <f>IF(ISBLANK(IFERROR(INDEX('2-3 引出列表'!$A$2:$CE$8700,$A242,MATCH(I$1,'2-3 引出列表'!$A$1:$CD$1,0)),"")),"",IFERROR(INDEX('2-3 引出列表'!$A$2:$CE$8700,$A242,MATCH(I$1,'2-3 引出列表'!$A$1:$CD$1,0)),""))</f>
        <v>金采易购</v>
      </c>
    </row>
    <row r="243" spans="1:9">
      <c r="A243">
        <v>242</v>
      </c>
      <c r="B243" t="str">
        <f>IF(ISBLANK(IFERROR(INDEX('2-3 引出列表'!$A$2:$CE$8700,$A243,MATCH(B$1,'2-3 引出列表'!$A$1:$CD$1,0)),"")),"",IFERROR(INDEX('2-3 引出列表'!$A$2:$CE$8700,$A243,MATCH(B$1,'2-3 引出列表'!$A$1:$CD$1,0)),""))</f>
        <v>FK241227000078</v>
      </c>
      <c r="C243">
        <f>IF(ISBLANK(IFERROR(INDEX('2-3 引出列表'!$A$2:$CE$8700,$A243,MATCH(C$1,'2-3 引出列表'!$A$1:$CD$1,0)),"")),"",IFERROR(INDEX('2-3 引出列表'!$A$2:$CE$8700,$A243,MATCH(C$1,'2-3 引出列表'!$A$1:$CD$1,0)),""))</f>
        <v>29055</v>
      </c>
      <c r="D243" t="str">
        <f>IF(ISBLANK(IFERROR(INDEX('2-3 引出列表'!$A$2:$CE$8700,$A243,MATCH(D$1,'2-3 引出列表'!$A$1:$CD$1,0)),"")),"",IFERROR(INDEX('2-3 引出列表'!$A$2:$CE$8700,$A243,MATCH(D$1,'2-3 引出列表'!$A$1:$CD$1,0)),""))</f>
        <v>已付款</v>
      </c>
      <c r="E243" t="str">
        <f>IF(ISBLANK(IFERROR(INDEX('2-3 引出列表'!$A$2:$CE$8700,$A243,MATCH(E$1,'2-3 引出列表'!$A$1:$CD$1,0)),"")),"",IFERROR(INDEX('2-3 引出列表'!$A$2:$CE$8700,$A243,MATCH(E$1,'2-3 引出列表'!$A$1:$CD$1,0)),""))</f>
        <v>2025-01-10</v>
      </c>
      <c r="F243" t="str">
        <f t="shared" si="3"/>
        <v>2025-01</v>
      </c>
      <c r="G243" t="str">
        <f>IF(ISBLANK(IFERROR(INDEX('2-3 引出列表'!$A$2:$CE$8700,$A243,MATCH(G$1,'2-3 引出列表'!$A$1:$CD$1,0)),"")),"",IFERROR(INDEX('2-3 引出列表'!$A$2:$CE$8700,$A243,MATCH(G$1,'2-3 引出列表'!$A$1:$CD$1,0)),""))</f>
        <v>外包服务费.消杀外包</v>
      </c>
      <c r="H243" t="str">
        <f>IF(ISBLANK(IFERROR(INDEX('2-3 引出列表'!$A$2:$CE$8700,$A243,MATCH(H$1,'2-3 引出列表'!$A$1:$CD$1,0)),"")),"",IFERROR(INDEX('2-3 引出列表'!$A$2:$CE$8700,$A243,MATCH(H$1,'2-3 引出列表'!$A$1:$CD$1,0)),""))</f>
        <v>HJFW-Z-2024-6949</v>
      </c>
      <c r="I243" t="str">
        <f>IF(ISBLANK(IFERROR(INDEX('2-3 引出列表'!$A$2:$CE$8700,$A243,MATCH(I$1,'2-3 引出列表'!$A$1:$CD$1,0)),"")),"",IFERROR(INDEX('2-3 引出列表'!$A$2:$CE$8700,$A243,MATCH(I$1,'2-3 引出列表'!$A$1:$CD$1,0)),""))</f>
        <v>金采易购</v>
      </c>
    </row>
    <row r="244" spans="1:9">
      <c r="A244">
        <v>243</v>
      </c>
      <c r="B244" t="str">
        <f>IF(ISBLANK(IFERROR(INDEX('2-3 引出列表'!$A$2:$CE$8700,$A244,MATCH(B$1,'2-3 引出列表'!$A$1:$CD$1,0)),"")),"",IFERROR(INDEX('2-3 引出列表'!$A$2:$CE$8700,$A244,MATCH(B$1,'2-3 引出列表'!$A$1:$CD$1,0)),""))</f>
        <v>FK241227000078</v>
      </c>
      <c r="C244">
        <f>IF(ISBLANK(IFERROR(INDEX('2-3 引出列表'!$A$2:$CE$8700,$A244,MATCH(C$1,'2-3 引出列表'!$A$1:$CD$1,0)),"")),"",IFERROR(INDEX('2-3 引出列表'!$A$2:$CE$8700,$A244,MATCH(C$1,'2-3 引出列表'!$A$1:$CD$1,0)),""))</f>
        <v>29055</v>
      </c>
      <c r="D244" t="str">
        <f>IF(ISBLANK(IFERROR(INDEX('2-3 引出列表'!$A$2:$CE$8700,$A244,MATCH(D$1,'2-3 引出列表'!$A$1:$CD$1,0)),"")),"",IFERROR(INDEX('2-3 引出列表'!$A$2:$CE$8700,$A244,MATCH(D$1,'2-3 引出列表'!$A$1:$CD$1,0)),""))</f>
        <v>已付款</v>
      </c>
      <c r="E244" t="str">
        <f>IF(ISBLANK(IFERROR(INDEX('2-3 引出列表'!$A$2:$CE$8700,$A244,MATCH(E$1,'2-3 引出列表'!$A$1:$CD$1,0)),"")),"",IFERROR(INDEX('2-3 引出列表'!$A$2:$CE$8700,$A244,MATCH(E$1,'2-3 引出列表'!$A$1:$CD$1,0)),""))</f>
        <v>2025-01-10</v>
      </c>
      <c r="F244" t="str">
        <f t="shared" si="3"/>
        <v>2025-01</v>
      </c>
      <c r="G244" t="str">
        <f>IF(ISBLANK(IFERROR(INDEX('2-3 引出列表'!$A$2:$CE$8700,$A244,MATCH(G$1,'2-3 引出列表'!$A$1:$CD$1,0)),"")),"",IFERROR(INDEX('2-3 引出列表'!$A$2:$CE$8700,$A244,MATCH(G$1,'2-3 引出列表'!$A$1:$CD$1,0)),""))</f>
        <v>外包服务费.消杀外包</v>
      </c>
      <c r="H244" t="str">
        <f>IF(ISBLANK(IFERROR(INDEX('2-3 引出列表'!$A$2:$CE$8700,$A244,MATCH(H$1,'2-3 引出列表'!$A$1:$CD$1,0)),"")),"",IFERROR(INDEX('2-3 引出列表'!$A$2:$CE$8700,$A244,MATCH(H$1,'2-3 引出列表'!$A$1:$CD$1,0)),""))</f>
        <v>HJFW-Z-2024-6949</v>
      </c>
      <c r="I244" t="str">
        <f>IF(ISBLANK(IFERROR(INDEX('2-3 引出列表'!$A$2:$CE$8700,$A244,MATCH(I$1,'2-3 引出列表'!$A$1:$CD$1,0)),"")),"",IFERROR(INDEX('2-3 引出列表'!$A$2:$CE$8700,$A244,MATCH(I$1,'2-3 引出列表'!$A$1:$CD$1,0)),""))</f>
        <v>金采易购</v>
      </c>
    </row>
    <row r="245" spans="1:9">
      <c r="A245">
        <v>244</v>
      </c>
      <c r="B245" t="str">
        <f>IF(ISBLANK(IFERROR(INDEX('2-3 引出列表'!$A$2:$CE$8700,$A245,MATCH(B$1,'2-3 引出列表'!$A$1:$CD$1,0)),"")),"",IFERROR(INDEX('2-3 引出列表'!$A$2:$CE$8700,$A245,MATCH(B$1,'2-3 引出列表'!$A$1:$CD$1,0)),""))</f>
        <v>FK250106000221</v>
      </c>
      <c r="C245">
        <f>IF(ISBLANK(IFERROR(INDEX('2-3 引出列表'!$A$2:$CE$8700,$A245,MATCH(C$1,'2-3 引出列表'!$A$1:$CD$1,0)),"")),"",IFERROR(INDEX('2-3 引出列表'!$A$2:$CE$8700,$A245,MATCH(C$1,'2-3 引出列表'!$A$1:$CD$1,0)),""))</f>
        <v>12500</v>
      </c>
      <c r="D245" t="str">
        <f>IF(ISBLANK(IFERROR(INDEX('2-3 引出列表'!$A$2:$CE$8700,$A245,MATCH(D$1,'2-3 引出列表'!$A$1:$CD$1,0)),"")),"",IFERROR(INDEX('2-3 引出列表'!$A$2:$CE$8700,$A245,MATCH(D$1,'2-3 引出列表'!$A$1:$CD$1,0)),""))</f>
        <v>已付款</v>
      </c>
      <c r="E245" t="str">
        <f>IF(ISBLANK(IFERROR(INDEX('2-3 引出列表'!$A$2:$CE$8700,$A245,MATCH(E$1,'2-3 引出列表'!$A$1:$CD$1,0)),"")),"",IFERROR(INDEX('2-3 引出列表'!$A$2:$CE$8700,$A245,MATCH(E$1,'2-3 引出列表'!$A$1:$CD$1,0)),""))</f>
        <v>2025-01-06</v>
      </c>
      <c r="F245" t="str">
        <f t="shared" si="3"/>
        <v>2025-01</v>
      </c>
      <c r="G245" t="str">
        <f>IF(ISBLANK(IFERROR(INDEX('2-3 引出列表'!$A$2:$CE$8700,$A245,MATCH(G$1,'2-3 引出列表'!$A$1:$CD$1,0)),"")),"",IFERROR(INDEX('2-3 引出列表'!$A$2:$CE$8700,$A245,MATCH(G$1,'2-3 引出列表'!$A$1:$CD$1,0)),""))</f>
        <v>外包服务费.电梯维保外包</v>
      </c>
      <c r="H245" t="str">
        <f>IF(ISBLANK(IFERROR(INDEX('2-3 引出列表'!$A$2:$CE$8700,$A245,MATCH(H$1,'2-3 引出列表'!$A$1:$CD$1,0)),"")),"",IFERROR(INDEX('2-3 引出列表'!$A$2:$CE$8700,$A245,MATCH(H$1,'2-3 引出列表'!$A$1:$CD$1,0)),""))</f>
        <v>GCFW-Z-2024-7051</v>
      </c>
      <c r="I245" t="str">
        <f>IF(ISBLANK(IFERROR(INDEX('2-3 引出列表'!$A$2:$CE$8700,$A245,MATCH(I$1,'2-3 引出列表'!$A$1:$CD$1,0)),"")),"",IFERROR(INDEX('2-3 引出列表'!$A$2:$CE$8700,$A245,MATCH(I$1,'2-3 引出列表'!$A$1:$CD$1,0)),""))</f>
        <v>金采易购</v>
      </c>
    </row>
    <row r="246" spans="1:9">
      <c r="A246">
        <v>245</v>
      </c>
      <c r="B246" t="str">
        <f>IF(ISBLANK(IFERROR(INDEX('2-3 引出列表'!$A$2:$CE$8700,$A246,MATCH(B$1,'2-3 引出列表'!$A$1:$CD$1,0)),"")),"",IFERROR(INDEX('2-3 引出列表'!$A$2:$CE$8700,$A246,MATCH(B$1,'2-3 引出列表'!$A$1:$CD$1,0)),""))</f>
        <v>FK250106000221</v>
      </c>
      <c r="C246">
        <f>IF(ISBLANK(IFERROR(INDEX('2-3 引出列表'!$A$2:$CE$8700,$A246,MATCH(C$1,'2-3 引出列表'!$A$1:$CD$1,0)),"")),"",IFERROR(INDEX('2-3 引出列表'!$A$2:$CE$8700,$A246,MATCH(C$1,'2-3 引出列表'!$A$1:$CD$1,0)),""))</f>
        <v>12500</v>
      </c>
      <c r="D246" t="str">
        <f>IF(ISBLANK(IFERROR(INDEX('2-3 引出列表'!$A$2:$CE$8700,$A246,MATCH(D$1,'2-3 引出列表'!$A$1:$CD$1,0)),"")),"",IFERROR(INDEX('2-3 引出列表'!$A$2:$CE$8700,$A246,MATCH(D$1,'2-3 引出列表'!$A$1:$CD$1,0)),""))</f>
        <v>已付款</v>
      </c>
      <c r="E246" t="str">
        <f>IF(ISBLANK(IFERROR(INDEX('2-3 引出列表'!$A$2:$CE$8700,$A246,MATCH(E$1,'2-3 引出列表'!$A$1:$CD$1,0)),"")),"",IFERROR(INDEX('2-3 引出列表'!$A$2:$CE$8700,$A246,MATCH(E$1,'2-3 引出列表'!$A$1:$CD$1,0)),""))</f>
        <v>2025-01-06</v>
      </c>
      <c r="F246" t="str">
        <f t="shared" si="3"/>
        <v>2025-01</v>
      </c>
      <c r="G246" t="str">
        <f>IF(ISBLANK(IFERROR(INDEX('2-3 引出列表'!$A$2:$CE$8700,$A246,MATCH(G$1,'2-3 引出列表'!$A$1:$CD$1,0)),"")),"",IFERROR(INDEX('2-3 引出列表'!$A$2:$CE$8700,$A246,MATCH(G$1,'2-3 引出列表'!$A$1:$CD$1,0)),""))</f>
        <v>外包服务费.电梯维保外包</v>
      </c>
      <c r="H246" t="str">
        <f>IF(ISBLANK(IFERROR(INDEX('2-3 引出列表'!$A$2:$CE$8700,$A246,MATCH(H$1,'2-3 引出列表'!$A$1:$CD$1,0)),"")),"",IFERROR(INDEX('2-3 引出列表'!$A$2:$CE$8700,$A246,MATCH(H$1,'2-3 引出列表'!$A$1:$CD$1,0)),""))</f>
        <v>GCFW-Z-2024-7051</v>
      </c>
      <c r="I246" t="str">
        <f>IF(ISBLANK(IFERROR(INDEX('2-3 引出列表'!$A$2:$CE$8700,$A246,MATCH(I$1,'2-3 引出列表'!$A$1:$CD$1,0)),"")),"",IFERROR(INDEX('2-3 引出列表'!$A$2:$CE$8700,$A246,MATCH(I$1,'2-3 引出列表'!$A$1:$CD$1,0)),""))</f>
        <v>金采易购</v>
      </c>
    </row>
    <row r="247" spans="1:9">
      <c r="A247">
        <v>246</v>
      </c>
      <c r="B247" t="str">
        <f>IF(ISBLANK(IFERROR(INDEX('2-3 引出列表'!$A$2:$CE$8700,$A247,MATCH(B$1,'2-3 引出列表'!$A$1:$CD$1,0)),"")),"",IFERROR(INDEX('2-3 引出列表'!$A$2:$CE$8700,$A247,MATCH(B$1,'2-3 引出列表'!$A$1:$CD$1,0)),""))</f>
        <v>FK250106000090</v>
      </c>
      <c r="C247">
        <f>IF(ISBLANK(IFERROR(INDEX('2-3 引出列表'!$A$2:$CE$8700,$A247,MATCH(C$1,'2-3 引出列表'!$A$1:$CD$1,0)),"")),"",IFERROR(INDEX('2-3 引出列表'!$A$2:$CE$8700,$A247,MATCH(C$1,'2-3 引出列表'!$A$1:$CD$1,0)),""))</f>
        <v>22360</v>
      </c>
      <c r="D247" t="str">
        <f>IF(ISBLANK(IFERROR(INDEX('2-3 引出列表'!$A$2:$CE$8700,$A247,MATCH(D$1,'2-3 引出列表'!$A$1:$CD$1,0)),"")),"",IFERROR(INDEX('2-3 引出列表'!$A$2:$CE$8700,$A247,MATCH(D$1,'2-3 引出列表'!$A$1:$CD$1,0)),""))</f>
        <v>已付款</v>
      </c>
      <c r="E247" t="str">
        <f>IF(ISBLANK(IFERROR(INDEX('2-3 引出列表'!$A$2:$CE$8700,$A247,MATCH(E$1,'2-3 引出列表'!$A$1:$CD$1,0)),"")),"",IFERROR(INDEX('2-3 引出列表'!$A$2:$CE$8700,$A247,MATCH(E$1,'2-3 引出列表'!$A$1:$CD$1,0)),""))</f>
        <v>2025-01-06</v>
      </c>
      <c r="F247" t="str">
        <f t="shared" si="3"/>
        <v>2025-01</v>
      </c>
      <c r="G247" t="str">
        <f>IF(ISBLANK(IFERROR(INDEX('2-3 引出列表'!$A$2:$CE$8700,$A247,MATCH(G$1,'2-3 引出列表'!$A$1:$CD$1,0)),"")),"",IFERROR(INDEX('2-3 引出列表'!$A$2:$CE$8700,$A247,MATCH(G$1,'2-3 引出列表'!$A$1:$CD$1,0)),""))</f>
        <v>外包服务费.生活垃圾清运外包</v>
      </c>
      <c r="H247" t="str">
        <f>IF(ISBLANK(IFERROR(INDEX('2-3 引出列表'!$A$2:$CE$8700,$A247,MATCH(H$1,'2-3 引出列表'!$A$1:$CD$1,0)),"")),"",IFERROR(INDEX('2-3 引出列表'!$A$2:$CE$8700,$A247,MATCH(H$1,'2-3 引出列表'!$A$1:$CD$1,0)),""))</f>
        <v>HJFW-Z-2024-7103</v>
      </c>
      <c r="I247" t="str">
        <f>IF(ISBLANK(IFERROR(INDEX('2-3 引出列表'!$A$2:$CE$8700,$A247,MATCH(I$1,'2-3 引出列表'!$A$1:$CD$1,0)),"")),"",IFERROR(INDEX('2-3 引出列表'!$A$2:$CE$8700,$A247,MATCH(I$1,'2-3 引出列表'!$A$1:$CD$1,0)),""))</f>
        <v>金采易购</v>
      </c>
    </row>
    <row r="248" spans="1:9">
      <c r="A248">
        <v>247</v>
      </c>
      <c r="B248" t="str">
        <f>IF(ISBLANK(IFERROR(INDEX('2-3 引出列表'!$A$2:$CE$8700,$A248,MATCH(B$1,'2-3 引出列表'!$A$1:$CD$1,0)),"")),"",IFERROR(INDEX('2-3 引出列表'!$A$2:$CE$8700,$A248,MATCH(B$1,'2-3 引出列表'!$A$1:$CD$1,0)),""))</f>
        <v>FK250106000087</v>
      </c>
      <c r="C248">
        <f>IF(ISBLANK(IFERROR(INDEX('2-3 引出列表'!$A$2:$CE$8700,$A248,MATCH(C$1,'2-3 引出列表'!$A$1:$CD$1,0)),"")),"",IFERROR(INDEX('2-3 引出列表'!$A$2:$CE$8700,$A248,MATCH(C$1,'2-3 引出列表'!$A$1:$CD$1,0)),""))</f>
        <v>14000</v>
      </c>
      <c r="D248" t="str">
        <f>IF(ISBLANK(IFERROR(INDEX('2-3 引出列表'!$A$2:$CE$8700,$A248,MATCH(D$1,'2-3 引出列表'!$A$1:$CD$1,0)),"")),"",IFERROR(INDEX('2-3 引出列表'!$A$2:$CE$8700,$A248,MATCH(D$1,'2-3 引出列表'!$A$1:$CD$1,0)),""))</f>
        <v>已付款</v>
      </c>
      <c r="E248" t="str">
        <f>IF(ISBLANK(IFERROR(INDEX('2-3 引出列表'!$A$2:$CE$8700,$A248,MATCH(E$1,'2-3 引出列表'!$A$1:$CD$1,0)),"")),"",IFERROR(INDEX('2-3 引出列表'!$A$2:$CE$8700,$A248,MATCH(E$1,'2-3 引出列表'!$A$1:$CD$1,0)),""))</f>
        <v>2025-01-06</v>
      </c>
      <c r="F248" t="str">
        <f t="shared" si="3"/>
        <v>2025-01</v>
      </c>
      <c r="G248" t="str">
        <f>IF(ISBLANK(IFERROR(INDEX('2-3 引出列表'!$A$2:$CE$8700,$A248,MATCH(G$1,'2-3 引出列表'!$A$1:$CD$1,0)),"")),"",IFERROR(INDEX('2-3 引出列表'!$A$2:$CE$8700,$A248,MATCH(G$1,'2-3 引出列表'!$A$1:$CD$1,0)),""))</f>
        <v>外包服务费.电梯维保外包</v>
      </c>
      <c r="H248" t="str">
        <f>IF(ISBLANK(IFERROR(INDEX('2-3 引出列表'!$A$2:$CE$8700,$A248,MATCH(H$1,'2-3 引出列表'!$A$1:$CD$1,0)),"")),"",IFERROR(INDEX('2-3 引出列表'!$A$2:$CE$8700,$A248,MATCH(H$1,'2-3 引出列表'!$A$1:$CD$1,0)),""))</f>
        <v>GCFW-Z-2024-7051</v>
      </c>
      <c r="I248" t="str">
        <f>IF(ISBLANK(IFERROR(INDEX('2-3 引出列表'!$A$2:$CE$8700,$A248,MATCH(I$1,'2-3 引出列表'!$A$1:$CD$1,0)),"")),"",IFERROR(INDEX('2-3 引出列表'!$A$2:$CE$8700,$A248,MATCH(I$1,'2-3 引出列表'!$A$1:$CD$1,0)),""))</f>
        <v>金采易购</v>
      </c>
    </row>
    <row r="249" spans="1:9">
      <c r="A249">
        <v>248</v>
      </c>
      <c r="B249" t="str">
        <f>IF(ISBLANK(IFERROR(INDEX('2-3 引出列表'!$A$2:$CE$8700,$A249,MATCH(B$1,'2-3 引出列表'!$A$1:$CD$1,0)),"")),"",IFERROR(INDEX('2-3 引出列表'!$A$2:$CE$8700,$A249,MATCH(B$1,'2-3 引出列表'!$A$1:$CD$1,0)),""))</f>
        <v>FK250106000087</v>
      </c>
      <c r="C249">
        <f>IF(ISBLANK(IFERROR(INDEX('2-3 引出列表'!$A$2:$CE$8700,$A249,MATCH(C$1,'2-3 引出列表'!$A$1:$CD$1,0)),"")),"",IFERROR(INDEX('2-3 引出列表'!$A$2:$CE$8700,$A249,MATCH(C$1,'2-3 引出列表'!$A$1:$CD$1,0)),""))</f>
        <v>14000</v>
      </c>
      <c r="D249" t="str">
        <f>IF(ISBLANK(IFERROR(INDEX('2-3 引出列表'!$A$2:$CE$8700,$A249,MATCH(D$1,'2-3 引出列表'!$A$1:$CD$1,0)),"")),"",IFERROR(INDEX('2-3 引出列表'!$A$2:$CE$8700,$A249,MATCH(D$1,'2-3 引出列表'!$A$1:$CD$1,0)),""))</f>
        <v>已付款</v>
      </c>
      <c r="E249" t="str">
        <f>IF(ISBLANK(IFERROR(INDEX('2-3 引出列表'!$A$2:$CE$8700,$A249,MATCH(E$1,'2-3 引出列表'!$A$1:$CD$1,0)),"")),"",IFERROR(INDEX('2-3 引出列表'!$A$2:$CE$8700,$A249,MATCH(E$1,'2-3 引出列表'!$A$1:$CD$1,0)),""))</f>
        <v>2025-01-06</v>
      </c>
      <c r="F249" t="str">
        <f t="shared" si="3"/>
        <v>2025-01</v>
      </c>
      <c r="G249" t="str">
        <f>IF(ISBLANK(IFERROR(INDEX('2-3 引出列表'!$A$2:$CE$8700,$A249,MATCH(G$1,'2-3 引出列表'!$A$1:$CD$1,0)),"")),"",IFERROR(INDEX('2-3 引出列表'!$A$2:$CE$8700,$A249,MATCH(G$1,'2-3 引出列表'!$A$1:$CD$1,0)),""))</f>
        <v>外包服务费.电梯维保外包</v>
      </c>
      <c r="H249" t="str">
        <f>IF(ISBLANK(IFERROR(INDEX('2-3 引出列表'!$A$2:$CE$8700,$A249,MATCH(H$1,'2-3 引出列表'!$A$1:$CD$1,0)),"")),"",IFERROR(INDEX('2-3 引出列表'!$A$2:$CE$8700,$A249,MATCH(H$1,'2-3 引出列表'!$A$1:$CD$1,0)),""))</f>
        <v>GCFW-Z-2024-7051</v>
      </c>
      <c r="I249" t="str">
        <f>IF(ISBLANK(IFERROR(INDEX('2-3 引出列表'!$A$2:$CE$8700,$A249,MATCH(I$1,'2-3 引出列表'!$A$1:$CD$1,0)),"")),"",IFERROR(INDEX('2-3 引出列表'!$A$2:$CE$8700,$A249,MATCH(I$1,'2-3 引出列表'!$A$1:$CD$1,0)),""))</f>
        <v>金采易购</v>
      </c>
    </row>
    <row r="250" spans="1:9">
      <c r="A250">
        <v>249</v>
      </c>
      <c r="B250" t="str">
        <f>IF(ISBLANK(IFERROR(INDEX('2-3 引出列表'!$A$2:$CE$8700,$A250,MATCH(B$1,'2-3 引出列表'!$A$1:$CD$1,0)),"")),"",IFERROR(INDEX('2-3 引出列表'!$A$2:$CE$8700,$A250,MATCH(B$1,'2-3 引出列表'!$A$1:$CD$1,0)),""))</f>
        <v>FK250522000169</v>
      </c>
      <c r="C250">
        <f>IF(ISBLANK(IFERROR(INDEX('2-3 引出列表'!$A$2:$CE$8700,$A250,MATCH(C$1,'2-3 引出列表'!$A$1:$CD$1,0)),"")),"",IFERROR(INDEX('2-3 引出列表'!$A$2:$CE$8700,$A250,MATCH(C$1,'2-3 引出列表'!$A$1:$CD$1,0)),""))</f>
        <v>48115.48</v>
      </c>
      <c r="D250" t="str">
        <f>IF(ISBLANK(IFERROR(INDEX('2-3 引出列表'!$A$2:$CE$8700,$A250,MATCH(D$1,'2-3 引出列表'!$A$1:$CD$1,0)),"")),"",IFERROR(INDEX('2-3 引出列表'!$A$2:$CE$8700,$A250,MATCH(D$1,'2-3 引出列表'!$A$1:$CD$1,0)),""))</f>
        <v>已审核</v>
      </c>
      <c r="E250" t="str">
        <f>IF(ISBLANK(IFERROR(INDEX('2-3 引出列表'!$A$2:$CE$8700,$A250,MATCH(E$1,'2-3 引出列表'!$A$1:$CD$1,0)),"")),"",IFERROR(INDEX('2-3 引出列表'!$A$2:$CE$8700,$A250,MATCH(E$1,'2-3 引出列表'!$A$1:$CD$1,0)),""))</f>
        <v>2025-05-22</v>
      </c>
      <c r="F250" t="str">
        <f t="shared" si="3"/>
        <v>2025-05</v>
      </c>
      <c r="G250" t="str">
        <f>IF(ISBLANK(IFERROR(INDEX('2-3 引出列表'!$A$2:$CE$8700,$A250,MATCH(G$1,'2-3 引出列表'!$A$1:$CD$1,0)),"")),"",IFERROR(INDEX('2-3 引出列表'!$A$2:$CE$8700,$A250,MATCH(G$1,'2-3 引出列表'!$A$1:$CD$1,0)),""))</f>
        <v>物料消耗.物料消耗</v>
      </c>
      <c r="H250" t="str">
        <f>IF(ISBLANK(IFERROR(INDEX('2-3 引出列表'!$A$2:$CE$8700,$A250,MATCH(H$1,'2-3 引出列表'!$A$1:$CD$1,0)),"")),"",IFERROR(INDEX('2-3 引出列表'!$A$2:$CE$8700,$A250,MATCH(H$1,'2-3 引出列表'!$A$1:$CD$1,0)),""))</f>
        <v>XHWZ-Z-2025-00011</v>
      </c>
      <c r="I250" t="str">
        <f>IF(ISBLANK(IFERROR(INDEX('2-3 引出列表'!$A$2:$CE$8700,$A250,MATCH(I$1,'2-3 引出列表'!$A$1:$CD$1,0)),"")),"",IFERROR(INDEX('2-3 引出列表'!$A$2:$CE$8700,$A250,MATCH(I$1,'2-3 引出列表'!$A$1:$CD$1,0)),""))</f>
        <v>金采易购</v>
      </c>
    </row>
    <row r="251" spans="1:9">
      <c r="A251">
        <v>250</v>
      </c>
      <c r="B251" t="str">
        <f>IF(ISBLANK(IFERROR(INDEX('2-3 引出列表'!$A$2:$CE$8700,$A251,MATCH(B$1,'2-3 引出列表'!$A$1:$CD$1,0)),"")),"",IFERROR(INDEX('2-3 引出列表'!$A$2:$CE$8700,$A251,MATCH(B$1,'2-3 引出列表'!$A$1:$CD$1,0)),""))</f>
        <v>FK250522000169</v>
      </c>
      <c r="C251">
        <f>IF(ISBLANK(IFERROR(INDEX('2-3 引出列表'!$A$2:$CE$8700,$A251,MATCH(C$1,'2-3 引出列表'!$A$1:$CD$1,0)),"")),"",IFERROR(INDEX('2-3 引出列表'!$A$2:$CE$8700,$A251,MATCH(C$1,'2-3 引出列表'!$A$1:$CD$1,0)),""))</f>
        <v>48115.48</v>
      </c>
      <c r="D251" t="str">
        <f>IF(ISBLANK(IFERROR(INDEX('2-3 引出列表'!$A$2:$CE$8700,$A251,MATCH(D$1,'2-3 引出列表'!$A$1:$CD$1,0)),"")),"",IFERROR(INDEX('2-3 引出列表'!$A$2:$CE$8700,$A251,MATCH(D$1,'2-3 引出列表'!$A$1:$CD$1,0)),""))</f>
        <v>已审核</v>
      </c>
      <c r="E251" t="str">
        <f>IF(ISBLANK(IFERROR(INDEX('2-3 引出列表'!$A$2:$CE$8700,$A251,MATCH(E$1,'2-3 引出列表'!$A$1:$CD$1,0)),"")),"",IFERROR(INDEX('2-3 引出列表'!$A$2:$CE$8700,$A251,MATCH(E$1,'2-3 引出列表'!$A$1:$CD$1,0)),""))</f>
        <v>2025-05-22</v>
      </c>
      <c r="F251" t="str">
        <f t="shared" si="3"/>
        <v>2025-05</v>
      </c>
      <c r="G251" t="str">
        <f>IF(ISBLANK(IFERROR(INDEX('2-3 引出列表'!$A$2:$CE$8700,$A251,MATCH(G$1,'2-3 引出列表'!$A$1:$CD$1,0)),"")),"",IFERROR(INDEX('2-3 引出列表'!$A$2:$CE$8700,$A251,MATCH(G$1,'2-3 引出列表'!$A$1:$CD$1,0)),""))</f>
        <v>物料消耗.物料消耗</v>
      </c>
      <c r="H251" t="str">
        <f>IF(ISBLANK(IFERROR(INDEX('2-3 引出列表'!$A$2:$CE$8700,$A251,MATCH(H$1,'2-3 引出列表'!$A$1:$CD$1,0)),"")),"",IFERROR(INDEX('2-3 引出列表'!$A$2:$CE$8700,$A251,MATCH(H$1,'2-3 引出列表'!$A$1:$CD$1,0)),""))</f>
        <v>XHWZ-Z-2025-00011</v>
      </c>
      <c r="I251" t="str">
        <f>IF(ISBLANK(IFERROR(INDEX('2-3 引出列表'!$A$2:$CE$8700,$A251,MATCH(I$1,'2-3 引出列表'!$A$1:$CD$1,0)),"")),"",IFERROR(INDEX('2-3 引出列表'!$A$2:$CE$8700,$A251,MATCH(I$1,'2-3 引出列表'!$A$1:$CD$1,0)),""))</f>
        <v>金采易购</v>
      </c>
    </row>
    <row r="252" spans="1:9">
      <c r="A252">
        <v>251</v>
      </c>
      <c r="B252" t="str">
        <f>IF(ISBLANK(IFERROR(INDEX('2-3 引出列表'!$A$2:$CE$8700,$A252,MATCH(B$1,'2-3 引出列表'!$A$1:$CD$1,0)),"")),"",IFERROR(INDEX('2-3 引出列表'!$A$2:$CE$8700,$A252,MATCH(B$1,'2-3 引出列表'!$A$1:$CD$1,0)),""))</f>
        <v>FK250522000169</v>
      </c>
      <c r="C252">
        <f>IF(ISBLANK(IFERROR(INDEX('2-3 引出列表'!$A$2:$CE$8700,$A252,MATCH(C$1,'2-3 引出列表'!$A$1:$CD$1,0)),"")),"",IFERROR(INDEX('2-3 引出列表'!$A$2:$CE$8700,$A252,MATCH(C$1,'2-3 引出列表'!$A$1:$CD$1,0)),""))</f>
        <v>48115.48</v>
      </c>
      <c r="D252" t="str">
        <f>IF(ISBLANK(IFERROR(INDEX('2-3 引出列表'!$A$2:$CE$8700,$A252,MATCH(D$1,'2-3 引出列表'!$A$1:$CD$1,0)),"")),"",IFERROR(INDEX('2-3 引出列表'!$A$2:$CE$8700,$A252,MATCH(D$1,'2-3 引出列表'!$A$1:$CD$1,0)),""))</f>
        <v>已审核</v>
      </c>
      <c r="E252" t="str">
        <f>IF(ISBLANK(IFERROR(INDEX('2-3 引出列表'!$A$2:$CE$8700,$A252,MATCH(E$1,'2-3 引出列表'!$A$1:$CD$1,0)),"")),"",IFERROR(INDEX('2-3 引出列表'!$A$2:$CE$8700,$A252,MATCH(E$1,'2-3 引出列表'!$A$1:$CD$1,0)),""))</f>
        <v>2025-05-22</v>
      </c>
      <c r="F252" t="str">
        <f t="shared" si="3"/>
        <v>2025-05</v>
      </c>
      <c r="G252" t="str">
        <f>IF(ISBLANK(IFERROR(INDEX('2-3 引出列表'!$A$2:$CE$8700,$A252,MATCH(G$1,'2-3 引出列表'!$A$1:$CD$1,0)),"")),"",IFERROR(INDEX('2-3 引出列表'!$A$2:$CE$8700,$A252,MATCH(G$1,'2-3 引出列表'!$A$1:$CD$1,0)),""))</f>
        <v>物料消耗.物料消耗</v>
      </c>
      <c r="H252" t="str">
        <f>IF(ISBLANK(IFERROR(INDEX('2-3 引出列表'!$A$2:$CE$8700,$A252,MATCH(H$1,'2-3 引出列表'!$A$1:$CD$1,0)),"")),"",IFERROR(INDEX('2-3 引出列表'!$A$2:$CE$8700,$A252,MATCH(H$1,'2-3 引出列表'!$A$1:$CD$1,0)),""))</f>
        <v>XHWZ-Z-2025-00011</v>
      </c>
      <c r="I252" t="str">
        <f>IF(ISBLANK(IFERROR(INDEX('2-3 引出列表'!$A$2:$CE$8700,$A252,MATCH(I$1,'2-3 引出列表'!$A$1:$CD$1,0)),"")),"",IFERROR(INDEX('2-3 引出列表'!$A$2:$CE$8700,$A252,MATCH(I$1,'2-3 引出列表'!$A$1:$CD$1,0)),""))</f>
        <v>金采易购</v>
      </c>
    </row>
    <row r="253" spans="1:9">
      <c r="A253">
        <v>252</v>
      </c>
      <c r="B253" t="str">
        <f>IF(ISBLANK(IFERROR(INDEX('2-3 引出列表'!$A$2:$CE$8700,$A253,MATCH(B$1,'2-3 引出列表'!$A$1:$CD$1,0)),"")),"",IFERROR(INDEX('2-3 引出列表'!$A$2:$CE$8700,$A253,MATCH(B$1,'2-3 引出列表'!$A$1:$CD$1,0)),""))</f>
        <v>FK250522000169</v>
      </c>
      <c r="C253">
        <f>IF(ISBLANK(IFERROR(INDEX('2-3 引出列表'!$A$2:$CE$8700,$A253,MATCH(C$1,'2-3 引出列表'!$A$1:$CD$1,0)),"")),"",IFERROR(INDEX('2-3 引出列表'!$A$2:$CE$8700,$A253,MATCH(C$1,'2-3 引出列表'!$A$1:$CD$1,0)),""))</f>
        <v>48115.48</v>
      </c>
      <c r="D253" t="str">
        <f>IF(ISBLANK(IFERROR(INDEX('2-3 引出列表'!$A$2:$CE$8700,$A253,MATCH(D$1,'2-3 引出列表'!$A$1:$CD$1,0)),"")),"",IFERROR(INDEX('2-3 引出列表'!$A$2:$CE$8700,$A253,MATCH(D$1,'2-3 引出列表'!$A$1:$CD$1,0)),""))</f>
        <v>已审核</v>
      </c>
      <c r="E253" t="str">
        <f>IF(ISBLANK(IFERROR(INDEX('2-3 引出列表'!$A$2:$CE$8700,$A253,MATCH(E$1,'2-3 引出列表'!$A$1:$CD$1,0)),"")),"",IFERROR(INDEX('2-3 引出列表'!$A$2:$CE$8700,$A253,MATCH(E$1,'2-3 引出列表'!$A$1:$CD$1,0)),""))</f>
        <v>2025-05-22</v>
      </c>
      <c r="F253" t="str">
        <f t="shared" si="3"/>
        <v>2025-05</v>
      </c>
      <c r="G253" t="str">
        <f>IF(ISBLANK(IFERROR(INDEX('2-3 引出列表'!$A$2:$CE$8700,$A253,MATCH(G$1,'2-3 引出列表'!$A$1:$CD$1,0)),"")),"",IFERROR(INDEX('2-3 引出列表'!$A$2:$CE$8700,$A253,MATCH(G$1,'2-3 引出列表'!$A$1:$CD$1,0)),""))</f>
        <v>物料消耗.物料消耗</v>
      </c>
      <c r="H253" t="str">
        <f>IF(ISBLANK(IFERROR(INDEX('2-3 引出列表'!$A$2:$CE$8700,$A253,MATCH(H$1,'2-3 引出列表'!$A$1:$CD$1,0)),"")),"",IFERROR(INDEX('2-3 引出列表'!$A$2:$CE$8700,$A253,MATCH(H$1,'2-3 引出列表'!$A$1:$CD$1,0)),""))</f>
        <v>XHWZ-Z-2025-00011</v>
      </c>
      <c r="I253" t="str">
        <f>IF(ISBLANK(IFERROR(INDEX('2-3 引出列表'!$A$2:$CE$8700,$A253,MATCH(I$1,'2-3 引出列表'!$A$1:$CD$1,0)),"")),"",IFERROR(INDEX('2-3 引出列表'!$A$2:$CE$8700,$A253,MATCH(I$1,'2-3 引出列表'!$A$1:$CD$1,0)),""))</f>
        <v>金采易购</v>
      </c>
    </row>
    <row r="254" spans="1:9">
      <c r="A254">
        <v>253</v>
      </c>
      <c r="B254" t="str">
        <f>IF(ISBLANK(IFERROR(INDEX('2-3 引出列表'!$A$2:$CE$8700,$A254,MATCH(B$1,'2-3 引出列表'!$A$1:$CD$1,0)),"")),"",IFERROR(INDEX('2-3 引出列表'!$A$2:$CE$8700,$A254,MATCH(B$1,'2-3 引出列表'!$A$1:$CD$1,0)),""))</f>
        <v>FK250522000169</v>
      </c>
      <c r="C254">
        <f>IF(ISBLANK(IFERROR(INDEX('2-3 引出列表'!$A$2:$CE$8700,$A254,MATCH(C$1,'2-3 引出列表'!$A$1:$CD$1,0)),"")),"",IFERROR(INDEX('2-3 引出列表'!$A$2:$CE$8700,$A254,MATCH(C$1,'2-3 引出列表'!$A$1:$CD$1,0)),""))</f>
        <v>48115.48</v>
      </c>
      <c r="D254" t="str">
        <f>IF(ISBLANK(IFERROR(INDEX('2-3 引出列表'!$A$2:$CE$8700,$A254,MATCH(D$1,'2-3 引出列表'!$A$1:$CD$1,0)),"")),"",IFERROR(INDEX('2-3 引出列表'!$A$2:$CE$8700,$A254,MATCH(D$1,'2-3 引出列表'!$A$1:$CD$1,0)),""))</f>
        <v>已审核</v>
      </c>
      <c r="E254" t="str">
        <f>IF(ISBLANK(IFERROR(INDEX('2-3 引出列表'!$A$2:$CE$8700,$A254,MATCH(E$1,'2-3 引出列表'!$A$1:$CD$1,0)),"")),"",IFERROR(INDEX('2-3 引出列表'!$A$2:$CE$8700,$A254,MATCH(E$1,'2-3 引出列表'!$A$1:$CD$1,0)),""))</f>
        <v>2025-05-22</v>
      </c>
      <c r="F254" t="str">
        <f t="shared" si="3"/>
        <v>2025-05</v>
      </c>
      <c r="G254" t="str">
        <f>IF(ISBLANK(IFERROR(INDEX('2-3 引出列表'!$A$2:$CE$8700,$A254,MATCH(G$1,'2-3 引出列表'!$A$1:$CD$1,0)),"")),"",IFERROR(INDEX('2-3 引出列表'!$A$2:$CE$8700,$A254,MATCH(G$1,'2-3 引出列表'!$A$1:$CD$1,0)),""))</f>
        <v>物料消耗.物料消耗</v>
      </c>
      <c r="H254" t="str">
        <f>IF(ISBLANK(IFERROR(INDEX('2-3 引出列表'!$A$2:$CE$8700,$A254,MATCH(H$1,'2-3 引出列表'!$A$1:$CD$1,0)),"")),"",IFERROR(INDEX('2-3 引出列表'!$A$2:$CE$8700,$A254,MATCH(H$1,'2-3 引出列表'!$A$1:$CD$1,0)),""))</f>
        <v>XHWZ-Z-2025-00011</v>
      </c>
      <c r="I254" t="str">
        <f>IF(ISBLANK(IFERROR(INDEX('2-3 引出列表'!$A$2:$CE$8700,$A254,MATCH(I$1,'2-3 引出列表'!$A$1:$CD$1,0)),"")),"",IFERROR(INDEX('2-3 引出列表'!$A$2:$CE$8700,$A254,MATCH(I$1,'2-3 引出列表'!$A$1:$CD$1,0)),""))</f>
        <v>金采易购</v>
      </c>
    </row>
    <row r="255" spans="1:9">
      <c r="A255">
        <v>254</v>
      </c>
      <c r="B255" t="str">
        <f>IF(ISBLANK(IFERROR(INDEX('2-3 引出列表'!$A$2:$CE$8700,$A255,MATCH(B$1,'2-3 引出列表'!$A$1:$CD$1,0)),"")),"",IFERROR(INDEX('2-3 引出列表'!$A$2:$CE$8700,$A255,MATCH(B$1,'2-3 引出列表'!$A$1:$CD$1,0)),""))</f>
        <v>FK250522000169</v>
      </c>
      <c r="C255">
        <f>IF(ISBLANK(IFERROR(INDEX('2-3 引出列表'!$A$2:$CE$8700,$A255,MATCH(C$1,'2-3 引出列表'!$A$1:$CD$1,0)),"")),"",IFERROR(INDEX('2-3 引出列表'!$A$2:$CE$8700,$A255,MATCH(C$1,'2-3 引出列表'!$A$1:$CD$1,0)),""))</f>
        <v>48115.48</v>
      </c>
      <c r="D255" t="str">
        <f>IF(ISBLANK(IFERROR(INDEX('2-3 引出列表'!$A$2:$CE$8700,$A255,MATCH(D$1,'2-3 引出列表'!$A$1:$CD$1,0)),"")),"",IFERROR(INDEX('2-3 引出列表'!$A$2:$CE$8700,$A255,MATCH(D$1,'2-3 引出列表'!$A$1:$CD$1,0)),""))</f>
        <v>已审核</v>
      </c>
      <c r="E255" t="str">
        <f>IF(ISBLANK(IFERROR(INDEX('2-3 引出列表'!$A$2:$CE$8700,$A255,MATCH(E$1,'2-3 引出列表'!$A$1:$CD$1,0)),"")),"",IFERROR(INDEX('2-3 引出列表'!$A$2:$CE$8700,$A255,MATCH(E$1,'2-3 引出列表'!$A$1:$CD$1,0)),""))</f>
        <v>2025-05-22</v>
      </c>
      <c r="F255" t="str">
        <f t="shared" si="3"/>
        <v>2025-05</v>
      </c>
      <c r="G255" t="str">
        <f>IF(ISBLANK(IFERROR(INDEX('2-3 引出列表'!$A$2:$CE$8700,$A255,MATCH(G$1,'2-3 引出列表'!$A$1:$CD$1,0)),"")),"",IFERROR(INDEX('2-3 引出列表'!$A$2:$CE$8700,$A255,MATCH(G$1,'2-3 引出列表'!$A$1:$CD$1,0)),""))</f>
        <v>物料消耗.物料消耗</v>
      </c>
      <c r="H255" t="str">
        <f>IF(ISBLANK(IFERROR(INDEX('2-3 引出列表'!$A$2:$CE$8700,$A255,MATCH(H$1,'2-3 引出列表'!$A$1:$CD$1,0)),"")),"",IFERROR(INDEX('2-3 引出列表'!$A$2:$CE$8700,$A255,MATCH(H$1,'2-3 引出列表'!$A$1:$CD$1,0)),""))</f>
        <v>XHWZ-Z-2025-00011</v>
      </c>
      <c r="I255" t="str">
        <f>IF(ISBLANK(IFERROR(INDEX('2-3 引出列表'!$A$2:$CE$8700,$A255,MATCH(I$1,'2-3 引出列表'!$A$1:$CD$1,0)),"")),"",IFERROR(INDEX('2-3 引出列表'!$A$2:$CE$8700,$A255,MATCH(I$1,'2-3 引出列表'!$A$1:$CD$1,0)),""))</f>
        <v>金采易购</v>
      </c>
    </row>
    <row r="256" spans="1:9">
      <c r="A256">
        <v>255</v>
      </c>
      <c r="B256" t="str">
        <f>IF(ISBLANK(IFERROR(INDEX('2-3 引出列表'!$A$2:$CE$8700,$A256,MATCH(B$1,'2-3 引出列表'!$A$1:$CD$1,0)),"")),"",IFERROR(INDEX('2-3 引出列表'!$A$2:$CE$8700,$A256,MATCH(B$1,'2-3 引出列表'!$A$1:$CD$1,0)),""))</f>
        <v>FK250522000169</v>
      </c>
      <c r="C256">
        <f>IF(ISBLANK(IFERROR(INDEX('2-3 引出列表'!$A$2:$CE$8700,$A256,MATCH(C$1,'2-3 引出列表'!$A$1:$CD$1,0)),"")),"",IFERROR(INDEX('2-3 引出列表'!$A$2:$CE$8700,$A256,MATCH(C$1,'2-3 引出列表'!$A$1:$CD$1,0)),""))</f>
        <v>48115.48</v>
      </c>
      <c r="D256" t="str">
        <f>IF(ISBLANK(IFERROR(INDEX('2-3 引出列表'!$A$2:$CE$8700,$A256,MATCH(D$1,'2-3 引出列表'!$A$1:$CD$1,0)),"")),"",IFERROR(INDEX('2-3 引出列表'!$A$2:$CE$8700,$A256,MATCH(D$1,'2-3 引出列表'!$A$1:$CD$1,0)),""))</f>
        <v>已审核</v>
      </c>
      <c r="E256" t="str">
        <f>IF(ISBLANK(IFERROR(INDEX('2-3 引出列表'!$A$2:$CE$8700,$A256,MATCH(E$1,'2-3 引出列表'!$A$1:$CD$1,0)),"")),"",IFERROR(INDEX('2-3 引出列表'!$A$2:$CE$8700,$A256,MATCH(E$1,'2-3 引出列表'!$A$1:$CD$1,0)),""))</f>
        <v>2025-05-22</v>
      </c>
      <c r="F256" t="str">
        <f t="shared" si="3"/>
        <v>2025-05</v>
      </c>
      <c r="G256" t="str">
        <f>IF(ISBLANK(IFERROR(INDEX('2-3 引出列表'!$A$2:$CE$8700,$A256,MATCH(G$1,'2-3 引出列表'!$A$1:$CD$1,0)),"")),"",IFERROR(INDEX('2-3 引出列表'!$A$2:$CE$8700,$A256,MATCH(G$1,'2-3 引出列表'!$A$1:$CD$1,0)),""))</f>
        <v>物料消耗.物料消耗</v>
      </c>
      <c r="H256" t="str">
        <f>IF(ISBLANK(IFERROR(INDEX('2-3 引出列表'!$A$2:$CE$8700,$A256,MATCH(H$1,'2-3 引出列表'!$A$1:$CD$1,0)),"")),"",IFERROR(INDEX('2-3 引出列表'!$A$2:$CE$8700,$A256,MATCH(H$1,'2-3 引出列表'!$A$1:$CD$1,0)),""))</f>
        <v>XHWZ-Z-2025-00011</v>
      </c>
      <c r="I256" t="str">
        <f>IF(ISBLANK(IFERROR(INDEX('2-3 引出列表'!$A$2:$CE$8700,$A256,MATCH(I$1,'2-3 引出列表'!$A$1:$CD$1,0)),"")),"",IFERROR(INDEX('2-3 引出列表'!$A$2:$CE$8700,$A256,MATCH(I$1,'2-3 引出列表'!$A$1:$CD$1,0)),""))</f>
        <v>金采易购</v>
      </c>
    </row>
    <row r="257" spans="1:9">
      <c r="A257">
        <v>256</v>
      </c>
      <c r="B257" t="str">
        <f>IF(ISBLANK(IFERROR(INDEX('2-3 引出列表'!$A$2:$CE$8700,$A257,MATCH(B$1,'2-3 引出列表'!$A$1:$CD$1,0)),"")),"",IFERROR(INDEX('2-3 引出列表'!$A$2:$CE$8700,$A257,MATCH(B$1,'2-3 引出列表'!$A$1:$CD$1,0)),""))</f>
        <v>FK250522000169</v>
      </c>
      <c r="C257">
        <f>IF(ISBLANK(IFERROR(INDEX('2-3 引出列表'!$A$2:$CE$8700,$A257,MATCH(C$1,'2-3 引出列表'!$A$1:$CD$1,0)),"")),"",IFERROR(INDEX('2-3 引出列表'!$A$2:$CE$8700,$A257,MATCH(C$1,'2-3 引出列表'!$A$1:$CD$1,0)),""))</f>
        <v>48115.48</v>
      </c>
      <c r="D257" t="str">
        <f>IF(ISBLANK(IFERROR(INDEX('2-3 引出列表'!$A$2:$CE$8700,$A257,MATCH(D$1,'2-3 引出列表'!$A$1:$CD$1,0)),"")),"",IFERROR(INDEX('2-3 引出列表'!$A$2:$CE$8700,$A257,MATCH(D$1,'2-3 引出列表'!$A$1:$CD$1,0)),""))</f>
        <v>已审核</v>
      </c>
      <c r="E257" t="str">
        <f>IF(ISBLANK(IFERROR(INDEX('2-3 引出列表'!$A$2:$CE$8700,$A257,MATCH(E$1,'2-3 引出列表'!$A$1:$CD$1,0)),"")),"",IFERROR(INDEX('2-3 引出列表'!$A$2:$CE$8700,$A257,MATCH(E$1,'2-3 引出列表'!$A$1:$CD$1,0)),""))</f>
        <v>2025-05-22</v>
      </c>
      <c r="F257" t="str">
        <f t="shared" si="3"/>
        <v>2025-05</v>
      </c>
      <c r="G257" t="str">
        <f>IF(ISBLANK(IFERROR(INDEX('2-3 引出列表'!$A$2:$CE$8700,$A257,MATCH(G$1,'2-3 引出列表'!$A$1:$CD$1,0)),"")),"",IFERROR(INDEX('2-3 引出列表'!$A$2:$CE$8700,$A257,MATCH(G$1,'2-3 引出列表'!$A$1:$CD$1,0)),""))</f>
        <v>物料消耗.物料消耗</v>
      </c>
      <c r="H257" t="str">
        <f>IF(ISBLANK(IFERROR(INDEX('2-3 引出列表'!$A$2:$CE$8700,$A257,MATCH(H$1,'2-3 引出列表'!$A$1:$CD$1,0)),"")),"",IFERROR(INDEX('2-3 引出列表'!$A$2:$CE$8700,$A257,MATCH(H$1,'2-3 引出列表'!$A$1:$CD$1,0)),""))</f>
        <v>XHWZ-Z-2025-00011</v>
      </c>
      <c r="I257" t="str">
        <f>IF(ISBLANK(IFERROR(INDEX('2-3 引出列表'!$A$2:$CE$8700,$A257,MATCH(I$1,'2-3 引出列表'!$A$1:$CD$1,0)),"")),"",IFERROR(INDEX('2-3 引出列表'!$A$2:$CE$8700,$A257,MATCH(I$1,'2-3 引出列表'!$A$1:$CD$1,0)),""))</f>
        <v>金采易购</v>
      </c>
    </row>
    <row r="258" spans="1:9">
      <c r="A258">
        <v>257</v>
      </c>
      <c r="B258" t="str">
        <f>IF(ISBLANK(IFERROR(INDEX('2-3 引出列表'!$A$2:$CE$8700,$A258,MATCH(B$1,'2-3 引出列表'!$A$1:$CD$1,0)),"")),"",IFERROR(INDEX('2-3 引出列表'!$A$2:$CE$8700,$A258,MATCH(B$1,'2-3 引出列表'!$A$1:$CD$1,0)),""))</f>
        <v>FK250522000169</v>
      </c>
      <c r="C258">
        <f>IF(ISBLANK(IFERROR(INDEX('2-3 引出列表'!$A$2:$CE$8700,$A258,MATCH(C$1,'2-3 引出列表'!$A$1:$CD$1,0)),"")),"",IFERROR(INDEX('2-3 引出列表'!$A$2:$CE$8700,$A258,MATCH(C$1,'2-3 引出列表'!$A$1:$CD$1,0)),""))</f>
        <v>48115.48</v>
      </c>
      <c r="D258" t="str">
        <f>IF(ISBLANK(IFERROR(INDEX('2-3 引出列表'!$A$2:$CE$8700,$A258,MATCH(D$1,'2-3 引出列表'!$A$1:$CD$1,0)),"")),"",IFERROR(INDEX('2-3 引出列表'!$A$2:$CE$8700,$A258,MATCH(D$1,'2-3 引出列表'!$A$1:$CD$1,0)),""))</f>
        <v>已审核</v>
      </c>
      <c r="E258" t="str">
        <f>IF(ISBLANK(IFERROR(INDEX('2-3 引出列表'!$A$2:$CE$8700,$A258,MATCH(E$1,'2-3 引出列表'!$A$1:$CD$1,0)),"")),"",IFERROR(INDEX('2-3 引出列表'!$A$2:$CE$8700,$A258,MATCH(E$1,'2-3 引出列表'!$A$1:$CD$1,0)),""))</f>
        <v>2025-05-22</v>
      </c>
      <c r="F258" t="str">
        <f t="shared" ref="F258:F321" si="4">LEFT(E258,7)</f>
        <v>2025-05</v>
      </c>
      <c r="G258" t="str">
        <f>IF(ISBLANK(IFERROR(INDEX('2-3 引出列表'!$A$2:$CE$8700,$A258,MATCH(G$1,'2-3 引出列表'!$A$1:$CD$1,0)),"")),"",IFERROR(INDEX('2-3 引出列表'!$A$2:$CE$8700,$A258,MATCH(G$1,'2-3 引出列表'!$A$1:$CD$1,0)),""))</f>
        <v>物料消耗.物料消耗</v>
      </c>
      <c r="H258" t="str">
        <f>IF(ISBLANK(IFERROR(INDEX('2-3 引出列表'!$A$2:$CE$8700,$A258,MATCH(H$1,'2-3 引出列表'!$A$1:$CD$1,0)),"")),"",IFERROR(INDEX('2-3 引出列表'!$A$2:$CE$8700,$A258,MATCH(H$1,'2-3 引出列表'!$A$1:$CD$1,0)),""))</f>
        <v>XHWZ-Z-2025-00011</v>
      </c>
      <c r="I258" t="str">
        <f>IF(ISBLANK(IFERROR(INDEX('2-3 引出列表'!$A$2:$CE$8700,$A258,MATCH(I$1,'2-3 引出列表'!$A$1:$CD$1,0)),"")),"",IFERROR(INDEX('2-3 引出列表'!$A$2:$CE$8700,$A258,MATCH(I$1,'2-3 引出列表'!$A$1:$CD$1,0)),""))</f>
        <v>金采易购</v>
      </c>
    </row>
    <row r="259" spans="1:9">
      <c r="A259">
        <v>258</v>
      </c>
      <c r="B259" t="str">
        <f>IF(ISBLANK(IFERROR(INDEX('2-3 引出列表'!$A$2:$CE$8700,$A259,MATCH(B$1,'2-3 引出列表'!$A$1:$CD$1,0)),"")),"",IFERROR(INDEX('2-3 引出列表'!$A$2:$CE$8700,$A259,MATCH(B$1,'2-3 引出列表'!$A$1:$CD$1,0)),""))</f>
        <v>FK250522000169</v>
      </c>
      <c r="C259">
        <f>IF(ISBLANK(IFERROR(INDEX('2-3 引出列表'!$A$2:$CE$8700,$A259,MATCH(C$1,'2-3 引出列表'!$A$1:$CD$1,0)),"")),"",IFERROR(INDEX('2-3 引出列表'!$A$2:$CE$8700,$A259,MATCH(C$1,'2-3 引出列表'!$A$1:$CD$1,0)),""))</f>
        <v>48115.48</v>
      </c>
      <c r="D259" t="str">
        <f>IF(ISBLANK(IFERROR(INDEX('2-3 引出列表'!$A$2:$CE$8700,$A259,MATCH(D$1,'2-3 引出列表'!$A$1:$CD$1,0)),"")),"",IFERROR(INDEX('2-3 引出列表'!$A$2:$CE$8700,$A259,MATCH(D$1,'2-3 引出列表'!$A$1:$CD$1,0)),""))</f>
        <v>已审核</v>
      </c>
      <c r="E259" t="str">
        <f>IF(ISBLANK(IFERROR(INDEX('2-3 引出列表'!$A$2:$CE$8700,$A259,MATCH(E$1,'2-3 引出列表'!$A$1:$CD$1,0)),"")),"",IFERROR(INDEX('2-3 引出列表'!$A$2:$CE$8700,$A259,MATCH(E$1,'2-3 引出列表'!$A$1:$CD$1,0)),""))</f>
        <v>2025-05-22</v>
      </c>
      <c r="F259" t="str">
        <f t="shared" si="4"/>
        <v>2025-05</v>
      </c>
      <c r="G259" t="str">
        <f>IF(ISBLANK(IFERROR(INDEX('2-3 引出列表'!$A$2:$CE$8700,$A259,MATCH(G$1,'2-3 引出列表'!$A$1:$CD$1,0)),"")),"",IFERROR(INDEX('2-3 引出列表'!$A$2:$CE$8700,$A259,MATCH(G$1,'2-3 引出列表'!$A$1:$CD$1,0)),""))</f>
        <v>物料消耗.物料消耗</v>
      </c>
      <c r="H259" t="str">
        <f>IF(ISBLANK(IFERROR(INDEX('2-3 引出列表'!$A$2:$CE$8700,$A259,MATCH(H$1,'2-3 引出列表'!$A$1:$CD$1,0)),"")),"",IFERROR(INDEX('2-3 引出列表'!$A$2:$CE$8700,$A259,MATCH(H$1,'2-3 引出列表'!$A$1:$CD$1,0)),""))</f>
        <v>XHWZ-Z-2025-00011</v>
      </c>
      <c r="I259" t="str">
        <f>IF(ISBLANK(IFERROR(INDEX('2-3 引出列表'!$A$2:$CE$8700,$A259,MATCH(I$1,'2-3 引出列表'!$A$1:$CD$1,0)),"")),"",IFERROR(INDEX('2-3 引出列表'!$A$2:$CE$8700,$A259,MATCH(I$1,'2-3 引出列表'!$A$1:$CD$1,0)),""))</f>
        <v>金采易购</v>
      </c>
    </row>
    <row r="260" spans="1:9">
      <c r="A260">
        <v>259</v>
      </c>
      <c r="B260" t="str">
        <f>IF(ISBLANK(IFERROR(INDEX('2-3 引出列表'!$A$2:$CE$8700,$A260,MATCH(B$1,'2-3 引出列表'!$A$1:$CD$1,0)),"")),"",IFERROR(INDEX('2-3 引出列表'!$A$2:$CE$8700,$A260,MATCH(B$1,'2-3 引出列表'!$A$1:$CD$1,0)),""))</f>
        <v>FK250522000169</v>
      </c>
      <c r="C260">
        <f>IF(ISBLANK(IFERROR(INDEX('2-3 引出列表'!$A$2:$CE$8700,$A260,MATCH(C$1,'2-3 引出列表'!$A$1:$CD$1,0)),"")),"",IFERROR(INDEX('2-3 引出列表'!$A$2:$CE$8700,$A260,MATCH(C$1,'2-3 引出列表'!$A$1:$CD$1,0)),""))</f>
        <v>48115.48</v>
      </c>
      <c r="D260" t="str">
        <f>IF(ISBLANK(IFERROR(INDEX('2-3 引出列表'!$A$2:$CE$8700,$A260,MATCH(D$1,'2-3 引出列表'!$A$1:$CD$1,0)),"")),"",IFERROR(INDEX('2-3 引出列表'!$A$2:$CE$8700,$A260,MATCH(D$1,'2-3 引出列表'!$A$1:$CD$1,0)),""))</f>
        <v>已审核</v>
      </c>
      <c r="E260" t="str">
        <f>IF(ISBLANK(IFERROR(INDEX('2-3 引出列表'!$A$2:$CE$8700,$A260,MATCH(E$1,'2-3 引出列表'!$A$1:$CD$1,0)),"")),"",IFERROR(INDEX('2-3 引出列表'!$A$2:$CE$8700,$A260,MATCH(E$1,'2-3 引出列表'!$A$1:$CD$1,0)),""))</f>
        <v>2025-05-22</v>
      </c>
      <c r="F260" t="str">
        <f t="shared" si="4"/>
        <v>2025-05</v>
      </c>
      <c r="G260" t="str">
        <f>IF(ISBLANK(IFERROR(INDEX('2-3 引出列表'!$A$2:$CE$8700,$A260,MATCH(G$1,'2-3 引出列表'!$A$1:$CD$1,0)),"")),"",IFERROR(INDEX('2-3 引出列表'!$A$2:$CE$8700,$A260,MATCH(G$1,'2-3 引出列表'!$A$1:$CD$1,0)),""))</f>
        <v>物料消耗.物料消耗</v>
      </c>
      <c r="H260" t="str">
        <f>IF(ISBLANK(IFERROR(INDEX('2-3 引出列表'!$A$2:$CE$8700,$A260,MATCH(H$1,'2-3 引出列表'!$A$1:$CD$1,0)),"")),"",IFERROR(INDEX('2-3 引出列表'!$A$2:$CE$8700,$A260,MATCH(H$1,'2-3 引出列表'!$A$1:$CD$1,0)),""))</f>
        <v>XHWZ-Z-2025-00011</v>
      </c>
      <c r="I260" t="str">
        <f>IF(ISBLANK(IFERROR(INDEX('2-3 引出列表'!$A$2:$CE$8700,$A260,MATCH(I$1,'2-3 引出列表'!$A$1:$CD$1,0)),"")),"",IFERROR(INDEX('2-3 引出列表'!$A$2:$CE$8700,$A260,MATCH(I$1,'2-3 引出列表'!$A$1:$CD$1,0)),""))</f>
        <v>金采易购</v>
      </c>
    </row>
    <row r="261" spans="1:9">
      <c r="A261">
        <v>260</v>
      </c>
      <c r="B261" t="str">
        <f>IF(ISBLANK(IFERROR(INDEX('2-3 引出列表'!$A$2:$CE$8700,$A261,MATCH(B$1,'2-3 引出列表'!$A$1:$CD$1,0)),"")),"",IFERROR(INDEX('2-3 引出列表'!$A$2:$CE$8700,$A261,MATCH(B$1,'2-3 引出列表'!$A$1:$CD$1,0)),""))</f>
        <v>FK250522000169</v>
      </c>
      <c r="C261">
        <f>IF(ISBLANK(IFERROR(INDEX('2-3 引出列表'!$A$2:$CE$8700,$A261,MATCH(C$1,'2-3 引出列表'!$A$1:$CD$1,0)),"")),"",IFERROR(INDEX('2-3 引出列表'!$A$2:$CE$8700,$A261,MATCH(C$1,'2-3 引出列表'!$A$1:$CD$1,0)),""))</f>
        <v>48115.48</v>
      </c>
      <c r="D261" t="str">
        <f>IF(ISBLANK(IFERROR(INDEX('2-3 引出列表'!$A$2:$CE$8700,$A261,MATCH(D$1,'2-3 引出列表'!$A$1:$CD$1,0)),"")),"",IFERROR(INDEX('2-3 引出列表'!$A$2:$CE$8700,$A261,MATCH(D$1,'2-3 引出列表'!$A$1:$CD$1,0)),""))</f>
        <v>已审核</v>
      </c>
      <c r="E261" t="str">
        <f>IF(ISBLANK(IFERROR(INDEX('2-3 引出列表'!$A$2:$CE$8700,$A261,MATCH(E$1,'2-3 引出列表'!$A$1:$CD$1,0)),"")),"",IFERROR(INDEX('2-3 引出列表'!$A$2:$CE$8700,$A261,MATCH(E$1,'2-3 引出列表'!$A$1:$CD$1,0)),""))</f>
        <v>2025-05-22</v>
      </c>
      <c r="F261" t="str">
        <f t="shared" si="4"/>
        <v>2025-05</v>
      </c>
      <c r="G261" t="str">
        <f>IF(ISBLANK(IFERROR(INDEX('2-3 引出列表'!$A$2:$CE$8700,$A261,MATCH(G$1,'2-3 引出列表'!$A$1:$CD$1,0)),"")),"",IFERROR(INDEX('2-3 引出列表'!$A$2:$CE$8700,$A261,MATCH(G$1,'2-3 引出列表'!$A$1:$CD$1,0)),""))</f>
        <v>物料消耗.物料消耗</v>
      </c>
      <c r="H261" t="str">
        <f>IF(ISBLANK(IFERROR(INDEX('2-3 引出列表'!$A$2:$CE$8700,$A261,MATCH(H$1,'2-3 引出列表'!$A$1:$CD$1,0)),"")),"",IFERROR(INDEX('2-3 引出列表'!$A$2:$CE$8700,$A261,MATCH(H$1,'2-3 引出列表'!$A$1:$CD$1,0)),""))</f>
        <v>XHWZ-Z-2025-00011</v>
      </c>
      <c r="I261" t="str">
        <f>IF(ISBLANK(IFERROR(INDEX('2-3 引出列表'!$A$2:$CE$8700,$A261,MATCH(I$1,'2-3 引出列表'!$A$1:$CD$1,0)),"")),"",IFERROR(INDEX('2-3 引出列表'!$A$2:$CE$8700,$A261,MATCH(I$1,'2-3 引出列表'!$A$1:$CD$1,0)),""))</f>
        <v>金采易购</v>
      </c>
    </row>
    <row r="262" spans="1:9">
      <c r="A262">
        <v>261</v>
      </c>
      <c r="B262" t="str">
        <f>IF(ISBLANK(IFERROR(INDEX('2-3 引出列表'!$A$2:$CE$8700,$A262,MATCH(B$1,'2-3 引出列表'!$A$1:$CD$1,0)),"")),"",IFERROR(INDEX('2-3 引出列表'!$A$2:$CE$8700,$A262,MATCH(B$1,'2-3 引出列表'!$A$1:$CD$1,0)),""))</f>
        <v>FK250522000169</v>
      </c>
      <c r="C262">
        <f>IF(ISBLANK(IFERROR(INDEX('2-3 引出列表'!$A$2:$CE$8700,$A262,MATCH(C$1,'2-3 引出列表'!$A$1:$CD$1,0)),"")),"",IFERROR(INDEX('2-3 引出列表'!$A$2:$CE$8700,$A262,MATCH(C$1,'2-3 引出列表'!$A$1:$CD$1,0)),""))</f>
        <v>48115.48</v>
      </c>
      <c r="D262" t="str">
        <f>IF(ISBLANK(IFERROR(INDEX('2-3 引出列表'!$A$2:$CE$8700,$A262,MATCH(D$1,'2-3 引出列表'!$A$1:$CD$1,0)),"")),"",IFERROR(INDEX('2-3 引出列表'!$A$2:$CE$8700,$A262,MATCH(D$1,'2-3 引出列表'!$A$1:$CD$1,0)),""))</f>
        <v>已审核</v>
      </c>
      <c r="E262" t="str">
        <f>IF(ISBLANK(IFERROR(INDEX('2-3 引出列表'!$A$2:$CE$8700,$A262,MATCH(E$1,'2-3 引出列表'!$A$1:$CD$1,0)),"")),"",IFERROR(INDEX('2-3 引出列表'!$A$2:$CE$8700,$A262,MATCH(E$1,'2-3 引出列表'!$A$1:$CD$1,0)),""))</f>
        <v>2025-05-22</v>
      </c>
      <c r="F262" t="str">
        <f t="shared" si="4"/>
        <v>2025-05</v>
      </c>
      <c r="G262" t="str">
        <f>IF(ISBLANK(IFERROR(INDEX('2-3 引出列表'!$A$2:$CE$8700,$A262,MATCH(G$1,'2-3 引出列表'!$A$1:$CD$1,0)),"")),"",IFERROR(INDEX('2-3 引出列表'!$A$2:$CE$8700,$A262,MATCH(G$1,'2-3 引出列表'!$A$1:$CD$1,0)),""))</f>
        <v>物料消耗.物料消耗</v>
      </c>
      <c r="H262" t="str">
        <f>IF(ISBLANK(IFERROR(INDEX('2-3 引出列表'!$A$2:$CE$8700,$A262,MATCH(H$1,'2-3 引出列表'!$A$1:$CD$1,0)),"")),"",IFERROR(INDEX('2-3 引出列表'!$A$2:$CE$8700,$A262,MATCH(H$1,'2-3 引出列表'!$A$1:$CD$1,0)),""))</f>
        <v>XHWZ-Z-2025-00011</v>
      </c>
      <c r="I262" t="str">
        <f>IF(ISBLANK(IFERROR(INDEX('2-3 引出列表'!$A$2:$CE$8700,$A262,MATCH(I$1,'2-3 引出列表'!$A$1:$CD$1,0)),"")),"",IFERROR(INDEX('2-3 引出列表'!$A$2:$CE$8700,$A262,MATCH(I$1,'2-3 引出列表'!$A$1:$CD$1,0)),""))</f>
        <v>金采易购</v>
      </c>
    </row>
    <row r="263" spans="1:9">
      <c r="A263">
        <v>262</v>
      </c>
      <c r="B263" t="str">
        <f>IF(ISBLANK(IFERROR(INDEX('2-3 引出列表'!$A$2:$CE$8700,$A263,MATCH(B$1,'2-3 引出列表'!$A$1:$CD$1,0)),"")),"",IFERROR(INDEX('2-3 引出列表'!$A$2:$CE$8700,$A263,MATCH(B$1,'2-3 引出列表'!$A$1:$CD$1,0)),""))</f>
        <v>FK250522000169</v>
      </c>
      <c r="C263">
        <f>IF(ISBLANK(IFERROR(INDEX('2-3 引出列表'!$A$2:$CE$8700,$A263,MATCH(C$1,'2-3 引出列表'!$A$1:$CD$1,0)),"")),"",IFERROR(INDEX('2-3 引出列表'!$A$2:$CE$8700,$A263,MATCH(C$1,'2-3 引出列表'!$A$1:$CD$1,0)),""))</f>
        <v>48115.48</v>
      </c>
      <c r="D263" t="str">
        <f>IF(ISBLANK(IFERROR(INDEX('2-3 引出列表'!$A$2:$CE$8700,$A263,MATCH(D$1,'2-3 引出列表'!$A$1:$CD$1,0)),"")),"",IFERROR(INDEX('2-3 引出列表'!$A$2:$CE$8700,$A263,MATCH(D$1,'2-3 引出列表'!$A$1:$CD$1,0)),""))</f>
        <v>已审核</v>
      </c>
      <c r="E263" t="str">
        <f>IF(ISBLANK(IFERROR(INDEX('2-3 引出列表'!$A$2:$CE$8700,$A263,MATCH(E$1,'2-3 引出列表'!$A$1:$CD$1,0)),"")),"",IFERROR(INDEX('2-3 引出列表'!$A$2:$CE$8700,$A263,MATCH(E$1,'2-3 引出列表'!$A$1:$CD$1,0)),""))</f>
        <v>2025-05-22</v>
      </c>
      <c r="F263" t="str">
        <f t="shared" si="4"/>
        <v>2025-05</v>
      </c>
      <c r="G263" t="str">
        <f>IF(ISBLANK(IFERROR(INDEX('2-3 引出列表'!$A$2:$CE$8700,$A263,MATCH(G$1,'2-3 引出列表'!$A$1:$CD$1,0)),"")),"",IFERROR(INDEX('2-3 引出列表'!$A$2:$CE$8700,$A263,MATCH(G$1,'2-3 引出列表'!$A$1:$CD$1,0)),""))</f>
        <v>物料消耗.物料消耗</v>
      </c>
      <c r="H263" t="str">
        <f>IF(ISBLANK(IFERROR(INDEX('2-3 引出列表'!$A$2:$CE$8700,$A263,MATCH(H$1,'2-3 引出列表'!$A$1:$CD$1,0)),"")),"",IFERROR(INDEX('2-3 引出列表'!$A$2:$CE$8700,$A263,MATCH(H$1,'2-3 引出列表'!$A$1:$CD$1,0)),""))</f>
        <v>XHWZ-Z-2025-00011</v>
      </c>
      <c r="I263" t="str">
        <f>IF(ISBLANK(IFERROR(INDEX('2-3 引出列表'!$A$2:$CE$8700,$A263,MATCH(I$1,'2-3 引出列表'!$A$1:$CD$1,0)),"")),"",IFERROR(INDEX('2-3 引出列表'!$A$2:$CE$8700,$A263,MATCH(I$1,'2-3 引出列表'!$A$1:$CD$1,0)),""))</f>
        <v>金采易购</v>
      </c>
    </row>
    <row r="264" spans="1:9">
      <c r="A264">
        <v>263</v>
      </c>
      <c r="B264" t="str">
        <f>IF(ISBLANK(IFERROR(INDEX('2-3 引出列表'!$A$2:$CE$8700,$A264,MATCH(B$1,'2-3 引出列表'!$A$1:$CD$1,0)),"")),"",IFERROR(INDEX('2-3 引出列表'!$A$2:$CE$8700,$A264,MATCH(B$1,'2-3 引出列表'!$A$1:$CD$1,0)),""))</f>
        <v>FK250522000169</v>
      </c>
      <c r="C264">
        <f>IF(ISBLANK(IFERROR(INDEX('2-3 引出列表'!$A$2:$CE$8700,$A264,MATCH(C$1,'2-3 引出列表'!$A$1:$CD$1,0)),"")),"",IFERROR(INDEX('2-3 引出列表'!$A$2:$CE$8700,$A264,MATCH(C$1,'2-3 引出列表'!$A$1:$CD$1,0)),""))</f>
        <v>48115.48</v>
      </c>
      <c r="D264" t="str">
        <f>IF(ISBLANK(IFERROR(INDEX('2-3 引出列表'!$A$2:$CE$8700,$A264,MATCH(D$1,'2-3 引出列表'!$A$1:$CD$1,0)),"")),"",IFERROR(INDEX('2-3 引出列表'!$A$2:$CE$8700,$A264,MATCH(D$1,'2-3 引出列表'!$A$1:$CD$1,0)),""))</f>
        <v>已审核</v>
      </c>
      <c r="E264" t="str">
        <f>IF(ISBLANK(IFERROR(INDEX('2-3 引出列表'!$A$2:$CE$8700,$A264,MATCH(E$1,'2-3 引出列表'!$A$1:$CD$1,0)),"")),"",IFERROR(INDEX('2-3 引出列表'!$A$2:$CE$8700,$A264,MATCH(E$1,'2-3 引出列表'!$A$1:$CD$1,0)),""))</f>
        <v>2025-05-22</v>
      </c>
      <c r="F264" t="str">
        <f t="shared" si="4"/>
        <v>2025-05</v>
      </c>
      <c r="G264" t="str">
        <f>IF(ISBLANK(IFERROR(INDEX('2-3 引出列表'!$A$2:$CE$8700,$A264,MATCH(G$1,'2-3 引出列表'!$A$1:$CD$1,0)),"")),"",IFERROR(INDEX('2-3 引出列表'!$A$2:$CE$8700,$A264,MATCH(G$1,'2-3 引出列表'!$A$1:$CD$1,0)),""))</f>
        <v>物料消耗.物料消耗</v>
      </c>
      <c r="H264" t="str">
        <f>IF(ISBLANK(IFERROR(INDEX('2-3 引出列表'!$A$2:$CE$8700,$A264,MATCH(H$1,'2-3 引出列表'!$A$1:$CD$1,0)),"")),"",IFERROR(INDEX('2-3 引出列表'!$A$2:$CE$8700,$A264,MATCH(H$1,'2-3 引出列表'!$A$1:$CD$1,0)),""))</f>
        <v>XHWZ-Z-2025-00011</v>
      </c>
      <c r="I264" t="str">
        <f>IF(ISBLANK(IFERROR(INDEX('2-3 引出列表'!$A$2:$CE$8700,$A264,MATCH(I$1,'2-3 引出列表'!$A$1:$CD$1,0)),"")),"",IFERROR(INDEX('2-3 引出列表'!$A$2:$CE$8700,$A264,MATCH(I$1,'2-3 引出列表'!$A$1:$CD$1,0)),""))</f>
        <v>金采易购</v>
      </c>
    </row>
    <row r="265" spans="1:9">
      <c r="A265">
        <v>264</v>
      </c>
      <c r="B265" t="str">
        <f>IF(ISBLANK(IFERROR(INDEX('2-3 引出列表'!$A$2:$CE$8700,$A265,MATCH(B$1,'2-3 引出列表'!$A$1:$CD$1,0)),"")),"",IFERROR(INDEX('2-3 引出列表'!$A$2:$CE$8700,$A265,MATCH(B$1,'2-3 引出列表'!$A$1:$CD$1,0)),""))</f>
        <v>FK250522000169</v>
      </c>
      <c r="C265">
        <f>IF(ISBLANK(IFERROR(INDEX('2-3 引出列表'!$A$2:$CE$8700,$A265,MATCH(C$1,'2-3 引出列表'!$A$1:$CD$1,0)),"")),"",IFERROR(INDEX('2-3 引出列表'!$A$2:$CE$8700,$A265,MATCH(C$1,'2-3 引出列表'!$A$1:$CD$1,0)),""))</f>
        <v>48115.48</v>
      </c>
      <c r="D265" t="str">
        <f>IF(ISBLANK(IFERROR(INDEX('2-3 引出列表'!$A$2:$CE$8700,$A265,MATCH(D$1,'2-3 引出列表'!$A$1:$CD$1,0)),"")),"",IFERROR(INDEX('2-3 引出列表'!$A$2:$CE$8700,$A265,MATCH(D$1,'2-3 引出列表'!$A$1:$CD$1,0)),""))</f>
        <v>已审核</v>
      </c>
      <c r="E265" t="str">
        <f>IF(ISBLANK(IFERROR(INDEX('2-3 引出列表'!$A$2:$CE$8700,$A265,MATCH(E$1,'2-3 引出列表'!$A$1:$CD$1,0)),"")),"",IFERROR(INDEX('2-3 引出列表'!$A$2:$CE$8700,$A265,MATCH(E$1,'2-3 引出列表'!$A$1:$CD$1,0)),""))</f>
        <v>2025-05-22</v>
      </c>
      <c r="F265" t="str">
        <f t="shared" si="4"/>
        <v>2025-05</v>
      </c>
      <c r="G265" t="str">
        <f>IF(ISBLANK(IFERROR(INDEX('2-3 引出列表'!$A$2:$CE$8700,$A265,MATCH(G$1,'2-3 引出列表'!$A$1:$CD$1,0)),"")),"",IFERROR(INDEX('2-3 引出列表'!$A$2:$CE$8700,$A265,MATCH(G$1,'2-3 引出列表'!$A$1:$CD$1,0)),""))</f>
        <v>物料消耗.物料消耗</v>
      </c>
      <c r="H265" t="str">
        <f>IF(ISBLANK(IFERROR(INDEX('2-3 引出列表'!$A$2:$CE$8700,$A265,MATCH(H$1,'2-3 引出列表'!$A$1:$CD$1,0)),"")),"",IFERROR(INDEX('2-3 引出列表'!$A$2:$CE$8700,$A265,MATCH(H$1,'2-3 引出列表'!$A$1:$CD$1,0)),""))</f>
        <v>XHWZ-Z-2025-00011</v>
      </c>
      <c r="I265" t="str">
        <f>IF(ISBLANK(IFERROR(INDEX('2-3 引出列表'!$A$2:$CE$8700,$A265,MATCH(I$1,'2-3 引出列表'!$A$1:$CD$1,0)),"")),"",IFERROR(INDEX('2-3 引出列表'!$A$2:$CE$8700,$A265,MATCH(I$1,'2-3 引出列表'!$A$1:$CD$1,0)),""))</f>
        <v>金采易购</v>
      </c>
    </row>
    <row r="266" spans="1:9">
      <c r="A266">
        <v>265</v>
      </c>
      <c r="B266" t="str">
        <f>IF(ISBLANK(IFERROR(INDEX('2-3 引出列表'!$A$2:$CE$8700,$A266,MATCH(B$1,'2-3 引出列表'!$A$1:$CD$1,0)),"")),"",IFERROR(INDEX('2-3 引出列表'!$A$2:$CE$8700,$A266,MATCH(B$1,'2-3 引出列表'!$A$1:$CD$1,0)),""))</f>
        <v>FK250522000169</v>
      </c>
      <c r="C266">
        <f>IF(ISBLANK(IFERROR(INDEX('2-3 引出列表'!$A$2:$CE$8700,$A266,MATCH(C$1,'2-3 引出列表'!$A$1:$CD$1,0)),"")),"",IFERROR(INDEX('2-3 引出列表'!$A$2:$CE$8700,$A266,MATCH(C$1,'2-3 引出列表'!$A$1:$CD$1,0)),""))</f>
        <v>48115.48</v>
      </c>
      <c r="D266" t="str">
        <f>IF(ISBLANK(IFERROR(INDEX('2-3 引出列表'!$A$2:$CE$8700,$A266,MATCH(D$1,'2-3 引出列表'!$A$1:$CD$1,0)),"")),"",IFERROR(INDEX('2-3 引出列表'!$A$2:$CE$8700,$A266,MATCH(D$1,'2-3 引出列表'!$A$1:$CD$1,0)),""))</f>
        <v>已审核</v>
      </c>
      <c r="E266" t="str">
        <f>IF(ISBLANK(IFERROR(INDEX('2-3 引出列表'!$A$2:$CE$8700,$A266,MATCH(E$1,'2-3 引出列表'!$A$1:$CD$1,0)),"")),"",IFERROR(INDEX('2-3 引出列表'!$A$2:$CE$8700,$A266,MATCH(E$1,'2-3 引出列表'!$A$1:$CD$1,0)),""))</f>
        <v>2025-05-22</v>
      </c>
      <c r="F266" t="str">
        <f t="shared" si="4"/>
        <v>2025-05</v>
      </c>
      <c r="G266" t="str">
        <f>IF(ISBLANK(IFERROR(INDEX('2-3 引出列表'!$A$2:$CE$8700,$A266,MATCH(G$1,'2-3 引出列表'!$A$1:$CD$1,0)),"")),"",IFERROR(INDEX('2-3 引出列表'!$A$2:$CE$8700,$A266,MATCH(G$1,'2-3 引出列表'!$A$1:$CD$1,0)),""))</f>
        <v>物料消耗.物料消耗</v>
      </c>
      <c r="H266" t="str">
        <f>IF(ISBLANK(IFERROR(INDEX('2-3 引出列表'!$A$2:$CE$8700,$A266,MATCH(H$1,'2-3 引出列表'!$A$1:$CD$1,0)),"")),"",IFERROR(INDEX('2-3 引出列表'!$A$2:$CE$8700,$A266,MATCH(H$1,'2-3 引出列表'!$A$1:$CD$1,0)),""))</f>
        <v>XHWZ-Z-2025-00011</v>
      </c>
      <c r="I266" t="str">
        <f>IF(ISBLANK(IFERROR(INDEX('2-3 引出列表'!$A$2:$CE$8700,$A266,MATCH(I$1,'2-3 引出列表'!$A$1:$CD$1,0)),"")),"",IFERROR(INDEX('2-3 引出列表'!$A$2:$CE$8700,$A266,MATCH(I$1,'2-3 引出列表'!$A$1:$CD$1,0)),""))</f>
        <v>金采易购</v>
      </c>
    </row>
    <row r="267" spans="1:9">
      <c r="A267">
        <v>266</v>
      </c>
      <c r="B267" t="str">
        <f>IF(ISBLANK(IFERROR(INDEX('2-3 引出列表'!$A$2:$CE$8700,$A267,MATCH(B$1,'2-3 引出列表'!$A$1:$CD$1,0)),"")),"",IFERROR(INDEX('2-3 引出列表'!$A$2:$CE$8700,$A267,MATCH(B$1,'2-3 引出列表'!$A$1:$CD$1,0)),""))</f>
        <v>FK250522000169</v>
      </c>
      <c r="C267">
        <f>IF(ISBLANK(IFERROR(INDEX('2-3 引出列表'!$A$2:$CE$8700,$A267,MATCH(C$1,'2-3 引出列表'!$A$1:$CD$1,0)),"")),"",IFERROR(INDEX('2-3 引出列表'!$A$2:$CE$8700,$A267,MATCH(C$1,'2-3 引出列表'!$A$1:$CD$1,0)),""))</f>
        <v>48115.48</v>
      </c>
      <c r="D267" t="str">
        <f>IF(ISBLANK(IFERROR(INDEX('2-3 引出列表'!$A$2:$CE$8700,$A267,MATCH(D$1,'2-3 引出列表'!$A$1:$CD$1,0)),"")),"",IFERROR(INDEX('2-3 引出列表'!$A$2:$CE$8700,$A267,MATCH(D$1,'2-3 引出列表'!$A$1:$CD$1,0)),""))</f>
        <v>已审核</v>
      </c>
      <c r="E267" t="str">
        <f>IF(ISBLANK(IFERROR(INDEX('2-3 引出列表'!$A$2:$CE$8700,$A267,MATCH(E$1,'2-3 引出列表'!$A$1:$CD$1,0)),"")),"",IFERROR(INDEX('2-3 引出列表'!$A$2:$CE$8700,$A267,MATCH(E$1,'2-3 引出列表'!$A$1:$CD$1,0)),""))</f>
        <v>2025-05-22</v>
      </c>
      <c r="F267" t="str">
        <f t="shared" si="4"/>
        <v>2025-05</v>
      </c>
      <c r="G267" t="str">
        <f>IF(ISBLANK(IFERROR(INDEX('2-3 引出列表'!$A$2:$CE$8700,$A267,MATCH(G$1,'2-3 引出列表'!$A$1:$CD$1,0)),"")),"",IFERROR(INDEX('2-3 引出列表'!$A$2:$CE$8700,$A267,MATCH(G$1,'2-3 引出列表'!$A$1:$CD$1,0)),""))</f>
        <v>物料消耗.物料消耗</v>
      </c>
      <c r="H267" t="str">
        <f>IF(ISBLANK(IFERROR(INDEX('2-3 引出列表'!$A$2:$CE$8700,$A267,MATCH(H$1,'2-3 引出列表'!$A$1:$CD$1,0)),"")),"",IFERROR(INDEX('2-3 引出列表'!$A$2:$CE$8700,$A267,MATCH(H$1,'2-3 引出列表'!$A$1:$CD$1,0)),""))</f>
        <v>XHWZ-Z-2025-00011</v>
      </c>
      <c r="I267" t="str">
        <f>IF(ISBLANK(IFERROR(INDEX('2-3 引出列表'!$A$2:$CE$8700,$A267,MATCH(I$1,'2-3 引出列表'!$A$1:$CD$1,0)),"")),"",IFERROR(INDEX('2-3 引出列表'!$A$2:$CE$8700,$A267,MATCH(I$1,'2-3 引出列表'!$A$1:$CD$1,0)),""))</f>
        <v>金采易购</v>
      </c>
    </row>
    <row r="268" spans="1:9">
      <c r="A268">
        <v>267</v>
      </c>
      <c r="B268" t="str">
        <f>IF(ISBLANK(IFERROR(INDEX('2-3 引出列表'!$A$2:$CE$8700,$A268,MATCH(B$1,'2-3 引出列表'!$A$1:$CD$1,0)),"")),"",IFERROR(INDEX('2-3 引出列表'!$A$2:$CE$8700,$A268,MATCH(B$1,'2-3 引出列表'!$A$1:$CD$1,0)),""))</f>
        <v>FK250522000169</v>
      </c>
      <c r="C268">
        <f>IF(ISBLANK(IFERROR(INDEX('2-3 引出列表'!$A$2:$CE$8700,$A268,MATCH(C$1,'2-3 引出列表'!$A$1:$CD$1,0)),"")),"",IFERROR(INDEX('2-3 引出列表'!$A$2:$CE$8700,$A268,MATCH(C$1,'2-3 引出列表'!$A$1:$CD$1,0)),""))</f>
        <v>48115.48</v>
      </c>
      <c r="D268" t="str">
        <f>IF(ISBLANK(IFERROR(INDEX('2-3 引出列表'!$A$2:$CE$8700,$A268,MATCH(D$1,'2-3 引出列表'!$A$1:$CD$1,0)),"")),"",IFERROR(INDEX('2-3 引出列表'!$A$2:$CE$8700,$A268,MATCH(D$1,'2-3 引出列表'!$A$1:$CD$1,0)),""))</f>
        <v>已审核</v>
      </c>
      <c r="E268" t="str">
        <f>IF(ISBLANK(IFERROR(INDEX('2-3 引出列表'!$A$2:$CE$8700,$A268,MATCH(E$1,'2-3 引出列表'!$A$1:$CD$1,0)),"")),"",IFERROR(INDEX('2-3 引出列表'!$A$2:$CE$8700,$A268,MATCH(E$1,'2-3 引出列表'!$A$1:$CD$1,0)),""))</f>
        <v>2025-05-22</v>
      </c>
      <c r="F268" t="str">
        <f t="shared" si="4"/>
        <v>2025-05</v>
      </c>
      <c r="G268" t="str">
        <f>IF(ISBLANK(IFERROR(INDEX('2-3 引出列表'!$A$2:$CE$8700,$A268,MATCH(G$1,'2-3 引出列表'!$A$1:$CD$1,0)),"")),"",IFERROR(INDEX('2-3 引出列表'!$A$2:$CE$8700,$A268,MATCH(G$1,'2-3 引出列表'!$A$1:$CD$1,0)),""))</f>
        <v>物料消耗.物料消耗</v>
      </c>
      <c r="H268" t="str">
        <f>IF(ISBLANK(IFERROR(INDEX('2-3 引出列表'!$A$2:$CE$8700,$A268,MATCH(H$1,'2-3 引出列表'!$A$1:$CD$1,0)),"")),"",IFERROR(INDEX('2-3 引出列表'!$A$2:$CE$8700,$A268,MATCH(H$1,'2-3 引出列表'!$A$1:$CD$1,0)),""))</f>
        <v>XHWZ-Z-2025-00011</v>
      </c>
      <c r="I268" t="str">
        <f>IF(ISBLANK(IFERROR(INDEX('2-3 引出列表'!$A$2:$CE$8700,$A268,MATCH(I$1,'2-3 引出列表'!$A$1:$CD$1,0)),"")),"",IFERROR(INDEX('2-3 引出列表'!$A$2:$CE$8700,$A268,MATCH(I$1,'2-3 引出列表'!$A$1:$CD$1,0)),""))</f>
        <v>金采易购</v>
      </c>
    </row>
    <row r="269" spans="1:9">
      <c r="A269">
        <v>268</v>
      </c>
      <c r="B269" t="str">
        <f>IF(ISBLANK(IFERROR(INDEX('2-3 引出列表'!$A$2:$CE$8700,$A269,MATCH(B$1,'2-3 引出列表'!$A$1:$CD$1,0)),"")),"",IFERROR(INDEX('2-3 引出列表'!$A$2:$CE$8700,$A269,MATCH(B$1,'2-3 引出列表'!$A$1:$CD$1,0)),""))</f>
        <v>FK250522000169</v>
      </c>
      <c r="C269">
        <f>IF(ISBLANK(IFERROR(INDEX('2-3 引出列表'!$A$2:$CE$8700,$A269,MATCH(C$1,'2-3 引出列表'!$A$1:$CD$1,0)),"")),"",IFERROR(INDEX('2-3 引出列表'!$A$2:$CE$8700,$A269,MATCH(C$1,'2-3 引出列表'!$A$1:$CD$1,0)),""))</f>
        <v>48115.48</v>
      </c>
      <c r="D269" t="str">
        <f>IF(ISBLANK(IFERROR(INDEX('2-3 引出列表'!$A$2:$CE$8700,$A269,MATCH(D$1,'2-3 引出列表'!$A$1:$CD$1,0)),"")),"",IFERROR(INDEX('2-3 引出列表'!$A$2:$CE$8700,$A269,MATCH(D$1,'2-3 引出列表'!$A$1:$CD$1,0)),""))</f>
        <v>已审核</v>
      </c>
      <c r="E269" t="str">
        <f>IF(ISBLANK(IFERROR(INDEX('2-3 引出列表'!$A$2:$CE$8700,$A269,MATCH(E$1,'2-3 引出列表'!$A$1:$CD$1,0)),"")),"",IFERROR(INDEX('2-3 引出列表'!$A$2:$CE$8700,$A269,MATCH(E$1,'2-3 引出列表'!$A$1:$CD$1,0)),""))</f>
        <v>2025-05-22</v>
      </c>
      <c r="F269" t="str">
        <f t="shared" si="4"/>
        <v>2025-05</v>
      </c>
      <c r="G269" t="str">
        <f>IF(ISBLANK(IFERROR(INDEX('2-3 引出列表'!$A$2:$CE$8700,$A269,MATCH(G$1,'2-3 引出列表'!$A$1:$CD$1,0)),"")),"",IFERROR(INDEX('2-3 引出列表'!$A$2:$CE$8700,$A269,MATCH(G$1,'2-3 引出列表'!$A$1:$CD$1,0)),""))</f>
        <v>物料消耗.物料消耗</v>
      </c>
      <c r="H269" t="str">
        <f>IF(ISBLANK(IFERROR(INDEX('2-3 引出列表'!$A$2:$CE$8700,$A269,MATCH(H$1,'2-3 引出列表'!$A$1:$CD$1,0)),"")),"",IFERROR(INDEX('2-3 引出列表'!$A$2:$CE$8700,$A269,MATCH(H$1,'2-3 引出列表'!$A$1:$CD$1,0)),""))</f>
        <v>XHWZ-Z-2025-00011</v>
      </c>
      <c r="I269" t="str">
        <f>IF(ISBLANK(IFERROR(INDEX('2-3 引出列表'!$A$2:$CE$8700,$A269,MATCH(I$1,'2-3 引出列表'!$A$1:$CD$1,0)),"")),"",IFERROR(INDEX('2-3 引出列表'!$A$2:$CE$8700,$A269,MATCH(I$1,'2-3 引出列表'!$A$1:$CD$1,0)),""))</f>
        <v>金采易购</v>
      </c>
    </row>
    <row r="270" spans="1:9">
      <c r="A270">
        <v>269</v>
      </c>
      <c r="B270" t="str">
        <f>IF(ISBLANK(IFERROR(INDEX('2-3 引出列表'!$A$2:$CE$8700,$A270,MATCH(B$1,'2-3 引出列表'!$A$1:$CD$1,0)),"")),"",IFERROR(INDEX('2-3 引出列表'!$A$2:$CE$8700,$A270,MATCH(B$1,'2-3 引出列表'!$A$1:$CD$1,0)),""))</f>
        <v>FK250522000169</v>
      </c>
      <c r="C270">
        <f>IF(ISBLANK(IFERROR(INDEX('2-3 引出列表'!$A$2:$CE$8700,$A270,MATCH(C$1,'2-3 引出列表'!$A$1:$CD$1,0)),"")),"",IFERROR(INDEX('2-3 引出列表'!$A$2:$CE$8700,$A270,MATCH(C$1,'2-3 引出列表'!$A$1:$CD$1,0)),""))</f>
        <v>48115.48</v>
      </c>
      <c r="D270" t="str">
        <f>IF(ISBLANK(IFERROR(INDEX('2-3 引出列表'!$A$2:$CE$8700,$A270,MATCH(D$1,'2-3 引出列表'!$A$1:$CD$1,0)),"")),"",IFERROR(INDEX('2-3 引出列表'!$A$2:$CE$8700,$A270,MATCH(D$1,'2-3 引出列表'!$A$1:$CD$1,0)),""))</f>
        <v>已审核</v>
      </c>
      <c r="E270" t="str">
        <f>IF(ISBLANK(IFERROR(INDEX('2-3 引出列表'!$A$2:$CE$8700,$A270,MATCH(E$1,'2-3 引出列表'!$A$1:$CD$1,0)),"")),"",IFERROR(INDEX('2-3 引出列表'!$A$2:$CE$8700,$A270,MATCH(E$1,'2-3 引出列表'!$A$1:$CD$1,0)),""))</f>
        <v>2025-05-22</v>
      </c>
      <c r="F270" t="str">
        <f t="shared" si="4"/>
        <v>2025-05</v>
      </c>
      <c r="G270" t="str">
        <f>IF(ISBLANK(IFERROR(INDEX('2-3 引出列表'!$A$2:$CE$8700,$A270,MATCH(G$1,'2-3 引出列表'!$A$1:$CD$1,0)),"")),"",IFERROR(INDEX('2-3 引出列表'!$A$2:$CE$8700,$A270,MATCH(G$1,'2-3 引出列表'!$A$1:$CD$1,0)),""))</f>
        <v>物料消耗.物料消耗</v>
      </c>
      <c r="H270" t="str">
        <f>IF(ISBLANK(IFERROR(INDEX('2-3 引出列表'!$A$2:$CE$8700,$A270,MATCH(H$1,'2-3 引出列表'!$A$1:$CD$1,0)),"")),"",IFERROR(INDEX('2-3 引出列表'!$A$2:$CE$8700,$A270,MATCH(H$1,'2-3 引出列表'!$A$1:$CD$1,0)),""))</f>
        <v>XHWZ-Z-2025-00011</v>
      </c>
      <c r="I270" t="str">
        <f>IF(ISBLANK(IFERROR(INDEX('2-3 引出列表'!$A$2:$CE$8700,$A270,MATCH(I$1,'2-3 引出列表'!$A$1:$CD$1,0)),"")),"",IFERROR(INDEX('2-3 引出列表'!$A$2:$CE$8700,$A270,MATCH(I$1,'2-3 引出列表'!$A$1:$CD$1,0)),""))</f>
        <v>金采易购</v>
      </c>
    </row>
    <row r="271" spans="1:9">
      <c r="A271">
        <v>270</v>
      </c>
      <c r="B271" t="str">
        <f>IF(ISBLANK(IFERROR(INDEX('2-3 引出列表'!$A$2:$CE$8700,$A271,MATCH(B$1,'2-3 引出列表'!$A$1:$CD$1,0)),"")),"",IFERROR(INDEX('2-3 引出列表'!$A$2:$CE$8700,$A271,MATCH(B$1,'2-3 引出列表'!$A$1:$CD$1,0)),""))</f>
        <v>FK250522000169</v>
      </c>
      <c r="C271">
        <f>IF(ISBLANK(IFERROR(INDEX('2-3 引出列表'!$A$2:$CE$8700,$A271,MATCH(C$1,'2-3 引出列表'!$A$1:$CD$1,0)),"")),"",IFERROR(INDEX('2-3 引出列表'!$A$2:$CE$8700,$A271,MATCH(C$1,'2-3 引出列表'!$A$1:$CD$1,0)),""))</f>
        <v>48115.48</v>
      </c>
      <c r="D271" t="str">
        <f>IF(ISBLANK(IFERROR(INDEX('2-3 引出列表'!$A$2:$CE$8700,$A271,MATCH(D$1,'2-3 引出列表'!$A$1:$CD$1,0)),"")),"",IFERROR(INDEX('2-3 引出列表'!$A$2:$CE$8700,$A271,MATCH(D$1,'2-3 引出列表'!$A$1:$CD$1,0)),""))</f>
        <v>已审核</v>
      </c>
      <c r="E271" t="str">
        <f>IF(ISBLANK(IFERROR(INDEX('2-3 引出列表'!$A$2:$CE$8700,$A271,MATCH(E$1,'2-3 引出列表'!$A$1:$CD$1,0)),"")),"",IFERROR(INDEX('2-3 引出列表'!$A$2:$CE$8700,$A271,MATCH(E$1,'2-3 引出列表'!$A$1:$CD$1,0)),""))</f>
        <v>2025-05-22</v>
      </c>
      <c r="F271" t="str">
        <f t="shared" si="4"/>
        <v>2025-05</v>
      </c>
      <c r="G271" t="str">
        <f>IF(ISBLANK(IFERROR(INDEX('2-3 引出列表'!$A$2:$CE$8700,$A271,MATCH(G$1,'2-3 引出列表'!$A$1:$CD$1,0)),"")),"",IFERROR(INDEX('2-3 引出列表'!$A$2:$CE$8700,$A271,MATCH(G$1,'2-3 引出列表'!$A$1:$CD$1,0)),""))</f>
        <v>物料消耗.物料消耗</v>
      </c>
      <c r="H271" t="str">
        <f>IF(ISBLANK(IFERROR(INDEX('2-3 引出列表'!$A$2:$CE$8700,$A271,MATCH(H$1,'2-3 引出列表'!$A$1:$CD$1,0)),"")),"",IFERROR(INDEX('2-3 引出列表'!$A$2:$CE$8700,$A271,MATCH(H$1,'2-3 引出列表'!$A$1:$CD$1,0)),""))</f>
        <v>XHWZ-Z-2025-00011</v>
      </c>
      <c r="I271" t="str">
        <f>IF(ISBLANK(IFERROR(INDEX('2-3 引出列表'!$A$2:$CE$8700,$A271,MATCH(I$1,'2-3 引出列表'!$A$1:$CD$1,0)),"")),"",IFERROR(INDEX('2-3 引出列表'!$A$2:$CE$8700,$A271,MATCH(I$1,'2-3 引出列表'!$A$1:$CD$1,0)),""))</f>
        <v>金采易购</v>
      </c>
    </row>
    <row r="272" spans="1:9">
      <c r="A272">
        <v>271</v>
      </c>
      <c r="B272" t="str">
        <f>IF(ISBLANK(IFERROR(INDEX('2-3 引出列表'!$A$2:$CE$8700,$A272,MATCH(B$1,'2-3 引出列表'!$A$1:$CD$1,0)),"")),"",IFERROR(INDEX('2-3 引出列表'!$A$2:$CE$8700,$A272,MATCH(B$1,'2-3 引出列表'!$A$1:$CD$1,0)),""))</f>
        <v>FK250522000169</v>
      </c>
      <c r="C272">
        <f>IF(ISBLANK(IFERROR(INDEX('2-3 引出列表'!$A$2:$CE$8700,$A272,MATCH(C$1,'2-3 引出列表'!$A$1:$CD$1,0)),"")),"",IFERROR(INDEX('2-3 引出列表'!$A$2:$CE$8700,$A272,MATCH(C$1,'2-3 引出列表'!$A$1:$CD$1,0)),""))</f>
        <v>48115.48</v>
      </c>
      <c r="D272" t="str">
        <f>IF(ISBLANK(IFERROR(INDEX('2-3 引出列表'!$A$2:$CE$8700,$A272,MATCH(D$1,'2-3 引出列表'!$A$1:$CD$1,0)),"")),"",IFERROR(INDEX('2-3 引出列表'!$A$2:$CE$8700,$A272,MATCH(D$1,'2-3 引出列表'!$A$1:$CD$1,0)),""))</f>
        <v>已审核</v>
      </c>
      <c r="E272" t="str">
        <f>IF(ISBLANK(IFERROR(INDEX('2-3 引出列表'!$A$2:$CE$8700,$A272,MATCH(E$1,'2-3 引出列表'!$A$1:$CD$1,0)),"")),"",IFERROR(INDEX('2-3 引出列表'!$A$2:$CE$8700,$A272,MATCH(E$1,'2-3 引出列表'!$A$1:$CD$1,0)),""))</f>
        <v>2025-05-22</v>
      </c>
      <c r="F272" t="str">
        <f t="shared" si="4"/>
        <v>2025-05</v>
      </c>
      <c r="G272" t="str">
        <f>IF(ISBLANK(IFERROR(INDEX('2-3 引出列表'!$A$2:$CE$8700,$A272,MATCH(G$1,'2-3 引出列表'!$A$1:$CD$1,0)),"")),"",IFERROR(INDEX('2-3 引出列表'!$A$2:$CE$8700,$A272,MATCH(G$1,'2-3 引出列表'!$A$1:$CD$1,0)),""))</f>
        <v>物料消耗.物料消耗</v>
      </c>
      <c r="H272" t="str">
        <f>IF(ISBLANK(IFERROR(INDEX('2-3 引出列表'!$A$2:$CE$8700,$A272,MATCH(H$1,'2-3 引出列表'!$A$1:$CD$1,0)),"")),"",IFERROR(INDEX('2-3 引出列表'!$A$2:$CE$8700,$A272,MATCH(H$1,'2-3 引出列表'!$A$1:$CD$1,0)),""))</f>
        <v>XHWZ-Z-2025-00011</v>
      </c>
      <c r="I272" t="str">
        <f>IF(ISBLANK(IFERROR(INDEX('2-3 引出列表'!$A$2:$CE$8700,$A272,MATCH(I$1,'2-3 引出列表'!$A$1:$CD$1,0)),"")),"",IFERROR(INDEX('2-3 引出列表'!$A$2:$CE$8700,$A272,MATCH(I$1,'2-3 引出列表'!$A$1:$CD$1,0)),""))</f>
        <v>金采易购</v>
      </c>
    </row>
    <row r="273" spans="1:9">
      <c r="A273">
        <v>272</v>
      </c>
      <c r="B273" t="str">
        <f>IF(ISBLANK(IFERROR(INDEX('2-3 引出列表'!$A$2:$CE$8700,$A273,MATCH(B$1,'2-3 引出列表'!$A$1:$CD$1,0)),"")),"",IFERROR(INDEX('2-3 引出列表'!$A$2:$CE$8700,$A273,MATCH(B$1,'2-3 引出列表'!$A$1:$CD$1,0)),""))</f>
        <v>FK250522000169</v>
      </c>
      <c r="C273">
        <f>IF(ISBLANK(IFERROR(INDEX('2-3 引出列表'!$A$2:$CE$8700,$A273,MATCH(C$1,'2-3 引出列表'!$A$1:$CD$1,0)),"")),"",IFERROR(INDEX('2-3 引出列表'!$A$2:$CE$8700,$A273,MATCH(C$1,'2-3 引出列表'!$A$1:$CD$1,0)),""))</f>
        <v>48115.48</v>
      </c>
      <c r="D273" t="str">
        <f>IF(ISBLANK(IFERROR(INDEX('2-3 引出列表'!$A$2:$CE$8700,$A273,MATCH(D$1,'2-3 引出列表'!$A$1:$CD$1,0)),"")),"",IFERROR(INDEX('2-3 引出列表'!$A$2:$CE$8700,$A273,MATCH(D$1,'2-3 引出列表'!$A$1:$CD$1,0)),""))</f>
        <v>已审核</v>
      </c>
      <c r="E273" t="str">
        <f>IF(ISBLANK(IFERROR(INDEX('2-3 引出列表'!$A$2:$CE$8700,$A273,MATCH(E$1,'2-3 引出列表'!$A$1:$CD$1,0)),"")),"",IFERROR(INDEX('2-3 引出列表'!$A$2:$CE$8700,$A273,MATCH(E$1,'2-3 引出列表'!$A$1:$CD$1,0)),""))</f>
        <v>2025-05-22</v>
      </c>
      <c r="F273" t="str">
        <f t="shared" si="4"/>
        <v>2025-05</v>
      </c>
      <c r="G273" t="str">
        <f>IF(ISBLANK(IFERROR(INDEX('2-3 引出列表'!$A$2:$CE$8700,$A273,MATCH(G$1,'2-3 引出列表'!$A$1:$CD$1,0)),"")),"",IFERROR(INDEX('2-3 引出列表'!$A$2:$CE$8700,$A273,MATCH(G$1,'2-3 引出列表'!$A$1:$CD$1,0)),""))</f>
        <v>物料消耗.物料消耗</v>
      </c>
      <c r="H273" t="str">
        <f>IF(ISBLANK(IFERROR(INDEX('2-3 引出列表'!$A$2:$CE$8700,$A273,MATCH(H$1,'2-3 引出列表'!$A$1:$CD$1,0)),"")),"",IFERROR(INDEX('2-3 引出列表'!$A$2:$CE$8700,$A273,MATCH(H$1,'2-3 引出列表'!$A$1:$CD$1,0)),""))</f>
        <v>XHWZ-Z-2025-00011</v>
      </c>
      <c r="I273" t="str">
        <f>IF(ISBLANK(IFERROR(INDEX('2-3 引出列表'!$A$2:$CE$8700,$A273,MATCH(I$1,'2-3 引出列表'!$A$1:$CD$1,0)),"")),"",IFERROR(INDEX('2-3 引出列表'!$A$2:$CE$8700,$A273,MATCH(I$1,'2-3 引出列表'!$A$1:$CD$1,0)),""))</f>
        <v>金采易购</v>
      </c>
    </row>
    <row r="274" spans="1:9">
      <c r="A274">
        <v>273</v>
      </c>
      <c r="B274" t="str">
        <f>IF(ISBLANK(IFERROR(INDEX('2-3 引出列表'!$A$2:$CE$8700,$A274,MATCH(B$1,'2-3 引出列表'!$A$1:$CD$1,0)),"")),"",IFERROR(INDEX('2-3 引出列表'!$A$2:$CE$8700,$A274,MATCH(B$1,'2-3 引出列表'!$A$1:$CD$1,0)),""))</f>
        <v>FK250522000169</v>
      </c>
      <c r="C274">
        <f>IF(ISBLANK(IFERROR(INDEX('2-3 引出列表'!$A$2:$CE$8700,$A274,MATCH(C$1,'2-3 引出列表'!$A$1:$CD$1,0)),"")),"",IFERROR(INDEX('2-3 引出列表'!$A$2:$CE$8700,$A274,MATCH(C$1,'2-3 引出列表'!$A$1:$CD$1,0)),""))</f>
        <v>48115.48</v>
      </c>
      <c r="D274" t="str">
        <f>IF(ISBLANK(IFERROR(INDEX('2-3 引出列表'!$A$2:$CE$8700,$A274,MATCH(D$1,'2-3 引出列表'!$A$1:$CD$1,0)),"")),"",IFERROR(INDEX('2-3 引出列表'!$A$2:$CE$8700,$A274,MATCH(D$1,'2-3 引出列表'!$A$1:$CD$1,0)),""))</f>
        <v>已审核</v>
      </c>
      <c r="E274" t="str">
        <f>IF(ISBLANK(IFERROR(INDEX('2-3 引出列表'!$A$2:$CE$8700,$A274,MATCH(E$1,'2-3 引出列表'!$A$1:$CD$1,0)),"")),"",IFERROR(INDEX('2-3 引出列表'!$A$2:$CE$8700,$A274,MATCH(E$1,'2-3 引出列表'!$A$1:$CD$1,0)),""))</f>
        <v>2025-05-22</v>
      </c>
      <c r="F274" t="str">
        <f t="shared" si="4"/>
        <v>2025-05</v>
      </c>
      <c r="G274" t="str">
        <f>IF(ISBLANK(IFERROR(INDEX('2-3 引出列表'!$A$2:$CE$8700,$A274,MATCH(G$1,'2-3 引出列表'!$A$1:$CD$1,0)),"")),"",IFERROR(INDEX('2-3 引出列表'!$A$2:$CE$8700,$A274,MATCH(G$1,'2-3 引出列表'!$A$1:$CD$1,0)),""))</f>
        <v>物料消耗.物料消耗</v>
      </c>
      <c r="H274" t="str">
        <f>IF(ISBLANK(IFERROR(INDEX('2-3 引出列表'!$A$2:$CE$8700,$A274,MATCH(H$1,'2-3 引出列表'!$A$1:$CD$1,0)),"")),"",IFERROR(INDEX('2-3 引出列表'!$A$2:$CE$8700,$A274,MATCH(H$1,'2-3 引出列表'!$A$1:$CD$1,0)),""))</f>
        <v>XHWZ-Z-2025-00011</v>
      </c>
      <c r="I274" t="str">
        <f>IF(ISBLANK(IFERROR(INDEX('2-3 引出列表'!$A$2:$CE$8700,$A274,MATCH(I$1,'2-3 引出列表'!$A$1:$CD$1,0)),"")),"",IFERROR(INDEX('2-3 引出列表'!$A$2:$CE$8700,$A274,MATCH(I$1,'2-3 引出列表'!$A$1:$CD$1,0)),""))</f>
        <v>金采易购</v>
      </c>
    </row>
    <row r="275" spans="1:9">
      <c r="A275">
        <v>274</v>
      </c>
      <c r="B275" t="str">
        <f>IF(ISBLANK(IFERROR(INDEX('2-3 引出列表'!$A$2:$CE$8700,$A275,MATCH(B$1,'2-3 引出列表'!$A$1:$CD$1,0)),"")),"",IFERROR(INDEX('2-3 引出列表'!$A$2:$CE$8700,$A275,MATCH(B$1,'2-3 引出列表'!$A$1:$CD$1,0)),""))</f>
        <v>FK250522000169</v>
      </c>
      <c r="C275">
        <f>IF(ISBLANK(IFERROR(INDEX('2-3 引出列表'!$A$2:$CE$8700,$A275,MATCH(C$1,'2-3 引出列表'!$A$1:$CD$1,0)),"")),"",IFERROR(INDEX('2-3 引出列表'!$A$2:$CE$8700,$A275,MATCH(C$1,'2-3 引出列表'!$A$1:$CD$1,0)),""))</f>
        <v>48115.48</v>
      </c>
      <c r="D275" t="str">
        <f>IF(ISBLANK(IFERROR(INDEX('2-3 引出列表'!$A$2:$CE$8700,$A275,MATCH(D$1,'2-3 引出列表'!$A$1:$CD$1,0)),"")),"",IFERROR(INDEX('2-3 引出列表'!$A$2:$CE$8700,$A275,MATCH(D$1,'2-3 引出列表'!$A$1:$CD$1,0)),""))</f>
        <v>已审核</v>
      </c>
      <c r="E275" t="str">
        <f>IF(ISBLANK(IFERROR(INDEX('2-3 引出列表'!$A$2:$CE$8700,$A275,MATCH(E$1,'2-3 引出列表'!$A$1:$CD$1,0)),"")),"",IFERROR(INDEX('2-3 引出列表'!$A$2:$CE$8700,$A275,MATCH(E$1,'2-3 引出列表'!$A$1:$CD$1,0)),""))</f>
        <v>2025-05-22</v>
      </c>
      <c r="F275" t="str">
        <f t="shared" si="4"/>
        <v>2025-05</v>
      </c>
      <c r="G275" t="str">
        <f>IF(ISBLANK(IFERROR(INDEX('2-3 引出列表'!$A$2:$CE$8700,$A275,MATCH(G$1,'2-3 引出列表'!$A$1:$CD$1,0)),"")),"",IFERROR(INDEX('2-3 引出列表'!$A$2:$CE$8700,$A275,MATCH(G$1,'2-3 引出列表'!$A$1:$CD$1,0)),""))</f>
        <v>物料消耗.物料消耗</v>
      </c>
      <c r="H275" t="str">
        <f>IF(ISBLANK(IFERROR(INDEX('2-3 引出列表'!$A$2:$CE$8700,$A275,MATCH(H$1,'2-3 引出列表'!$A$1:$CD$1,0)),"")),"",IFERROR(INDEX('2-3 引出列表'!$A$2:$CE$8700,$A275,MATCH(H$1,'2-3 引出列表'!$A$1:$CD$1,0)),""))</f>
        <v>XHWZ-Z-2025-00011</v>
      </c>
      <c r="I275" t="str">
        <f>IF(ISBLANK(IFERROR(INDEX('2-3 引出列表'!$A$2:$CE$8700,$A275,MATCH(I$1,'2-3 引出列表'!$A$1:$CD$1,0)),"")),"",IFERROR(INDEX('2-3 引出列表'!$A$2:$CE$8700,$A275,MATCH(I$1,'2-3 引出列表'!$A$1:$CD$1,0)),""))</f>
        <v>金采易购</v>
      </c>
    </row>
    <row r="276" spans="1:9">
      <c r="A276">
        <v>275</v>
      </c>
      <c r="B276" t="str">
        <f>IF(ISBLANK(IFERROR(INDEX('2-3 引出列表'!$A$2:$CE$8700,$A276,MATCH(B$1,'2-3 引出列表'!$A$1:$CD$1,0)),"")),"",IFERROR(INDEX('2-3 引出列表'!$A$2:$CE$8700,$A276,MATCH(B$1,'2-3 引出列表'!$A$1:$CD$1,0)),""))</f>
        <v>FK250522000169</v>
      </c>
      <c r="C276">
        <f>IF(ISBLANK(IFERROR(INDEX('2-3 引出列表'!$A$2:$CE$8700,$A276,MATCH(C$1,'2-3 引出列表'!$A$1:$CD$1,0)),"")),"",IFERROR(INDEX('2-3 引出列表'!$A$2:$CE$8700,$A276,MATCH(C$1,'2-3 引出列表'!$A$1:$CD$1,0)),""))</f>
        <v>48115.48</v>
      </c>
      <c r="D276" t="str">
        <f>IF(ISBLANK(IFERROR(INDEX('2-3 引出列表'!$A$2:$CE$8700,$A276,MATCH(D$1,'2-3 引出列表'!$A$1:$CD$1,0)),"")),"",IFERROR(INDEX('2-3 引出列表'!$A$2:$CE$8700,$A276,MATCH(D$1,'2-3 引出列表'!$A$1:$CD$1,0)),""))</f>
        <v>已审核</v>
      </c>
      <c r="E276" t="str">
        <f>IF(ISBLANK(IFERROR(INDEX('2-3 引出列表'!$A$2:$CE$8700,$A276,MATCH(E$1,'2-3 引出列表'!$A$1:$CD$1,0)),"")),"",IFERROR(INDEX('2-3 引出列表'!$A$2:$CE$8700,$A276,MATCH(E$1,'2-3 引出列表'!$A$1:$CD$1,0)),""))</f>
        <v>2025-05-22</v>
      </c>
      <c r="F276" t="str">
        <f t="shared" si="4"/>
        <v>2025-05</v>
      </c>
      <c r="G276" t="str">
        <f>IF(ISBLANK(IFERROR(INDEX('2-3 引出列表'!$A$2:$CE$8700,$A276,MATCH(G$1,'2-3 引出列表'!$A$1:$CD$1,0)),"")),"",IFERROR(INDEX('2-3 引出列表'!$A$2:$CE$8700,$A276,MATCH(G$1,'2-3 引出列表'!$A$1:$CD$1,0)),""))</f>
        <v>物料消耗.物料消耗</v>
      </c>
      <c r="H276" t="str">
        <f>IF(ISBLANK(IFERROR(INDEX('2-3 引出列表'!$A$2:$CE$8700,$A276,MATCH(H$1,'2-3 引出列表'!$A$1:$CD$1,0)),"")),"",IFERROR(INDEX('2-3 引出列表'!$A$2:$CE$8700,$A276,MATCH(H$1,'2-3 引出列表'!$A$1:$CD$1,0)),""))</f>
        <v>XHWZ-Z-2025-00011</v>
      </c>
      <c r="I276" t="str">
        <f>IF(ISBLANK(IFERROR(INDEX('2-3 引出列表'!$A$2:$CE$8700,$A276,MATCH(I$1,'2-3 引出列表'!$A$1:$CD$1,0)),"")),"",IFERROR(INDEX('2-3 引出列表'!$A$2:$CE$8700,$A276,MATCH(I$1,'2-3 引出列表'!$A$1:$CD$1,0)),""))</f>
        <v>金采易购</v>
      </c>
    </row>
    <row r="277" spans="1:9">
      <c r="A277">
        <v>276</v>
      </c>
      <c r="B277" t="str">
        <f>IF(ISBLANK(IFERROR(INDEX('2-3 引出列表'!$A$2:$CE$8700,$A277,MATCH(B$1,'2-3 引出列表'!$A$1:$CD$1,0)),"")),"",IFERROR(INDEX('2-3 引出列表'!$A$2:$CE$8700,$A277,MATCH(B$1,'2-3 引出列表'!$A$1:$CD$1,0)),""))</f>
        <v>FK250522000169</v>
      </c>
      <c r="C277">
        <f>IF(ISBLANK(IFERROR(INDEX('2-3 引出列表'!$A$2:$CE$8700,$A277,MATCH(C$1,'2-3 引出列表'!$A$1:$CD$1,0)),"")),"",IFERROR(INDEX('2-3 引出列表'!$A$2:$CE$8700,$A277,MATCH(C$1,'2-3 引出列表'!$A$1:$CD$1,0)),""))</f>
        <v>48115.48</v>
      </c>
      <c r="D277" t="str">
        <f>IF(ISBLANK(IFERROR(INDEX('2-3 引出列表'!$A$2:$CE$8700,$A277,MATCH(D$1,'2-3 引出列表'!$A$1:$CD$1,0)),"")),"",IFERROR(INDEX('2-3 引出列表'!$A$2:$CE$8700,$A277,MATCH(D$1,'2-3 引出列表'!$A$1:$CD$1,0)),""))</f>
        <v>已审核</v>
      </c>
      <c r="E277" t="str">
        <f>IF(ISBLANK(IFERROR(INDEX('2-3 引出列表'!$A$2:$CE$8700,$A277,MATCH(E$1,'2-3 引出列表'!$A$1:$CD$1,0)),"")),"",IFERROR(INDEX('2-3 引出列表'!$A$2:$CE$8700,$A277,MATCH(E$1,'2-3 引出列表'!$A$1:$CD$1,0)),""))</f>
        <v>2025-05-22</v>
      </c>
      <c r="F277" t="str">
        <f t="shared" si="4"/>
        <v>2025-05</v>
      </c>
      <c r="G277" t="str">
        <f>IF(ISBLANK(IFERROR(INDEX('2-3 引出列表'!$A$2:$CE$8700,$A277,MATCH(G$1,'2-3 引出列表'!$A$1:$CD$1,0)),"")),"",IFERROR(INDEX('2-3 引出列表'!$A$2:$CE$8700,$A277,MATCH(G$1,'2-3 引出列表'!$A$1:$CD$1,0)),""))</f>
        <v>物料消耗.物料消耗</v>
      </c>
      <c r="H277" t="str">
        <f>IF(ISBLANK(IFERROR(INDEX('2-3 引出列表'!$A$2:$CE$8700,$A277,MATCH(H$1,'2-3 引出列表'!$A$1:$CD$1,0)),"")),"",IFERROR(INDEX('2-3 引出列表'!$A$2:$CE$8700,$A277,MATCH(H$1,'2-3 引出列表'!$A$1:$CD$1,0)),""))</f>
        <v>XHWZ-Z-2025-00011</v>
      </c>
      <c r="I277" t="str">
        <f>IF(ISBLANK(IFERROR(INDEX('2-3 引出列表'!$A$2:$CE$8700,$A277,MATCH(I$1,'2-3 引出列表'!$A$1:$CD$1,0)),"")),"",IFERROR(INDEX('2-3 引出列表'!$A$2:$CE$8700,$A277,MATCH(I$1,'2-3 引出列表'!$A$1:$CD$1,0)),""))</f>
        <v>金采易购</v>
      </c>
    </row>
    <row r="278" spans="1:9">
      <c r="A278">
        <v>277</v>
      </c>
      <c r="B278" t="str">
        <f>IF(ISBLANK(IFERROR(INDEX('2-3 引出列表'!$A$2:$CE$8700,$A278,MATCH(B$1,'2-3 引出列表'!$A$1:$CD$1,0)),"")),"",IFERROR(INDEX('2-3 引出列表'!$A$2:$CE$8700,$A278,MATCH(B$1,'2-3 引出列表'!$A$1:$CD$1,0)),""))</f>
        <v>FK250522000169</v>
      </c>
      <c r="C278">
        <f>IF(ISBLANK(IFERROR(INDEX('2-3 引出列表'!$A$2:$CE$8700,$A278,MATCH(C$1,'2-3 引出列表'!$A$1:$CD$1,0)),"")),"",IFERROR(INDEX('2-3 引出列表'!$A$2:$CE$8700,$A278,MATCH(C$1,'2-3 引出列表'!$A$1:$CD$1,0)),""))</f>
        <v>48115.48</v>
      </c>
      <c r="D278" t="str">
        <f>IF(ISBLANK(IFERROR(INDEX('2-3 引出列表'!$A$2:$CE$8700,$A278,MATCH(D$1,'2-3 引出列表'!$A$1:$CD$1,0)),"")),"",IFERROR(INDEX('2-3 引出列表'!$A$2:$CE$8700,$A278,MATCH(D$1,'2-3 引出列表'!$A$1:$CD$1,0)),""))</f>
        <v>已审核</v>
      </c>
      <c r="E278" t="str">
        <f>IF(ISBLANK(IFERROR(INDEX('2-3 引出列表'!$A$2:$CE$8700,$A278,MATCH(E$1,'2-3 引出列表'!$A$1:$CD$1,0)),"")),"",IFERROR(INDEX('2-3 引出列表'!$A$2:$CE$8700,$A278,MATCH(E$1,'2-3 引出列表'!$A$1:$CD$1,0)),""))</f>
        <v>2025-05-22</v>
      </c>
      <c r="F278" t="str">
        <f t="shared" si="4"/>
        <v>2025-05</v>
      </c>
      <c r="G278" t="str">
        <f>IF(ISBLANK(IFERROR(INDEX('2-3 引出列表'!$A$2:$CE$8700,$A278,MATCH(G$1,'2-3 引出列表'!$A$1:$CD$1,0)),"")),"",IFERROR(INDEX('2-3 引出列表'!$A$2:$CE$8700,$A278,MATCH(G$1,'2-3 引出列表'!$A$1:$CD$1,0)),""))</f>
        <v>物料消耗.物料消耗</v>
      </c>
      <c r="H278" t="str">
        <f>IF(ISBLANK(IFERROR(INDEX('2-3 引出列表'!$A$2:$CE$8700,$A278,MATCH(H$1,'2-3 引出列表'!$A$1:$CD$1,0)),"")),"",IFERROR(INDEX('2-3 引出列表'!$A$2:$CE$8700,$A278,MATCH(H$1,'2-3 引出列表'!$A$1:$CD$1,0)),""))</f>
        <v>XHWZ-Z-2025-00011</v>
      </c>
      <c r="I278" t="str">
        <f>IF(ISBLANK(IFERROR(INDEX('2-3 引出列表'!$A$2:$CE$8700,$A278,MATCH(I$1,'2-3 引出列表'!$A$1:$CD$1,0)),"")),"",IFERROR(INDEX('2-3 引出列表'!$A$2:$CE$8700,$A278,MATCH(I$1,'2-3 引出列表'!$A$1:$CD$1,0)),""))</f>
        <v>金采易购</v>
      </c>
    </row>
    <row r="279" spans="1:9">
      <c r="A279">
        <v>278</v>
      </c>
      <c r="B279" t="str">
        <f>IF(ISBLANK(IFERROR(INDEX('2-3 引出列表'!$A$2:$CE$8700,$A279,MATCH(B$1,'2-3 引出列表'!$A$1:$CD$1,0)),"")),"",IFERROR(INDEX('2-3 引出列表'!$A$2:$CE$8700,$A279,MATCH(B$1,'2-3 引出列表'!$A$1:$CD$1,0)),""))</f>
        <v>FK250522000169</v>
      </c>
      <c r="C279">
        <f>IF(ISBLANK(IFERROR(INDEX('2-3 引出列表'!$A$2:$CE$8700,$A279,MATCH(C$1,'2-3 引出列表'!$A$1:$CD$1,0)),"")),"",IFERROR(INDEX('2-3 引出列表'!$A$2:$CE$8700,$A279,MATCH(C$1,'2-3 引出列表'!$A$1:$CD$1,0)),""))</f>
        <v>48115.48</v>
      </c>
      <c r="D279" t="str">
        <f>IF(ISBLANK(IFERROR(INDEX('2-3 引出列表'!$A$2:$CE$8700,$A279,MATCH(D$1,'2-3 引出列表'!$A$1:$CD$1,0)),"")),"",IFERROR(INDEX('2-3 引出列表'!$A$2:$CE$8700,$A279,MATCH(D$1,'2-3 引出列表'!$A$1:$CD$1,0)),""))</f>
        <v>已审核</v>
      </c>
      <c r="E279" t="str">
        <f>IF(ISBLANK(IFERROR(INDEX('2-3 引出列表'!$A$2:$CE$8700,$A279,MATCH(E$1,'2-3 引出列表'!$A$1:$CD$1,0)),"")),"",IFERROR(INDEX('2-3 引出列表'!$A$2:$CE$8700,$A279,MATCH(E$1,'2-3 引出列表'!$A$1:$CD$1,0)),""))</f>
        <v>2025-05-22</v>
      </c>
      <c r="F279" t="str">
        <f t="shared" si="4"/>
        <v>2025-05</v>
      </c>
      <c r="G279" t="str">
        <f>IF(ISBLANK(IFERROR(INDEX('2-3 引出列表'!$A$2:$CE$8700,$A279,MATCH(G$1,'2-3 引出列表'!$A$1:$CD$1,0)),"")),"",IFERROR(INDEX('2-3 引出列表'!$A$2:$CE$8700,$A279,MATCH(G$1,'2-3 引出列表'!$A$1:$CD$1,0)),""))</f>
        <v>物料消耗.物料消耗</v>
      </c>
      <c r="H279" t="str">
        <f>IF(ISBLANK(IFERROR(INDEX('2-3 引出列表'!$A$2:$CE$8700,$A279,MATCH(H$1,'2-3 引出列表'!$A$1:$CD$1,0)),"")),"",IFERROR(INDEX('2-3 引出列表'!$A$2:$CE$8700,$A279,MATCH(H$1,'2-3 引出列表'!$A$1:$CD$1,0)),""))</f>
        <v>XHWZ-Z-2025-00011</v>
      </c>
      <c r="I279" t="str">
        <f>IF(ISBLANK(IFERROR(INDEX('2-3 引出列表'!$A$2:$CE$8700,$A279,MATCH(I$1,'2-3 引出列表'!$A$1:$CD$1,0)),"")),"",IFERROR(INDEX('2-3 引出列表'!$A$2:$CE$8700,$A279,MATCH(I$1,'2-3 引出列表'!$A$1:$CD$1,0)),""))</f>
        <v>金采易购</v>
      </c>
    </row>
    <row r="280" spans="1:9">
      <c r="A280">
        <v>279</v>
      </c>
      <c r="B280" t="str">
        <f>IF(ISBLANK(IFERROR(INDEX('2-3 引出列表'!$A$2:$CE$8700,$A280,MATCH(B$1,'2-3 引出列表'!$A$1:$CD$1,0)),"")),"",IFERROR(INDEX('2-3 引出列表'!$A$2:$CE$8700,$A280,MATCH(B$1,'2-3 引出列表'!$A$1:$CD$1,0)),""))</f>
        <v>FK250522000169</v>
      </c>
      <c r="C280">
        <f>IF(ISBLANK(IFERROR(INDEX('2-3 引出列表'!$A$2:$CE$8700,$A280,MATCH(C$1,'2-3 引出列表'!$A$1:$CD$1,0)),"")),"",IFERROR(INDEX('2-3 引出列表'!$A$2:$CE$8700,$A280,MATCH(C$1,'2-3 引出列表'!$A$1:$CD$1,0)),""))</f>
        <v>48115.48</v>
      </c>
      <c r="D280" t="str">
        <f>IF(ISBLANK(IFERROR(INDEX('2-3 引出列表'!$A$2:$CE$8700,$A280,MATCH(D$1,'2-3 引出列表'!$A$1:$CD$1,0)),"")),"",IFERROR(INDEX('2-3 引出列表'!$A$2:$CE$8700,$A280,MATCH(D$1,'2-3 引出列表'!$A$1:$CD$1,0)),""))</f>
        <v>已审核</v>
      </c>
      <c r="E280" t="str">
        <f>IF(ISBLANK(IFERROR(INDEX('2-3 引出列表'!$A$2:$CE$8700,$A280,MATCH(E$1,'2-3 引出列表'!$A$1:$CD$1,0)),"")),"",IFERROR(INDEX('2-3 引出列表'!$A$2:$CE$8700,$A280,MATCH(E$1,'2-3 引出列表'!$A$1:$CD$1,0)),""))</f>
        <v>2025-05-22</v>
      </c>
      <c r="F280" t="str">
        <f t="shared" si="4"/>
        <v>2025-05</v>
      </c>
      <c r="G280" t="str">
        <f>IF(ISBLANK(IFERROR(INDEX('2-3 引出列表'!$A$2:$CE$8700,$A280,MATCH(G$1,'2-3 引出列表'!$A$1:$CD$1,0)),"")),"",IFERROR(INDEX('2-3 引出列表'!$A$2:$CE$8700,$A280,MATCH(G$1,'2-3 引出列表'!$A$1:$CD$1,0)),""))</f>
        <v>物料消耗.物料消耗</v>
      </c>
      <c r="H280" t="str">
        <f>IF(ISBLANK(IFERROR(INDEX('2-3 引出列表'!$A$2:$CE$8700,$A280,MATCH(H$1,'2-3 引出列表'!$A$1:$CD$1,0)),"")),"",IFERROR(INDEX('2-3 引出列表'!$A$2:$CE$8700,$A280,MATCH(H$1,'2-3 引出列表'!$A$1:$CD$1,0)),""))</f>
        <v>XHWZ-Z-2025-00011</v>
      </c>
      <c r="I280" t="str">
        <f>IF(ISBLANK(IFERROR(INDEX('2-3 引出列表'!$A$2:$CE$8700,$A280,MATCH(I$1,'2-3 引出列表'!$A$1:$CD$1,0)),"")),"",IFERROR(INDEX('2-3 引出列表'!$A$2:$CE$8700,$A280,MATCH(I$1,'2-3 引出列表'!$A$1:$CD$1,0)),""))</f>
        <v>金采易购</v>
      </c>
    </row>
    <row r="281" spans="1:9">
      <c r="A281">
        <v>280</v>
      </c>
      <c r="B281" t="str">
        <f>IF(ISBLANK(IFERROR(INDEX('2-3 引出列表'!$A$2:$CE$8700,$A281,MATCH(B$1,'2-3 引出列表'!$A$1:$CD$1,0)),"")),"",IFERROR(INDEX('2-3 引出列表'!$A$2:$CE$8700,$A281,MATCH(B$1,'2-3 引出列表'!$A$1:$CD$1,0)),""))</f>
        <v>FK250522000169</v>
      </c>
      <c r="C281">
        <f>IF(ISBLANK(IFERROR(INDEX('2-3 引出列表'!$A$2:$CE$8700,$A281,MATCH(C$1,'2-3 引出列表'!$A$1:$CD$1,0)),"")),"",IFERROR(INDEX('2-3 引出列表'!$A$2:$CE$8700,$A281,MATCH(C$1,'2-3 引出列表'!$A$1:$CD$1,0)),""))</f>
        <v>48115.48</v>
      </c>
      <c r="D281" t="str">
        <f>IF(ISBLANK(IFERROR(INDEX('2-3 引出列表'!$A$2:$CE$8700,$A281,MATCH(D$1,'2-3 引出列表'!$A$1:$CD$1,0)),"")),"",IFERROR(INDEX('2-3 引出列表'!$A$2:$CE$8700,$A281,MATCH(D$1,'2-3 引出列表'!$A$1:$CD$1,0)),""))</f>
        <v>已审核</v>
      </c>
      <c r="E281" t="str">
        <f>IF(ISBLANK(IFERROR(INDEX('2-3 引出列表'!$A$2:$CE$8700,$A281,MATCH(E$1,'2-3 引出列表'!$A$1:$CD$1,0)),"")),"",IFERROR(INDEX('2-3 引出列表'!$A$2:$CE$8700,$A281,MATCH(E$1,'2-3 引出列表'!$A$1:$CD$1,0)),""))</f>
        <v>2025-05-22</v>
      </c>
      <c r="F281" t="str">
        <f t="shared" si="4"/>
        <v>2025-05</v>
      </c>
      <c r="G281" t="str">
        <f>IF(ISBLANK(IFERROR(INDEX('2-3 引出列表'!$A$2:$CE$8700,$A281,MATCH(G$1,'2-3 引出列表'!$A$1:$CD$1,0)),"")),"",IFERROR(INDEX('2-3 引出列表'!$A$2:$CE$8700,$A281,MATCH(G$1,'2-3 引出列表'!$A$1:$CD$1,0)),""))</f>
        <v>物料消耗.物料消耗</v>
      </c>
      <c r="H281" t="str">
        <f>IF(ISBLANK(IFERROR(INDEX('2-3 引出列表'!$A$2:$CE$8700,$A281,MATCH(H$1,'2-3 引出列表'!$A$1:$CD$1,0)),"")),"",IFERROR(INDEX('2-3 引出列表'!$A$2:$CE$8700,$A281,MATCH(H$1,'2-3 引出列表'!$A$1:$CD$1,0)),""))</f>
        <v>XHWZ-Z-2025-00011</v>
      </c>
      <c r="I281" t="str">
        <f>IF(ISBLANK(IFERROR(INDEX('2-3 引出列表'!$A$2:$CE$8700,$A281,MATCH(I$1,'2-3 引出列表'!$A$1:$CD$1,0)),"")),"",IFERROR(INDEX('2-3 引出列表'!$A$2:$CE$8700,$A281,MATCH(I$1,'2-3 引出列表'!$A$1:$CD$1,0)),""))</f>
        <v>金采易购</v>
      </c>
    </row>
    <row r="282" spans="1:9">
      <c r="A282">
        <v>281</v>
      </c>
      <c r="B282" t="str">
        <f>IF(ISBLANK(IFERROR(INDEX('2-3 引出列表'!$A$2:$CE$8700,$A282,MATCH(B$1,'2-3 引出列表'!$A$1:$CD$1,0)),"")),"",IFERROR(INDEX('2-3 引出列表'!$A$2:$CE$8700,$A282,MATCH(B$1,'2-3 引出列表'!$A$1:$CD$1,0)),""))</f>
        <v>FK250522000169</v>
      </c>
      <c r="C282">
        <f>IF(ISBLANK(IFERROR(INDEX('2-3 引出列表'!$A$2:$CE$8700,$A282,MATCH(C$1,'2-3 引出列表'!$A$1:$CD$1,0)),"")),"",IFERROR(INDEX('2-3 引出列表'!$A$2:$CE$8700,$A282,MATCH(C$1,'2-3 引出列表'!$A$1:$CD$1,0)),""))</f>
        <v>48115.48</v>
      </c>
      <c r="D282" t="str">
        <f>IF(ISBLANK(IFERROR(INDEX('2-3 引出列表'!$A$2:$CE$8700,$A282,MATCH(D$1,'2-3 引出列表'!$A$1:$CD$1,0)),"")),"",IFERROR(INDEX('2-3 引出列表'!$A$2:$CE$8700,$A282,MATCH(D$1,'2-3 引出列表'!$A$1:$CD$1,0)),""))</f>
        <v>已审核</v>
      </c>
      <c r="E282" t="str">
        <f>IF(ISBLANK(IFERROR(INDEX('2-3 引出列表'!$A$2:$CE$8700,$A282,MATCH(E$1,'2-3 引出列表'!$A$1:$CD$1,0)),"")),"",IFERROR(INDEX('2-3 引出列表'!$A$2:$CE$8700,$A282,MATCH(E$1,'2-3 引出列表'!$A$1:$CD$1,0)),""))</f>
        <v>2025-05-22</v>
      </c>
      <c r="F282" t="str">
        <f t="shared" si="4"/>
        <v>2025-05</v>
      </c>
      <c r="G282" t="str">
        <f>IF(ISBLANK(IFERROR(INDEX('2-3 引出列表'!$A$2:$CE$8700,$A282,MATCH(G$1,'2-3 引出列表'!$A$1:$CD$1,0)),"")),"",IFERROR(INDEX('2-3 引出列表'!$A$2:$CE$8700,$A282,MATCH(G$1,'2-3 引出列表'!$A$1:$CD$1,0)),""))</f>
        <v>物料消耗.物料消耗</v>
      </c>
      <c r="H282" t="str">
        <f>IF(ISBLANK(IFERROR(INDEX('2-3 引出列表'!$A$2:$CE$8700,$A282,MATCH(H$1,'2-3 引出列表'!$A$1:$CD$1,0)),"")),"",IFERROR(INDEX('2-3 引出列表'!$A$2:$CE$8700,$A282,MATCH(H$1,'2-3 引出列表'!$A$1:$CD$1,0)),""))</f>
        <v>XHWZ-Z-2025-00011</v>
      </c>
      <c r="I282" t="str">
        <f>IF(ISBLANK(IFERROR(INDEX('2-3 引出列表'!$A$2:$CE$8700,$A282,MATCH(I$1,'2-3 引出列表'!$A$1:$CD$1,0)),"")),"",IFERROR(INDEX('2-3 引出列表'!$A$2:$CE$8700,$A282,MATCH(I$1,'2-3 引出列表'!$A$1:$CD$1,0)),""))</f>
        <v>金采易购</v>
      </c>
    </row>
    <row r="283" spans="1:9">
      <c r="A283">
        <v>282</v>
      </c>
      <c r="B283" t="str">
        <f>IF(ISBLANK(IFERROR(INDEX('2-3 引出列表'!$A$2:$CE$8700,$A283,MATCH(B$1,'2-3 引出列表'!$A$1:$CD$1,0)),"")),"",IFERROR(INDEX('2-3 引出列表'!$A$2:$CE$8700,$A283,MATCH(B$1,'2-3 引出列表'!$A$1:$CD$1,0)),""))</f>
        <v>FK241227000107</v>
      </c>
      <c r="C283">
        <f>IF(ISBLANK(IFERROR(INDEX('2-3 引出列表'!$A$2:$CE$8700,$A283,MATCH(C$1,'2-3 引出列表'!$A$1:$CD$1,0)),"")),"",IFERROR(INDEX('2-3 引出列表'!$A$2:$CE$8700,$A283,MATCH(C$1,'2-3 引出列表'!$A$1:$CD$1,0)),""))</f>
        <v>2608</v>
      </c>
      <c r="D283" t="str">
        <f>IF(ISBLANK(IFERROR(INDEX('2-3 引出列表'!$A$2:$CE$8700,$A283,MATCH(D$1,'2-3 引出列表'!$A$1:$CD$1,0)),"")),"",IFERROR(INDEX('2-3 引出列表'!$A$2:$CE$8700,$A283,MATCH(D$1,'2-3 引出列表'!$A$1:$CD$1,0)),""))</f>
        <v>已付款</v>
      </c>
      <c r="E283" t="str">
        <f>IF(ISBLANK(IFERROR(INDEX('2-3 引出列表'!$A$2:$CE$8700,$A283,MATCH(E$1,'2-3 引出列表'!$A$1:$CD$1,0)),"")),"",IFERROR(INDEX('2-3 引出列表'!$A$2:$CE$8700,$A283,MATCH(E$1,'2-3 引出列表'!$A$1:$CD$1,0)),""))</f>
        <v>2024-12-27</v>
      </c>
      <c r="F283" t="str">
        <f t="shared" si="4"/>
        <v>2024-12</v>
      </c>
      <c r="G283" t="str">
        <f>IF(ISBLANK(IFERROR(INDEX('2-3 引出列表'!$A$2:$CE$8700,$A283,MATCH(G$1,'2-3 引出列表'!$A$1:$CD$1,0)),"")),"",IFERROR(INDEX('2-3 引出列表'!$A$2:$CE$8700,$A283,MATCH(G$1,'2-3 引出列表'!$A$1:$CD$1,0)),""))</f>
        <v>物料消耗.物料消耗</v>
      </c>
      <c r="H283" t="str">
        <f>IF(ISBLANK(IFERROR(INDEX('2-3 引出列表'!$A$2:$CE$8700,$A283,MATCH(H$1,'2-3 引出列表'!$A$1:$CD$1,0)),"")),"",IFERROR(INDEX('2-3 引出列表'!$A$2:$CE$8700,$A283,MATCH(H$1,'2-3 引出列表'!$A$1:$CD$1,0)),""))</f>
        <v>ZB20220428JCWZ03</v>
      </c>
      <c r="I283" t="str">
        <f>IF(ISBLANK(IFERROR(INDEX('2-3 引出列表'!$A$2:$CE$8700,$A283,MATCH(I$1,'2-3 引出列表'!$A$1:$CD$1,0)),"")),"",IFERROR(INDEX('2-3 引出列表'!$A$2:$CE$8700,$A283,MATCH(I$1,'2-3 引出列表'!$A$1:$CD$1,0)),""))</f>
        <v>金采易购</v>
      </c>
    </row>
    <row r="284" spans="1:9">
      <c r="A284">
        <v>283</v>
      </c>
      <c r="B284" t="str">
        <f>IF(ISBLANK(IFERROR(INDEX('2-3 引出列表'!$A$2:$CE$8700,$A284,MATCH(B$1,'2-3 引出列表'!$A$1:$CD$1,0)),"")),"",IFERROR(INDEX('2-3 引出列表'!$A$2:$CE$8700,$A284,MATCH(B$1,'2-3 引出列表'!$A$1:$CD$1,0)),""))</f>
        <v>FK241227000107</v>
      </c>
      <c r="C284">
        <f>IF(ISBLANK(IFERROR(INDEX('2-3 引出列表'!$A$2:$CE$8700,$A284,MATCH(C$1,'2-3 引出列表'!$A$1:$CD$1,0)),"")),"",IFERROR(INDEX('2-3 引出列表'!$A$2:$CE$8700,$A284,MATCH(C$1,'2-3 引出列表'!$A$1:$CD$1,0)),""))</f>
        <v>2608</v>
      </c>
      <c r="D284" t="str">
        <f>IF(ISBLANK(IFERROR(INDEX('2-3 引出列表'!$A$2:$CE$8700,$A284,MATCH(D$1,'2-3 引出列表'!$A$1:$CD$1,0)),"")),"",IFERROR(INDEX('2-3 引出列表'!$A$2:$CE$8700,$A284,MATCH(D$1,'2-3 引出列表'!$A$1:$CD$1,0)),""))</f>
        <v>已付款</v>
      </c>
      <c r="E284" t="str">
        <f>IF(ISBLANK(IFERROR(INDEX('2-3 引出列表'!$A$2:$CE$8700,$A284,MATCH(E$1,'2-3 引出列表'!$A$1:$CD$1,0)),"")),"",IFERROR(INDEX('2-3 引出列表'!$A$2:$CE$8700,$A284,MATCH(E$1,'2-3 引出列表'!$A$1:$CD$1,0)),""))</f>
        <v>2024-12-27</v>
      </c>
      <c r="F284" t="str">
        <f t="shared" si="4"/>
        <v>2024-12</v>
      </c>
      <c r="G284" t="str">
        <f>IF(ISBLANK(IFERROR(INDEX('2-3 引出列表'!$A$2:$CE$8700,$A284,MATCH(G$1,'2-3 引出列表'!$A$1:$CD$1,0)),"")),"",IFERROR(INDEX('2-3 引出列表'!$A$2:$CE$8700,$A284,MATCH(G$1,'2-3 引出列表'!$A$1:$CD$1,0)),""))</f>
        <v>物料消耗.物料消耗</v>
      </c>
      <c r="H284" t="str">
        <f>IF(ISBLANK(IFERROR(INDEX('2-3 引出列表'!$A$2:$CE$8700,$A284,MATCH(H$1,'2-3 引出列表'!$A$1:$CD$1,0)),"")),"",IFERROR(INDEX('2-3 引出列表'!$A$2:$CE$8700,$A284,MATCH(H$1,'2-3 引出列表'!$A$1:$CD$1,0)),""))</f>
        <v>ZB20220428JCWZ03</v>
      </c>
      <c r="I284" t="str">
        <f>IF(ISBLANK(IFERROR(INDEX('2-3 引出列表'!$A$2:$CE$8700,$A284,MATCH(I$1,'2-3 引出列表'!$A$1:$CD$1,0)),"")),"",IFERROR(INDEX('2-3 引出列表'!$A$2:$CE$8700,$A284,MATCH(I$1,'2-3 引出列表'!$A$1:$CD$1,0)),""))</f>
        <v>金采易购</v>
      </c>
    </row>
    <row r="285" spans="1:9">
      <c r="A285">
        <v>284</v>
      </c>
      <c r="B285" t="str">
        <f>IF(ISBLANK(IFERROR(INDEX('2-3 引出列表'!$A$2:$CE$8700,$A285,MATCH(B$1,'2-3 引出列表'!$A$1:$CD$1,0)),"")),"",IFERROR(INDEX('2-3 引出列表'!$A$2:$CE$8700,$A285,MATCH(B$1,'2-3 引出列表'!$A$1:$CD$1,0)),""))</f>
        <v>FK241227000107</v>
      </c>
      <c r="C285">
        <f>IF(ISBLANK(IFERROR(INDEX('2-3 引出列表'!$A$2:$CE$8700,$A285,MATCH(C$1,'2-3 引出列表'!$A$1:$CD$1,0)),"")),"",IFERROR(INDEX('2-3 引出列表'!$A$2:$CE$8700,$A285,MATCH(C$1,'2-3 引出列表'!$A$1:$CD$1,0)),""))</f>
        <v>2608</v>
      </c>
      <c r="D285" t="str">
        <f>IF(ISBLANK(IFERROR(INDEX('2-3 引出列表'!$A$2:$CE$8700,$A285,MATCH(D$1,'2-3 引出列表'!$A$1:$CD$1,0)),"")),"",IFERROR(INDEX('2-3 引出列表'!$A$2:$CE$8700,$A285,MATCH(D$1,'2-3 引出列表'!$A$1:$CD$1,0)),""))</f>
        <v>已付款</v>
      </c>
      <c r="E285" t="str">
        <f>IF(ISBLANK(IFERROR(INDEX('2-3 引出列表'!$A$2:$CE$8700,$A285,MATCH(E$1,'2-3 引出列表'!$A$1:$CD$1,0)),"")),"",IFERROR(INDEX('2-3 引出列表'!$A$2:$CE$8700,$A285,MATCH(E$1,'2-3 引出列表'!$A$1:$CD$1,0)),""))</f>
        <v>2024-12-27</v>
      </c>
      <c r="F285" t="str">
        <f t="shared" si="4"/>
        <v>2024-12</v>
      </c>
      <c r="G285" t="str">
        <f>IF(ISBLANK(IFERROR(INDEX('2-3 引出列表'!$A$2:$CE$8700,$A285,MATCH(G$1,'2-3 引出列表'!$A$1:$CD$1,0)),"")),"",IFERROR(INDEX('2-3 引出列表'!$A$2:$CE$8700,$A285,MATCH(G$1,'2-3 引出列表'!$A$1:$CD$1,0)),""))</f>
        <v>物料消耗.物料消耗</v>
      </c>
      <c r="H285" t="str">
        <f>IF(ISBLANK(IFERROR(INDEX('2-3 引出列表'!$A$2:$CE$8700,$A285,MATCH(H$1,'2-3 引出列表'!$A$1:$CD$1,0)),"")),"",IFERROR(INDEX('2-3 引出列表'!$A$2:$CE$8700,$A285,MATCH(H$1,'2-3 引出列表'!$A$1:$CD$1,0)),""))</f>
        <v>ZB20220428JCWZ03</v>
      </c>
      <c r="I285" t="str">
        <f>IF(ISBLANK(IFERROR(INDEX('2-3 引出列表'!$A$2:$CE$8700,$A285,MATCH(I$1,'2-3 引出列表'!$A$1:$CD$1,0)),"")),"",IFERROR(INDEX('2-3 引出列表'!$A$2:$CE$8700,$A285,MATCH(I$1,'2-3 引出列表'!$A$1:$CD$1,0)),""))</f>
        <v>金采易购</v>
      </c>
    </row>
    <row r="286" spans="1:9">
      <c r="A286">
        <v>285</v>
      </c>
      <c r="B286" t="str">
        <f>IF(ISBLANK(IFERROR(INDEX('2-3 引出列表'!$A$2:$CE$8700,$A286,MATCH(B$1,'2-3 引出列表'!$A$1:$CD$1,0)),"")),"",IFERROR(INDEX('2-3 引出列表'!$A$2:$CE$8700,$A286,MATCH(B$1,'2-3 引出列表'!$A$1:$CD$1,0)),""))</f>
        <v>FK241227000107</v>
      </c>
      <c r="C286">
        <f>IF(ISBLANK(IFERROR(INDEX('2-3 引出列表'!$A$2:$CE$8700,$A286,MATCH(C$1,'2-3 引出列表'!$A$1:$CD$1,0)),"")),"",IFERROR(INDEX('2-3 引出列表'!$A$2:$CE$8700,$A286,MATCH(C$1,'2-3 引出列表'!$A$1:$CD$1,0)),""))</f>
        <v>2608</v>
      </c>
      <c r="D286" t="str">
        <f>IF(ISBLANK(IFERROR(INDEX('2-3 引出列表'!$A$2:$CE$8700,$A286,MATCH(D$1,'2-3 引出列表'!$A$1:$CD$1,0)),"")),"",IFERROR(INDEX('2-3 引出列表'!$A$2:$CE$8700,$A286,MATCH(D$1,'2-3 引出列表'!$A$1:$CD$1,0)),""))</f>
        <v>已付款</v>
      </c>
      <c r="E286" t="str">
        <f>IF(ISBLANK(IFERROR(INDEX('2-3 引出列表'!$A$2:$CE$8700,$A286,MATCH(E$1,'2-3 引出列表'!$A$1:$CD$1,0)),"")),"",IFERROR(INDEX('2-3 引出列表'!$A$2:$CE$8700,$A286,MATCH(E$1,'2-3 引出列表'!$A$1:$CD$1,0)),""))</f>
        <v>2024-12-27</v>
      </c>
      <c r="F286" t="str">
        <f t="shared" si="4"/>
        <v>2024-12</v>
      </c>
      <c r="G286" t="str">
        <f>IF(ISBLANK(IFERROR(INDEX('2-3 引出列表'!$A$2:$CE$8700,$A286,MATCH(G$1,'2-3 引出列表'!$A$1:$CD$1,0)),"")),"",IFERROR(INDEX('2-3 引出列表'!$A$2:$CE$8700,$A286,MATCH(G$1,'2-3 引出列表'!$A$1:$CD$1,0)),""))</f>
        <v>物料消耗.物料消耗</v>
      </c>
      <c r="H286" t="str">
        <f>IF(ISBLANK(IFERROR(INDEX('2-3 引出列表'!$A$2:$CE$8700,$A286,MATCH(H$1,'2-3 引出列表'!$A$1:$CD$1,0)),"")),"",IFERROR(INDEX('2-3 引出列表'!$A$2:$CE$8700,$A286,MATCH(H$1,'2-3 引出列表'!$A$1:$CD$1,0)),""))</f>
        <v>ZB20220428JCWZ03</v>
      </c>
      <c r="I286" t="str">
        <f>IF(ISBLANK(IFERROR(INDEX('2-3 引出列表'!$A$2:$CE$8700,$A286,MATCH(I$1,'2-3 引出列表'!$A$1:$CD$1,0)),"")),"",IFERROR(INDEX('2-3 引出列表'!$A$2:$CE$8700,$A286,MATCH(I$1,'2-3 引出列表'!$A$1:$CD$1,0)),""))</f>
        <v>金采易购</v>
      </c>
    </row>
    <row r="287" spans="1:9">
      <c r="A287">
        <v>286</v>
      </c>
      <c r="B287" t="str">
        <f>IF(ISBLANK(IFERROR(INDEX('2-3 引出列表'!$A$2:$CE$8700,$A287,MATCH(B$1,'2-3 引出列表'!$A$1:$CD$1,0)),"")),"",IFERROR(INDEX('2-3 引出列表'!$A$2:$CE$8700,$A287,MATCH(B$1,'2-3 引出列表'!$A$1:$CD$1,0)),""))</f>
        <v>FK241227000107</v>
      </c>
      <c r="C287">
        <f>IF(ISBLANK(IFERROR(INDEX('2-3 引出列表'!$A$2:$CE$8700,$A287,MATCH(C$1,'2-3 引出列表'!$A$1:$CD$1,0)),"")),"",IFERROR(INDEX('2-3 引出列表'!$A$2:$CE$8700,$A287,MATCH(C$1,'2-3 引出列表'!$A$1:$CD$1,0)),""))</f>
        <v>2608</v>
      </c>
      <c r="D287" t="str">
        <f>IF(ISBLANK(IFERROR(INDEX('2-3 引出列表'!$A$2:$CE$8700,$A287,MATCH(D$1,'2-3 引出列表'!$A$1:$CD$1,0)),"")),"",IFERROR(INDEX('2-3 引出列表'!$A$2:$CE$8700,$A287,MATCH(D$1,'2-3 引出列表'!$A$1:$CD$1,0)),""))</f>
        <v>已付款</v>
      </c>
      <c r="E287" t="str">
        <f>IF(ISBLANK(IFERROR(INDEX('2-3 引出列表'!$A$2:$CE$8700,$A287,MATCH(E$1,'2-3 引出列表'!$A$1:$CD$1,0)),"")),"",IFERROR(INDEX('2-3 引出列表'!$A$2:$CE$8700,$A287,MATCH(E$1,'2-3 引出列表'!$A$1:$CD$1,0)),""))</f>
        <v>2024-12-27</v>
      </c>
      <c r="F287" t="str">
        <f t="shared" si="4"/>
        <v>2024-12</v>
      </c>
      <c r="G287" t="str">
        <f>IF(ISBLANK(IFERROR(INDEX('2-3 引出列表'!$A$2:$CE$8700,$A287,MATCH(G$1,'2-3 引出列表'!$A$1:$CD$1,0)),"")),"",IFERROR(INDEX('2-3 引出列表'!$A$2:$CE$8700,$A287,MATCH(G$1,'2-3 引出列表'!$A$1:$CD$1,0)),""))</f>
        <v>物料消耗.物料消耗</v>
      </c>
      <c r="H287" t="str">
        <f>IF(ISBLANK(IFERROR(INDEX('2-3 引出列表'!$A$2:$CE$8700,$A287,MATCH(H$1,'2-3 引出列表'!$A$1:$CD$1,0)),"")),"",IFERROR(INDEX('2-3 引出列表'!$A$2:$CE$8700,$A287,MATCH(H$1,'2-3 引出列表'!$A$1:$CD$1,0)),""))</f>
        <v>ZB20220428JCWZ03</v>
      </c>
      <c r="I287" t="str">
        <f>IF(ISBLANK(IFERROR(INDEX('2-3 引出列表'!$A$2:$CE$8700,$A287,MATCH(I$1,'2-3 引出列表'!$A$1:$CD$1,0)),"")),"",IFERROR(INDEX('2-3 引出列表'!$A$2:$CE$8700,$A287,MATCH(I$1,'2-3 引出列表'!$A$1:$CD$1,0)),""))</f>
        <v>金采易购</v>
      </c>
    </row>
    <row r="288" spans="1:9">
      <c r="A288">
        <v>287</v>
      </c>
      <c r="B288" t="str">
        <f>IF(ISBLANK(IFERROR(INDEX('2-3 引出列表'!$A$2:$CE$8700,$A288,MATCH(B$1,'2-3 引出列表'!$A$1:$CD$1,0)),"")),"",IFERROR(INDEX('2-3 引出列表'!$A$2:$CE$8700,$A288,MATCH(B$1,'2-3 引出列表'!$A$1:$CD$1,0)),""))</f>
        <v>FK241227000107</v>
      </c>
      <c r="C288">
        <f>IF(ISBLANK(IFERROR(INDEX('2-3 引出列表'!$A$2:$CE$8700,$A288,MATCH(C$1,'2-3 引出列表'!$A$1:$CD$1,0)),"")),"",IFERROR(INDEX('2-3 引出列表'!$A$2:$CE$8700,$A288,MATCH(C$1,'2-3 引出列表'!$A$1:$CD$1,0)),""))</f>
        <v>2608</v>
      </c>
      <c r="D288" t="str">
        <f>IF(ISBLANK(IFERROR(INDEX('2-3 引出列表'!$A$2:$CE$8700,$A288,MATCH(D$1,'2-3 引出列表'!$A$1:$CD$1,0)),"")),"",IFERROR(INDEX('2-3 引出列表'!$A$2:$CE$8700,$A288,MATCH(D$1,'2-3 引出列表'!$A$1:$CD$1,0)),""))</f>
        <v>已付款</v>
      </c>
      <c r="E288" t="str">
        <f>IF(ISBLANK(IFERROR(INDEX('2-3 引出列表'!$A$2:$CE$8700,$A288,MATCH(E$1,'2-3 引出列表'!$A$1:$CD$1,0)),"")),"",IFERROR(INDEX('2-3 引出列表'!$A$2:$CE$8700,$A288,MATCH(E$1,'2-3 引出列表'!$A$1:$CD$1,0)),""))</f>
        <v>2024-12-27</v>
      </c>
      <c r="F288" t="str">
        <f t="shared" si="4"/>
        <v>2024-12</v>
      </c>
      <c r="G288" t="str">
        <f>IF(ISBLANK(IFERROR(INDEX('2-3 引出列表'!$A$2:$CE$8700,$A288,MATCH(G$1,'2-3 引出列表'!$A$1:$CD$1,0)),"")),"",IFERROR(INDEX('2-3 引出列表'!$A$2:$CE$8700,$A288,MATCH(G$1,'2-3 引出列表'!$A$1:$CD$1,0)),""))</f>
        <v>物料消耗.物料消耗</v>
      </c>
      <c r="H288" t="str">
        <f>IF(ISBLANK(IFERROR(INDEX('2-3 引出列表'!$A$2:$CE$8700,$A288,MATCH(H$1,'2-3 引出列表'!$A$1:$CD$1,0)),"")),"",IFERROR(INDEX('2-3 引出列表'!$A$2:$CE$8700,$A288,MATCH(H$1,'2-3 引出列表'!$A$1:$CD$1,0)),""))</f>
        <v>ZB20220428JCWZ03</v>
      </c>
      <c r="I288" t="str">
        <f>IF(ISBLANK(IFERROR(INDEX('2-3 引出列表'!$A$2:$CE$8700,$A288,MATCH(I$1,'2-3 引出列表'!$A$1:$CD$1,0)),"")),"",IFERROR(INDEX('2-3 引出列表'!$A$2:$CE$8700,$A288,MATCH(I$1,'2-3 引出列表'!$A$1:$CD$1,0)),""))</f>
        <v>金采易购</v>
      </c>
    </row>
    <row r="289" spans="1:9">
      <c r="A289">
        <v>288</v>
      </c>
      <c r="B289" t="str">
        <f>IF(ISBLANK(IFERROR(INDEX('2-3 引出列表'!$A$2:$CE$8700,$A289,MATCH(B$1,'2-3 引出列表'!$A$1:$CD$1,0)),"")),"",IFERROR(INDEX('2-3 引出列表'!$A$2:$CE$8700,$A289,MATCH(B$1,'2-3 引出列表'!$A$1:$CD$1,0)),""))</f>
        <v>FK241227000107</v>
      </c>
      <c r="C289">
        <f>IF(ISBLANK(IFERROR(INDEX('2-3 引出列表'!$A$2:$CE$8700,$A289,MATCH(C$1,'2-3 引出列表'!$A$1:$CD$1,0)),"")),"",IFERROR(INDEX('2-3 引出列表'!$A$2:$CE$8700,$A289,MATCH(C$1,'2-3 引出列表'!$A$1:$CD$1,0)),""))</f>
        <v>2608</v>
      </c>
      <c r="D289" t="str">
        <f>IF(ISBLANK(IFERROR(INDEX('2-3 引出列表'!$A$2:$CE$8700,$A289,MATCH(D$1,'2-3 引出列表'!$A$1:$CD$1,0)),"")),"",IFERROR(INDEX('2-3 引出列表'!$A$2:$CE$8700,$A289,MATCH(D$1,'2-3 引出列表'!$A$1:$CD$1,0)),""))</f>
        <v>已付款</v>
      </c>
      <c r="E289" t="str">
        <f>IF(ISBLANK(IFERROR(INDEX('2-3 引出列表'!$A$2:$CE$8700,$A289,MATCH(E$1,'2-3 引出列表'!$A$1:$CD$1,0)),"")),"",IFERROR(INDEX('2-3 引出列表'!$A$2:$CE$8700,$A289,MATCH(E$1,'2-3 引出列表'!$A$1:$CD$1,0)),""))</f>
        <v>2024-12-27</v>
      </c>
      <c r="F289" t="str">
        <f t="shared" si="4"/>
        <v>2024-12</v>
      </c>
      <c r="G289" t="str">
        <f>IF(ISBLANK(IFERROR(INDEX('2-3 引出列表'!$A$2:$CE$8700,$A289,MATCH(G$1,'2-3 引出列表'!$A$1:$CD$1,0)),"")),"",IFERROR(INDEX('2-3 引出列表'!$A$2:$CE$8700,$A289,MATCH(G$1,'2-3 引出列表'!$A$1:$CD$1,0)),""))</f>
        <v>物料消耗.物料消耗</v>
      </c>
      <c r="H289" t="str">
        <f>IF(ISBLANK(IFERROR(INDEX('2-3 引出列表'!$A$2:$CE$8700,$A289,MATCH(H$1,'2-3 引出列表'!$A$1:$CD$1,0)),"")),"",IFERROR(INDEX('2-3 引出列表'!$A$2:$CE$8700,$A289,MATCH(H$1,'2-3 引出列表'!$A$1:$CD$1,0)),""))</f>
        <v>ZB20220428JCWZ03</v>
      </c>
      <c r="I289" t="str">
        <f>IF(ISBLANK(IFERROR(INDEX('2-3 引出列表'!$A$2:$CE$8700,$A289,MATCH(I$1,'2-3 引出列表'!$A$1:$CD$1,0)),"")),"",IFERROR(INDEX('2-3 引出列表'!$A$2:$CE$8700,$A289,MATCH(I$1,'2-3 引出列表'!$A$1:$CD$1,0)),""))</f>
        <v>金采易购</v>
      </c>
    </row>
    <row r="290" spans="1:9">
      <c r="A290">
        <v>289</v>
      </c>
      <c r="B290" t="str">
        <f>IF(ISBLANK(IFERROR(INDEX('2-3 引出列表'!$A$2:$CE$8700,$A290,MATCH(B$1,'2-3 引出列表'!$A$1:$CD$1,0)),"")),"",IFERROR(INDEX('2-3 引出列表'!$A$2:$CE$8700,$A290,MATCH(B$1,'2-3 引出列表'!$A$1:$CD$1,0)),""))</f>
        <v>FK241227000107</v>
      </c>
      <c r="C290">
        <f>IF(ISBLANK(IFERROR(INDEX('2-3 引出列表'!$A$2:$CE$8700,$A290,MATCH(C$1,'2-3 引出列表'!$A$1:$CD$1,0)),"")),"",IFERROR(INDEX('2-3 引出列表'!$A$2:$CE$8700,$A290,MATCH(C$1,'2-3 引出列表'!$A$1:$CD$1,0)),""))</f>
        <v>2608</v>
      </c>
      <c r="D290" t="str">
        <f>IF(ISBLANK(IFERROR(INDEX('2-3 引出列表'!$A$2:$CE$8700,$A290,MATCH(D$1,'2-3 引出列表'!$A$1:$CD$1,0)),"")),"",IFERROR(INDEX('2-3 引出列表'!$A$2:$CE$8700,$A290,MATCH(D$1,'2-3 引出列表'!$A$1:$CD$1,0)),""))</f>
        <v>已付款</v>
      </c>
      <c r="E290" t="str">
        <f>IF(ISBLANK(IFERROR(INDEX('2-3 引出列表'!$A$2:$CE$8700,$A290,MATCH(E$1,'2-3 引出列表'!$A$1:$CD$1,0)),"")),"",IFERROR(INDEX('2-3 引出列表'!$A$2:$CE$8700,$A290,MATCH(E$1,'2-3 引出列表'!$A$1:$CD$1,0)),""))</f>
        <v>2024-12-27</v>
      </c>
      <c r="F290" t="str">
        <f t="shared" si="4"/>
        <v>2024-12</v>
      </c>
      <c r="G290" t="str">
        <f>IF(ISBLANK(IFERROR(INDEX('2-3 引出列表'!$A$2:$CE$8700,$A290,MATCH(G$1,'2-3 引出列表'!$A$1:$CD$1,0)),"")),"",IFERROR(INDEX('2-3 引出列表'!$A$2:$CE$8700,$A290,MATCH(G$1,'2-3 引出列表'!$A$1:$CD$1,0)),""))</f>
        <v>物料消耗.物料消耗</v>
      </c>
      <c r="H290" t="str">
        <f>IF(ISBLANK(IFERROR(INDEX('2-3 引出列表'!$A$2:$CE$8700,$A290,MATCH(H$1,'2-3 引出列表'!$A$1:$CD$1,0)),"")),"",IFERROR(INDEX('2-3 引出列表'!$A$2:$CE$8700,$A290,MATCH(H$1,'2-3 引出列表'!$A$1:$CD$1,0)),""))</f>
        <v>ZB20220428JCWZ03</v>
      </c>
      <c r="I290" t="str">
        <f>IF(ISBLANK(IFERROR(INDEX('2-3 引出列表'!$A$2:$CE$8700,$A290,MATCH(I$1,'2-3 引出列表'!$A$1:$CD$1,0)),"")),"",IFERROR(INDEX('2-3 引出列表'!$A$2:$CE$8700,$A290,MATCH(I$1,'2-3 引出列表'!$A$1:$CD$1,0)),""))</f>
        <v>金采易购</v>
      </c>
    </row>
    <row r="291" spans="1:9">
      <c r="A291">
        <v>290</v>
      </c>
      <c r="B291" t="str">
        <f>IF(ISBLANK(IFERROR(INDEX('2-3 引出列表'!$A$2:$CE$8700,$A291,MATCH(B$1,'2-3 引出列表'!$A$1:$CD$1,0)),"")),"",IFERROR(INDEX('2-3 引出列表'!$A$2:$CE$8700,$A291,MATCH(B$1,'2-3 引出列表'!$A$1:$CD$1,0)),""))</f>
        <v>FK250515000583</v>
      </c>
      <c r="C291">
        <f>IF(ISBLANK(IFERROR(INDEX('2-3 引出列表'!$A$2:$CE$8700,$A291,MATCH(C$1,'2-3 引出列表'!$A$1:$CD$1,0)),"")),"",IFERROR(INDEX('2-3 引出列表'!$A$2:$CE$8700,$A291,MATCH(C$1,'2-3 引出列表'!$A$1:$CD$1,0)),""))</f>
        <v>22360</v>
      </c>
      <c r="D291" t="str">
        <f>IF(ISBLANK(IFERROR(INDEX('2-3 引出列表'!$A$2:$CE$8700,$A291,MATCH(D$1,'2-3 引出列表'!$A$1:$CD$1,0)),"")),"",IFERROR(INDEX('2-3 引出列表'!$A$2:$CE$8700,$A291,MATCH(D$1,'2-3 引出列表'!$A$1:$CD$1,0)),""))</f>
        <v>已付款</v>
      </c>
      <c r="E291" t="str">
        <f>IF(ISBLANK(IFERROR(INDEX('2-3 引出列表'!$A$2:$CE$8700,$A291,MATCH(E$1,'2-3 引出列表'!$A$1:$CD$1,0)),"")),"",IFERROR(INDEX('2-3 引出列表'!$A$2:$CE$8700,$A291,MATCH(E$1,'2-3 引出列表'!$A$1:$CD$1,0)),""))</f>
        <v>2025-05-15</v>
      </c>
      <c r="F291" t="str">
        <f t="shared" si="4"/>
        <v>2025-05</v>
      </c>
      <c r="G291" t="str">
        <f>IF(ISBLANK(IFERROR(INDEX('2-3 引出列表'!$A$2:$CE$8700,$A291,MATCH(G$1,'2-3 引出列表'!$A$1:$CD$1,0)),"")),"",IFERROR(INDEX('2-3 引出列表'!$A$2:$CE$8700,$A291,MATCH(G$1,'2-3 引出列表'!$A$1:$CD$1,0)),""))</f>
        <v>外包服务费.生活垃圾清运外包</v>
      </c>
      <c r="H291" t="str">
        <f>IF(ISBLANK(IFERROR(INDEX('2-3 引出列表'!$A$2:$CE$8700,$A291,MATCH(H$1,'2-3 引出列表'!$A$1:$CD$1,0)),"")),"",IFERROR(INDEX('2-3 引出列表'!$A$2:$CE$8700,$A291,MATCH(H$1,'2-3 引出列表'!$A$1:$CD$1,0)),""))</f>
        <v>HJFW-Z-2024-7103</v>
      </c>
      <c r="I291" t="str">
        <f>IF(ISBLANK(IFERROR(INDEX('2-3 引出列表'!$A$2:$CE$8700,$A291,MATCH(I$1,'2-3 引出列表'!$A$1:$CD$1,0)),"")),"",IFERROR(INDEX('2-3 引出列表'!$A$2:$CE$8700,$A291,MATCH(I$1,'2-3 引出列表'!$A$1:$CD$1,0)),""))</f>
        <v>金采易购</v>
      </c>
    </row>
    <row r="292" spans="1:9">
      <c r="A292">
        <v>291</v>
      </c>
      <c r="B292" t="str">
        <f>IF(ISBLANK(IFERROR(INDEX('2-3 引出列表'!$A$2:$CE$8700,$A292,MATCH(B$1,'2-3 引出列表'!$A$1:$CD$1,0)),"")),"",IFERROR(INDEX('2-3 引出列表'!$A$2:$CE$8700,$A292,MATCH(B$1,'2-3 引出列表'!$A$1:$CD$1,0)),""))</f>
        <v>FK250515000404</v>
      </c>
      <c r="C292">
        <f>IF(ISBLANK(IFERROR(INDEX('2-3 引出列表'!$A$2:$CE$8700,$A292,MATCH(C$1,'2-3 引出列表'!$A$1:$CD$1,0)),"")),"",IFERROR(INDEX('2-3 引出列表'!$A$2:$CE$8700,$A292,MATCH(C$1,'2-3 引出列表'!$A$1:$CD$1,0)),""))</f>
        <v>22360</v>
      </c>
      <c r="D292" t="str">
        <f>IF(ISBLANK(IFERROR(INDEX('2-3 引出列表'!$A$2:$CE$8700,$A292,MATCH(D$1,'2-3 引出列表'!$A$1:$CD$1,0)),"")),"",IFERROR(INDEX('2-3 引出列表'!$A$2:$CE$8700,$A292,MATCH(D$1,'2-3 引出列表'!$A$1:$CD$1,0)),""))</f>
        <v>已付款</v>
      </c>
      <c r="E292" t="str">
        <f>IF(ISBLANK(IFERROR(INDEX('2-3 引出列表'!$A$2:$CE$8700,$A292,MATCH(E$1,'2-3 引出列表'!$A$1:$CD$1,0)),"")),"",IFERROR(INDEX('2-3 引出列表'!$A$2:$CE$8700,$A292,MATCH(E$1,'2-3 引出列表'!$A$1:$CD$1,0)),""))</f>
        <v>2025-05-15</v>
      </c>
      <c r="F292" t="str">
        <f t="shared" si="4"/>
        <v>2025-05</v>
      </c>
      <c r="G292" t="str">
        <f>IF(ISBLANK(IFERROR(INDEX('2-3 引出列表'!$A$2:$CE$8700,$A292,MATCH(G$1,'2-3 引出列表'!$A$1:$CD$1,0)),"")),"",IFERROR(INDEX('2-3 引出列表'!$A$2:$CE$8700,$A292,MATCH(G$1,'2-3 引出列表'!$A$1:$CD$1,0)),""))</f>
        <v>外包服务费.生活垃圾清运外包</v>
      </c>
      <c r="H292" t="str">
        <f>IF(ISBLANK(IFERROR(INDEX('2-3 引出列表'!$A$2:$CE$8700,$A292,MATCH(H$1,'2-3 引出列表'!$A$1:$CD$1,0)),"")),"",IFERROR(INDEX('2-3 引出列表'!$A$2:$CE$8700,$A292,MATCH(H$1,'2-3 引出列表'!$A$1:$CD$1,0)),""))</f>
        <v>HJFW-Z-2024-7103</v>
      </c>
      <c r="I292" t="str">
        <f>IF(ISBLANK(IFERROR(INDEX('2-3 引出列表'!$A$2:$CE$8700,$A292,MATCH(I$1,'2-3 引出列表'!$A$1:$CD$1,0)),"")),"",IFERROR(INDEX('2-3 引出列表'!$A$2:$CE$8700,$A292,MATCH(I$1,'2-3 引出列表'!$A$1:$CD$1,0)),""))</f>
        <v>金采易购</v>
      </c>
    </row>
    <row r="293" spans="1:9">
      <c r="A293">
        <v>292</v>
      </c>
      <c r="B293" t="str">
        <f>IF(ISBLANK(IFERROR(INDEX('2-3 引出列表'!$A$2:$CE$8700,$A293,MATCH(B$1,'2-3 引出列表'!$A$1:$CD$1,0)),"")),"",IFERROR(INDEX('2-3 引出列表'!$A$2:$CE$8700,$A293,MATCH(B$1,'2-3 引出列表'!$A$1:$CD$1,0)),""))</f>
        <v>FK250515000354</v>
      </c>
      <c r="C293">
        <f>IF(ISBLANK(IFERROR(INDEX('2-3 引出列表'!$A$2:$CE$8700,$A293,MATCH(C$1,'2-3 引出列表'!$A$1:$CD$1,0)),"")),"",IFERROR(INDEX('2-3 引出列表'!$A$2:$CE$8700,$A293,MATCH(C$1,'2-3 引出列表'!$A$1:$CD$1,0)),""))</f>
        <v>19370</v>
      </c>
      <c r="D293" t="str">
        <f>IF(ISBLANK(IFERROR(INDEX('2-3 引出列表'!$A$2:$CE$8700,$A293,MATCH(D$1,'2-3 引出列表'!$A$1:$CD$1,0)),"")),"",IFERROR(INDEX('2-3 引出列表'!$A$2:$CE$8700,$A293,MATCH(D$1,'2-3 引出列表'!$A$1:$CD$1,0)),""))</f>
        <v>已付款</v>
      </c>
      <c r="E293" t="str">
        <f>IF(ISBLANK(IFERROR(INDEX('2-3 引出列表'!$A$2:$CE$8700,$A293,MATCH(E$1,'2-3 引出列表'!$A$1:$CD$1,0)),"")),"",IFERROR(INDEX('2-3 引出列表'!$A$2:$CE$8700,$A293,MATCH(E$1,'2-3 引出列表'!$A$1:$CD$1,0)),""))</f>
        <v>2025-05-15</v>
      </c>
      <c r="F293" t="str">
        <f t="shared" si="4"/>
        <v>2025-05</v>
      </c>
      <c r="G293" t="str">
        <f>IF(ISBLANK(IFERROR(INDEX('2-3 引出列表'!$A$2:$CE$8700,$A293,MATCH(G$1,'2-3 引出列表'!$A$1:$CD$1,0)),"")),"",IFERROR(INDEX('2-3 引出列表'!$A$2:$CE$8700,$A293,MATCH(G$1,'2-3 引出列表'!$A$1:$CD$1,0)),""))</f>
        <v>外包服务费.消杀外包</v>
      </c>
      <c r="H293" t="str">
        <f>IF(ISBLANK(IFERROR(INDEX('2-3 引出列表'!$A$2:$CE$8700,$A293,MATCH(H$1,'2-3 引出列表'!$A$1:$CD$1,0)),"")),"",IFERROR(INDEX('2-3 引出列表'!$A$2:$CE$8700,$A293,MATCH(H$1,'2-3 引出列表'!$A$1:$CD$1,0)),""))</f>
        <v>HJFW-Z-2024-6949</v>
      </c>
      <c r="I293" t="str">
        <f>IF(ISBLANK(IFERROR(INDEX('2-3 引出列表'!$A$2:$CE$8700,$A293,MATCH(I$1,'2-3 引出列表'!$A$1:$CD$1,0)),"")),"",IFERROR(INDEX('2-3 引出列表'!$A$2:$CE$8700,$A293,MATCH(I$1,'2-3 引出列表'!$A$1:$CD$1,0)),""))</f>
        <v>金采易购</v>
      </c>
    </row>
    <row r="294" spans="1:9">
      <c r="A294">
        <v>293</v>
      </c>
      <c r="B294" t="str">
        <f>IF(ISBLANK(IFERROR(INDEX('2-3 引出列表'!$A$2:$CE$8700,$A294,MATCH(B$1,'2-3 引出列表'!$A$1:$CD$1,0)),"")),"",IFERROR(INDEX('2-3 引出列表'!$A$2:$CE$8700,$A294,MATCH(B$1,'2-3 引出列表'!$A$1:$CD$1,0)),""))</f>
        <v>FK250723000185</v>
      </c>
      <c r="C294">
        <f>IF(ISBLANK(IFERROR(INDEX('2-3 引出列表'!$A$2:$CE$8700,$A294,MATCH(C$1,'2-3 引出列表'!$A$1:$CD$1,0)),"")),"",IFERROR(INDEX('2-3 引出列表'!$A$2:$CE$8700,$A294,MATCH(C$1,'2-3 引出列表'!$A$1:$CD$1,0)),""))</f>
        <v>48856.48</v>
      </c>
      <c r="D294" t="str">
        <f>IF(ISBLANK(IFERROR(INDEX('2-3 引出列表'!$A$2:$CE$8700,$A294,MATCH(D$1,'2-3 引出列表'!$A$1:$CD$1,0)),"")),"",IFERROR(INDEX('2-3 引出列表'!$A$2:$CE$8700,$A294,MATCH(D$1,'2-3 引出列表'!$A$1:$CD$1,0)),""))</f>
        <v>已审核</v>
      </c>
      <c r="E294" t="str">
        <f>IF(ISBLANK(IFERROR(INDEX('2-3 引出列表'!$A$2:$CE$8700,$A294,MATCH(E$1,'2-3 引出列表'!$A$1:$CD$1,0)),"")),"",IFERROR(INDEX('2-3 引出列表'!$A$2:$CE$8700,$A294,MATCH(E$1,'2-3 引出列表'!$A$1:$CD$1,0)),""))</f>
        <v>2025-07-23</v>
      </c>
      <c r="F294" t="str">
        <f t="shared" si="4"/>
        <v>2025-07</v>
      </c>
      <c r="G294" t="str">
        <f>IF(ISBLANK(IFERROR(INDEX('2-3 引出列表'!$A$2:$CE$8700,$A294,MATCH(G$1,'2-3 引出列表'!$A$1:$CD$1,0)),"")),"",IFERROR(INDEX('2-3 引出列表'!$A$2:$CE$8700,$A294,MATCH(G$1,'2-3 引出列表'!$A$1:$CD$1,0)),""))</f>
        <v>物料消耗.物料消耗</v>
      </c>
      <c r="H294" t="str">
        <f>IF(ISBLANK(IFERROR(INDEX('2-3 引出列表'!$A$2:$CE$8700,$A294,MATCH(H$1,'2-3 引出列表'!$A$1:$CD$1,0)),"")),"",IFERROR(INDEX('2-3 引出列表'!$A$2:$CE$8700,$A294,MATCH(H$1,'2-3 引出列表'!$A$1:$CD$1,0)),""))</f>
        <v>XHWZ-Z-2025-00011</v>
      </c>
      <c r="I294" t="str">
        <f>IF(ISBLANK(IFERROR(INDEX('2-3 引出列表'!$A$2:$CE$8700,$A294,MATCH(I$1,'2-3 引出列表'!$A$1:$CD$1,0)),"")),"",IFERROR(INDEX('2-3 引出列表'!$A$2:$CE$8700,$A294,MATCH(I$1,'2-3 引出列表'!$A$1:$CD$1,0)),""))</f>
        <v>金采易购</v>
      </c>
    </row>
    <row r="295" spans="1:9">
      <c r="A295">
        <v>294</v>
      </c>
      <c r="B295" t="str">
        <f>IF(ISBLANK(IFERROR(INDEX('2-3 引出列表'!$A$2:$CE$8700,$A295,MATCH(B$1,'2-3 引出列表'!$A$1:$CD$1,0)),"")),"",IFERROR(INDEX('2-3 引出列表'!$A$2:$CE$8700,$A295,MATCH(B$1,'2-3 引出列表'!$A$1:$CD$1,0)),""))</f>
        <v>FK250723000185</v>
      </c>
      <c r="C295">
        <f>IF(ISBLANK(IFERROR(INDEX('2-3 引出列表'!$A$2:$CE$8700,$A295,MATCH(C$1,'2-3 引出列表'!$A$1:$CD$1,0)),"")),"",IFERROR(INDEX('2-3 引出列表'!$A$2:$CE$8700,$A295,MATCH(C$1,'2-3 引出列表'!$A$1:$CD$1,0)),""))</f>
        <v>48856.48</v>
      </c>
      <c r="D295" t="str">
        <f>IF(ISBLANK(IFERROR(INDEX('2-3 引出列表'!$A$2:$CE$8700,$A295,MATCH(D$1,'2-3 引出列表'!$A$1:$CD$1,0)),"")),"",IFERROR(INDEX('2-3 引出列表'!$A$2:$CE$8700,$A295,MATCH(D$1,'2-3 引出列表'!$A$1:$CD$1,0)),""))</f>
        <v>已审核</v>
      </c>
      <c r="E295" t="str">
        <f>IF(ISBLANK(IFERROR(INDEX('2-3 引出列表'!$A$2:$CE$8700,$A295,MATCH(E$1,'2-3 引出列表'!$A$1:$CD$1,0)),"")),"",IFERROR(INDEX('2-3 引出列表'!$A$2:$CE$8700,$A295,MATCH(E$1,'2-3 引出列表'!$A$1:$CD$1,0)),""))</f>
        <v>2025-07-23</v>
      </c>
      <c r="F295" t="str">
        <f t="shared" si="4"/>
        <v>2025-07</v>
      </c>
      <c r="G295" t="str">
        <f>IF(ISBLANK(IFERROR(INDEX('2-3 引出列表'!$A$2:$CE$8700,$A295,MATCH(G$1,'2-3 引出列表'!$A$1:$CD$1,0)),"")),"",IFERROR(INDEX('2-3 引出列表'!$A$2:$CE$8700,$A295,MATCH(G$1,'2-3 引出列表'!$A$1:$CD$1,0)),""))</f>
        <v>物料消耗.物料消耗</v>
      </c>
      <c r="H295" t="str">
        <f>IF(ISBLANK(IFERROR(INDEX('2-3 引出列表'!$A$2:$CE$8700,$A295,MATCH(H$1,'2-3 引出列表'!$A$1:$CD$1,0)),"")),"",IFERROR(INDEX('2-3 引出列表'!$A$2:$CE$8700,$A295,MATCH(H$1,'2-3 引出列表'!$A$1:$CD$1,0)),""))</f>
        <v>XHWZ-Z-2025-00011</v>
      </c>
      <c r="I295" t="str">
        <f>IF(ISBLANK(IFERROR(INDEX('2-3 引出列表'!$A$2:$CE$8700,$A295,MATCH(I$1,'2-3 引出列表'!$A$1:$CD$1,0)),"")),"",IFERROR(INDEX('2-3 引出列表'!$A$2:$CE$8700,$A295,MATCH(I$1,'2-3 引出列表'!$A$1:$CD$1,0)),""))</f>
        <v>金采易购</v>
      </c>
    </row>
    <row r="296" spans="1:9">
      <c r="A296">
        <v>295</v>
      </c>
      <c r="B296" t="str">
        <f>IF(ISBLANK(IFERROR(INDEX('2-3 引出列表'!$A$2:$CE$8700,$A296,MATCH(B$1,'2-3 引出列表'!$A$1:$CD$1,0)),"")),"",IFERROR(INDEX('2-3 引出列表'!$A$2:$CE$8700,$A296,MATCH(B$1,'2-3 引出列表'!$A$1:$CD$1,0)),""))</f>
        <v>FK250723000185</v>
      </c>
      <c r="C296">
        <f>IF(ISBLANK(IFERROR(INDEX('2-3 引出列表'!$A$2:$CE$8700,$A296,MATCH(C$1,'2-3 引出列表'!$A$1:$CD$1,0)),"")),"",IFERROR(INDEX('2-3 引出列表'!$A$2:$CE$8700,$A296,MATCH(C$1,'2-3 引出列表'!$A$1:$CD$1,0)),""))</f>
        <v>48856.48</v>
      </c>
      <c r="D296" t="str">
        <f>IF(ISBLANK(IFERROR(INDEX('2-3 引出列表'!$A$2:$CE$8700,$A296,MATCH(D$1,'2-3 引出列表'!$A$1:$CD$1,0)),"")),"",IFERROR(INDEX('2-3 引出列表'!$A$2:$CE$8700,$A296,MATCH(D$1,'2-3 引出列表'!$A$1:$CD$1,0)),""))</f>
        <v>已审核</v>
      </c>
      <c r="E296" t="str">
        <f>IF(ISBLANK(IFERROR(INDEX('2-3 引出列表'!$A$2:$CE$8700,$A296,MATCH(E$1,'2-3 引出列表'!$A$1:$CD$1,0)),"")),"",IFERROR(INDEX('2-3 引出列表'!$A$2:$CE$8700,$A296,MATCH(E$1,'2-3 引出列表'!$A$1:$CD$1,0)),""))</f>
        <v>2025-07-23</v>
      </c>
      <c r="F296" t="str">
        <f t="shared" si="4"/>
        <v>2025-07</v>
      </c>
      <c r="G296" t="str">
        <f>IF(ISBLANK(IFERROR(INDEX('2-3 引出列表'!$A$2:$CE$8700,$A296,MATCH(G$1,'2-3 引出列表'!$A$1:$CD$1,0)),"")),"",IFERROR(INDEX('2-3 引出列表'!$A$2:$CE$8700,$A296,MATCH(G$1,'2-3 引出列表'!$A$1:$CD$1,0)),""))</f>
        <v>物料消耗.物料消耗</v>
      </c>
      <c r="H296" t="str">
        <f>IF(ISBLANK(IFERROR(INDEX('2-3 引出列表'!$A$2:$CE$8700,$A296,MATCH(H$1,'2-3 引出列表'!$A$1:$CD$1,0)),"")),"",IFERROR(INDEX('2-3 引出列表'!$A$2:$CE$8700,$A296,MATCH(H$1,'2-3 引出列表'!$A$1:$CD$1,0)),""))</f>
        <v>XHWZ-Z-2025-00011</v>
      </c>
      <c r="I296" t="str">
        <f>IF(ISBLANK(IFERROR(INDEX('2-3 引出列表'!$A$2:$CE$8700,$A296,MATCH(I$1,'2-3 引出列表'!$A$1:$CD$1,0)),"")),"",IFERROR(INDEX('2-3 引出列表'!$A$2:$CE$8700,$A296,MATCH(I$1,'2-3 引出列表'!$A$1:$CD$1,0)),""))</f>
        <v>金采易购</v>
      </c>
    </row>
    <row r="297" spans="1:9">
      <c r="A297">
        <v>296</v>
      </c>
      <c r="B297" t="str">
        <f>IF(ISBLANK(IFERROR(INDEX('2-3 引出列表'!$A$2:$CE$8700,$A297,MATCH(B$1,'2-3 引出列表'!$A$1:$CD$1,0)),"")),"",IFERROR(INDEX('2-3 引出列表'!$A$2:$CE$8700,$A297,MATCH(B$1,'2-3 引出列表'!$A$1:$CD$1,0)),""))</f>
        <v>FK250723000185</v>
      </c>
      <c r="C297">
        <f>IF(ISBLANK(IFERROR(INDEX('2-3 引出列表'!$A$2:$CE$8700,$A297,MATCH(C$1,'2-3 引出列表'!$A$1:$CD$1,0)),"")),"",IFERROR(INDEX('2-3 引出列表'!$A$2:$CE$8700,$A297,MATCH(C$1,'2-3 引出列表'!$A$1:$CD$1,0)),""))</f>
        <v>48856.48</v>
      </c>
      <c r="D297" t="str">
        <f>IF(ISBLANK(IFERROR(INDEX('2-3 引出列表'!$A$2:$CE$8700,$A297,MATCH(D$1,'2-3 引出列表'!$A$1:$CD$1,0)),"")),"",IFERROR(INDEX('2-3 引出列表'!$A$2:$CE$8700,$A297,MATCH(D$1,'2-3 引出列表'!$A$1:$CD$1,0)),""))</f>
        <v>已审核</v>
      </c>
      <c r="E297" t="str">
        <f>IF(ISBLANK(IFERROR(INDEX('2-3 引出列表'!$A$2:$CE$8700,$A297,MATCH(E$1,'2-3 引出列表'!$A$1:$CD$1,0)),"")),"",IFERROR(INDEX('2-3 引出列表'!$A$2:$CE$8700,$A297,MATCH(E$1,'2-3 引出列表'!$A$1:$CD$1,0)),""))</f>
        <v>2025-07-23</v>
      </c>
      <c r="F297" t="str">
        <f t="shared" si="4"/>
        <v>2025-07</v>
      </c>
      <c r="G297" t="str">
        <f>IF(ISBLANK(IFERROR(INDEX('2-3 引出列表'!$A$2:$CE$8700,$A297,MATCH(G$1,'2-3 引出列表'!$A$1:$CD$1,0)),"")),"",IFERROR(INDEX('2-3 引出列表'!$A$2:$CE$8700,$A297,MATCH(G$1,'2-3 引出列表'!$A$1:$CD$1,0)),""))</f>
        <v>物料消耗.物料消耗</v>
      </c>
      <c r="H297" t="str">
        <f>IF(ISBLANK(IFERROR(INDEX('2-3 引出列表'!$A$2:$CE$8700,$A297,MATCH(H$1,'2-3 引出列表'!$A$1:$CD$1,0)),"")),"",IFERROR(INDEX('2-3 引出列表'!$A$2:$CE$8700,$A297,MATCH(H$1,'2-3 引出列表'!$A$1:$CD$1,0)),""))</f>
        <v>XHWZ-Z-2025-00011</v>
      </c>
      <c r="I297" t="str">
        <f>IF(ISBLANK(IFERROR(INDEX('2-3 引出列表'!$A$2:$CE$8700,$A297,MATCH(I$1,'2-3 引出列表'!$A$1:$CD$1,0)),"")),"",IFERROR(INDEX('2-3 引出列表'!$A$2:$CE$8700,$A297,MATCH(I$1,'2-3 引出列表'!$A$1:$CD$1,0)),""))</f>
        <v>金采易购</v>
      </c>
    </row>
    <row r="298" spans="1:9">
      <c r="A298">
        <v>297</v>
      </c>
      <c r="B298" t="str">
        <f>IF(ISBLANK(IFERROR(INDEX('2-3 引出列表'!$A$2:$CE$8700,$A298,MATCH(B$1,'2-3 引出列表'!$A$1:$CD$1,0)),"")),"",IFERROR(INDEX('2-3 引出列表'!$A$2:$CE$8700,$A298,MATCH(B$1,'2-3 引出列表'!$A$1:$CD$1,0)),""))</f>
        <v>FK250723000185</v>
      </c>
      <c r="C298">
        <f>IF(ISBLANK(IFERROR(INDEX('2-3 引出列表'!$A$2:$CE$8700,$A298,MATCH(C$1,'2-3 引出列表'!$A$1:$CD$1,0)),"")),"",IFERROR(INDEX('2-3 引出列表'!$A$2:$CE$8700,$A298,MATCH(C$1,'2-3 引出列表'!$A$1:$CD$1,0)),""))</f>
        <v>48856.48</v>
      </c>
      <c r="D298" t="str">
        <f>IF(ISBLANK(IFERROR(INDEX('2-3 引出列表'!$A$2:$CE$8700,$A298,MATCH(D$1,'2-3 引出列表'!$A$1:$CD$1,0)),"")),"",IFERROR(INDEX('2-3 引出列表'!$A$2:$CE$8700,$A298,MATCH(D$1,'2-3 引出列表'!$A$1:$CD$1,0)),""))</f>
        <v>已审核</v>
      </c>
      <c r="E298" t="str">
        <f>IF(ISBLANK(IFERROR(INDEX('2-3 引出列表'!$A$2:$CE$8700,$A298,MATCH(E$1,'2-3 引出列表'!$A$1:$CD$1,0)),"")),"",IFERROR(INDEX('2-3 引出列表'!$A$2:$CE$8700,$A298,MATCH(E$1,'2-3 引出列表'!$A$1:$CD$1,0)),""))</f>
        <v>2025-07-23</v>
      </c>
      <c r="F298" t="str">
        <f t="shared" si="4"/>
        <v>2025-07</v>
      </c>
      <c r="G298" t="str">
        <f>IF(ISBLANK(IFERROR(INDEX('2-3 引出列表'!$A$2:$CE$8700,$A298,MATCH(G$1,'2-3 引出列表'!$A$1:$CD$1,0)),"")),"",IFERROR(INDEX('2-3 引出列表'!$A$2:$CE$8700,$A298,MATCH(G$1,'2-3 引出列表'!$A$1:$CD$1,0)),""))</f>
        <v>物料消耗.物料消耗</v>
      </c>
      <c r="H298" t="str">
        <f>IF(ISBLANK(IFERROR(INDEX('2-3 引出列表'!$A$2:$CE$8700,$A298,MATCH(H$1,'2-3 引出列表'!$A$1:$CD$1,0)),"")),"",IFERROR(INDEX('2-3 引出列表'!$A$2:$CE$8700,$A298,MATCH(H$1,'2-3 引出列表'!$A$1:$CD$1,0)),""))</f>
        <v>XHWZ-Z-2025-00011</v>
      </c>
      <c r="I298" t="str">
        <f>IF(ISBLANK(IFERROR(INDEX('2-3 引出列表'!$A$2:$CE$8700,$A298,MATCH(I$1,'2-3 引出列表'!$A$1:$CD$1,0)),"")),"",IFERROR(INDEX('2-3 引出列表'!$A$2:$CE$8700,$A298,MATCH(I$1,'2-3 引出列表'!$A$1:$CD$1,0)),""))</f>
        <v>金采易购</v>
      </c>
    </row>
    <row r="299" spans="1:9">
      <c r="A299">
        <v>298</v>
      </c>
      <c r="B299" t="str">
        <f>IF(ISBLANK(IFERROR(INDEX('2-3 引出列表'!$A$2:$CE$8700,$A299,MATCH(B$1,'2-3 引出列表'!$A$1:$CD$1,0)),"")),"",IFERROR(INDEX('2-3 引出列表'!$A$2:$CE$8700,$A299,MATCH(B$1,'2-3 引出列表'!$A$1:$CD$1,0)),""))</f>
        <v>FK250723000185</v>
      </c>
      <c r="C299">
        <f>IF(ISBLANK(IFERROR(INDEX('2-3 引出列表'!$A$2:$CE$8700,$A299,MATCH(C$1,'2-3 引出列表'!$A$1:$CD$1,0)),"")),"",IFERROR(INDEX('2-3 引出列表'!$A$2:$CE$8700,$A299,MATCH(C$1,'2-3 引出列表'!$A$1:$CD$1,0)),""))</f>
        <v>48856.48</v>
      </c>
      <c r="D299" t="str">
        <f>IF(ISBLANK(IFERROR(INDEX('2-3 引出列表'!$A$2:$CE$8700,$A299,MATCH(D$1,'2-3 引出列表'!$A$1:$CD$1,0)),"")),"",IFERROR(INDEX('2-3 引出列表'!$A$2:$CE$8700,$A299,MATCH(D$1,'2-3 引出列表'!$A$1:$CD$1,0)),""))</f>
        <v>已审核</v>
      </c>
      <c r="E299" t="str">
        <f>IF(ISBLANK(IFERROR(INDEX('2-3 引出列表'!$A$2:$CE$8700,$A299,MATCH(E$1,'2-3 引出列表'!$A$1:$CD$1,0)),"")),"",IFERROR(INDEX('2-3 引出列表'!$A$2:$CE$8700,$A299,MATCH(E$1,'2-3 引出列表'!$A$1:$CD$1,0)),""))</f>
        <v>2025-07-23</v>
      </c>
      <c r="F299" t="str">
        <f t="shared" si="4"/>
        <v>2025-07</v>
      </c>
      <c r="G299" t="str">
        <f>IF(ISBLANK(IFERROR(INDEX('2-3 引出列表'!$A$2:$CE$8700,$A299,MATCH(G$1,'2-3 引出列表'!$A$1:$CD$1,0)),"")),"",IFERROR(INDEX('2-3 引出列表'!$A$2:$CE$8700,$A299,MATCH(G$1,'2-3 引出列表'!$A$1:$CD$1,0)),""))</f>
        <v>物料消耗.物料消耗</v>
      </c>
      <c r="H299" t="str">
        <f>IF(ISBLANK(IFERROR(INDEX('2-3 引出列表'!$A$2:$CE$8700,$A299,MATCH(H$1,'2-3 引出列表'!$A$1:$CD$1,0)),"")),"",IFERROR(INDEX('2-3 引出列表'!$A$2:$CE$8700,$A299,MATCH(H$1,'2-3 引出列表'!$A$1:$CD$1,0)),""))</f>
        <v>XHWZ-Z-2025-00011</v>
      </c>
      <c r="I299" t="str">
        <f>IF(ISBLANK(IFERROR(INDEX('2-3 引出列表'!$A$2:$CE$8700,$A299,MATCH(I$1,'2-3 引出列表'!$A$1:$CD$1,0)),"")),"",IFERROR(INDEX('2-3 引出列表'!$A$2:$CE$8700,$A299,MATCH(I$1,'2-3 引出列表'!$A$1:$CD$1,0)),""))</f>
        <v>金采易购</v>
      </c>
    </row>
    <row r="300" spans="1:9">
      <c r="A300">
        <v>299</v>
      </c>
      <c r="B300" t="str">
        <f>IF(ISBLANK(IFERROR(INDEX('2-3 引出列表'!$A$2:$CE$8700,$A300,MATCH(B$1,'2-3 引出列表'!$A$1:$CD$1,0)),"")),"",IFERROR(INDEX('2-3 引出列表'!$A$2:$CE$8700,$A300,MATCH(B$1,'2-3 引出列表'!$A$1:$CD$1,0)),""))</f>
        <v>FK250723000185</v>
      </c>
      <c r="C300">
        <f>IF(ISBLANK(IFERROR(INDEX('2-3 引出列表'!$A$2:$CE$8700,$A300,MATCH(C$1,'2-3 引出列表'!$A$1:$CD$1,0)),"")),"",IFERROR(INDEX('2-3 引出列表'!$A$2:$CE$8700,$A300,MATCH(C$1,'2-3 引出列表'!$A$1:$CD$1,0)),""))</f>
        <v>48856.48</v>
      </c>
      <c r="D300" t="str">
        <f>IF(ISBLANK(IFERROR(INDEX('2-3 引出列表'!$A$2:$CE$8700,$A300,MATCH(D$1,'2-3 引出列表'!$A$1:$CD$1,0)),"")),"",IFERROR(INDEX('2-3 引出列表'!$A$2:$CE$8700,$A300,MATCH(D$1,'2-3 引出列表'!$A$1:$CD$1,0)),""))</f>
        <v>已审核</v>
      </c>
      <c r="E300" t="str">
        <f>IF(ISBLANK(IFERROR(INDEX('2-3 引出列表'!$A$2:$CE$8700,$A300,MATCH(E$1,'2-3 引出列表'!$A$1:$CD$1,0)),"")),"",IFERROR(INDEX('2-3 引出列表'!$A$2:$CE$8700,$A300,MATCH(E$1,'2-3 引出列表'!$A$1:$CD$1,0)),""))</f>
        <v>2025-07-23</v>
      </c>
      <c r="F300" t="str">
        <f t="shared" si="4"/>
        <v>2025-07</v>
      </c>
      <c r="G300" t="str">
        <f>IF(ISBLANK(IFERROR(INDEX('2-3 引出列表'!$A$2:$CE$8700,$A300,MATCH(G$1,'2-3 引出列表'!$A$1:$CD$1,0)),"")),"",IFERROR(INDEX('2-3 引出列表'!$A$2:$CE$8700,$A300,MATCH(G$1,'2-3 引出列表'!$A$1:$CD$1,0)),""))</f>
        <v>物料消耗.物料消耗</v>
      </c>
      <c r="H300" t="str">
        <f>IF(ISBLANK(IFERROR(INDEX('2-3 引出列表'!$A$2:$CE$8700,$A300,MATCH(H$1,'2-3 引出列表'!$A$1:$CD$1,0)),"")),"",IFERROR(INDEX('2-3 引出列表'!$A$2:$CE$8700,$A300,MATCH(H$1,'2-3 引出列表'!$A$1:$CD$1,0)),""))</f>
        <v>XHWZ-Z-2025-00011</v>
      </c>
      <c r="I300" t="str">
        <f>IF(ISBLANK(IFERROR(INDEX('2-3 引出列表'!$A$2:$CE$8700,$A300,MATCH(I$1,'2-3 引出列表'!$A$1:$CD$1,0)),"")),"",IFERROR(INDEX('2-3 引出列表'!$A$2:$CE$8700,$A300,MATCH(I$1,'2-3 引出列表'!$A$1:$CD$1,0)),""))</f>
        <v>金采易购</v>
      </c>
    </row>
    <row r="301" spans="1:9">
      <c r="A301">
        <v>300</v>
      </c>
      <c r="B301" t="str">
        <f>IF(ISBLANK(IFERROR(INDEX('2-3 引出列表'!$A$2:$CE$8700,$A301,MATCH(B$1,'2-3 引出列表'!$A$1:$CD$1,0)),"")),"",IFERROR(INDEX('2-3 引出列表'!$A$2:$CE$8700,$A301,MATCH(B$1,'2-3 引出列表'!$A$1:$CD$1,0)),""))</f>
        <v>FK250723000185</v>
      </c>
      <c r="C301">
        <f>IF(ISBLANK(IFERROR(INDEX('2-3 引出列表'!$A$2:$CE$8700,$A301,MATCH(C$1,'2-3 引出列表'!$A$1:$CD$1,0)),"")),"",IFERROR(INDEX('2-3 引出列表'!$A$2:$CE$8700,$A301,MATCH(C$1,'2-3 引出列表'!$A$1:$CD$1,0)),""))</f>
        <v>48856.48</v>
      </c>
      <c r="D301" t="str">
        <f>IF(ISBLANK(IFERROR(INDEX('2-3 引出列表'!$A$2:$CE$8700,$A301,MATCH(D$1,'2-3 引出列表'!$A$1:$CD$1,0)),"")),"",IFERROR(INDEX('2-3 引出列表'!$A$2:$CE$8700,$A301,MATCH(D$1,'2-3 引出列表'!$A$1:$CD$1,0)),""))</f>
        <v>已审核</v>
      </c>
      <c r="E301" t="str">
        <f>IF(ISBLANK(IFERROR(INDEX('2-3 引出列表'!$A$2:$CE$8700,$A301,MATCH(E$1,'2-3 引出列表'!$A$1:$CD$1,0)),"")),"",IFERROR(INDEX('2-3 引出列表'!$A$2:$CE$8700,$A301,MATCH(E$1,'2-3 引出列表'!$A$1:$CD$1,0)),""))</f>
        <v>2025-07-23</v>
      </c>
      <c r="F301" t="str">
        <f t="shared" si="4"/>
        <v>2025-07</v>
      </c>
      <c r="G301" t="str">
        <f>IF(ISBLANK(IFERROR(INDEX('2-3 引出列表'!$A$2:$CE$8700,$A301,MATCH(G$1,'2-3 引出列表'!$A$1:$CD$1,0)),"")),"",IFERROR(INDEX('2-3 引出列表'!$A$2:$CE$8700,$A301,MATCH(G$1,'2-3 引出列表'!$A$1:$CD$1,0)),""))</f>
        <v>物料消耗.物料消耗</v>
      </c>
      <c r="H301" t="str">
        <f>IF(ISBLANK(IFERROR(INDEX('2-3 引出列表'!$A$2:$CE$8700,$A301,MATCH(H$1,'2-3 引出列表'!$A$1:$CD$1,0)),"")),"",IFERROR(INDEX('2-3 引出列表'!$A$2:$CE$8700,$A301,MATCH(H$1,'2-3 引出列表'!$A$1:$CD$1,0)),""))</f>
        <v>XHWZ-Z-2025-00011</v>
      </c>
      <c r="I301" t="str">
        <f>IF(ISBLANK(IFERROR(INDEX('2-3 引出列表'!$A$2:$CE$8700,$A301,MATCH(I$1,'2-3 引出列表'!$A$1:$CD$1,0)),"")),"",IFERROR(INDEX('2-3 引出列表'!$A$2:$CE$8700,$A301,MATCH(I$1,'2-3 引出列表'!$A$1:$CD$1,0)),""))</f>
        <v>金采易购</v>
      </c>
    </row>
    <row r="302" spans="1:9">
      <c r="A302">
        <v>301</v>
      </c>
      <c r="B302" t="str">
        <f>IF(ISBLANK(IFERROR(INDEX('2-3 引出列表'!$A$2:$CE$8700,$A302,MATCH(B$1,'2-3 引出列表'!$A$1:$CD$1,0)),"")),"",IFERROR(INDEX('2-3 引出列表'!$A$2:$CE$8700,$A302,MATCH(B$1,'2-3 引出列表'!$A$1:$CD$1,0)),""))</f>
        <v>FK250723000185</v>
      </c>
      <c r="C302">
        <f>IF(ISBLANK(IFERROR(INDEX('2-3 引出列表'!$A$2:$CE$8700,$A302,MATCH(C$1,'2-3 引出列表'!$A$1:$CD$1,0)),"")),"",IFERROR(INDEX('2-3 引出列表'!$A$2:$CE$8700,$A302,MATCH(C$1,'2-3 引出列表'!$A$1:$CD$1,0)),""))</f>
        <v>48856.48</v>
      </c>
      <c r="D302" t="str">
        <f>IF(ISBLANK(IFERROR(INDEX('2-3 引出列表'!$A$2:$CE$8700,$A302,MATCH(D$1,'2-3 引出列表'!$A$1:$CD$1,0)),"")),"",IFERROR(INDEX('2-3 引出列表'!$A$2:$CE$8700,$A302,MATCH(D$1,'2-3 引出列表'!$A$1:$CD$1,0)),""))</f>
        <v>已审核</v>
      </c>
      <c r="E302" t="str">
        <f>IF(ISBLANK(IFERROR(INDEX('2-3 引出列表'!$A$2:$CE$8700,$A302,MATCH(E$1,'2-3 引出列表'!$A$1:$CD$1,0)),"")),"",IFERROR(INDEX('2-3 引出列表'!$A$2:$CE$8700,$A302,MATCH(E$1,'2-3 引出列表'!$A$1:$CD$1,0)),""))</f>
        <v>2025-07-23</v>
      </c>
      <c r="F302" t="str">
        <f t="shared" si="4"/>
        <v>2025-07</v>
      </c>
      <c r="G302" t="str">
        <f>IF(ISBLANK(IFERROR(INDEX('2-3 引出列表'!$A$2:$CE$8700,$A302,MATCH(G$1,'2-3 引出列表'!$A$1:$CD$1,0)),"")),"",IFERROR(INDEX('2-3 引出列表'!$A$2:$CE$8700,$A302,MATCH(G$1,'2-3 引出列表'!$A$1:$CD$1,0)),""))</f>
        <v>物料消耗.物料消耗</v>
      </c>
      <c r="H302" t="str">
        <f>IF(ISBLANK(IFERROR(INDEX('2-3 引出列表'!$A$2:$CE$8700,$A302,MATCH(H$1,'2-3 引出列表'!$A$1:$CD$1,0)),"")),"",IFERROR(INDEX('2-3 引出列表'!$A$2:$CE$8700,$A302,MATCH(H$1,'2-3 引出列表'!$A$1:$CD$1,0)),""))</f>
        <v>XHWZ-Z-2025-00011</v>
      </c>
      <c r="I302" t="str">
        <f>IF(ISBLANK(IFERROR(INDEX('2-3 引出列表'!$A$2:$CE$8700,$A302,MATCH(I$1,'2-3 引出列表'!$A$1:$CD$1,0)),"")),"",IFERROR(INDEX('2-3 引出列表'!$A$2:$CE$8700,$A302,MATCH(I$1,'2-3 引出列表'!$A$1:$CD$1,0)),""))</f>
        <v>金采易购</v>
      </c>
    </row>
    <row r="303" spans="1:9">
      <c r="A303">
        <v>302</v>
      </c>
      <c r="B303" t="str">
        <f>IF(ISBLANK(IFERROR(INDEX('2-3 引出列表'!$A$2:$CE$8700,$A303,MATCH(B$1,'2-3 引出列表'!$A$1:$CD$1,0)),"")),"",IFERROR(INDEX('2-3 引出列表'!$A$2:$CE$8700,$A303,MATCH(B$1,'2-3 引出列表'!$A$1:$CD$1,0)),""))</f>
        <v>FK250723000185</v>
      </c>
      <c r="C303">
        <f>IF(ISBLANK(IFERROR(INDEX('2-3 引出列表'!$A$2:$CE$8700,$A303,MATCH(C$1,'2-3 引出列表'!$A$1:$CD$1,0)),"")),"",IFERROR(INDEX('2-3 引出列表'!$A$2:$CE$8700,$A303,MATCH(C$1,'2-3 引出列表'!$A$1:$CD$1,0)),""))</f>
        <v>48856.48</v>
      </c>
      <c r="D303" t="str">
        <f>IF(ISBLANK(IFERROR(INDEX('2-3 引出列表'!$A$2:$CE$8700,$A303,MATCH(D$1,'2-3 引出列表'!$A$1:$CD$1,0)),"")),"",IFERROR(INDEX('2-3 引出列表'!$A$2:$CE$8700,$A303,MATCH(D$1,'2-3 引出列表'!$A$1:$CD$1,0)),""))</f>
        <v>已审核</v>
      </c>
      <c r="E303" t="str">
        <f>IF(ISBLANK(IFERROR(INDEX('2-3 引出列表'!$A$2:$CE$8700,$A303,MATCH(E$1,'2-3 引出列表'!$A$1:$CD$1,0)),"")),"",IFERROR(INDEX('2-3 引出列表'!$A$2:$CE$8700,$A303,MATCH(E$1,'2-3 引出列表'!$A$1:$CD$1,0)),""))</f>
        <v>2025-07-23</v>
      </c>
      <c r="F303" t="str">
        <f t="shared" si="4"/>
        <v>2025-07</v>
      </c>
      <c r="G303" t="str">
        <f>IF(ISBLANK(IFERROR(INDEX('2-3 引出列表'!$A$2:$CE$8700,$A303,MATCH(G$1,'2-3 引出列表'!$A$1:$CD$1,0)),"")),"",IFERROR(INDEX('2-3 引出列表'!$A$2:$CE$8700,$A303,MATCH(G$1,'2-3 引出列表'!$A$1:$CD$1,0)),""))</f>
        <v>物料消耗.物料消耗</v>
      </c>
      <c r="H303" t="str">
        <f>IF(ISBLANK(IFERROR(INDEX('2-3 引出列表'!$A$2:$CE$8700,$A303,MATCH(H$1,'2-3 引出列表'!$A$1:$CD$1,0)),"")),"",IFERROR(INDEX('2-3 引出列表'!$A$2:$CE$8700,$A303,MATCH(H$1,'2-3 引出列表'!$A$1:$CD$1,0)),""))</f>
        <v>XHWZ-Z-2025-00011</v>
      </c>
      <c r="I303" t="str">
        <f>IF(ISBLANK(IFERROR(INDEX('2-3 引出列表'!$A$2:$CE$8700,$A303,MATCH(I$1,'2-3 引出列表'!$A$1:$CD$1,0)),"")),"",IFERROR(INDEX('2-3 引出列表'!$A$2:$CE$8700,$A303,MATCH(I$1,'2-3 引出列表'!$A$1:$CD$1,0)),""))</f>
        <v>金采易购</v>
      </c>
    </row>
    <row r="304" spans="1:9">
      <c r="A304">
        <v>303</v>
      </c>
      <c r="B304" t="str">
        <f>IF(ISBLANK(IFERROR(INDEX('2-3 引出列表'!$A$2:$CE$8700,$A304,MATCH(B$1,'2-3 引出列表'!$A$1:$CD$1,0)),"")),"",IFERROR(INDEX('2-3 引出列表'!$A$2:$CE$8700,$A304,MATCH(B$1,'2-3 引出列表'!$A$1:$CD$1,0)),""))</f>
        <v>FK250723000185</v>
      </c>
      <c r="C304">
        <f>IF(ISBLANK(IFERROR(INDEX('2-3 引出列表'!$A$2:$CE$8700,$A304,MATCH(C$1,'2-3 引出列表'!$A$1:$CD$1,0)),"")),"",IFERROR(INDEX('2-3 引出列表'!$A$2:$CE$8700,$A304,MATCH(C$1,'2-3 引出列表'!$A$1:$CD$1,0)),""))</f>
        <v>48856.48</v>
      </c>
      <c r="D304" t="str">
        <f>IF(ISBLANK(IFERROR(INDEX('2-3 引出列表'!$A$2:$CE$8700,$A304,MATCH(D$1,'2-3 引出列表'!$A$1:$CD$1,0)),"")),"",IFERROR(INDEX('2-3 引出列表'!$A$2:$CE$8700,$A304,MATCH(D$1,'2-3 引出列表'!$A$1:$CD$1,0)),""))</f>
        <v>已审核</v>
      </c>
      <c r="E304" t="str">
        <f>IF(ISBLANK(IFERROR(INDEX('2-3 引出列表'!$A$2:$CE$8700,$A304,MATCH(E$1,'2-3 引出列表'!$A$1:$CD$1,0)),"")),"",IFERROR(INDEX('2-3 引出列表'!$A$2:$CE$8700,$A304,MATCH(E$1,'2-3 引出列表'!$A$1:$CD$1,0)),""))</f>
        <v>2025-07-23</v>
      </c>
      <c r="F304" t="str">
        <f t="shared" si="4"/>
        <v>2025-07</v>
      </c>
      <c r="G304" t="str">
        <f>IF(ISBLANK(IFERROR(INDEX('2-3 引出列表'!$A$2:$CE$8700,$A304,MATCH(G$1,'2-3 引出列表'!$A$1:$CD$1,0)),"")),"",IFERROR(INDEX('2-3 引出列表'!$A$2:$CE$8700,$A304,MATCH(G$1,'2-3 引出列表'!$A$1:$CD$1,0)),""))</f>
        <v>物料消耗.物料消耗</v>
      </c>
      <c r="H304" t="str">
        <f>IF(ISBLANK(IFERROR(INDEX('2-3 引出列表'!$A$2:$CE$8700,$A304,MATCH(H$1,'2-3 引出列表'!$A$1:$CD$1,0)),"")),"",IFERROR(INDEX('2-3 引出列表'!$A$2:$CE$8700,$A304,MATCH(H$1,'2-3 引出列表'!$A$1:$CD$1,0)),""))</f>
        <v>XHWZ-Z-2025-00011</v>
      </c>
      <c r="I304" t="str">
        <f>IF(ISBLANK(IFERROR(INDEX('2-3 引出列表'!$A$2:$CE$8700,$A304,MATCH(I$1,'2-3 引出列表'!$A$1:$CD$1,0)),"")),"",IFERROR(INDEX('2-3 引出列表'!$A$2:$CE$8700,$A304,MATCH(I$1,'2-3 引出列表'!$A$1:$CD$1,0)),""))</f>
        <v>金采易购</v>
      </c>
    </row>
    <row r="305" spans="1:9">
      <c r="A305">
        <v>304</v>
      </c>
      <c r="B305" t="str">
        <f>IF(ISBLANK(IFERROR(INDEX('2-3 引出列表'!$A$2:$CE$8700,$A305,MATCH(B$1,'2-3 引出列表'!$A$1:$CD$1,0)),"")),"",IFERROR(INDEX('2-3 引出列表'!$A$2:$CE$8700,$A305,MATCH(B$1,'2-3 引出列表'!$A$1:$CD$1,0)),""))</f>
        <v>FK250723000185</v>
      </c>
      <c r="C305">
        <f>IF(ISBLANK(IFERROR(INDEX('2-3 引出列表'!$A$2:$CE$8700,$A305,MATCH(C$1,'2-3 引出列表'!$A$1:$CD$1,0)),"")),"",IFERROR(INDEX('2-3 引出列表'!$A$2:$CE$8700,$A305,MATCH(C$1,'2-3 引出列表'!$A$1:$CD$1,0)),""))</f>
        <v>48856.48</v>
      </c>
      <c r="D305" t="str">
        <f>IF(ISBLANK(IFERROR(INDEX('2-3 引出列表'!$A$2:$CE$8700,$A305,MATCH(D$1,'2-3 引出列表'!$A$1:$CD$1,0)),"")),"",IFERROR(INDEX('2-3 引出列表'!$A$2:$CE$8700,$A305,MATCH(D$1,'2-3 引出列表'!$A$1:$CD$1,0)),""))</f>
        <v>已审核</v>
      </c>
      <c r="E305" t="str">
        <f>IF(ISBLANK(IFERROR(INDEX('2-3 引出列表'!$A$2:$CE$8700,$A305,MATCH(E$1,'2-3 引出列表'!$A$1:$CD$1,0)),"")),"",IFERROR(INDEX('2-3 引出列表'!$A$2:$CE$8700,$A305,MATCH(E$1,'2-3 引出列表'!$A$1:$CD$1,0)),""))</f>
        <v>2025-07-23</v>
      </c>
      <c r="F305" t="str">
        <f t="shared" si="4"/>
        <v>2025-07</v>
      </c>
      <c r="G305" t="str">
        <f>IF(ISBLANK(IFERROR(INDEX('2-3 引出列表'!$A$2:$CE$8700,$A305,MATCH(G$1,'2-3 引出列表'!$A$1:$CD$1,0)),"")),"",IFERROR(INDEX('2-3 引出列表'!$A$2:$CE$8700,$A305,MATCH(G$1,'2-3 引出列表'!$A$1:$CD$1,0)),""))</f>
        <v>物料消耗.物料消耗</v>
      </c>
      <c r="H305" t="str">
        <f>IF(ISBLANK(IFERROR(INDEX('2-3 引出列表'!$A$2:$CE$8700,$A305,MATCH(H$1,'2-3 引出列表'!$A$1:$CD$1,0)),"")),"",IFERROR(INDEX('2-3 引出列表'!$A$2:$CE$8700,$A305,MATCH(H$1,'2-3 引出列表'!$A$1:$CD$1,0)),""))</f>
        <v>XHWZ-Z-2025-00011</v>
      </c>
      <c r="I305" t="str">
        <f>IF(ISBLANK(IFERROR(INDEX('2-3 引出列表'!$A$2:$CE$8700,$A305,MATCH(I$1,'2-3 引出列表'!$A$1:$CD$1,0)),"")),"",IFERROR(INDEX('2-3 引出列表'!$A$2:$CE$8700,$A305,MATCH(I$1,'2-3 引出列表'!$A$1:$CD$1,0)),""))</f>
        <v>金采易购</v>
      </c>
    </row>
    <row r="306" spans="1:9">
      <c r="A306">
        <v>305</v>
      </c>
      <c r="B306" t="str">
        <f>IF(ISBLANK(IFERROR(INDEX('2-3 引出列表'!$A$2:$CE$8700,$A306,MATCH(B$1,'2-3 引出列表'!$A$1:$CD$1,0)),"")),"",IFERROR(INDEX('2-3 引出列表'!$A$2:$CE$8700,$A306,MATCH(B$1,'2-3 引出列表'!$A$1:$CD$1,0)),""))</f>
        <v>FK250723000185</v>
      </c>
      <c r="C306">
        <f>IF(ISBLANK(IFERROR(INDEX('2-3 引出列表'!$A$2:$CE$8700,$A306,MATCH(C$1,'2-3 引出列表'!$A$1:$CD$1,0)),"")),"",IFERROR(INDEX('2-3 引出列表'!$A$2:$CE$8700,$A306,MATCH(C$1,'2-3 引出列表'!$A$1:$CD$1,0)),""))</f>
        <v>48856.48</v>
      </c>
      <c r="D306" t="str">
        <f>IF(ISBLANK(IFERROR(INDEX('2-3 引出列表'!$A$2:$CE$8700,$A306,MATCH(D$1,'2-3 引出列表'!$A$1:$CD$1,0)),"")),"",IFERROR(INDEX('2-3 引出列表'!$A$2:$CE$8700,$A306,MATCH(D$1,'2-3 引出列表'!$A$1:$CD$1,0)),""))</f>
        <v>已审核</v>
      </c>
      <c r="E306" t="str">
        <f>IF(ISBLANK(IFERROR(INDEX('2-3 引出列表'!$A$2:$CE$8700,$A306,MATCH(E$1,'2-3 引出列表'!$A$1:$CD$1,0)),"")),"",IFERROR(INDEX('2-3 引出列表'!$A$2:$CE$8700,$A306,MATCH(E$1,'2-3 引出列表'!$A$1:$CD$1,0)),""))</f>
        <v>2025-07-23</v>
      </c>
      <c r="F306" t="str">
        <f t="shared" si="4"/>
        <v>2025-07</v>
      </c>
      <c r="G306" t="str">
        <f>IF(ISBLANK(IFERROR(INDEX('2-3 引出列表'!$A$2:$CE$8700,$A306,MATCH(G$1,'2-3 引出列表'!$A$1:$CD$1,0)),"")),"",IFERROR(INDEX('2-3 引出列表'!$A$2:$CE$8700,$A306,MATCH(G$1,'2-3 引出列表'!$A$1:$CD$1,0)),""))</f>
        <v>物料消耗.物料消耗</v>
      </c>
      <c r="H306" t="str">
        <f>IF(ISBLANK(IFERROR(INDEX('2-3 引出列表'!$A$2:$CE$8700,$A306,MATCH(H$1,'2-3 引出列表'!$A$1:$CD$1,0)),"")),"",IFERROR(INDEX('2-3 引出列表'!$A$2:$CE$8700,$A306,MATCH(H$1,'2-3 引出列表'!$A$1:$CD$1,0)),""))</f>
        <v>XHWZ-Z-2025-00011</v>
      </c>
      <c r="I306" t="str">
        <f>IF(ISBLANK(IFERROR(INDEX('2-3 引出列表'!$A$2:$CE$8700,$A306,MATCH(I$1,'2-3 引出列表'!$A$1:$CD$1,0)),"")),"",IFERROR(INDEX('2-3 引出列表'!$A$2:$CE$8700,$A306,MATCH(I$1,'2-3 引出列表'!$A$1:$CD$1,0)),""))</f>
        <v>金采易购</v>
      </c>
    </row>
    <row r="307" spans="1:9">
      <c r="A307">
        <v>306</v>
      </c>
      <c r="B307" t="str">
        <f>IF(ISBLANK(IFERROR(INDEX('2-3 引出列表'!$A$2:$CE$8700,$A307,MATCH(B$1,'2-3 引出列表'!$A$1:$CD$1,0)),"")),"",IFERROR(INDEX('2-3 引出列表'!$A$2:$CE$8700,$A307,MATCH(B$1,'2-3 引出列表'!$A$1:$CD$1,0)),""))</f>
        <v>FK250723000185</v>
      </c>
      <c r="C307">
        <f>IF(ISBLANK(IFERROR(INDEX('2-3 引出列表'!$A$2:$CE$8700,$A307,MATCH(C$1,'2-3 引出列表'!$A$1:$CD$1,0)),"")),"",IFERROR(INDEX('2-3 引出列表'!$A$2:$CE$8700,$A307,MATCH(C$1,'2-3 引出列表'!$A$1:$CD$1,0)),""))</f>
        <v>48856.48</v>
      </c>
      <c r="D307" t="str">
        <f>IF(ISBLANK(IFERROR(INDEX('2-3 引出列表'!$A$2:$CE$8700,$A307,MATCH(D$1,'2-3 引出列表'!$A$1:$CD$1,0)),"")),"",IFERROR(INDEX('2-3 引出列表'!$A$2:$CE$8700,$A307,MATCH(D$1,'2-3 引出列表'!$A$1:$CD$1,0)),""))</f>
        <v>已审核</v>
      </c>
      <c r="E307" t="str">
        <f>IF(ISBLANK(IFERROR(INDEX('2-3 引出列表'!$A$2:$CE$8700,$A307,MATCH(E$1,'2-3 引出列表'!$A$1:$CD$1,0)),"")),"",IFERROR(INDEX('2-3 引出列表'!$A$2:$CE$8700,$A307,MATCH(E$1,'2-3 引出列表'!$A$1:$CD$1,0)),""))</f>
        <v>2025-07-23</v>
      </c>
      <c r="F307" t="str">
        <f t="shared" si="4"/>
        <v>2025-07</v>
      </c>
      <c r="G307" t="str">
        <f>IF(ISBLANK(IFERROR(INDEX('2-3 引出列表'!$A$2:$CE$8700,$A307,MATCH(G$1,'2-3 引出列表'!$A$1:$CD$1,0)),"")),"",IFERROR(INDEX('2-3 引出列表'!$A$2:$CE$8700,$A307,MATCH(G$1,'2-3 引出列表'!$A$1:$CD$1,0)),""))</f>
        <v>物料消耗.物料消耗</v>
      </c>
      <c r="H307" t="str">
        <f>IF(ISBLANK(IFERROR(INDEX('2-3 引出列表'!$A$2:$CE$8700,$A307,MATCH(H$1,'2-3 引出列表'!$A$1:$CD$1,0)),"")),"",IFERROR(INDEX('2-3 引出列表'!$A$2:$CE$8700,$A307,MATCH(H$1,'2-3 引出列表'!$A$1:$CD$1,0)),""))</f>
        <v>XHWZ-Z-2025-00011</v>
      </c>
      <c r="I307" t="str">
        <f>IF(ISBLANK(IFERROR(INDEX('2-3 引出列表'!$A$2:$CE$8700,$A307,MATCH(I$1,'2-3 引出列表'!$A$1:$CD$1,0)),"")),"",IFERROR(INDEX('2-3 引出列表'!$A$2:$CE$8700,$A307,MATCH(I$1,'2-3 引出列表'!$A$1:$CD$1,0)),""))</f>
        <v>金采易购</v>
      </c>
    </row>
    <row r="308" spans="1:9">
      <c r="A308">
        <v>307</v>
      </c>
      <c r="B308" t="str">
        <f>IF(ISBLANK(IFERROR(INDEX('2-3 引出列表'!$A$2:$CE$8700,$A308,MATCH(B$1,'2-3 引出列表'!$A$1:$CD$1,0)),"")),"",IFERROR(INDEX('2-3 引出列表'!$A$2:$CE$8700,$A308,MATCH(B$1,'2-3 引出列表'!$A$1:$CD$1,0)),""))</f>
        <v>FK250723000185</v>
      </c>
      <c r="C308">
        <f>IF(ISBLANK(IFERROR(INDEX('2-3 引出列表'!$A$2:$CE$8700,$A308,MATCH(C$1,'2-3 引出列表'!$A$1:$CD$1,0)),"")),"",IFERROR(INDEX('2-3 引出列表'!$A$2:$CE$8700,$A308,MATCH(C$1,'2-3 引出列表'!$A$1:$CD$1,0)),""))</f>
        <v>48856.48</v>
      </c>
      <c r="D308" t="str">
        <f>IF(ISBLANK(IFERROR(INDEX('2-3 引出列表'!$A$2:$CE$8700,$A308,MATCH(D$1,'2-3 引出列表'!$A$1:$CD$1,0)),"")),"",IFERROR(INDEX('2-3 引出列表'!$A$2:$CE$8700,$A308,MATCH(D$1,'2-3 引出列表'!$A$1:$CD$1,0)),""))</f>
        <v>已审核</v>
      </c>
      <c r="E308" t="str">
        <f>IF(ISBLANK(IFERROR(INDEX('2-3 引出列表'!$A$2:$CE$8700,$A308,MATCH(E$1,'2-3 引出列表'!$A$1:$CD$1,0)),"")),"",IFERROR(INDEX('2-3 引出列表'!$A$2:$CE$8700,$A308,MATCH(E$1,'2-3 引出列表'!$A$1:$CD$1,0)),""))</f>
        <v>2025-07-23</v>
      </c>
      <c r="F308" t="str">
        <f t="shared" si="4"/>
        <v>2025-07</v>
      </c>
      <c r="G308" t="str">
        <f>IF(ISBLANK(IFERROR(INDEX('2-3 引出列表'!$A$2:$CE$8700,$A308,MATCH(G$1,'2-3 引出列表'!$A$1:$CD$1,0)),"")),"",IFERROR(INDEX('2-3 引出列表'!$A$2:$CE$8700,$A308,MATCH(G$1,'2-3 引出列表'!$A$1:$CD$1,0)),""))</f>
        <v>物料消耗.物料消耗</v>
      </c>
      <c r="H308" t="str">
        <f>IF(ISBLANK(IFERROR(INDEX('2-3 引出列表'!$A$2:$CE$8700,$A308,MATCH(H$1,'2-3 引出列表'!$A$1:$CD$1,0)),"")),"",IFERROR(INDEX('2-3 引出列表'!$A$2:$CE$8700,$A308,MATCH(H$1,'2-3 引出列表'!$A$1:$CD$1,0)),""))</f>
        <v>XHWZ-Z-2025-00011</v>
      </c>
      <c r="I308" t="str">
        <f>IF(ISBLANK(IFERROR(INDEX('2-3 引出列表'!$A$2:$CE$8700,$A308,MATCH(I$1,'2-3 引出列表'!$A$1:$CD$1,0)),"")),"",IFERROR(INDEX('2-3 引出列表'!$A$2:$CE$8700,$A308,MATCH(I$1,'2-3 引出列表'!$A$1:$CD$1,0)),""))</f>
        <v>金采易购</v>
      </c>
    </row>
    <row r="309" spans="1:9">
      <c r="A309">
        <v>308</v>
      </c>
      <c r="B309" t="str">
        <f>IF(ISBLANK(IFERROR(INDEX('2-3 引出列表'!$A$2:$CE$8700,$A309,MATCH(B$1,'2-3 引出列表'!$A$1:$CD$1,0)),"")),"",IFERROR(INDEX('2-3 引出列表'!$A$2:$CE$8700,$A309,MATCH(B$1,'2-3 引出列表'!$A$1:$CD$1,0)),""))</f>
        <v>FK250723000185</v>
      </c>
      <c r="C309">
        <f>IF(ISBLANK(IFERROR(INDEX('2-3 引出列表'!$A$2:$CE$8700,$A309,MATCH(C$1,'2-3 引出列表'!$A$1:$CD$1,0)),"")),"",IFERROR(INDEX('2-3 引出列表'!$A$2:$CE$8700,$A309,MATCH(C$1,'2-3 引出列表'!$A$1:$CD$1,0)),""))</f>
        <v>48856.48</v>
      </c>
      <c r="D309" t="str">
        <f>IF(ISBLANK(IFERROR(INDEX('2-3 引出列表'!$A$2:$CE$8700,$A309,MATCH(D$1,'2-3 引出列表'!$A$1:$CD$1,0)),"")),"",IFERROR(INDEX('2-3 引出列表'!$A$2:$CE$8700,$A309,MATCH(D$1,'2-3 引出列表'!$A$1:$CD$1,0)),""))</f>
        <v>已审核</v>
      </c>
      <c r="E309" t="str">
        <f>IF(ISBLANK(IFERROR(INDEX('2-3 引出列表'!$A$2:$CE$8700,$A309,MATCH(E$1,'2-3 引出列表'!$A$1:$CD$1,0)),"")),"",IFERROR(INDEX('2-3 引出列表'!$A$2:$CE$8700,$A309,MATCH(E$1,'2-3 引出列表'!$A$1:$CD$1,0)),""))</f>
        <v>2025-07-23</v>
      </c>
      <c r="F309" t="str">
        <f t="shared" si="4"/>
        <v>2025-07</v>
      </c>
      <c r="G309" t="str">
        <f>IF(ISBLANK(IFERROR(INDEX('2-3 引出列表'!$A$2:$CE$8700,$A309,MATCH(G$1,'2-3 引出列表'!$A$1:$CD$1,0)),"")),"",IFERROR(INDEX('2-3 引出列表'!$A$2:$CE$8700,$A309,MATCH(G$1,'2-3 引出列表'!$A$1:$CD$1,0)),""))</f>
        <v>物料消耗.物料消耗</v>
      </c>
      <c r="H309" t="str">
        <f>IF(ISBLANK(IFERROR(INDEX('2-3 引出列表'!$A$2:$CE$8700,$A309,MATCH(H$1,'2-3 引出列表'!$A$1:$CD$1,0)),"")),"",IFERROR(INDEX('2-3 引出列表'!$A$2:$CE$8700,$A309,MATCH(H$1,'2-3 引出列表'!$A$1:$CD$1,0)),""))</f>
        <v>XHWZ-Z-2025-00011</v>
      </c>
      <c r="I309" t="str">
        <f>IF(ISBLANK(IFERROR(INDEX('2-3 引出列表'!$A$2:$CE$8700,$A309,MATCH(I$1,'2-3 引出列表'!$A$1:$CD$1,0)),"")),"",IFERROR(INDEX('2-3 引出列表'!$A$2:$CE$8700,$A309,MATCH(I$1,'2-3 引出列表'!$A$1:$CD$1,0)),""))</f>
        <v>金采易购</v>
      </c>
    </row>
    <row r="310" spans="1:9">
      <c r="A310">
        <v>309</v>
      </c>
      <c r="B310" t="str">
        <f>IF(ISBLANK(IFERROR(INDEX('2-3 引出列表'!$A$2:$CE$8700,$A310,MATCH(B$1,'2-3 引出列表'!$A$1:$CD$1,0)),"")),"",IFERROR(INDEX('2-3 引出列表'!$A$2:$CE$8700,$A310,MATCH(B$1,'2-3 引出列表'!$A$1:$CD$1,0)),""))</f>
        <v>FK250723000185</v>
      </c>
      <c r="C310">
        <f>IF(ISBLANK(IFERROR(INDEX('2-3 引出列表'!$A$2:$CE$8700,$A310,MATCH(C$1,'2-3 引出列表'!$A$1:$CD$1,0)),"")),"",IFERROR(INDEX('2-3 引出列表'!$A$2:$CE$8700,$A310,MATCH(C$1,'2-3 引出列表'!$A$1:$CD$1,0)),""))</f>
        <v>48856.48</v>
      </c>
      <c r="D310" t="str">
        <f>IF(ISBLANK(IFERROR(INDEX('2-3 引出列表'!$A$2:$CE$8700,$A310,MATCH(D$1,'2-3 引出列表'!$A$1:$CD$1,0)),"")),"",IFERROR(INDEX('2-3 引出列表'!$A$2:$CE$8700,$A310,MATCH(D$1,'2-3 引出列表'!$A$1:$CD$1,0)),""))</f>
        <v>已审核</v>
      </c>
      <c r="E310" t="str">
        <f>IF(ISBLANK(IFERROR(INDEX('2-3 引出列表'!$A$2:$CE$8700,$A310,MATCH(E$1,'2-3 引出列表'!$A$1:$CD$1,0)),"")),"",IFERROR(INDEX('2-3 引出列表'!$A$2:$CE$8700,$A310,MATCH(E$1,'2-3 引出列表'!$A$1:$CD$1,0)),""))</f>
        <v>2025-07-23</v>
      </c>
      <c r="F310" t="str">
        <f t="shared" si="4"/>
        <v>2025-07</v>
      </c>
      <c r="G310" t="str">
        <f>IF(ISBLANK(IFERROR(INDEX('2-3 引出列表'!$A$2:$CE$8700,$A310,MATCH(G$1,'2-3 引出列表'!$A$1:$CD$1,0)),"")),"",IFERROR(INDEX('2-3 引出列表'!$A$2:$CE$8700,$A310,MATCH(G$1,'2-3 引出列表'!$A$1:$CD$1,0)),""))</f>
        <v>物料消耗.物料消耗</v>
      </c>
      <c r="H310" t="str">
        <f>IF(ISBLANK(IFERROR(INDEX('2-3 引出列表'!$A$2:$CE$8700,$A310,MATCH(H$1,'2-3 引出列表'!$A$1:$CD$1,0)),"")),"",IFERROR(INDEX('2-3 引出列表'!$A$2:$CE$8700,$A310,MATCH(H$1,'2-3 引出列表'!$A$1:$CD$1,0)),""))</f>
        <v>XHWZ-Z-2025-00011</v>
      </c>
      <c r="I310" t="str">
        <f>IF(ISBLANK(IFERROR(INDEX('2-3 引出列表'!$A$2:$CE$8700,$A310,MATCH(I$1,'2-3 引出列表'!$A$1:$CD$1,0)),"")),"",IFERROR(INDEX('2-3 引出列表'!$A$2:$CE$8700,$A310,MATCH(I$1,'2-3 引出列表'!$A$1:$CD$1,0)),""))</f>
        <v>金采易购</v>
      </c>
    </row>
    <row r="311" spans="1:9">
      <c r="A311">
        <v>310</v>
      </c>
      <c r="B311" t="str">
        <f>IF(ISBLANK(IFERROR(INDEX('2-3 引出列表'!$A$2:$CE$8700,$A311,MATCH(B$1,'2-3 引出列表'!$A$1:$CD$1,0)),"")),"",IFERROR(INDEX('2-3 引出列表'!$A$2:$CE$8700,$A311,MATCH(B$1,'2-3 引出列表'!$A$1:$CD$1,0)),""))</f>
        <v>FK250723000185</v>
      </c>
      <c r="C311">
        <f>IF(ISBLANK(IFERROR(INDEX('2-3 引出列表'!$A$2:$CE$8700,$A311,MATCH(C$1,'2-3 引出列表'!$A$1:$CD$1,0)),"")),"",IFERROR(INDEX('2-3 引出列表'!$A$2:$CE$8700,$A311,MATCH(C$1,'2-3 引出列表'!$A$1:$CD$1,0)),""))</f>
        <v>48856.48</v>
      </c>
      <c r="D311" t="str">
        <f>IF(ISBLANK(IFERROR(INDEX('2-3 引出列表'!$A$2:$CE$8700,$A311,MATCH(D$1,'2-3 引出列表'!$A$1:$CD$1,0)),"")),"",IFERROR(INDEX('2-3 引出列表'!$A$2:$CE$8700,$A311,MATCH(D$1,'2-3 引出列表'!$A$1:$CD$1,0)),""))</f>
        <v>已审核</v>
      </c>
      <c r="E311" t="str">
        <f>IF(ISBLANK(IFERROR(INDEX('2-3 引出列表'!$A$2:$CE$8700,$A311,MATCH(E$1,'2-3 引出列表'!$A$1:$CD$1,0)),"")),"",IFERROR(INDEX('2-3 引出列表'!$A$2:$CE$8700,$A311,MATCH(E$1,'2-3 引出列表'!$A$1:$CD$1,0)),""))</f>
        <v>2025-07-23</v>
      </c>
      <c r="F311" t="str">
        <f t="shared" si="4"/>
        <v>2025-07</v>
      </c>
      <c r="G311" t="str">
        <f>IF(ISBLANK(IFERROR(INDEX('2-3 引出列表'!$A$2:$CE$8700,$A311,MATCH(G$1,'2-3 引出列表'!$A$1:$CD$1,0)),"")),"",IFERROR(INDEX('2-3 引出列表'!$A$2:$CE$8700,$A311,MATCH(G$1,'2-3 引出列表'!$A$1:$CD$1,0)),""))</f>
        <v>物料消耗.物料消耗</v>
      </c>
      <c r="H311" t="str">
        <f>IF(ISBLANK(IFERROR(INDEX('2-3 引出列表'!$A$2:$CE$8700,$A311,MATCH(H$1,'2-3 引出列表'!$A$1:$CD$1,0)),"")),"",IFERROR(INDEX('2-3 引出列表'!$A$2:$CE$8700,$A311,MATCH(H$1,'2-3 引出列表'!$A$1:$CD$1,0)),""))</f>
        <v>XHWZ-Z-2025-00011</v>
      </c>
      <c r="I311" t="str">
        <f>IF(ISBLANK(IFERROR(INDEX('2-3 引出列表'!$A$2:$CE$8700,$A311,MATCH(I$1,'2-3 引出列表'!$A$1:$CD$1,0)),"")),"",IFERROR(INDEX('2-3 引出列表'!$A$2:$CE$8700,$A311,MATCH(I$1,'2-3 引出列表'!$A$1:$CD$1,0)),""))</f>
        <v>金采易购</v>
      </c>
    </row>
    <row r="312" spans="1:9">
      <c r="A312">
        <v>311</v>
      </c>
      <c r="B312" t="str">
        <f>IF(ISBLANK(IFERROR(INDEX('2-3 引出列表'!$A$2:$CE$8700,$A312,MATCH(B$1,'2-3 引出列表'!$A$1:$CD$1,0)),"")),"",IFERROR(INDEX('2-3 引出列表'!$A$2:$CE$8700,$A312,MATCH(B$1,'2-3 引出列表'!$A$1:$CD$1,0)),""))</f>
        <v>FK250723000185</v>
      </c>
      <c r="C312">
        <f>IF(ISBLANK(IFERROR(INDEX('2-3 引出列表'!$A$2:$CE$8700,$A312,MATCH(C$1,'2-3 引出列表'!$A$1:$CD$1,0)),"")),"",IFERROR(INDEX('2-3 引出列表'!$A$2:$CE$8700,$A312,MATCH(C$1,'2-3 引出列表'!$A$1:$CD$1,0)),""))</f>
        <v>48856.48</v>
      </c>
      <c r="D312" t="str">
        <f>IF(ISBLANK(IFERROR(INDEX('2-3 引出列表'!$A$2:$CE$8700,$A312,MATCH(D$1,'2-3 引出列表'!$A$1:$CD$1,0)),"")),"",IFERROR(INDEX('2-3 引出列表'!$A$2:$CE$8700,$A312,MATCH(D$1,'2-3 引出列表'!$A$1:$CD$1,0)),""))</f>
        <v>已审核</v>
      </c>
      <c r="E312" t="str">
        <f>IF(ISBLANK(IFERROR(INDEX('2-3 引出列表'!$A$2:$CE$8700,$A312,MATCH(E$1,'2-3 引出列表'!$A$1:$CD$1,0)),"")),"",IFERROR(INDEX('2-3 引出列表'!$A$2:$CE$8700,$A312,MATCH(E$1,'2-3 引出列表'!$A$1:$CD$1,0)),""))</f>
        <v>2025-07-23</v>
      </c>
      <c r="F312" t="str">
        <f t="shared" si="4"/>
        <v>2025-07</v>
      </c>
      <c r="G312" t="str">
        <f>IF(ISBLANK(IFERROR(INDEX('2-3 引出列表'!$A$2:$CE$8700,$A312,MATCH(G$1,'2-3 引出列表'!$A$1:$CD$1,0)),"")),"",IFERROR(INDEX('2-3 引出列表'!$A$2:$CE$8700,$A312,MATCH(G$1,'2-3 引出列表'!$A$1:$CD$1,0)),""))</f>
        <v>物料消耗.物料消耗</v>
      </c>
      <c r="H312" t="str">
        <f>IF(ISBLANK(IFERROR(INDEX('2-3 引出列表'!$A$2:$CE$8700,$A312,MATCH(H$1,'2-3 引出列表'!$A$1:$CD$1,0)),"")),"",IFERROR(INDEX('2-3 引出列表'!$A$2:$CE$8700,$A312,MATCH(H$1,'2-3 引出列表'!$A$1:$CD$1,0)),""))</f>
        <v>XHWZ-Z-2025-00011</v>
      </c>
      <c r="I312" t="str">
        <f>IF(ISBLANK(IFERROR(INDEX('2-3 引出列表'!$A$2:$CE$8700,$A312,MATCH(I$1,'2-3 引出列表'!$A$1:$CD$1,0)),"")),"",IFERROR(INDEX('2-3 引出列表'!$A$2:$CE$8700,$A312,MATCH(I$1,'2-3 引出列表'!$A$1:$CD$1,0)),""))</f>
        <v>金采易购</v>
      </c>
    </row>
    <row r="313" spans="1:9">
      <c r="A313">
        <v>312</v>
      </c>
      <c r="B313" t="str">
        <f>IF(ISBLANK(IFERROR(INDEX('2-3 引出列表'!$A$2:$CE$8700,$A313,MATCH(B$1,'2-3 引出列表'!$A$1:$CD$1,0)),"")),"",IFERROR(INDEX('2-3 引出列表'!$A$2:$CE$8700,$A313,MATCH(B$1,'2-3 引出列表'!$A$1:$CD$1,0)),""))</f>
        <v>FK250723000185</v>
      </c>
      <c r="C313">
        <f>IF(ISBLANK(IFERROR(INDEX('2-3 引出列表'!$A$2:$CE$8700,$A313,MATCH(C$1,'2-3 引出列表'!$A$1:$CD$1,0)),"")),"",IFERROR(INDEX('2-3 引出列表'!$A$2:$CE$8700,$A313,MATCH(C$1,'2-3 引出列表'!$A$1:$CD$1,0)),""))</f>
        <v>48856.48</v>
      </c>
      <c r="D313" t="str">
        <f>IF(ISBLANK(IFERROR(INDEX('2-3 引出列表'!$A$2:$CE$8700,$A313,MATCH(D$1,'2-3 引出列表'!$A$1:$CD$1,0)),"")),"",IFERROR(INDEX('2-3 引出列表'!$A$2:$CE$8700,$A313,MATCH(D$1,'2-3 引出列表'!$A$1:$CD$1,0)),""))</f>
        <v>已审核</v>
      </c>
      <c r="E313" t="str">
        <f>IF(ISBLANK(IFERROR(INDEX('2-3 引出列表'!$A$2:$CE$8700,$A313,MATCH(E$1,'2-3 引出列表'!$A$1:$CD$1,0)),"")),"",IFERROR(INDEX('2-3 引出列表'!$A$2:$CE$8700,$A313,MATCH(E$1,'2-3 引出列表'!$A$1:$CD$1,0)),""))</f>
        <v>2025-07-23</v>
      </c>
      <c r="F313" t="str">
        <f t="shared" si="4"/>
        <v>2025-07</v>
      </c>
      <c r="G313" t="str">
        <f>IF(ISBLANK(IFERROR(INDEX('2-3 引出列表'!$A$2:$CE$8700,$A313,MATCH(G$1,'2-3 引出列表'!$A$1:$CD$1,0)),"")),"",IFERROR(INDEX('2-3 引出列表'!$A$2:$CE$8700,$A313,MATCH(G$1,'2-3 引出列表'!$A$1:$CD$1,0)),""))</f>
        <v>物料消耗.物料消耗</v>
      </c>
      <c r="H313" t="str">
        <f>IF(ISBLANK(IFERROR(INDEX('2-3 引出列表'!$A$2:$CE$8700,$A313,MATCH(H$1,'2-3 引出列表'!$A$1:$CD$1,0)),"")),"",IFERROR(INDEX('2-3 引出列表'!$A$2:$CE$8700,$A313,MATCH(H$1,'2-3 引出列表'!$A$1:$CD$1,0)),""))</f>
        <v>XHWZ-Z-2025-00011</v>
      </c>
      <c r="I313" t="str">
        <f>IF(ISBLANK(IFERROR(INDEX('2-3 引出列表'!$A$2:$CE$8700,$A313,MATCH(I$1,'2-3 引出列表'!$A$1:$CD$1,0)),"")),"",IFERROR(INDEX('2-3 引出列表'!$A$2:$CE$8700,$A313,MATCH(I$1,'2-3 引出列表'!$A$1:$CD$1,0)),""))</f>
        <v>金采易购</v>
      </c>
    </row>
    <row r="314" spans="1:9">
      <c r="A314">
        <v>313</v>
      </c>
      <c r="B314" t="str">
        <f>IF(ISBLANK(IFERROR(INDEX('2-3 引出列表'!$A$2:$CE$8700,$A314,MATCH(B$1,'2-3 引出列表'!$A$1:$CD$1,0)),"")),"",IFERROR(INDEX('2-3 引出列表'!$A$2:$CE$8700,$A314,MATCH(B$1,'2-3 引出列表'!$A$1:$CD$1,0)),""))</f>
        <v>FK250723000185</v>
      </c>
      <c r="C314">
        <f>IF(ISBLANK(IFERROR(INDEX('2-3 引出列表'!$A$2:$CE$8700,$A314,MATCH(C$1,'2-3 引出列表'!$A$1:$CD$1,0)),"")),"",IFERROR(INDEX('2-3 引出列表'!$A$2:$CE$8700,$A314,MATCH(C$1,'2-3 引出列表'!$A$1:$CD$1,0)),""))</f>
        <v>48856.48</v>
      </c>
      <c r="D314" t="str">
        <f>IF(ISBLANK(IFERROR(INDEX('2-3 引出列表'!$A$2:$CE$8700,$A314,MATCH(D$1,'2-3 引出列表'!$A$1:$CD$1,0)),"")),"",IFERROR(INDEX('2-3 引出列表'!$A$2:$CE$8700,$A314,MATCH(D$1,'2-3 引出列表'!$A$1:$CD$1,0)),""))</f>
        <v>已审核</v>
      </c>
      <c r="E314" t="str">
        <f>IF(ISBLANK(IFERROR(INDEX('2-3 引出列表'!$A$2:$CE$8700,$A314,MATCH(E$1,'2-3 引出列表'!$A$1:$CD$1,0)),"")),"",IFERROR(INDEX('2-3 引出列表'!$A$2:$CE$8700,$A314,MATCH(E$1,'2-3 引出列表'!$A$1:$CD$1,0)),""))</f>
        <v>2025-07-23</v>
      </c>
      <c r="F314" t="str">
        <f t="shared" si="4"/>
        <v>2025-07</v>
      </c>
      <c r="G314" t="str">
        <f>IF(ISBLANK(IFERROR(INDEX('2-3 引出列表'!$A$2:$CE$8700,$A314,MATCH(G$1,'2-3 引出列表'!$A$1:$CD$1,0)),"")),"",IFERROR(INDEX('2-3 引出列表'!$A$2:$CE$8700,$A314,MATCH(G$1,'2-3 引出列表'!$A$1:$CD$1,0)),""))</f>
        <v>物料消耗.物料消耗</v>
      </c>
      <c r="H314" t="str">
        <f>IF(ISBLANK(IFERROR(INDEX('2-3 引出列表'!$A$2:$CE$8700,$A314,MATCH(H$1,'2-3 引出列表'!$A$1:$CD$1,0)),"")),"",IFERROR(INDEX('2-3 引出列表'!$A$2:$CE$8700,$A314,MATCH(H$1,'2-3 引出列表'!$A$1:$CD$1,0)),""))</f>
        <v>XHWZ-Z-2025-00011</v>
      </c>
      <c r="I314" t="str">
        <f>IF(ISBLANK(IFERROR(INDEX('2-3 引出列表'!$A$2:$CE$8700,$A314,MATCH(I$1,'2-3 引出列表'!$A$1:$CD$1,0)),"")),"",IFERROR(INDEX('2-3 引出列表'!$A$2:$CE$8700,$A314,MATCH(I$1,'2-3 引出列表'!$A$1:$CD$1,0)),""))</f>
        <v>金采易购</v>
      </c>
    </row>
    <row r="315" spans="1:9">
      <c r="A315">
        <v>314</v>
      </c>
      <c r="B315" t="str">
        <f>IF(ISBLANK(IFERROR(INDEX('2-3 引出列表'!$A$2:$CE$8700,$A315,MATCH(B$1,'2-3 引出列表'!$A$1:$CD$1,0)),"")),"",IFERROR(INDEX('2-3 引出列表'!$A$2:$CE$8700,$A315,MATCH(B$1,'2-3 引出列表'!$A$1:$CD$1,0)),""))</f>
        <v>FK250723000185</v>
      </c>
      <c r="C315">
        <f>IF(ISBLANK(IFERROR(INDEX('2-3 引出列表'!$A$2:$CE$8700,$A315,MATCH(C$1,'2-3 引出列表'!$A$1:$CD$1,0)),"")),"",IFERROR(INDEX('2-3 引出列表'!$A$2:$CE$8700,$A315,MATCH(C$1,'2-3 引出列表'!$A$1:$CD$1,0)),""))</f>
        <v>48856.48</v>
      </c>
      <c r="D315" t="str">
        <f>IF(ISBLANK(IFERROR(INDEX('2-3 引出列表'!$A$2:$CE$8700,$A315,MATCH(D$1,'2-3 引出列表'!$A$1:$CD$1,0)),"")),"",IFERROR(INDEX('2-3 引出列表'!$A$2:$CE$8700,$A315,MATCH(D$1,'2-3 引出列表'!$A$1:$CD$1,0)),""))</f>
        <v>已审核</v>
      </c>
      <c r="E315" t="str">
        <f>IF(ISBLANK(IFERROR(INDEX('2-3 引出列表'!$A$2:$CE$8700,$A315,MATCH(E$1,'2-3 引出列表'!$A$1:$CD$1,0)),"")),"",IFERROR(INDEX('2-3 引出列表'!$A$2:$CE$8700,$A315,MATCH(E$1,'2-3 引出列表'!$A$1:$CD$1,0)),""))</f>
        <v>2025-07-23</v>
      </c>
      <c r="F315" t="str">
        <f t="shared" si="4"/>
        <v>2025-07</v>
      </c>
      <c r="G315" t="str">
        <f>IF(ISBLANK(IFERROR(INDEX('2-3 引出列表'!$A$2:$CE$8700,$A315,MATCH(G$1,'2-3 引出列表'!$A$1:$CD$1,0)),"")),"",IFERROR(INDEX('2-3 引出列表'!$A$2:$CE$8700,$A315,MATCH(G$1,'2-3 引出列表'!$A$1:$CD$1,0)),""))</f>
        <v>物料消耗.物料消耗</v>
      </c>
      <c r="H315" t="str">
        <f>IF(ISBLANK(IFERROR(INDEX('2-3 引出列表'!$A$2:$CE$8700,$A315,MATCH(H$1,'2-3 引出列表'!$A$1:$CD$1,0)),"")),"",IFERROR(INDEX('2-3 引出列表'!$A$2:$CE$8700,$A315,MATCH(H$1,'2-3 引出列表'!$A$1:$CD$1,0)),""))</f>
        <v>XHWZ-Z-2025-00011</v>
      </c>
      <c r="I315" t="str">
        <f>IF(ISBLANK(IFERROR(INDEX('2-3 引出列表'!$A$2:$CE$8700,$A315,MATCH(I$1,'2-3 引出列表'!$A$1:$CD$1,0)),"")),"",IFERROR(INDEX('2-3 引出列表'!$A$2:$CE$8700,$A315,MATCH(I$1,'2-3 引出列表'!$A$1:$CD$1,0)),""))</f>
        <v>金采易购</v>
      </c>
    </row>
    <row r="316" spans="1:9">
      <c r="A316">
        <v>315</v>
      </c>
      <c r="B316" t="str">
        <f>IF(ISBLANK(IFERROR(INDEX('2-3 引出列表'!$A$2:$CE$8700,$A316,MATCH(B$1,'2-3 引出列表'!$A$1:$CD$1,0)),"")),"",IFERROR(INDEX('2-3 引出列表'!$A$2:$CE$8700,$A316,MATCH(B$1,'2-3 引出列表'!$A$1:$CD$1,0)),""))</f>
        <v>FK250723000185</v>
      </c>
      <c r="C316">
        <f>IF(ISBLANK(IFERROR(INDEX('2-3 引出列表'!$A$2:$CE$8700,$A316,MATCH(C$1,'2-3 引出列表'!$A$1:$CD$1,0)),"")),"",IFERROR(INDEX('2-3 引出列表'!$A$2:$CE$8700,$A316,MATCH(C$1,'2-3 引出列表'!$A$1:$CD$1,0)),""))</f>
        <v>48856.48</v>
      </c>
      <c r="D316" t="str">
        <f>IF(ISBLANK(IFERROR(INDEX('2-3 引出列表'!$A$2:$CE$8700,$A316,MATCH(D$1,'2-3 引出列表'!$A$1:$CD$1,0)),"")),"",IFERROR(INDEX('2-3 引出列表'!$A$2:$CE$8700,$A316,MATCH(D$1,'2-3 引出列表'!$A$1:$CD$1,0)),""))</f>
        <v>已审核</v>
      </c>
      <c r="E316" t="str">
        <f>IF(ISBLANK(IFERROR(INDEX('2-3 引出列表'!$A$2:$CE$8700,$A316,MATCH(E$1,'2-3 引出列表'!$A$1:$CD$1,0)),"")),"",IFERROR(INDEX('2-3 引出列表'!$A$2:$CE$8700,$A316,MATCH(E$1,'2-3 引出列表'!$A$1:$CD$1,0)),""))</f>
        <v>2025-07-23</v>
      </c>
      <c r="F316" t="str">
        <f t="shared" si="4"/>
        <v>2025-07</v>
      </c>
      <c r="G316" t="str">
        <f>IF(ISBLANK(IFERROR(INDEX('2-3 引出列表'!$A$2:$CE$8700,$A316,MATCH(G$1,'2-3 引出列表'!$A$1:$CD$1,0)),"")),"",IFERROR(INDEX('2-3 引出列表'!$A$2:$CE$8700,$A316,MATCH(G$1,'2-3 引出列表'!$A$1:$CD$1,0)),""))</f>
        <v>物料消耗.物料消耗</v>
      </c>
      <c r="H316" t="str">
        <f>IF(ISBLANK(IFERROR(INDEX('2-3 引出列表'!$A$2:$CE$8700,$A316,MATCH(H$1,'2-3 引出列表'!$A$1:$CD$1,0)),"")),"",IFERROR(INDEX('2-3 引出列表'!$A$2:$CE$8700,$A316,MATCH(H$1,'2-3 引出列表'!$A$1:$CD$1,0)),""))</f>
        <v>XHWZ-Z-2025-00011</v>
      </c>
      <c r="I316" t="str">
        <f>IF(ISBLANK(IFERROR(INDEX('2-3 引出列表'!$A$2:$CE$8700,$A316,MATCH(I$1,'2-3 引出列表'!$A$1:$CD$1,0)),"")),"",IFERROR(INDEX('2-3 引出列表'!$A$2:$CE$8700,$A316,MATCH(I$1,'2-3 引出列表'!$A$1:$CD$1,0)),""))</f>
        <v>金采易购</v>
      </c>
    </row>
    <row r="317" spans="1:9">
      <c r="A317">
        <v>316</v>
      </c>
      <c r="B317" t="str">
        <f>IF(ISBLANK(IFERROR(INDEX('2-3 引出列表'!$A$2:$CE$8700,$A317,MATCH(B$1,'2-3 引出列表'!$A$1:$CD$1,0)),"")),"",IFERROR(INDEX('2-3 引出列表'!$A$2:$CE$8700,$A317,MATCH(B$1,'2-3 引出列表'!$A$1:$CD$1,0)),""))</f>
        <v>FK250723000185</v>
      </c>
      <c r="C317">
        <f>IF(ISBLANK(IFERROR(INDEX('2-3 引出列表'!$A$2:$CE$8700,$A317,MATCH(C$1,'2-3 引出列表'!$A$1:$CD$1,0)),"")),"",IFERROR(INDEX('2-3 引出列表'!$A$2:$CE$8700,$A317,MATCH(C$1,'2-3 引出列表'!$A$1:$CD$1,0)),""))</f>
        <v>48856.48</v>
      </c>
      <c r="D317" t="str">
        <f>IF(ISBLANK(IFERROR(INDEX('2-3 引出列表'!$A$2:$CE$8700,$A317,MATCH(D$1,'2-3 引出列表'!$A$1:$CD$1,0)),"")),"",IFERROR(INDEX('2-3 引出列表'!$A$2:$CE$8700,$A317,MATCH(D$1,'2-3 引出列表'!$A$1:$CD$1,0)),""))</f>
        <v>已审核</v>
      </c>
      <c r="E317" t="str">
        <f>IF(ISBLANK(IFERROR(INDEX('2-3 引出列表'!$A$2:$CE$8700,$A317,MATCH(E$1,'2-3 引出列表'!$A$1:$CD$1,0)),"")),"",IFERROR(INDEX('2-3 引出列表'!$A$2:$CE$8700,$A317,MATCH(E$1,'2-3 引出列表'!$A$1:$CD$1,0)),""))</f>
        <v>2025-07-23</v>
      </c>
      <c r="F317" t="str">
        <f t="shared" si="4"/>
        <v>2025-07</v>
      </c>
      <c r="G317" t="str">
        <f>IF(ISBLANK(IFERROR(INDEX('2-3 引出列表'!$A$2:$CE$8700,$A317,MATCH(G$1,'2-3 引出列表'!$A$1:$CD$1,0)),"")),"",IFERROR(INDEX('2-3 引出列表'!$A$2:$CE$8700,$A317,MATCH(G$1,'2-3 引出列表'!$A$1:$CD$1,0)),""))</f>
        <v>物料消耗.物料消耗</v>
      </c>
      <c r="H317" t="str">
        <f>IF(ISBLANK(IFERROR(INDEX('2-3 引出列表'!$A$2:$CE$8700,$A317,MATCH(H$1,'2-3 引出列表'!$A$1:$CD$1,0)),"")),"",IFERROR(INDEX('2-3 引出列表'!$A$2:$CE$8700,$A317,MATCH(H$1,'2-3 引出列表'!$A$1:$CD$1,0)),""))</f>
        <v>XHWZ-Z-2025-00011</v>
      </c>
      <c r="I317" t="str">
        <f>IF(ISBLANK(IFERROR(INDEX('2-3 引出列表'!$A$2:$CE$8700,$A317,MATCH(I$1,'2-3 引出列表'!$A$1:$CD$1,0)),"")),"",IFERROR(INDEX('2-3 引出列表'!$A$2:$CE$8700,$A317,MATCH(I$1,'2-3 引出列表'!$A$1:$CD$1,0)),""))</f>
        <v>金采易购</v>
      </c>
    </row>
    <row r="318" spans="1:9">
      <c r="A318">
        <v>317</v>
      </c>
      <c r="B318" t="str">
        <f>IF(ISBLANK(IFERROR(INDEX('2-3 引出列表'!$A$2:$CE$8700,$A318,MATCH(B$1,'2-3 引出列表'!$A$1:$CD$1,0)),"")),"",IFERROR(INDEX('2-3 引出列表'!$A$2:$CE$8700,$A318,MATCH(B$1,'2-3 引出列表'!$A$1:$CD$1,0)),""))</f>
        <v>FK250723000185</v>
      </c>
      <c r="C318">
        <f>IF(ISBLANK(IFERROR(INDEX('2-3 引出列表'!$A$2:$CE$8700,$A318,MATCH(C$1,'2-3 引出列表'!$A$1:$CD$1,0)),"")),"",IFERROR(INDEX('2-3 引出列表'!$A$2:$CE$8700,$A318,MATCH(C$1,'2-3 引出列表'!$A$1:$CD$1,0)),""))</f>
        <v>48856.48</v>
      </c>
      <c r="D318" t="str">
        <f>IF(ISBLANK(IFERROR(INDEX('2-3 引出列表'!$A$2:$CE$8700,$A318,MATCH(D$1,'2-3 引出列表'!$A$1:$CD$1,0)),"")),"",IFERROR(INDEX('2-3 引出列表'!$A$2:$CE$8700,$A318,MATCH(D$1,'2-3 引出列表'!$A$1:$CD$1,0)),""))</f>
        <v>已审核</v>
      </c>
      <c r="E318" t="str">
        <f>IF(ISBLANK(IFERROR(INDEX('2-3 引出列表'!$A$2:$CE$8700,$A318,MATCH(E$1,'2-3 引出列表'!$A$1:$CD$1,0)),"")),"",IFERROR(INDEX('2-3 引出列表'!$A$2:$CE$8700,$A318,MATCH(E$1,'2-3 引出列表'!$A$1:$CD$1,0)),""))</f>
        <v>2025-07-23</v>
      </c>
      <c r="F318" t="str">
        <f t="shared" si="4"/>
        <v>2025-07</v>
      </c>
      <c r="G318" t="str">
        <f>IF(ISBLANK(IFERROR(INDEX('2-3 引出列表'!$A$2:$CE$8700,$A318,MATCH(G$1,'2-3 引出列表'!$A$1:$CD$1,0)),"")),"",IFERROR(INDEX('2-3 引出列表'!$A$2:$CE$8700,$A318,MATCH(G$1,'2-3 引出列表'!$A$1:$CD$1,0)),""))</f>
        <v>物料消耗.物料消耗</v>
      </c>
      <c r="H318" t="str">
        <f>IF(ISBLANK(IFERROR(INDEX('2-3 引出列表'!$A$2:$CE$8700,$A318,MATCH(H$1,'2-3 引出列表'!$A$1:$CD$1,0)),"")),"",IFERROR(INDEX('2-3 引出列表'!$A$2:$CE$8700,$A318,MATCH(H$1,'2-3 引出列表'!$A$1:$CD$1,0)),""))</f>
        <v>XHWZ-Z-2025-00011</v>
      </c>
      <c r="I318" t="str">
        <f>IF(ISBLANK(IFERROR(INDEX('2-3 引出列表'!$A$2:$CE$8700,$A318,MATCH(I$1,'2-3 引出列表'!$A$1:$CD$1,0)),"")),"",IFERROR(INDEX('2-3 引出列表'!$A$2:$CE$8700,$A318,MATCH(I$1,'2-3 引出列表'!$A$1:$CD$1,0)),""))</f>
        <v>金采易购</v>
      </c>
    </row>
    <row r="319" spans="1:9">
      <c r="A319">
        <v>318</v>
      </c>
      <c r="B319" t="str">
        <f>IF(ISBLANK(IFERROR(INDEX('2-3 引出列表'!$A$2:$CE$8700,$A319,MATCH(B$1,'2-3 引出列表'!$A$1:$CD$1,0)),"")),"",IFERROR(INDEX('2-3 引出列表'!$A$2:$CE$8700,$A319,MATCH(B$1,'2-3 引出列表'!$A$1:$CD$1,0)),""))</f>
        <v>FK250723000185</v>
      </c>
      <c r="C319">
        <f>IF(ISBLANK(IFERROR(INDEX('2-3 引出列表'!$A$2:$CE$8700,$A319,MATCH(C$1,'2-3 引出列表'!$A$1:$CD$1,0)),"")),"",IFERROR(INDEX('2-3 引出列表'!$A$2:$CE$8700,$A319,MATCH(C$1,'2-3 引出列表'!$A$1:$CD$1,0)),""))</f>
        <v>48856.48</v>
      </c>
      <c r="D319" t="str">
        <f>IF(ISBLANK(IFERROR(INDEX('2-3 引出列表'!$A$2:$CE$8700,$A319,MATCH(D$1,'2-3 引出列表'!$A$1:$CD$1,0)),"")),"",IFERROR(INDEX('2-3 引出列表'!$A$2:$CE$8700,$A319,MATCH(D$1,'2-3 引出列表'!$A$1:$CD$1,0)),""))</f>
        <v>已审核</v>
      </c>
      <c r="E319" t="str">
        <f>IF(ISBLANK(IFERROR(INDEX('2-3 引出列表'!$A$2:$CE$8700,$A319,MATCH(E$1,'2-3 引出列表'!$A$1:$CD$1,0)),"")),"",IFERROR(INDEX('2-3 引出列表'!$A$2:$CE$8700,$A319,MATCH(E$1,'2-3 引出列表'!$A$1:$CD$1,0)),""))</f>
        <v>2025-07-23</v>
      </c>
      <c r="F319" t="str">
        <f t="shared" si="4"/>
        <v>2025-07</v>
      </c>
      <c r="G319" t="str">
        <f>IF(ISBLANK(IFERROR(INDEX('2-3 引出列表'!$A$2:$CE$8700,$A319,MATCH(G$1,'2-3 引出列表'!$A$1:$CD$1,0)),"")),"",IFERROR(INDEX('2-3 引出列表'!$A$2:$CE$8700,$A319,MATCH(G$1,'2-3 引出列表'!$A$1:$CD$1,0)),""))</f>
        <v>物料消耗.物料消耗</v>
      </c>
      <c r="H319" t="str">
        <f>IF(ISBLANK(IFERROR(INDEX('2-3 引出列表'!$A$2:$CE$8700,$A319,MATCH(H$1,'2-3 引出列表'!$A$1:$CD$1,0)),"")),"",IFERROR(INDEX('2-3 引出列表'!$A$2:$CE$8700,$A319,MATCH(H$1,'2-3 引出列表'!$A$1:$CD$1,0)),""))</f>
        <v>XHWZ-Z-2025-00011</v>
      </c>
      <c r="I319" t="str">
        <f>IF(ISBLANK(IFERROR(INDEX('2-3 引出列表'!$A$2:$CE$8700,$A319,MATCH(I$1,'2-3 引出列表'!$A$1:$CD$1,0)),"")),"",IFERROR(INDEX('2-3 引出列表'!$A$2:$CE$8700,$A319,MATCH(I$1,'2-3 引出列表'!$A$1:$CD$1,0)),""))</f>
        <v>金采易购</v>
      </c>
    </row>
    <row r="320" spans="1:9">
      <c r="A320">
        <v>319</v>
      </c>
      <c r="B320" t="str">
        <f>IF(ISBLANK(IFERROR(INDEX('2-3 引出列表'!$A$2:$CE$8700,$A320,MATCH(B$1,'2-3 引出列表'!$A$1:$CD$1,0)),"")),"",IFERROR(INDEX('2-3 引出列表'!$A$2:$CE$8700,$A320,MATCH(B$1,'2-3 引出列表'!$A$1:$CD$1,0)),""))</f>
        <v>FK250723000185</v>
      </c>
      <c r="C320">
        <f>IF(ISBLANK(IFERROR(INDEX('2-3 引出列表'!$A$2:$CE$8700,$A320,MATCH(C$1,'2-3 引出列表'!$A$1:$CD$1,0)),"")),"",IFERROR(INDEX('2-3 引出列表'!$A$2:$CE$8700,$A320,MATCH(C$1,'2-3 引出列表'!$A$1:$CD$1,0)),""))</f>
        <v>48856.48</v>
      </c>
      <c r="D320" t="str">
        <f>IF(ISBLANK(IFERROR(INDEX('2-3 引出列表'!$A$2:$CE$8700,$A320,MATCH(D$1,'2-3 引出列表'!$A$1:$CD$1,0)),"")),"",IFERROR(INDEX('2-3 引出列表'!$A$2:$CE$8700,$A320,MATCH(D$1,'2-3 引出列表'!$A$1:$CD$1,0)),""))</f>
        <v>已审核</v>
      </c>
      <c r="E320" t="str">
        <f>IF(ISBLANK(IFERROR(INDEX('2-3 引出列表'!$A$2:$CE$8700,$A320,MATCH(E$1,'2-3 引出列表'!$A$1:$CD$1,0)),"")),"",IFERROR(INDEX('2-3 引出列表'!$A$2:$CE$8700,$A320,MATCH(E$1,'2-3 引出列表'!$A$1:$CD$1,0)),""))</f>
        <v>2025-07-23</v>
      </c>
      <c r="F320" t="str">
        <f t="shared" si="4"/>
        <v>2025-07</v>
      </c>
      <c r="G320" t="str">
        <f>IF(ISBLANK(IFERROR(INDEX('2-3 引出列表'!$A$2:$CE$8700,$A320,MATCH(G$1,'2-3 引出列表'!$A$1:$CD$1,0)),"")),"",IFERROR(INDEX('2-3 引出列表'!$A$2:$CE$8700,$A320,MATCH(G$1,'2-3 引出列表'!$A$1:$CD$1,0)),""))</f>
        <v>物料消耗.物料消耗</v>
      </c>
      <c r="H320" t="str">
        <f>IF(ISBLANK(IFERROR(INDEX('2-3 引出列表'!$A$2:$CE$8700,$A320,MATCH(H$1,'2-3 引出列表'!$A$1:$CD$1,0)),"")),"",IFERROR(INDEX('2-3 引出列表'!$A$2:$CE$8700,$A320,MATCH(H$1,'2-3 引出列表'!$A$1:$CD$1,0)),""))</f>
        <v>XHWZ-Z-2025-00011</v>
      </c>
      <c r="I320" t="str">
        <f>IF(ISBLANK(IFERROR(INDEX('2-3 引出列表'!$A$2:$CE$8700,$A320,MATCH(I$1,'2-3 引出列表'!$A$1:$CD$1,0)),"")),"",IFERROR(INDEX('2-3 引出列表'!$A$2:$CE$8700,$A320,MATCH(I$1,'2-3 引出列表'!$A$1:$CD$1,0)),""))</f>
        <v>金采易购</v>
      </c>
    </row>
    <row r="321" spans="1:9">
      <c r="A321">
        <v>320</v>
      </c>
      <c r="B321" t="str">
        <f>IF(ISBLANK(IFERROR(INDEX('2-3 引出列表'!$A$2:$CE$8700,$A321,MATCH(B$1,'2-3 引出列表'!$A$1:$CD$1,0)),"")),"",IFERROR(INDEX('2-3 引出列表'!$A$2:$CE$8700,$A321,MATCH(B$1,'2-3 引出列表'!$A$1:$CD$1,0)),""))</f>
        <v>FK250723000185</v>
      </c>
      <c r="C321">
        <f>IF(ISBLANK(IFERROR(INDEX('2-3 引出列表'!$A$2:$CE$8700,$A321,MATCH(C$1,'2-3 引出列表'!$A$1:$CD$1,0)),"")),"",IFERROR(INDEX('2-3 引出列表'!$A$2:$CE$8700,$A321,MATCH(C$1,'2-3 引出列表'!$A$1:$CD$1,0)),""))</f>
        <v>48856.48</v>
      </c>
      <c r="D321" t="str">
        <f>IF(ISBLANK(IFERROR(INDEX('2-3 引出列表'!$A$2:$CE$8700,$A321,MATCH(D$1,'2-3 引出列表'!$A$1:$CD$1,0)),"")),"",IFERROR(INDEX('2-3 引出列表'!$A$2:$CE$8700,$A321,MATCH(D$1,'2-3 引出列表'!$A$1:$CD$1,0)),""))</f>
        <v>已审核</v>
      </c>
      <c r="E321" t="str">
        <f>IF(ISBLANK(IFERROR(INDEX('2-3 引出列表'!$A$2:$CE$8700,$A321,MATCH(E$1,'2-3 引出列表'!$A$1:$CD$1,0)),"")),"",IFERROR(INDEX('2-3 引出列表'!$A$2:$CE$8700,$A321,MATCH(E$1,'2-3 引出列表'!$A$1:$CD$1,0)),""))</f>
        <v>2025-07-23</v>
      </c>
      <c r="F321" t="str">
        <f t="shared" si="4"/>
        <v>2025-07</v>
      </c>
      <c r="G321" t="str">
        <f>IF(ISBLANK(IFERROR(INDEX('2-3 引出列表'!$A$2:$CE$8700,$A321,MATCH(G$1,'2-3 引出列表'!$A$1:$CD$1,0)),"")),"",IFERROR(INDEX('2-3 引出列表'!$A$2:$CE$8700,$A321,MATCH(G$1,'2-3 引出列表'!$A$1:$CD$1,0)),""))</f>
        <v>物料消耗.物料消耗</v>
      </c>
      <c r="H321" t="str">
        <f>IF(ISBLANK(IFERROR(INDEX('2-3 引出列表'!$A$2:$CE$8700,$A321,MATCH(H$1,'2-3 引出列表'!$A$1:$CD$1,0)),"")),"",IFERROR(INDEX('2-3 引出列表'!$A$2:$CE$8700,$A321,MATCH(H$1,'2-3 引出列表'!$A$1:$CD$1,0)),""))</f>
        <v>XHWZ-Z-2025-00011</v>
      </c>
      <c r="I321" t="str">
        <f>IF(ISBLANK(IFERROR(INDEX('2-3 引出列表'!$A$2:$CE$8700,$A321,MATCH(I$1,'2-3 引出列表'!$A$1:$CD$1,0)),"")),"",IFERROR(INDEX('2-3 引出列表'!$A$2:$CE$8700,$A321,MATCH(I$1,'2-3 引出列表'!$A$1:$CD$1,0)),""))</f>
        <v>金采易购</v>
      </c>
    </row>
    <row r="322" spans="1:9">
      <c r="A322">
        <v>321</v>
      </c>
      <c r="B322" t="str">
        <f>IF(ISBLANK(IFERROR(INDEX('2-3 引出列表'!$A$2:$CE$8700,$A322,MATCH(B$1,'2-3 引出列表'!$A$1:$CD$1,0)),"")),"",IFERROR(INDEX('2-3 引出列表'!$A$2:$CE$8700,$A322,MATCH(B$1,'2-3 引出列表'!$A$1:$CD$1,0)),""))</f>
        <v>FK250723000185</v>
      </c>
      <c r="C322">
        <f>IF(ISBLANK(IFERROR(INDEX('2-3 引出列表'!$A$2:$CE$8700,$A322,MATCH(C$1,'2-3 引出列表'!$A$1:$CD$1,0)),"")),"",IFERROR(INDEX('2-3 引出列表'!$A$2:$CE$8700,$A322,MATCH(C$1,'2-3 引出列表'!$A$1:$CD$1,0)),""))</f>
        <v>48856.48</v>
      </c>
      <c r="D322" t="str">
        <f>IF(ISBLANK(IFERROR(INDEX('2-3 引出列表'!$A$2:$CE$8700,$A322,MATCH(D$1,'2-3 引出列表'!$A$1:$CD$1,0)),"")),"",IFERROR(INDEX('2-3 引出列表'!$A$2:$CE$8700,$A322,MATCH(D$1,'2-3 引出列表'!$A$1:$CD$1,0)),""))</f>
        <v>已审核</v>
      </c>
      <c r="E322" t="str">
        <f>IF(ISBLANK(IFERROR(INDEX('2-3 引出列表'!$A$2:$CE$8700,$A322,MATCH(E$1,'2-3 引出列表'!$A$1:$CD$1,0)),"")),"",IFERROR(INDEX('2-3 引出列表'!$A$2:$CE$8700,$A322,MATCH(E$1,'2-3 引出列表'!$A$1:$CD$1,0)),""))</f>
        <v>2025-07-23</v>
      </c>
      <c r="F322" t="str">
        <f t="shared" ref="F322:F385" si="5">LEFT(E322,7)</f>
        <v>2025-07</v>
      </c>
      <c r="G322" t="str">
        <f>IF(ISBLANK(IFERROR(INDEX('2-3 引出列表'!$A$2:$CE$8700,$A322,MATCH(G$1,'2-3 引出列表'!$A$1:$CD$1,0)),"")),"",IFERROR(INDEX('2-3 引出列表'!$A$2:$CE$8700,$A322,MATCH(G$1,'2-3 引出列表'!$A$1:$CD$1,0)),""))</f>
        <v>物料消耗.物料消耗</v>
      </c>
      <c r="H322" t="str">
        <f>IF(ISBLANK(IFERROR(INDEX('2-3 引出列表'!$A$2:$CE$8700,$A322,MATCH(H$1,'2-3 引出列表'!$A$1:$CD$1,0)),"")),"",IFERROR(INDEX('2-3 引出列表'!$A$2:$CE$8700,$A322,MATCH(H$1,'2-3 引出列表'!$A$1:$CD$1,0)),""))</f>
        <v>XHWZ-Z-2025-00011</v>
      </c>
      <c r="I322" t="str">
        <f>IF(ISBLANK(IFERROR(INDEX('2-3 引出列表'!$A$2:$CE$8700,$A322,MATCH(I$1,'2-3 引出列表'!$A$1:$CD$1,0)),"")),"",IFERROR(INDEX('2-3 引出列表'!$A$2:$CE$8700,$A322,MATCH(I$1,'2-3 引出列表'!$A$1:$CD$1,0)),""))</f>
        <v>金采易购</v>
      </c>
    </row>
    <row r="323" spans="1:9">
      <c r="A323">
        <v>322</v>
      </c>
      <c r="B323" t="str">
        <f>IF(ISBLANK(IFERROR(INDEX('2-3 引出列表'!$A$2:$CE$8700,$A323,MATCH(B$1,'2-3 引出列表'!$A$1:$CD$1,0)),"")),"",IFERROR(INDEX('2-3 引出列表'!$A$2:$CE$8700,$A323,MATCH(B$1,'2-3 引出列表'!$A$1:$CD$1,0)),""))</f>
        <v>FK250723000185</v>
      </c>
      <c r="C323">
        <f>IF(ISBLANK(IFERROR(INDEX('2-3 引出列表'!$A$2:$CE$8700,$A323,MATCH(C$1,'2-3 引出列表'!$A$1:$CD$1,0)),"")),"",IFERROR(INDEX('2-3 引出列表'!$A$2:$CE$8700,$A323,MATCH(C$1,'2-3 引出列表'!$A$1:$CD$1,0)),""))</f>
        <v>48856.48</v>
      </c>
      <c r="D323" t="str">
        <f>IF(ISBLANK(IFERROR(INDEX('2-3 引出列表'!$A$2:$CE$8700,$A323,MATCH(D$1,'2-3 引出列表'!$A$1:$CD$1,0)),"")),"",IFERROR(INDEX('2-3 引出列表'!$A$2:$CE$8700,$A323,MATCH(D$1,'2-3 引出列表'!$A$1:$CD$1,0)),""))</f>
        <v>已审核</v>
      </c>
      <c r="E323" t="str">
        <f>IF(ISBLANK(IFERROR(INDEX('2-3 引出列表'!$A$2:$CE$8700,$A323,MATCH(E$1,'2-3 引出列表'!$A$1:$CD$1,0)),"")),"",IFERROR(INDEX('2-3 引出列表'!$A$2:$CE$8700,$A323,MATCH(E$1,'2-3 引出列表'!$A$1:$CD$1,0)),""))</f>
        <v>2025-07-23</v>
      </c>
      <c r="F323" t="str">
        <f t="shared" si="5"/>
        <v>2025-07</v>
      </c>
      <c r="G323" t="str">
        <f>IF(ISBLANK(IFERROR(INDEX('2-3 引出列表'!$A$2:$CE$8700,$A323,MATCH(G$1,'2-3 引出列表'!$A$1:$CD$1,0)),"")),"",IFERROR(INDEX('2-3 引出列表'!$A$2:$CE$8700,$A323,MATCH(G$1,'2-3 引出列表'!$A$1:$CD$1,0)),""))</f>
        <v>物料消耗.物料消耗</v>
      </c>
      <c r="H323" t="str">
        <f>IF(ISBLANK(IFERROR(INDEX('2-3 引出列表'!$A$2:$CE$8700,$A323,MATCH(H$1,'2-3 引出列表'!$A$1:$CD$1,0)),"")),"",IFERROR(INDEX('2-3 引出列表'!$A$2:$CE$8700,$A323,MATCH(H$1,'2-3 引出列表'!$A$1:$CD$1,0)),""))</f>
        <v>XHWZ-Z-2025-00011</v>
      </c>
      <c r="I323" t="str">
        <f>IF(ISBLANK(IFERROR(INDEX('2-3 引出列表'!$A$2:$CE$8700,$A323,MATCH(I$1,'2-3 引出列表'!$A$1:$CD$1,0)),"")),"",IFERROR(INDEX('2-3 引出列表'!$A$2:$CE$8700,$A323,MATCH(I$1,'2-3 引出列表'!$A$1:$CD$1,0)),""))</f>
        <v>金采易购</v>
      </c>
    </row>
    <row r="324" spans="1:9">
      <c r="A324">
        <v>323</v>
      </c>
      <c r="B324" t="str">
        <f>IF(ISBLANK(IFERROR(INDEX('2-3 引出列表'!$A$2:$CE$8700,$A324,MATCH(B$1,'2-3 引出列表'!$A$1:$CD$1,0)),"")),"",IFERROR(INDEX('2-3 引出列表'!$A$2:$CE$8700,$A324,MATCH(B$1,'2-3 引出列表'!$A$1:$CD$1,0)),""))</f>
        <v>FK250723000185</v>
      </c>
      <c r="C324">
        <f>IF(ISBLANK(IFERROR(INDEX('2-3 引出列表'!$A$2:$CE$8700,$A324,MATCH(C$1,'2-3 引出列表'!$A$1:$CD$1,0)),"")),"",IFERROR(INDEX('2-3 引出列表'!$A$2:$CE$8700,$A324,MATCH(C$1,'2-3 引出列表'!$A$1:$CD$1,0)),""))</f>
        <v>48856.48</v>
      </c>
      <c r="D324" t="str">
        <f>IF(ISBLANK(IFERROR(INDEX('2-3 引出列表'!$A$2:$CE$8700,$A324,MATCH(D$1,'2-3 引出列表'!$A$1:$CD$1,0)),"")),"",IFERROR(INDEX('2-3 引出列表'!$A$2:$CE$8700,$A324,MATCH(D$1,'2-3 引出列表'!$A$1:$CD$1,0)),""))</f>
        <v>已审核</v>
      </c>
      <c r="E324" t="str">
        <f>IF(ISBLANK(IFERROR(INDEX('2-3 引出列表'!$A$2:$CE$8700,$A324,MATCH(E$1,'2-3 引出列表'!$A$1:$CD$1,0)),"")),"",IFERROR(INDEX('2-3 引出列表'!$A$2:$CE$8700,$A324,MATCH(E$1,'2-3 引出列表'!$A$1:$CD$1,0)),""))</f>
        <v>2025-07-23</v>
      </c>
      <c r="F324" t="str">
        <f t="shared" si="5"/>
        <v>2025-07</v>
      </c>
      <c r="G324" t="str">
        <f>IF(ISBLANK(IFERROR(INDEX('2-3 引出列表'!$A$2:$CE$8700,$A324,MATCH(G$1,'2-3 引出列表'!$A$1:$CD$1,0)),"")),"",IFERROR(INDEX('2-3 引出列表'!$A$2:$CE$8700,$A324,MATCH(G$1,'2-3 引出列表'!$A$1:$CD$1,0)),""))</f>
        <v>物料消耗.物料消耗</v>
      </c>
      <c r="H324" t="str">
        <f>IF(ISBLANK(IFERROR(INDEX('2-3 引出列表'!$A$2:$CE$8700,$A324,MATCH(H$1,'2-3 引出列表'!$A$1:$CD$1,0)),"")),"",IFERROR(INDEX('2-3 引出列表'!$A$2:$CE$8700,$A324,MATCH(H$1,'2-3 引出列表'!$A$1:$CD$1,0)),""))</f>
        <v>XHWZ-Z-2025-00011</v>
      </c>
      <c r="I324" t="str">
        <f>IF(ISBLANK(IFERROR(INDEX('2-3 引出列表'!$A$2:$CE$8700,$A324,MATCH(I$1,'2-3 引出列表'!$A$1:$CD$1,0)),"")),"",IFERROR(INDEX('2-3 引出列表'!$A$2:$CE$8700,$A324,MATCH(I$1,'2-3 引出列表'!$A$1:$CD$1,0)),""))</f>
        <v>金采易购</v>
      </c>
    </row>
    <row r="325" spans="1:9">
      <c r="A325">
        <v>324</v>
      </c>
      <c r="B325" t="str">
        <f>IF(ISBLANK(IFERROR(INDEX('2-3 引出列表'!$A$2:$CE$8700,$A325,MATCH(B$1,'2-3 引出列表'!$A$1:$CD$1,0)),"")),"",IFERROR(INDEX('2-3 引出列表'!$A$2:$CE$8700,$A325,MATCH(B$1,'2-3 引出列表'!$A$1:$CD$1,0)),""))</f>
        <v>FK250723000185</v>
      </c>
      <c r="C325">
        <f>IF(ISBLANK(IFERROR(INDEX('2-3 引出列表'!$A$2:$CE$8700,$A325,MATCH(C$1,'2-3 引出列表'!$A$1:$CD$1,0)),"")),"",IFERROR(INDEX('2-3 引出列表'!$A$2:$CE$8700,$A325,MATCH(C$1,'2-3 引出列表'!$A$1:$CD$1,0)),""))</f>
        <v>48856.48</v>
      </c>
      <c r="D325" t="str">
        <f>IF(ISBLANK(IFERROR(INDEX('2-3 引出列表'!$A$2:$CE$8700,$A325,MATCH(D$1,'2-3 引出列表'!$A$1:$CD$1,0)),"")),"",IFERROR(INDEX('2-3 引出列表'!$A$2:$CE$8700,$A325,MATCH(D$1,'2-3 引出列表'!$A$1:$CD$1,0)),""))</f>
        <v>已审核</v>
      </c>
      <c r="E325" t="str">
        <f>IF(ISBLANK(IFERROR(INDEX('2-3 引出列表'!$A$2:$CE$8700,$A325,MATCH(E$1,'2-3 引出列表'!$A$1:$CD$1,0)),"")),"",IFERROR(INDEX('2-3 引出列表'!$A$2:$CE$8700,$A325,MATCH(E$1,'2-3 引出列表'!$A$1:$CD$1,0)),""))</f>
        <v>2025-07-23</v>
      </c>
      <c r="F325" t="str">
        <f t="shared" si="5"/>
        <v>2025-07</v>
      </c>
      <c r="G325" t="str">
        <f>IF(ISBLANK(IFERROR(INDEX('2-3 引出列表'!$A$2:$CE$8700,$A325,MATCH(G$1,'2-3 引出列表'!$A$1:$CD$1,0)),"")),"",IFERROR(INDEX('2-3 引出列表'!$A$2:$CE$8700,$A325,MATCH(G$1,'2-3 引出列表'!$A$1:$CD$1,0)),""))</f>
        <v>物料消耗.物料消耗</v>
      </c>
      <c r="H325" t="str">
        <f>IF(ISBLANK(IFERROR(INDEX('2-3 引出列表'!$A$2:$CE$8700,$A325,MATCH(H$1,'2-3 引出列表'!$A$1:$CD$1,0)),"")),"",IFERROR(INDEX('2-3 引出列表'!$A$2:$CE$8700,$A325,MATCH(H$1,'2-3 引出列表'!$A$1:$CD$1,0)),""))</f>
        <v>XHWZ-Z-2025-00011</v>
      </c>
      <c r="I325" t="str">
        <f>IF(ISBLANK(IFERROR(INDEX('2-3 引出列表'!$A$2:$CE$8700,$A325,MATCH(I$1,'2-3 引出列表'!$A$1:$CD$1,0)),"")),"",IFERROR(INDEX('2-3 引出列表'!$A$2:$CE$8700,$A325,MATCH(I$1,'2-3 引出列表'!$A$1:$CD$1,0)),""))</f>
        <v>金采易购</v>
      </c>
    </row>
    <row r="326" spans="1:9">
      <c r="A326">
        <v>325</v>
      </c>
      <c r="B326" t="str">
        <f>IF(ISBLANK(IFERROR(INDEX('2-3 引出列表'!$A$2:$CE$8700,$A326,MATCH(B$1,'2-3 引出列表'!$A$1:$CD$1,0)),"")),"",IFERROR(INDEX('2-3 引出列表'!$A$2:$CE$8700,$A326,MATCH(B$1,'2-3 引出列表'!$A$1:$CD$1,0)),""))</f>
        <v>FK250723000185</v>
      </c>
      <c r="C326">
        <f>IF(ISBLANK(IFERROR(INDEX('2-3 引出列表'!$A$2:$CE$8700,$A326,MATCH(C$1,'2-3 引出列表'!$A$1:$CD$1,0)),"")),"",IFERROR(INDEX('2-3 引出列表'!$A$2:$CE$8700,$A326,MATCH(C$1,'2-3 引出列表'!$A$1:$CD$1,0)),""))</f>
        <v>48856.48</v>
      </c>
      <c r="D326" t="str">
        <f>IF(ISBLANK(IFERROR(INDEX('2-3 引出列表'!$A$2:$CE$8700,$A326,MATCH(D$1,'2-3 引出列表'!$A$1:$CD$1,0)),"")),"",IFERROR(INDEX('2-3 引出列表'!$A$2:$CE$8700,$A326,MATCH(D$1,'2-3 引出列表'!$A$1:$CD$1,0)),""))</f>
        <v>已审核</v>
      </c>
      <c r="E326" t="str">
        <f>IF(ISBLANK(IFERROR(INDEX('2-3 引出列表'!$A$2:$CE$8700,$A326,MATCH(E$1,'2-3 引出列表'!$A$1:$CD$1,0)),"")),"",IFERROR(INDEX('2-3 引出列表'!$A$2:$CE$8700,$A326,MATCH(E$1,'2-3 引出列表'!$A$1:$CD$1,0)),""))</f>
        <v>2025-07-23</v>
      </c>
      <c r="F326" t="str">
        <f t="shared" si="5"/>
        <v>2025-07</v>
      </c>
      <c r="G326" t="str">
        <f>IF(ISBLANK(IFERROR(INDEX('2-3 引出列表'!$A$2:$CE$8700,$A326,MATCH(G$1,'2-3 引出列表'!$A$1:$CD$1,0)),"")),"",IFERROR(INDEX('2-3 引出列表'!$A$2:$CE$8700,$A326,MATCH(G$1,'2-3 引出列表'!$A$1:$CD$1,0)),""))</f>
        <v>物料消耗.物料消耗</v>
      </c>
      <c r="H326" t="str">
        <f>IF(ISBLANK(IFERROR(INDEX('2-3 引出列表'!$A$2:$CE$8700,$A326,MATCH(H$1,'2-3 引出列表'!$A$1:$CD$1,0)),"")),"",IFERROR(INDEX('2-3 引出列表'!$A$2:$CE$8700,$A326,MATCH(H$1,'2-3 引出列表'!$A$1:$CD$1,0)),""))</f>
        <v>XHWZ-Z-2025-00011</v>
      </c>
      <c r="I326" t="str">
        <f>IF(ISBLANK(IFERROR(INDEX('2-3 引出列表'!$A$2:$CE$8700,$A326,MATCH(I$1,'2-3 引出列表'!$A$1:$CD$1,0)),"")),"",IFERROR(INDEX('2-3 引出列表'!$A$2:$CE$8700,$A326,MATCH(I$1,'2-3 引出列表'!$A$1:$CD$1,0)),""))</f>
        <v>金采易购</v>
      </c>
    </row>
    <row r="327" spans="1:9">
      <c r="A327">
        <v>326</v>
      </c>
      <c r="B327" t="str">
        <f>IF(ISBLANK(IFERROR(INDEX('2-3 引出列表'!$A$2:$CE$8700,$A327,MATCH(B$1,'2-3 引出列表'!$A$1:$CD$1,0)),"")),"",IFERROR(INDEX('2-3 引出列表'!$A$2:$CE$8700,$A327,MATCH(B$1,'2-3 引出列表'!$A$1:$CD$1,0)),""))</f>
        <v>FK250723000185</v>
      </c>
      <c r="C327">
        <f>IF(ISBLANK(IFERROR(INDEX('2-3 引出列表'!$A$2:$CE$8700,$A327,MATCH(C$1,'2-3 引出列表'!$A$1:$CD$1,0)),"")),"",IFERROR(INDEX('2-3 引出列表'!$A$2:$CE$8700,$A327,MATCH(C$1,'2-3 引出列表'!$A$1:$CD$1,0)),""))</f>
        <v>48856.48</v>
      </c>
      <c r="D327" t="str">
        <f>IF(ISBLANK(IFERROR(INDEX('2-3 引出列表'!$A$2:$CE$8700,$A327,MATCH(D$1,'2-3 引出列表'!$A$1:$CD$1,0)),"")),"",IFERROR(INDEX('2-3 引出列表'!$A$2:$CE$8700,$A327,MATCH(D$1,'2-3 引出列表'!$A$1:$CD$1,0)),""))</f>
        <v>已审核</v>
      </c>
      <c r="E327" t="str">
        <f>IF(ISBLANK(IFERROR(INDEX('2-3 引出列表'!$A$2:$CE$8700,$A327,MATCH(E$1,'2-3 引出列表'!$A$1:$CD$1,0)),"")),"",IFERROR(INDEX('2-3 引出列表'!$A$2:$CE$8700,$A327,MATCH(E$1,'2-3 引出列表'!$A$1:$CD$1,0)),""))</f>
        <v>2025-07-23</v>
      </c>
      <c r="F327" t="str">
        <f t="shared" si="5"/>
        <v>2025-07</v>
      </c>
      <c r="G327" t="str">
        <f>IF(ISBLANK(IFERROR(INDEX('2-3 引出列表'!$A$2:$CE$8700,$A327,MATCH(G$1,'2-3 引出列表'!$A$1:$CD$1,0)),"")),"",IFERROR(INDEX('2-3 引出列表'!$A$2:$CE$8700,$A327,MATCH(G$1,'2-3 引出列表'!$A$1:$CD$1,0)),""))</f>
        <v>物料消耗.物料消耗</v>
      </c>
      <c r="H327" t="str">
        <f>IF(ISBLANK(IFERROR(INDEX('2-3 引出列表'!$A$2:$CE$8700,$A327,MATCH(H$1,'2-3 引出列表'!$A$1:$CD$1,0)),"")),"",IFERROR(INDEX('2-3 引出列表'!$A$2:$CE$8700,$A327,MATCH(H$1,'2-3 引出列表'!$A$1:$CD$1,0)),""))</f>
        <v>XHWZ-Z-2025-00011</v>
      </c>
      <c r="I327" t="str">
        <f>IF(ISBLANK(IFERROR(INDEX('2-3 引出列表'!$A$2:$CE$8700,$A327,MATCH(I$1,'2-3 引出列表'!$A$1:$CD$1,0)),"")),"",IFERROR(INDEX('2-3 引出列表'!$A$2:$CE$8700,$A327,MATCH(I$1,'2-3 引出列表'!$A$1:$CD$1,0)),""))</f>
        <v>金采易购</v>
      </c>
    </row>
    <row r="328" spans="1:9">
      <c r="A328">
        <v>327</v>
      </c>
      <c r="B328" t="str">
        <f>IF(ISBLANK(IFERROR(INDEX('2-3 引出列表'!$A$2:$CE$8700,$A328,MATCH(B$1,'2-3 引出列表'!$A$1:$CD$1,0)),"")),"",IFERROR(INDEX('2-3 引出列表'!$A$2:$CE$8700,$A328,MATCH(B$1,'2-3 引出列表'!$A$1:$CD$1,0)),""))</f>
        <v>FK250723000185</v>
      </c>
      <c r="C328">
        <f>IF(ISBLANK(IFERROR(INDEX('2-3 引出列表'!$A$2:$CE$8700,$A328,MATCH(C$1,'2-3 引出列表'!$A$1:$CD$1,0)),"")),"",IFERROR(INDEX('2-3 引出列表'!$A$2:$CE$8700,$A328,MATCH(C$1,'2-3 引出列表'!$A$1:$CD$1,0)),""))</f>
        <v>48856.48</v>
      </c>
      <c r="D328" t="str">
        <f>IF(ISBLANK(IFERROR(INDEX('2-3 引出列表'!$A$2:$CE$8700,$A328,MATCH(D$1,'2-3 引出列表'!$A$1:$CD$1,0)),"")),"",IFERROR(INDEX('2-3 引出列表'!$A$2:$CE$8700,$A328,MATCH(D$1,'2-3 引出列表'!$A$1:$CD$1,0)),""))</f>
        <v>已审核</v>
      </c>
      <c r="E328" t="str">
        <f>IF(ISBLANK(IFERROR(INDEX('2-3 引出列表'!$A$2:$CE$8700,$A328,MATCH(E$1,'2-3 引出列表'!$A$1:$CD$1,0)),"")),"",IFERROR(INDEX('2-3 引出列表'!$A$2:$CE$8700,$A328,MATCH(E$1,'2-3 引出列表'!$A$1:$CD$1,0)),""))</f>
        <v>2025-07-23</v>
      </c>
      <c r="F328" t="str">
        <f t="shared" si="5"/>
        <v>2025-07</v>
      </c>
      <c r="G328" t="str">
        <f>IF(ISBLANK(IFERROR(INDEX('2-3 引出列表'!$A$2:$CE$8700,$A328,MATCH(G$1,'2-3 引出列表'!$A$1:$CD$1,0)),"")),"",IFERROR(INDEX('2-3 引出列表'!$A$2:$CE$8700,$A328,MATCH(G$1,'2-3 引出列表'!$A$1:$CD$1,0)),""))</f>
        <v>物料消耗.物料消耗</v>
      </c>
      <c r="H328" t="str">
        <f>IF(ISBLANK(IFERROR(INDEX('2-3 引出列表'!$A$2:$CE$8700,$A328,MATCH(H$1,'2-3 引出列表'!$A$1:$CD$1,0)),"")),"",IFERROR(INDEX('2-3 引出列表'!$A$2:$CE$8700,$A328,MATCH(H$1,'2-3 引出列表'!$A$1:$CD$1,0)),""))</f>
        <v>XHWZ-Z-2025-00011</v>
      </c>
      <c r="I328" t="str">
        <f>IF(ISBLANK(IFERROR(INDEX('2-3 引出列表'!$A$2:$CE$8700,$A328,MATCH(I$1,'2-3 引出列表'!$A$1:$CD$1,0)),"")),"",IFERROR(INDEX('2-3 引出列表'!$A$2:$CE$8700,$A328,MATCH(I$1,'2-3 引出列表'!$A$1:$CD$1,0)),""))</f>
        <v>金采易购</v>
      </c>
    </row>
    <row r="329" spans="1:9">
      <c r="A329">
        <v>328</v>
      </c>
      <c r="B329" t="str">
        <f>IF(ISBLANK(IFERROR(INDEX('2-3 引出列表'!$A$2:$CE$8700,$A329,MATCH(B$1,'2-3 引出列表'!$A$1:$CD$1,0)),"")),"",IFERROR(INDEX('2-3 引出列表'!$A$2:$CE$8700,$A329,MATCH(B$1,'2-3 引出列表'!$A$1:$CD$1,0)),""))</f>
        <v>FK250723000185</v>
      </c>
      <c r="C329">
        <f>IF(ISBLANK(IFERROR(INDEX('2-3 引出列表'!$A$2:$CE$8700,$A329,MATCH(C$1,'2-3 引出列表'!$A$1:$CD$1,0)),"")),"",IFERROR(INDEX('2-3 引出列表'!$A$2:$CE$8700,$A329,MATCH(C$1,'2-3 引出列表'!$A$1:$CD$1,0)),""))</f>
        <v>48856.48</v>
      </c>
      <c r="D329" t="str">
        <f>IF(ISBLANK(IFERROR(INDEX('2-3 引出列表'!$A$2:$CE$8700,$A329,MATCH(D$1,'2-3 引出列表'!$A$1:$CD$1,0)),"")),"",IFERROR(INDEX('2-3 引出列表'!$A$2:$CE$8700,$A329,MATCH(D$1,'2-3 引出列表'!$A$1:$CD$1,0)),""))</f>
        <v>已审核</v>
      </c>
      <c r="E329" t="str">
        <f>IF(ISBLANK(IFERROR(INDEX('2-3 引出列表'!$A$2:$CE$8700,$A329,MATCH(E$1,'2-3 引出列表'!$A$1:$CD$1,0)),"")),"",IFERROR(INDEX('2-3 引出列表'!$A$2:$CE$8700,$A329,MATCH(E$1,'2-3 引出列表'!$A$1:$CD$1,0)),""))</f>
        <v>2025-07-23</v>
      </c>
      <c r="F329" t="str">
        <f t="shared" si="5"/>
        <v>2025-07</v>
      </c>
      <c r="G329" t="str">
        <f>IF(ISBLANK(IFERROR(INDEX('2-3 引出列表'!$A$2:$CE$8700,$A329,MATCH(G$1,'2-3 引出列表'!$A$1:$CD$1,0)),"")),"",IFERROR(INDEX('2-3 引出列表'!$A$2:$CE$8700,$A329,MATCH(G$1,'2-3 引出列表'!$A$1:$CD$1,0)),""))</f>
        <v>物料消耗.物料消耗</v>
      </c>
      <c r="H329" t="str">
        <f>IF(ISBLANK(IFERROR(INDEX('2-3 引出列表'!$A$2:$CE$8700,$A329,MATCH(H$1,'2-3 引出列表'!$A$1:$CD$1,0)),"")),"",IFERROR(INDEX('2-3 引出列表'!$A$2:$CE$8700,$A329,MATCH(H$1,'2-3 引出列表'!$A$1:$CD$1,0)),""))</f>
        <v>XHWZ-Z-2025-00011</v>
      </c>
      <c r="I329" t="str">
        <f>IF(ISBLANK(IFERROR(INDEX('2-3 引出列表'!$A$2:$CE$8700,$A329,MATCH(I$1,'2-3 引出列表'!$A$1:$CD$1,0)),"")),"",IFERROR(INDEX('2-3 引出列表'!$A$2:$CE$8700,$A329,MATCH(I$1,'2-3 引出列表'!$A$1:$CD$1,0)),""))</f>
        <v>金采易购</v>
      </c>
    </row>
    <row r="330" spans="1:9">
      <c r="A330">
        <v>329</v>
      </c>
      <c r="B330" t="str">
        <f>IF(ISBLANK(IFERROR(INDEX('2-3 引出列表'!$A$2:$CE$8700,$A330,MATCH(B$1,'2-3 引出列表'!$A$1:$CD$1,0)),"")),"",IFERROR(INDEX('2-3 引出列表'!$A$2:$CE$8700,$A330,MATCH(B$1,'2-3 引出列表'!$A$1:$CD$1,0)),""))</f>
        <v>FK250723000185</v>
      </c>
      <c r="C330">
        <f>IF(ISBLANK(IFERROR(INDEX('2-3 引出列表'!$A$2:$CE$8700,$A330,MATCH(C$1,'2-3 引出列表'!$A$1:$CD$1,0)),"")),"",IFERROR(INDEX('2-3 引出列表'!$A$2:$CE$8700,$A330,MATCH(C$1,'2-3 引出列表'!$A$1:$CD$1,0)),""))</f>
        <v>48856.48</v>
      </c>
      <c r="D330" t="str">
        <f>IF(ISBLANK(IFERROR(INDEX('2-3 引出列表'!$A$2:$CE$8700,$A330,MATCH(D$1,'2-3 引出列表'!$A$1:$CD$1,0)),"")),"",IFERROR(INDEX('2-3 引出列表'!$A$2:$CE$8700,$A330,MATCH(D$1,'2-3 引出列表'!$A$1:$CD$1,0)),""))</f>
        <v>已审核</v>
      </c>
      <c r="E330" t="str">
        <f>IF(ISBLANK(IFERROR(INDEX('2-3 引出列表'!$A$2:$CE$8700,$A330,MATCH(E$1,'2-3 引出列表'!$A$1:$CD$1,0)),"")),"",IFERROR(INDEX('2-3 引出列表'!$A$2:$CE$8700,$A330,MATCH(E$1,'2-3 引出列表'!$A$1:$CD$1,0)),""))</f>
        <v>2025-07-23</v>
      </c>
      <c r="F330" t="str">
        <f t="shared" si="5"/>
        <v>2025-07</v>
      </c>
      <c r="G330" t="str">
        <f>IF(ISBLANK(IFERROR(INDEX('2-3 引出列表'!$A$2:$CE$8700,$A330,MATCH(G$1,'2-3 引出列表'!$A$1:$CD$1,0)),"")),"",IFERROR(INDEX('2-3 引出列表'!$A$2:$CE$8700,$A330,MATCH(G$1,'2-3 引出列表'!$A$1:$CD$1,0)),""))</f>
        <v>物料消耗.物料消耗</v>
      </c>
      <c r="H330" t="str">
        <f>IF(ISBLANK(IFERROR(INDEX('2-3 引出列表'!$A$2:$CE$8700,$A330,MATCH(H$1,'2-3 引出列表'!$A$1:$CD$1,0)),"")),"",IFERROR(INDEX('2-3 引出列表'!$A$2:$CE$8700,$A330,MATCH(H$1,'2-3 引出列表'!$A$1:$CD$1,0)),""))</f>
        <v>XHWZ-Z-2025-00011</v>
      </c>
      <c r="I330" t="str">
        <f>IF(ISBLANK(IFERROR(INDEX('2-3 引出列表'!$A$2:$CE$8700,$A330,MATCH(I$1,'2-3 引出列表'!$A$1:$CD$1,0)),"")),"",IFERROR(INDEX('2-3 引出列表'!$A$2:$CE$8700,$A330,MATCH(I$1,'2-3 引出列表'!$A$1:$CD$1,0)),""))</f>
        <v>金采易购</v>
      </c>
    </row>
    <row r="331" spans="1:9">
      <c r="A331">
        <v>330</v>
      </c>
      <c r="B331" t="str">
        <f>IF(ISBLANK(IFERROR(INDEX('2-3 引出列表'!$A$2:$CE$8700,$A331,MATCH(B$1,'2-3 引出列表'!$A$1:$CD$1,0)),"")),"",IFERROR(INDEX('2-3 引出列表'!$A$2:$CE$8700,$A331,MATCH(B$1,'2-3 引出列表'!$A$1:$CD$1,0)),""))</f>
        <v>FK250723000185</v>
      </c>
      <c r="C331">
        <f>IF(ISBLANK(IFERROR(INDEX('2-3 引出列表'!$A$2:$CE$8700,$A331,MATCH(C$1,'2-3 引出列表'!$A$1:$CD$1,0)),"")),"",IFERROR(INDEX('2-3 引出列表'!$A$2:$CE$8700,$A331,MATCH(C$1,'2-3 引出列表'!$A$1:$CD$1,0)),""))</f>
        <v>48856.48</v>
      </c>
      <c r="D331" t="str">
        <f>IF(ISBLANK(IFERROR(INDEX('2-3 引出列表'!$A$2:$CE$8700,$A331,MATCH(D$1,'2-3 引出列表'!$A$1:$CD$1,0)),"")),"",IFERROR(INDEX('2-3 引出列表'!$A$2:$CE$8700,$A331,MATCH(D$1,'2-3 引出列表'!$A$1:$CD$1,0)),""))</f>
        <v>已审核</v>
      </c>
      <c r="E331" t="str">
        <f>IF(ISBLANK(IFERROR(INDEX('2-3 引出列表'!$A$2:$CE$8700,$A331,MATCH(E$1,'2-3 引出列表'!$A$1:$CD$1,0)),"")),"",IFERROR(INDEX('2-3 引出列表'!$A$2:$CE$8700,$A331,MATCH(E$1,'2-3 引出列表'!$A$1:$CD$1,0)),""))</f>
        <v>2025-07-23</v>
      </c>
      <c r="F331" t="str">
        <f t="shared" si="5"/>
        <v>2025-07</v>
      </c>
      <c r="G331" t="str">
        <f>IF(ISBLANK(IFERROR(INDEX('2-3 引出列表'!$A$2:$CE$8700,$A331,MATCH(G$1,'2-3 引出列表'!$A$1:$CD$1,0)),"")),"",IFERROR(INDEX('2-3 引出列表'!$A$2:$CE$8700,$A331,MATCH(G$1,'2-3 引出列表'!$A$1:$CD$1,0)),""))</f>
        <v>物料消耗.物料消耗</v>
      </c>
      <c r="H331" t="str">
        <f>IF(ISBLANK(IFERROR(INDEX('2-3 引出列表'!$A$2:$CE$8700,$A331,MATCH(H$1,'2-3 引出列表'!$A$1:$CD$1,0)),"")),"",IFERROR(INDEX('2-3 引出列表'!$A$2:$CE$8700,$A331,MATCH(H$1,'2-3 引出列表'!$A$1:$CD$1,0)),""))</f>
        <v>XHWZ-Z-2025-00011</v>
      </c>
      <c r="I331" t="str">
        <f>IF(ISBLANK(IFERROR(INDEX('2-3 引出列表'!$A$2:$CE$8700,$A331,MATCH(I$1,'2-3 引出列表'!$A$1:$CD$1,0)),"")),"",IFERROR(INDEX('2-3 引出列表'!$A$2:$CE$8700,$A331,MATCH(I$1,'2-3 引出列表'!$A$1:$CD$1,0)),""))</f>
        <v>金采易购</v>
      </c>
    </row>
    <row r="332" spans="1:9">
      <c r="A332">
        <v>331</v>
      </c>
      <c r="B332" t="str">
        <f>IF(ISBLANK(IFERROR(INDEX('2-3 引出列表'!$A$2:$CE$8700,$A332,MATCH(B$1,'2-3 引出列表'!$A$1:$CD$1,0)),"")),"",IFERROR(INDEX('2-3 引出列表'!$A$2:$CE$8700,$A332,MATCH(B$1,'2-3 引出列表'!$A$1:$CD$1,0)),""))</f>
        <v>FK250723000185</v>
      </c>
      <c r="C332">
        <f>IF(ISBLANK(IFERROR(INDEX('2-3 引出列表'!$A$2:$CE$8700,$A332,MATCH(C$1,'2-3 引出列表'!$A$1:$CD$1,0)),"")),"",IFERROR(INDEX('2-3 引出列表'!$A$2:$CE$8700,$A332,MATCH(C$1,'2-3 引出列表'!$A$1:$CD$1,0)),""))</f>
        <v>48856.48</v>
      </c>
      <c r="D332" t="str">
        <f>IF(ISBLANK(IFERROR(INDEX('2-3 引出列表'!$A$2:$CE$8700,$A332,MATCH(D$1,'2-3 引出列表'!$A$1:$CD$1,0)),"")),"",IFERROR(INDEX('2-3 引出列表'!$A$2:$CE$8700,$A332,MATCH(D$1,'2-3 引出列表'!$A$1:$CD$1,0)),""))</f>
        <v>已审核</v>
      </c>
      <c r="E332" t="str">
        <f>IF(ISBLANK(IFERROR(INDEX('2-3 引出列表'!$A$2:$CE$8700,$A332,MATCH(E$1,'2-3 引出列表'!$A$1:$CD$1,0)),"")),"",IFERROR(INDEX('2-3 引出列表'!$A$2:$CE$8700,$A332,MATCH(E$1,'2-3 引出列表'!$A$1:$CD$1,0)),""))</f>
        <v>2025-07-23</v>
      </c>
      <c r="F332" t="str">
        <f t="shared" si="5"/>
        <v>2025-07</v>
      </c>
      <c r="G332" t="str">
        <f>IF(ISBLANK(IFERROR(INDEX('2-3 引出列表'!$A$2:$CE$8700,$A332,MATCH(G$1,'2-3 引出列表'!$A$1:$CD$1,0)),"")),"",IFERROR(INDEX('2-3 引出列表'!$A$2:$CE$8700,$A332,MATCH(G$1,'2-3 引出列表'!$A$1:$CD$1,0)),""))</f>
        <v>物料消耗.物料消耗</v>
      </c>
      <c r="H332" t="str">
        <f>IF(ISBLANK(IFERROR(INDEX('2-3 引出列表'!$A$2:$CE$8700,$A332,MATCH(H$1,'2-3 引出列表'!$A$1:$CD$1,0)),"")),"",IFERROR(INDEX('2-3 引出列表'!$A$2:$CE$8700,$A332,MATCH(H$1,'2-3 引出列表'!$A$1:$CD$1,0)),""))</f>
        <v>XHWZ-Z-2025-00011</v>
      </c>
      <c r="I332" t="str">
        <f>IF(ISBLANK(IFERROR(INDEX('2-3 引出列表'!$A$2:$CE$8700,$A332,MATCH(I$1,'2-3 引出列表'!$A$1:$CD$1,0)),"")),"",IFERROR(INDEX('2-3 引出列表'!$A$2:$CE$8700,$A332,MATCH(I$1,'2-3 引出列表'!$A$1:$CD$1,0)),""))</f>
        <v>金采易购</v>
      </c>
    </row>
    <row r="333" spans="1:9">
      <c r="A333">
        <v>332</v>
      </c>
      <c r="B333" t="str">
        <f>IF(ISBLANK(IFERROR(INDEX('2-3 引出列表'!$A$2:$CE$8700,$A333,MATCH(B$1,'2-3 引出列表'!$A$1:$CD$1,0)),"")),"",IFERROR(INDEX('2-3 引出列表'!$A$2:$CE$8700,$A333,MATCH(B$1,'2-3 引出列表'!$A$1:$CD$1,0)),""))</f>
        <v>FK250721001078</v>
      </c>
      <c r="C333">
        <f>IF(ISBLANK(IFERROR(INDEX('2-3 引出列表'!$A$2:$CE$8700,$A333,MATCH(C$1,'2-3 引出列表'!$A$1:$CD$1,0)),"")),"",IFERROR(INDEX('2-3 引出列表'!$A$2:$CE$8700,$A333,MATCH(C$1,'2-3 引出列表'!$A$1:$CD$1,0)),""))</f>
        <v>7900</v>
      </c>
      <c r="D333" t="str">
        <f>IF(ISBLANK(IFERROR(INDEX('2-3 引出列表'!$A$2:$CE$8700,$A333,MATCH(D$1,'2-3 引出列表'!$A$1:$CD$1,0)),"")),"",IFERROR(INDEX('2-3 引出列表'!$A$2:$CE$8700,$A333,MATCH(D$1,'2-3 引出列表'!$A$1:$CD$1,0)),""))</f>
        <v>已审核</v>
      </c>
      <c r="E333" t="str">
        <f>IF(ISBLANK(IFERROR(INDEX('2-3 引出列表'!$A$2:$CE$8700,$A333,MATCH(E$1,'2-3 引出列表'!$A$1:$CD$1,0)),"")),"",IFERROR(INDEX('2-3 引出列表'!$A$2:$CE$8700,$A333,MATCH(E$1,'2-3 引出列表'!$A$1:$CD$1,0)),""))</f>
        <v>2025-07-21</v>
      </c>
      <c r="F333" t="str">
        <f t="shared" si="5"/>
        <v>2025-07</v>
      </c>
      <c r="G333" t="str">
        <f>IF(ISBLANK(IFERROR(INDEX('2-3 引出列表'!$A$2:$CE$8700,$A333,MATCH(G$1,'2-3 引出列表'!$A$1:$CD$1,0)),"")),"",IFERROR(INDEX('2-3 引出列表'!$A$2:$CE$8700,$A333,MATCH(G$1,'2-3 引出列表'!$A$1:$CD$1,0)),""))</f>
        <v>外包服务费.保洁外包</v>
      </c>
      <c r="H333" t="str">
        <f>IF(ISBLANK(IFERROR(INDEX('2-3 引出列表'!$A$2:$CE$8700,$A333,MATCH(H$1,'2-3 引出列表'!$A$1:$CD$1,0)),"")),"",IFERROR(INDEX('2-3 引出列表'!$A$2:$CE$8700,$A333,MATCH(H$1,'2-3 引出列表'!$A$1:$CD$1,0)),""))</f>
        <v>GCFW-Z-2024-7045</v>
      </c>
      <c r="I333" t="str">
        <f>IF(ISBLANK(IFERROR(INDEX('2-3 引出列表'!$A$2:$CE$8700,$A333,MATCH(I$1,'2-3 引出列表'!$A$1:$CD$1,0)),"")),"",IFERROR(INDEX('2-3 引出列表'!$A$2:$CE$8700,$A333,MATCH(I$1,'2-3 引出列表'!$A$1:$CD$1,0)),""))</f>
        <v>金采易购</v>
      </c>
    </row>
    <row r="334" spans="1:9">
      <c r="A334">
        <v>333</v>
      </c>
      <c r="B334" t="str">
        <f>IF(ISBLANK(IFERROR(INDEX('2-3 引出列表'!$A$2:$CE$8700,$A334,MATCH(B$1,'2-3 引出列表'!$A$1:$CD$1,0)),"")),"",IFERROR(INDEX('2-3 引出列表'!$A$2:$CE$8700,$A334,MATCH(B$1,'2-3 引出列表'!$A$1:$CD$1,0)),""))</f>
        <v>FK250721001076</v>
      </c>
      <c r="C334">
        <f>IF(ISBLANK(IFERROR(INDEX('2-3 引出列表'!$A$2:$CE$8700,$A334,MATCH(C$1,'2-3 引出列表'!$A$1:$CD$1,0)),"")),"",IFERROR(INDEX('2-3 引出列表'!$A$2:$CE$8700,$A334,MATCH(C$1,'2-3 引出列表'!$A$1:$CD$1,0)),""))</f>
        <v>7900</v>
      </c>
      <c r="D334" t="str">
        <f>IF(ISBLANK(IFERROR(INDEX('2-3 引出列表'!$A$2:$CE$8700,$A334,MATCH(D$1,'2-3 引出列表'!$A$1:$CD$1,0)),"")),"",IFERROR(INDEX('2-3 引出列表'!$A$2:$CE$8700,$A334,MATCH(D$1,'2-3 引出列表'!$A$1:$CD$1,0)),""))</f>
        <v>已审核</v>
      </c>
      <c r="E334" t="str">
        <f>IF(ISBLANK(IFERROR(INDEX('2-3 引出列表'!$A$2:$CE$8700,$A334,MATCH(E$1,'2-3 引出列表'!$A$1:$CD$1,0)),"")),"",IFERROR(INDEX('2-3 引出列表'!$A$2:$CE$8700,$A334,MATCH(E$1,'2-3 引出列表'!$A$1:$CD$1,0)),""))</f>
        <v>2025-07-21</v>
      </c>
      <c r="F334" t="str">
        <f t="shared" si="5"/>
        <v>2025-07</v>
      </c>
      <c r="G334" t="str">
        <f>IF(ISBLANK(IFERROR(INDEX('2-3 引出列表'!$A$2:$CE$8700,$A334,MATCH(G$1,'2-3 引出列表'!$A$1:$CD$1,0)),"")),"",IFERROR(INDEX('2-3 引出列表'!$A$2:$CE$8700,$A334,MATCH(G$1,'2-3 引出列表'!$A$1:$CD$1,0)),""))</f>
        <v>外包服务费.保洁外包</v>
      </c>
      <c r="H334" t="str">
        <f>IF(ISBLANK(IFERROR(INDEX('2-3 引出列表'!$A$2:$CE$8700,$A334,MATCH(H$1,'2-3 引出列表'!$A$1:$CD$1,0)),"")),"",IFERROR(INDEX('2-3 引出列表'!$A$2:$CE$8700,$A334,MATCH(H$1,'2-3 引出列表'!$A$1:$CD$1,0)),""))</f>
        <v>GCFW-Z-2024-7045</v>
      </c>
      <c r="I334" t="str">
        <f>IF(ISBLANK(IFERROR(INDEX('2-3 引出列表'!$A$2:$CE$8700,$A334,MATCH(I$1,'2-3 引出列表'!$A$1:$CD$1,0)),"")),"",IFERROR(INDEX('2-3 引出列表'!$A$2:$CE$8700,$A334,MATCH(I$1,'2-3 引出列表'!$A$1:$CD$1,0)),""))</f>
        <v>金采易购</v>
      </c>
    </row>
    <row r="335" spans="1:9">
      <c r="A335">
        <v>334</v>
      </c>
      <c r="B335" t="str">
        <f>IF(ISBLANK(IFERROR(INDEX('2-3 引出列表'!$A$2:$CE$8700,$A335,MATCH(B$1,'2-3 引出列表'!$A$1:$CD$1,0)),"")),"",IFERROR(INDEX('2-3 引出列表'!$A$2:$CE$8700,$A335,MATCH(B$1,'2-3 引出列表'!$A$1:$CD$1,0)),""))</f>
        <v>FK250708001043</v>
      </c>
      <c r="C335">
        <f>IF(ISBLANK(IFERROR(INDEX('2-3 引出列表'!$A$2:$CE$8700,$A335,MATCH(C$1,'2-3 引出列表'!$A$1:$CD$1,0)),"")),"",IFERROR(INDEX('2-3 引出列表'!$A$2:$CE$8700,$A335,MATCH(C$1,'2-3 引出列表'!$A$1:$CD$1,0)),""))</f>
        <v>8400</v>
      </c>
      <c r="D335" t="str">
        <f>IF(ISBLANK(IFERROR(INDEX('2-3 引出列表'!$A$2:$CE$8700,$A335,MATCH(D$1,'2-3 引出列表'!$A$1:$CD$1,0)),"")),"",IFERROR(INDEX('2-3 引出列表'!$A$2:$CE$8700,$A335,MATCH(D$1,'2-3 引出列表'!$A$1:$CD$1,0)),""))</f>
        <v>已审核</v>
      </c>
      <c r="E335" t="str">
        <f>IF(ISBLANK(IFERROR(INDEX('2-3 引出列表'!$A$2:$CE$8700,$A335,MATCH(E$1,'2-3 引出列表'!$A$1:$CD$1,0)),"")),"",IFERROR(INDEX('2-3 引出列表'!$A$2:$CE$8700,$A335,MATCH(E$1,'2-3 引出列表'!$A$1:$CD$1,0)),""))</f>
        <v>2025-07-08</v>
      </c>
      <c r="F335" t="str">
        <f t="shared" si="5"/>
        <v>2025-07</v>
      </c>
      <c r="G335" t="str">
        <f>IF(ISBLANK(IFERROR(INDEX('2-3 引出列表'!$A$2:$CE$8700,$A335,MATCH(G$1,'2-3 引出列表'!$A$1:$CD$1,0)),"")),"",IFERROR(INDEX('2-3 引出列表'!$A$2:$CE$8700,$A335,MATCH(G$1,'2-3 引出列表'!$A$1:$CD$1,0)),""))</f>
        <v>外包服务费.电梯维保外包</v>
      </c>
      <c r="H335" t="str">
        <f>IF(ISBLANK(IFERROR(INDEX('2-3 引出列表'!$A$2:$CE$8700,$A335,MATCH(H$1,'2-3 引出列表'!$A$1:$CD$1,0)),"")),"",IFERROR(INDEX('2-3 引出列表'!$A$2:$CE$8700,$A335,MATCH(H$1,'2-3 引出列表'!$A$1:$CD$1,0)),""))</f>
        <v>GCFW-Z-2024-7051</v>
      </c>
      <c r="I335" t="str">
        <f>IF(ISBLANK(IFERROR(INDEX('2-3 引出列表'!$A$2:$CE$8700,$A335,MATCH(I$1,'2-3 引出列表'!$A$1:$CD$1,0)),"")),"",IFERROR(INDEX('2-3 引出列表'!$A$2:$CE$8700,$A335,MATCH(I$1,'2-3 引出列表'!$A$1:$CD$1,0)),""))</f>
        <v>金采易购</v>
      </c>
    </row>
    <row r="336" spans="1:9">
      <c r="A336">
        <v>335</v>
      </c>
      <c r="B336" t="str">
        <f>IF(ISBLANK(IFERROR(INDEX('2-3 引出列表'!$A$2:$CE$8700,$A336,MATCH(B$1,'2-3 引出列表'!$A$1:$CD$1,0)),"")),"",IFERROR(INDEX('2-3 引出列表'!$A$2:$CE$8700,$A336,MATCH(B$1,'2-3 引出列表'!$A$1:$CD$1,0)),""))</f>
        <v>FK250708001021</v>
      </c>
      <c r="C336">
        <f>IF(ISBLANK(IFERROR(INDEX('2-3 引出列表'!$A$2:$CE$8700,$A336,MATCH(C$1,'2-3 引出列表'!$A$1:$CD$1,0)),"")),"",IFERROR(INDEX('2-3 引出列表'!$A$2:$CE$8700,$A336,MATCH(C$1,'2-3 引出列表'!$A$1:$CD$1,0)),""))</f>
        <v>8400</v>
      </c>
      <c r="D336" t="str">
        <f>IF(ISBLANK(IFERROR(INDEX('2-3 引出列表'!$A$2:$CE$8700,$A336,MATCH(D$1,'2-3 引出列表'!$A$1:$CD$1,0)),"")),"",IFERROR(INDEX('2-3 引出列表'!$A$2:$CE$8700,$A336,MATCH(D$1,'2-3 引出列表'!$A$1:$CD$1,0)),""))</f>
        <v>已审核</v>
      </c>
      <c r="E336" t="str">
        <f>IF(ISBLANK(IFERROR(INDEX('2-3 引出列表'!$A$2:$CE$8700,$A336,MATCH(E$1,'2-3 引出列表'!$A$1:$CD$1,0)),"")),"",IFERROR(INDEX('2-3 引出列表'!$A$2:$CE$8700,$A336,MATCH(E$1,'2-3 引出列表'!$A$1:$CD$1,0)),""))</f>
        <v>2025-07-08</v>
      </c>
      <c r="F336" t="str">
        <f t="shared" si="5"/>
        <v>2025-07</v>
      </c>
      <c r="G336" t="str">
        <f>IF(ISBLANK(IFERROR(INDEX('2-3 引出列表'!$A$2:$CE$8700,$A336,MATCH(G$1,'2-3 引出列表'!$A$1:$CD$1,0)),"")),"",IFERROR(INDEX('2-3 引出列表'!$A$2:$CE$8700,$A336,MATCH(G$1,'2-3 引出列表'!$A$1:$CD$1,0)),""))</f>
        <v>外包服务费.电梯维保外包</v>
      </c>
      <c r="H336" t="str">
        <f>IF(ISBLANK(IFERROR(INDEX('2-3 引出列表'!$A$2:$CE$8700,$A336,MATCH(H$1,'2-3 引出列表'!$A$1:$CD$1,0)),"")),"",IFERROR(INDEX('2-3 引出列表'!$A$2:$CE$8700,$A336,MATCH(H$1,'2-3 引出列表'!$A$1:$CD$1,0)),""))</f>
        <v>GCFW-Z-2024-7051</v>
      </c>
      <c r="I336" t="str">
        <f>IF(ISBLANK(IFERROR(INDEX('2-3 引出列表'!$A$2:$CE$8700,$A336,MATCH(I$1,'2-3 引出列表'!$A$1:$CD$1,0)),"")),"",IFERROR(INDEX('2-3 引出列表'!$A$2:$CE$8700,$A336,MATCH(I$1,'2-3 引出列表'!$A$1:$CD$1,0)),""))</f>
        <v>金采易购</v>
      </c>
    </row>
    <row r="337" spans="1:9">
      <c r="A337">
        <v>336</v>
      </c>
      <c r="B337" t="str">
        <f>IF(ISBLANK(IFERROR(INDEX('2-3 引出列表'!$A$2:$CE$8700,$A337,MATCH(B$1,'2-3 引出列表'!$A$1:$CD$1,0)),"")),"",IFERROR(INDEX('2-3 引出列表'!$A$2:$CE$8700,$A337,MATCH(B$1,'2-3 引出列表'!$A$1:$CD$1,0)),""))</f>
        <v>FK250708001003</v>
      </c>
      <c r="C337">
        <f>IF(ISBLANK(IFERROR(INDEX('2-3 引出列表'!$A$2:$CE$8700,$A337,MATCH(C$1,'2-3 引出列表'!$A$1:$CD$1,0)),"")),"",IFERROR(INDEX('2-3 引出列表'!$A$2:$CE$8700,$A337,MATCH(C$1,'2-3 引出列表'!$A$1:$CD$1,0)),""))</f>
        <v>8400</v>
      </c>
      <c r="D337" t="str">
        <f>IF(ISBLANK(IFERROR(INDEX('2-3 引出列表'!$A$2:$CE$8700,$A337,MATCH(D$1,'2-3 引出列表'!$A$1:$CD$1,0)),"")),"",IFERROR(INDEX('2-3 引出列表'!$A$2:$CE$8700,$A337,MATCH(D$1,'2-3 引出列表'!$A$1:$CD$1,0)),""))</f>
        <v>已审核</v>
      </c>
      <c r="E337" t="str">
        <f>IF(ISBLANK(IFERROR(INDEX('2-3 引出列表'!$A$2:$CE$8700,$A337,MATCH(E$1,'2-3 引出列表'!$A$1:$CD$1,0)),"")),"",IFERROR(INDEX('2-3 引出列表'!$A$2:$CE$8700,$A337,MATCH(E$1,'2-3 引出列表'!$A$1:$CD$1,0)),""))</f>
        <v>2025-07-08</v>
      </c>
      <c r="F337" t="str">
        <f t="shared" si="5"/>
        <v>2025-07</v>
      </c>
      <c r="G337" t="str">
        <f>IF(ISBLANK(IFERROR(INDEX('2-3 引出列表'!$A$2:$CE$8700,$A337,MATCH(G$1,'2-3 引出列表'!$A$1:$CD$1,0)),"")),"",IFERROR(INDEX('2-3 引出列表'!$A$2:$CE$8700,$A337,MATCH(G$1,'2-3 引出列表'!$A$1:$CD$1,0)),""))</f>
        <v>外包服务费.电梯维保外包</v>
      </c>
      <c r="H337" t="str">
        <f>IF(ISBLANK(IFERROR(INDEX('2-3 引出列表'!$A$2:$CE$8700,$A337,MATCH(H$1,'2-3 引出列表'!$A$1:$CD$1,0)),"")),"",IFERROR(INDEX('2-3 引出列表'!$A$2:$CE$8700,$A337,MATCH(H$1,'2-3 引出列表'!$A$1:$CD$1,0)),""))</f>
        <v>GCFW-Z-2024-7051</v>
      </c>
      <c r="I337" t="str">
        <f>IF(ISBLANK(IFERROR(INDEX('2-3 引出列表'!$A$2:$CE$8700,$A337,MATCH(I$1,'2-3 引出列表'!$A$1:$CD$1,0)),"")),"",IFERROR(INDEX('2-3 引出列表'!$A$2:$CE$8700,$A337,MATCH(I$1,'2-3 引出列表'!$A$1:$CD$1,0)),""))</f>
        <v>金采易购</v>
      </c>
    </row>
    <row r="338" spans="1:9">
      <c r="A338">
        <v>337</v>
      </c>
      <c r="B338" t="str">
        <f>IF(ISBLANK(IFERROR(INDEX('2-3 引出列表'!$A$2:$CE$8700,$A338,MATCH(B$1,'2-3 引出列表'!$A$1:$CD$1,0)),"")),"",IFERROR(INDEX('2-3 引出列表'!$A$2:$CE$8700,$A338,MATCH(B$1,'2-3 引出列表'!$A$1:$CD$1,0)),""))</f>
        <v>FK250708000984</v>
      </c>
      <c r="C338">
        <f>IF(ISBLANK(IFERROR(INDEX('2-3 引出列表'!$A$2:$CE$8700,$A338,MATCH(C$1,'2-3 引出列表'!$A$1:$CD$1,0)),"")),"",IFERROR(INDEX('2-3 引出列表'!$A$2:$CE$8700,$A338,MATCH(C$1,'2-3 引出列表'!$A$1:$CD$1,0)),""))</f>
        <v>22360</v>
      </c>
      <c r="D338" t="str">
        <f>IF(ISBLANK(IFERROR(INDEX('2-3 引出列表'!$A$2:$CE$8700,$A338,MATCH(D$1,'2-3 引出列表'!$A$1:$CD$1,0)),"")),"",IFERROR(INDEX('2-3 引出列表'!$A$2:$CE$8700,$A338,MATCH(D$1,'2-3 引出列表'!$A$1:$CD$1,0)),""))</f>
        <v>已审核</v>
      </c>
      <c r="E338" t="str">
        <f>IF(ISBLANK(IFERROR(INDEX('2-3 引出列表'!$A$2:$CE$8700,$A338,MATCH(E$1,'2-3 引出列表'!$A$1:$CD$1,0)),"")),"",IFERROR(INDEX('2-3 引出列表'!$A$2:$CE$8700,$A338,MATCH(E$1,'2-3 引出列表'!$A$1:$CD$1,0)),""))</f>
        <v>2025-07-08</v>
      </c>
      <c r="F338" t="str">
        <f t="shared" si="5"/>
        <v>2025-07</v>
      </c>
      <c r="G338" t="str">
        <f>IF(ISBLANK(IFERROR(INDEX('2-3 引出列表'!$A$2:$CE$8700,$A338,MATCH(G$1,'2-3 引出列表'!$A$1:$CD$1,0)),"")),"",IFERROR(INDEX('2-3 引出列表'!$A$2:$CE$8700,$A338,MATCH(G$1,'2-3 引出列表'!$A$1:$CD$1,0)),""))</f>
        <v>外包服务费.生活垃圾清运外包</v>
      </c>
      <c r="H338" t="str">
        <f>IF(ISBLANK(IFERROR(INDEX('2-3 引出列表'!$A$2:$CE$8700,$A338,MATCH(H$1,'2-3 引出列表'!$A$1:$CD$1,0)),"")),"",IFERROR(INDEX('2-3 引出列表'!$A$2:$CE$8700,$A338,MATCH(H$1,'2-3 引出列表'!$A$1:$CD$1,0)),""))</f>
        <v>HJFW-Z-2024-7103</v>
      </c>
      <c r="I338" t="str">
        <f>IF(ISBLANK(IFERROR(INDEX('2-3 引出列表'!$A$2:$CE$8700,$A338,MATCH(I$1,'2-3 引出列表'!$A$1:$CD$1,0)),"")),"",IFERROR(INDEX('2-3 引出列表'!$A$2:$CE$8700,$A338,MATCH(I$1,'2-3 引出列表'!$A$1:$CD$1,0)),""))</f>
        <v>金采易购</v>
      </c>
    </row>
    <row r="339" spans="1:9">
      <c r="A339">
        <v>338</v>
      </c>
      <c r="B339" t="str">
        <f>IF(ISBLANK(IFERROR(INDEX('2-3 引出列表'!$A$2:$CE$8700,$A339,MATCH(B$1,'2-3 引出列表'!$A$1:$CD$1,0)),"")),"",IFERROR(INDEX('2-3 引出列表'!$A$2:$CE$8700,$A339,MATCH(B$1,'2-3 引出列表'!$A$1:$CD$1,0)),""))</f>
        <v>FK250708000961</v>
      </c>
      <c r="C339">
        <f>IF(ISBLANK(IFERROR(INDEX('2-3 引出列表'!$A$2:$CE$8700,$A339,MATCH(C$1,'2-3 引出列表'!$A$1:$CD$1,0)),"")),"",IFERROR(INDEX('2-3 引出列表'!$A$2:$CE$8700,$A339,MATCH(C$1,'2-3 引出列表'!$A$1:$CD$1,0)),""))</f>
        <v>22360</v>
      </c>
      <c r="D339" t="str">
        <f>IF(ISBLANK(IFERROR(INDEX('2-3 引出列表'!$A$2:$CE$8700,$A339,MATCH(D$1,'2-3 引出列表'!$A$1:$CD$1,0)),"")),"",IFERROR(INDEX('2-3 引出列表'!$A$2:$CE$8700,$A339,MATCH(D$1,'2-3 引出列表'!$A$1:$CD$1,0)),""))</f>
        <v>已审核</v>
      </c>
      <c r="E339" t="str">
        <f>IF(ISBLANK(IFERROR(INDEX('2-3 引出列表'!$A$2:$CE$8700,$A339,MATCH(E$1,'2-3 引出列表'!$A$1:$CD$1,0)),"")),"",IFERROR(INDEX('2-3 引出列表'!$A$2:$CE$8700,$A339,MATCH(E$1,'2-3 引出列表'!$A$1:$CD$1,0)),""))</f>
        <v>2025-07-08</v>
      </c>
      <c r="F339" t="str">
        <f t="shared" si="5"/>
        <v>2025-07</v>
      </c>
      <c r="G339" t="str">
        <f>IF(ISBLANK(IFERROR(INDEX('2-3 引出列表'!$A$2:$CE$8700,$A339,MATCH(G$1,'2-3 引出列表'!$A$1:$CD$1,0)),"")),"",IFERROR(INDEX('2-3 引出列表'!$A$2:$CE$8700,$A339,MATCH(G$1,'2-3 引出列表'!$A$1:$CD$1,0)),""))</f>
        <v>外包服务费.生活垃圾清运外包</v>
      </c>
      <c r="H339" t="str">
        <f>IF(ISBLANK(IFERROR(INDEX('2-3 引出列表'!$A$2:$CE$8700,$A339,MATCH(H$1,'2-3 引出列表'!$A$1:$CD$1,0)),"")),"",IFERROR(INDEX('2-3 引出列表'!$A$2:$CE$8700,$A339,MATCH(H$1,'2-3 引出列表'!$A$1:$CD$1,0)),""))</f>
        <v>HJFW-Z-2024-7103</v>
      </c>
      <c r="I339" t="str">
        <f>IF(ISBLANK(IFERROR(INDEX('2-3 引出列表'!$A$2:$CE$8700,$A339,MATCH(I$1,'2-3 引出列表'!$A$1:$CD$1,0)),"")),"",IFERROR(INDEX('2-3 引出列表'!$A$2:$CE$8700,$A339,MATCH(I$1,'2-3 引出列表'!$A$1:$CD$1,0)),""))</f>
        <v>金采易购</v>
      </c>
    </row>
    <row r="340" spans="1:9">
      <c r="A340">
        <v>339</v>
      </c>
      <c r="B340" t="str">
        <f>IF(ISBLANK(IFERROR(INDEX('2-3 引出列表'!$A$2:$CE$8700,$A340,MATCH(B$1,'2-3 引出列表'!$A$1:$CD$1,0)),"")),"",IFERROR(INDEX('2-3 引出列表'!$A$2:$CE$8700,$A340,MATCH(B$1,'2-3 引出列表'!$A$1:$CD$1,0)),""))</f>
        <v>FK250703000265</v>
      </c>
      <c r="C340">
        <f>IF(ISBLANK(IFERROR(INDEX('2-3 引出列表'!$A$2:$CE$8700,$A340,MATCH(C$1,'2-3 引出列表'!$A$1:$CD$1,0)),"")),"",IFERROR(INDEX('2-3 引出列表'!$A$2:$CE$8700,$A340,MATCH(C$1,'2-3 引出列表'!$A$1:$CD$1,0)),""))</f>
        <v>19370</v>
      </c>
      <c r="D340" t="str">
        <f>IF(ISBLANK(IFERROR(INDEX('2-3 引出列表'!$A$2:$CE$8700,$A340,MATCH(D$1,'2-3 引出列表'!$A$1:$CD$1,0)),"")),"",IFERROR(INDEX('2-3 引出列表'!$A$2:$CE$8700,$A340,MATCH(D$1,'2-3 引出列表'!$A$1:$CD$1,0)),""))</f>
        <v>已审核</v>
      </c>
      <c r="E340" t="str">
        <f>IF(ISBLANK(IFERROR(INDEX('2-3 引出列表'!$A$2:$CE$8700,$A340,MATCH(E$1,'2-3 引出列表'!$A$1:$CD$1,0)),"")),"",IFERROR(INDEX('2-3 引出列表'!$A$2:$CE$8700,$A340,MATCH(E$1,'2-3 引出列表'!$A$1:$CD$1,0)),""))</f>
        <v>2025-07-03</v>
      </c>
      <c r="F340" t="str">
        <f t="shared" si="5"/>
        <v>2025-07</v>
      </c>
      <c r="G340" t="str">
        <f>IF(ISBLANK(IFERROR(INDEX('2-3 引出列表'!$A$2:$CE$8700,$A340,MATCH(G$1,'2-3 引出列表'!$A$1:$CD$1,0)),"")),"",IFERROR(INDEX('2-3 引出列表'!$A$2:$CE$8700,$A340,MATCH(G$1,'2-3 引出列表'!$A$1:$CD$1,0)),""))</f>
        <v>外包服务费.消杀外包</v>
      </c>
      <c r="H340" t="str">
        <f>IF(ISBLANK(IFERROR(INDEX('2-3 引出列表'!$A$2:$CE$8700,$A340,MATCH(H$1,'2-3 引出列表'!$A$1:$CD$1,0)),"")),"",IFERROR(INDEX('2-3 引出列表'!$A$2:$CE$8700,$A340,MATCH(H$1,'2-3 引出列表'!$A$1:$CD$1,0)),""))</f>
        <v>HJFW-Z-2024-6949</v>
      </c>
      <c r="I340" t="str">
        <f>IF(ISBLANK(IFERROR(INDEX('2-3 引出列表'!$A$2:$CE$8700,$A340,MATCH(I$1,'2-3 引出列表'!$A$1:$CD$1,0)),"")),"",IFERROR(INDEX('2-3 引出列表'!$A$2:$CE$8700,$A340,MATCH(I$1,'2-3 引出列表'!$A$1:$CD$1,0)),""))</f>
        <v>金采易购</v>
      </c>
    </row>
    <row r="341" spans="1:9">
      <c r="A341">
        <v>340</v>
      </c>
      <c r="B341" t="str">
        <f>IF(ISBLANK(IFERROR(INDEX('2-3 引出列表'!$A$2:$CE$8700,$A341,MATCH(B$1,'2-3 引出列表'!$A$1:$CD$1,0)),"")),"",IFERROR(INDEX('2-3 引出列表'!$A$2:$CE$8700,$A341,MATCH(B$1,'2-3 引出列表'!$A$1:$CD$1,0)),""))</f>
        <v>FK250703000237</v>
      </c>
      <c r="C341">
        <f>IF(ISBLANK(IFERROR(INDEX('2-3 引出列表'!$A$2:$CE$8700,$A341,MATCH(C$1,'2-3 引出列表'!$A$1:$CD$1,0)),"")),"",IFERROR(INDEX('2-3 引出列表'!$A$2:$CE$8700,$A341,MATCH(C$1,'2-3 引出列表'!$A$1:$CD$1,0)),""))</f>
        <v>19370</v>
      </c>
      <c r="D341" t="str">
        <f>IF(ISBLANK(IFERROR(INDEX('2-3 引出列表'!$A$2:$CE$8700,$A341,MATCH(D$1,'2-3 引出列表'!$A$1:$CD$1,0)),"")),"",IFERROR(INDEX('2-3 引出列表'!$A$2:$CE$8700,$A341,MATCH(D$1,'2-3 引出列表'!$A$1:$CD$1,0)),""))</f>
        <v>已审核</v>
      </c>
      <c r="E341" t="str">
        <f>IF(ISBLANK(IFERROR(INDEX('2-3 引出列表'!$A$2:$CE$8700,$A341,MATCH(E$1,'2-3 引出列表'!$A$1:$CD$1,0)),"")),"",IFERROR(INDEX('2-3 引出列表'!$A$2:$CE$8700,$A341,MATCH(E$1,'2-3 引出列表'!$A$1:$CD$1,0)),""))</f>
        <v>2025-07-03</v>
      </c>
      <c r="F341" t="str">
        <f t="shared" si="5"/>
        <v>2025-07</v>
      </c>
      <c r="G341" t="str">
        <f>IF(ISBLANK(IFERROR(INDEX('2-3 引出列表'!$A$2:$CE$8700,$A341,MATCH(G$1,'2-3 引出列表'!$A$1:$CD$1,0)),"")),"",IFERROR(INDEX('2-3 引出列表'!$A$2:$CE$8700,$A341,MATCH(G$1,'2-3 引出列表'!$A$1:$CD$1,0)),""))</f>
        <v>外包服务费.消杀外包</v>
      </c>
      <c r="H341" t="str">
        <f>IF(ISBLANK(IFERROR(INDEX('2-3 引出列表'!$A$2:$CE$8700,$A341,MATCH(H$1,'2-3 引出列表'!$A$1:$CD$1,0)),"")),"",IFERROR(INDEX('2-3 引出列表'!$A$2:$CE$8700,$A341,MATCH(H$1,'2-3 引出列表'!$A$1:$CD$1,0)),""))</f>
        <v>HJFW-Z-2024-6949</v>
      </c>
      <c r="I341" t="str">
        <f>IF(ISBLANK(IFERROR(INDEX('2-3 引出列表'!$A$2:$CE$8700,$A341,MATCH(I$1,'2-3 引出列表'!$A$1:$CD$1,0)),"")),"",IFERROR(INDEX('2-3 引出列表'!$A$2:$CE$8700,$A341,MATCH(I$1,'2-3 引出列表'!$A$1:$CD$1,0)),""))</f>
        <v>金采易购</v>
      </c>
    </row>
    <row r="342" spans="1:9">
      <c r="A342">
        <v>341</v>
      </c>
      <c r="B342" t="str">
        <f>IF(ISBLANK(IFERROR(INDEX('2-3 引出列表'!$A$2:$CE$8700,$A342,MATCH(B$1,'2-3 引出列表'!$A$1:$CD$1,0)),"")),"",IFERROR(INDEX('2-3 引出列表'!$A$2:$CE$8700,$A342,MATCH(B$1,'2-3 引出列表'!$A$1:$CD$1,0)),""))</f>
        <v>FK250507000237</v>
      </c>
      <c r="C342">
        <f>IF(ISBLANK(IFERROR(INDEX('2-3 引出列表'!$A$2:$CE$8700,$A342,MATCH(C$1,'2-3 引出列表'!$A$1:$CD$1,0)),"")),"",IFERROR(INDEX('2-3 引出列表'!$A$2:$CE$8700,$A342,MATCH(C$1,'2-3 引出列表'!$A$1:$CD$1,0)),""))</f>
        <v>19370</v>
      </c>
      <c r="D342" t="str">
        <f>IF(ISBLANK(IFERROR(INDEX('2-3 引出列表'!$A$2:$CE$8700,$A342,MATCH(D$1,'2-3 引出列表'!$A$1:$CD$1,0)),"")),"",IFERROR(INDEX('2-3 引出列表'!$A$2:$CE$8700,$A342,MATCH(D$1,'2-3 引出列表'!$A$1:$CD$1,0)),""))</f>
        <v>已付款</v>
      </c>
      <c r="E342" t="str">
        <f>IF(ISBLANK(IFERROR(INDEX('2-3 引出列表'!$A$2:$CE$8700,$A342,MATCH(E$1,'2-3 引出列表'!$A$1:$CD$1,0)),"")),"",IFERROR(INDEX('2-3 引出列表'!$A$2:$CE$8700,$A342,MATCH(E$1,'2-3 引出列表'!$A$1:$CD$1,0)),""))</f>
        <v>2025-05-07</v>
      </c>
      <c r="F342" t="str">
        <f t="shared" si="5"/>
        <v>2025-05</v>
      </c>
      <c r="G342" t="str">
        <f>IF(ISBLANK(IFERROR(INDEX('2-3 引出列表'!$A$2:$CE$8700,$A342,MATCH(G$1,'2-3 引出列表'!$A$1:$CD$1,0)),"")),"",IFERROR(INDEX('2-3 引出列表'!$A$2:$CE$8700,$A342,MATCH(G$1,'2-3 引出列表'!$A$1:$CD$1,0)),""))</f>
        <v>外包服务费.消杀外包</v>
      </c>
      <c r="H342" t="str">
        <f>IF(ISBLANK(IFERROR(INDEX('2-3 引出列表'!$A$2:$CE$8700,$A342,MATCH(H$1,'2-3 引出列表'!$A$1:$CD$1,0)),"")),"",IFERROR(INDEX('2-3 引出列表'!$A$2:$CE$8700,$A342,MATCH(H$1,'2-3 引出列表'!$A$1:$CD$1,0)),""))</f>
        <v>HJFW-Z-2024-6949</v>
      </c>
      <c r="I342" t="str">
        <f>IF(ISBLANK(IFERROR(INDEX('2-3 引出列表'!$A$2:$CE$8700,$A342,MATCH(I$1,'2-3 引出列表'!$A$1:$CD$1,0)),"")),"",IFERROR(INDEX('2-3 引出列表'!$A$2:$CE$8700,$A342,MATCH(I$1,'2-3 引出列表'!$A$1:$CD$1,0)),""))</f>
        <v>金采易购</v>
      </c>
    </row>
    <row r="343" spans="1:9">
      <c r="A343">
        <v>342</v>
      </c>
      <c r="B343" t="str">
        <f>IF(ISBLANK(IFERROR(INDEX('2-3 引出列表'!$A$2:$CE$8700,$A343,MATCH(B$1,'2-3 引出列表'!$A$1:$CD$1,0)),"")),"",IFERROR(INDEX('2-3 引出列表'!$A$2:$CE$8700,$A343,MATCH(B$1,'2-3 引出列表'!$A$1:$CD$1,0)),""))</f>
        <v>FK250507000167</v>
      </c>
      <c r="C343">
        <f>IF(ISBLANK(IFERROR(INDEX('2-3 引出列表'!$A$2:$CE$8700,$A343,MATCH(C$1,'2-3 引出列表'!$A$1:$CD$1,0)),"")),"",IFERROR(INDEX('2-3 引出列表'!$A$2:$CE$8700,$A343,MATCH(C$1,'2-3 引出列表'!$A$1:$CD$1,0)),""))</f>
        <v>8400</v>
      </c>
      <c r="D343" t="str">
        <f>IF(ISBLANK(IFERROR(INDEX('2-3 引出列表'!$A$2:$CE$8700,$A343,MATCH(D$1,'2-3 引出列表'!$A$1:$CD$1,0)),"")),"",IFERROR(INDEX('2-3 引出列表'!$A$2:$CE$8700,$A343,MATCH(D$1,'2-3 引出列表'!$A$1:$CD$1,0)),""))</f>
        <v>已付款</v>
      </c>
      <c r="E343" t="str">
        <f>IF(ISBLANK(IFERROR(INDEX('2-3 引出列表'!$A$2:$CE$8700,$A343,MATCH(E$1,'2-3 引出列表'!$A$1:$CD$1,0)),"")),"",IFERROR(INDEX('2-3 引出列表'!$A$2:$CE$8700,$A343,MATCH(E$1,'2-3 引出列表'!$A$1:$CD$1,0)),""))</f>
        <v>2025-05-07</v>
      </c>
      <c r="F343" t="str">
        <f t="shared" si="5"/>
        <v>2025-05</v>
      </c>
      <c r="G343" t="str">
        <f>IF(ISBLANK(IFERROR(INDEX('2-3 引出列表'!$A$2:$CE$8700,$A343,MATCH(G$1,'2-3 引出列表'!$A$1:$CD$1,0)),"")),"",IFERROR(INDEX('2-3 引出列表'!$A$2:$CE$8700,$A343,MATCH(G$1,'2-3 引出列表'!$A$1:$CD$1,0)),""))</f>
        <v>外包服务费.电梯维保外包</v>
      </c>
      <c r="H343" t="str">
        <f>IF(ISBLANK(IFERROR(INDEX('2-3 引出列表'!$A$2:$CE$8700,$A343,MATCH(H$1,'2-3 引出列表'!$A$1:$CD$1,0)),"")),"",IFERROR(INDEX('2-3 引出列表'!$A$2:$CE$8700,$A343,MATCH(H$1,'2-3 引出列表'!$A$1:$CD$1,0)),""))</f>
        <v>GCFW-Z-2024-7051</v>
      </c>
      <c r="I343" t="str">
        <f>IF(ISBLANK(IFERROR(INDEX('2-3 引出列表'!$A$2:$CE$8700,$A343,MATCH(I$1,'2-3 引出列表'!$A$1:$CD$1,0)),"")),"",IFERROR(INDEX('2-3 引出列表'!$A$2:$CE$8700,$A343,MATCH(I$1,'2-3 引出列表'!$A$1:$CD$1,0)),""))</f>
        <v>金采易购</v>
      </c>
    </row>
    <row r="344" spans="1:9">
      <c r="A344">
        <v>343</v>
      </c>
      <c r="B344">
        <f>IF(ISBLANK(IFERROR(INDEX('2-3 引出列表'!$A$2:$CE$8700,$A344,MATCH(B$1,'2-3 引出列表'!$A$1:$CD$1,0)),"")),"",IFERROR(INDEX('2-3 引出列表'!$A$2:$CE$8700,$A344,MATCH(B$1,'2-3 引出列表'!$A$1:$CD$1,0)),""))</f>
        <v>0</v>
      </c>
      <c r="C344">
        <f>IF(ISBLANK(IFERROR(INDEX('2-3 引出列表'!$A$2:$CE$8700,$A344,MATCH(C$1,'2-3 引出列表'!$A$1:$CD$1,0)),"")),"",IFERROR(INDEX('2-3 引出列表'!$A$2:$CE$8700,$A344,MATCH(C$1,'2-3 引出列表'!$A$1:$CD$1,0)),""))</f>
        <v>0</v>
      </c>
      <c r="D344">
        <f>IF(ISBLANK(IFERROR(INDEX('2-3 引出列表'!$A$2:$CE$8700,$A344,MATCH(D$1,'2-3 引出列表'!$A$1:$CD$1,0)),"")),"",IFERROR(INDEX('2-3 引出列表'!$A$2:$CE$8700,$A344,MATCH(D$1,'2-3 引出列表'!$A$1:$CD$1,0)),""))</f>
        <v>0</v>
      </c>
      <c r="E344">
        <f>IF(ISBLANK(IFERROR(INDEX('2-3 引出列表'!$A$2:$CE$8700,$A344,MATCH(E$1,'2-3 引出列表'!$A$1:$CD$1,0)),"")),"",IFERROR(INDEX('2-3 引出列表'!$A$2:$CE$8700,$A344,MATCH(E$1,'2-3 引出列表'!$A$1:$CD$1,0)),""))</f>
        <v>0</v>
      </c>
      <c r="F344" t="str">
        <f t="shared" si="5"/>
        <v>0</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f>IF(ISBLANK(IFERROR(INDEX('2-3 引出列表'!$A$2:$CE$8700,$A345,MATCH(B$1,'2-3 引出列表'!$A$1:$CD$1,0)),"")),"",IFERROR(INDEX('2-3 引出列表'!$A$2:$CE$8700,$A345,MATCH(B$1,'2-3 引出列表'!$A$1:$CD$1,0)),""))</f>
        <v>0</v>
      </c>
      <c r="C345">
        <f>IF(ISBLANK(IFERROR(INDEX('2-3 引出列表'!$A$2:$CE$8700,$A345,MATCH(C$1,'2-3 引出列表'!$A$1:$CD$1,0)),"")),"",IFERROR(INDEX('2-3 引出列表'!$A$2:$CE$8700,$A345,MATCH(C$1,'2-3 引出列表'!$A$1:$CD$1,0)),""))</f>
        <v>0</v>
      </c>
      <c r="D345">
        <f>IF(ISBLANK(IFERROR(INDEX('2-3 引出列表'!$A$2:$CE$8700,$A345,MATCH(D$1,'2-3 引出列表'!$A$1:$CD$1,0)),"")),"",IFERROR(INDEX('2-3 引出列表'!$A$2:$CE$8700,$A345,MATCH(D$1,'2-3 引出列表'!$A$1:$CD$1,0)),""))</f>
        <v>0</v>
      </c>
      <c r="E345">
        <f>IF(ISBLANK(IFERROR(INDEX('2-3 引出列表'!$A$2:$CE$8700,$A345,MATCH(E$1,'2-3 引出列表'!$A$1:$CD$1,0)),"")),"",IFERROR(INDEX('2-3 引出列表'!$A$2:$CE$8700,$A345,MATCH(E$1,'2-3 引出列表'!$A$1:$CD$1,0)),""))</f>
        <v>0</v>
      </c>
      <c r="F345" t="str">
        <f t="shared" si="5"/>
        <v>0</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f>IF(ISBLANK(IFERROR(INDEX('2-3 引出列表'!$A$2:$CE$8700,$A346,MATCH(B$1,'2-3 引出列表'!$A$1:$CD$1,0)),"")),"",IFERROR(INDEX('2-3 引出列表'!$A$2:$CE$8700,$A346,MATCH(B$1,'2-3 引出列表'!$A$1:$CD$1,0)),""))</f>
        <v>0</v>
      </c>
      <c r="C346">
        <f>IF(ISBLANK(IFERROR(INDEX('2-3 引出列表'!$A$2:$CE$8700,$A346,MATCH(C$1,'2-3 引出列表'!$A$1:$CD$1,0)),"")),"",IFERROR(INDEX('2-3 引出列表'!$A$2:$CE$8700,$A346,MATCH(C$1,'2-3 引出列表'!$A$1:$CD$1,0)),""))</f>
        <v>0</v>
      </c>
      <c r="D346">
        <f>IF(ISBLANK(IFERROR(INDEX('2-3 引出列表'!$A$2:$CE$8700,$A346,MATCH(D$1,'2-3 引出列表'!$A$1:$CD$1,0)),"")),"",IFERROR(INDEX('2-3 引出列表'!$A$2:$CE$8700,$A346,MATCH(D$1,'2-3 引出列表'!$A$1:$CD$1,0)),""))</f>
        <v>0</v>
      </c>
      <c r="E346">
        <f>IF(ISBLANK(IFERROR(INDEX('2-3 引出列表'!$A$2:$CE$8700,$A346,MATCH(E$1,'2-3 引出列表'!$A$1:$CD$1,0)),"")),"",IFERROR(INDEX('2-3 引出列表'!$A$2:$CE$8700,$A346,MATCH(E$1,'2-3 引出列表'!$A$1:$CD$1,0)),""))</f>
        <v>0</v>
      </c>
      <c r="F346" t="str">
        <f t="shared" si="5"/>
        <v>0</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f>IF(ISBLANK(IFERROR(INDEX('2-3 引出列表'!$A$2:$CE$8700,$A347,MATCH(B$1,'2-3 引出列表'!$A$1:$CD$1,0)),"")),"",IFERROR(INDEX('2-3 引出列表'!$A$2:$CE$8700,$A347,MATCH(B$1,'2-3 引出列表'!$A$1:$CD$1,0)),""))</f>
        <v>0</v>
      </c>
      <c r="C347">
        <f>IF(ISBLANK(IFERROR(INDEX('2-3 引出列表'!$A$2:$CE$8700,$A347,MATCH(C$1,'2-3 引出列表'!$A$1:$CD$1,0)),"")),"",IFERROR(INDEX('2-3 引出列表'!$A$2:$CE$8700,$A347,MATCH(C$1,'2-3 引出列表'!$A$1:$CD$1,0)),""))</f>
        <v>0</v>
      </c>
      <c r="D347">
        <f>IF(ISBLANK(IFERROR(INDEX('2-3 引出列表'!$A$2:$CE$8700,$A347,MATCH(D$1,'2-3 引出列表'!$A$1:$CD$1,0)),"")),"",IFERROR(INDEX('2-3 引出列表'!$A$2:$CE$8700,$A347,MATCH(D$1,'2-3 引出列表'!$A$1:$CD$1,0)),""))</f>
        <v>0</v>
      </c>
      <c r="E347">
        <f>IF(ISBLANK(IFERROR(INDEX('2-3 引出列表'!$A$2:$CE$8700,$A347,MATCH(E$1,'2-3 引出列表'!$A$1:$CD$1,0)),"")),"",IFERROR(INDEX('2-3 引出列表'!$A$2:$CE$8700,$A347,MATCH(E$1,'2-3 引出列表'!$A$1:$CD$1,0)),""))</f>
        <v>0</v>
      </c>
      <c r="F347" t="str">
        <f t="shared" si="5"/>
        <v>0</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f>IF(ISBLANK(IFERROR(INDEX('2-3 引出列表'!$A$2:$CE$8700,$A348,MATCH(B$1,'2-3 引出列表'!$A$1:$CD$1,0)),"")),"",IFERROR(INDEX('2-3 引出列表'!$A$2:$CE$8700,$A348,MATCH(B$1,'2-3 引出列表'!$A$1:$CD$1,0)),""))</f>
        <v>0</v>
      </c>
      <c r="C348">
        <f>IF(ISBLANK(IFERROR(INDEX('2-3 引出列表'!$A$2:$CE$8700,$A348,MATCH(C$1,'2-3 引出列表'!$A$1:$CD$1,0)),"")),"",IFERROR(INDEX('2-3 引出列表'!$A$2:$CE$8700,$A348,MATCH(C$1,'2-3 引出列表'!$A$1:$CD$1,0)),""))</f>
        <v>0</v>
      </c>
      <c r="D348">
        <f>IF(ISBLANK(IFERROR(INDEX('2-3 引出列表'!$A$2:$CE$8700,$A348,MATCH(D$1,'2-3 引出列表'!$A$1:$CD$1,0)),"")),"",IFERROR(INDEX('2-3 引出列表'!$A$2:$CE$8700,$A348,MATCH(D$1,'2-3 引出列表'!$A$1:$CD$1,0)),""))</f>
        <v>0</v>
      </c>
      <c r="E348">
        <f>IF(ISBLANK(IFERROR(INDEX('2-3 引出列表'!$A$2:$CE$8700,$A348,MATCH(E$1,'2-3 引出列表'!$A$1:$CD$1,0)),"")),"",IFERROR(INDEX('2-3 引出列表'!$A$2:$CE$8700,$A348,MATCH(E$1,'2-3 引出列表'!$A$1:$CD$1,0)),""))</f>
        <v>0</v>
      </c>
      <c r="F348" t="str">
        <f t="shared" si="5"/>
        <v>0</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f>IF(ISBLANK(IFERROR(INDEX('2-3 引出列表'!$A$2:$CE$8700,$A349,MATCH(B$1,'2-3 引出列表'!$A$1:$CD$1,0)),"")),"",IFERROR(INDEX('2-3 引出列表'!$A$2:$CE$8700,$A349,MATCH(B$1,'2-3 引出列表'!$A$1:$CD$1,0)),""))</f>
        <v>0</v>
      </c>
      <c r="C349">
        <f>IF(ISBLANK(IFERROR(INDEX('2-3 引出列表'!$A$2:$CE$8700,$A349,MATCH(C$1,'2-3 引出列表'!$A$1:$CD$1,0)),"")),"",IFERROR(INDEX('2-3 引出列表'!$A$2:$CE$8700,$A349,MATCH(C$1,'2-3 引出列表'!$A$1:$CD$1,0)),""))</f>
        <v>0</v>
      </c>
      <c r="D349">
        <f>IF(ISBLANK(IFERROR(INDEX('2-3 引出列表'!$A$2:$CE$8700,$A349,MATCH(D$1,'2-3 引出列表'!$A$1:$CD$1,0)),"")),"",IFERROR(INDEX('2-3 引出列表'!$A$2:$CE$8700,$A349,MATCH(D$1,'2-3 引出列表'!$A$1:$CD$1,0)),""))</f>
        <v>0</v>
      </c>
      <c r="E349">
        <f>IF(ISBLANK(IFERROR(INDEX('2-3 引出列表'!$A$2:$CE$8700,$A349,MATCH(E$1,'2-3 引出列表'!$A$1:$CD$1,0)),"")),"",IFERROR(INDEX('2-3 引出列表'!$A$2:$CE$8700,$A349,MATCH(E$1,'2-3 引出列表'!$A$1:$CD$1,0)),""))</f>
        <v>0</v>
      </c>
      <c r="F349" t="str">
        <f t="shared" si="5"/>
        <v>0</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343"/>
  <sheetViews>
    <sheetView workbookViewId="0">
      <selection activeCell="J9" sqref="J9"/>
    </sheetView>
  </sheetViews>
  <sheetFormatPr defaultColWidth="9" defaultRowHeight="13.5"/>
  <sheetData>
    <row r="1" spans="1:82">
      <c r="A1" s="56" t="s">
        <v>3651</v>
      </c>
      <c r="B1" s="56" t="s">
        <v>3660</v>
      </c>
      <c r="C1" s="56" t="s">
        <v>3652</v>
      </c>
      <c r="D1" s="56" t="s">
        <v>3661</v>
      </c>
      <c r="E1" s="56" t="s">
        <v>3662</v>
      </c>
      <c r="F1" s="56" t="s">
        <v>3663</v>
      </c>
      <c r="G1" s="56" t="s">
        <v>712</v>
      </c>
      <c r="H1" s="56" t="s">
        <v>3664</v>
      </c>
      <c r="I1" s="56" t="s">
        <v>3653</v>
      </c>
      <c r="J1" s="56" t="s">
        <v>3665</v>
      </c>
      <c r="K1" s="56" t="s">
        <v>3666</v>
      </c>
      <c r="L1" s="56" t="s">
        <v>3654</v>
      </c>
      <c r="M1" s="56" t="s">
        <v>3655</v>
      </c>
      <c r="N1" s="56" t="s">
        <v>3656</v>
      </c>
      <c r="O1" s="56" t="s">
        <v>3667</v>
      </c>
      <c r="P1" s="56" t="s">
        <v>3668</v>
      </c>
      <c r="Q1" s="56" t="s">
        <v>3669</v>
      </c>
      <c r="R1" s="56" t="s">
        <v>3670</v>
      </c>
      <c r="S1" s="56" t="s">
        <v>3671</v>
      </c>
      <c r="T1" s="56" t="s">
        <v>3658</v>
      </c>
      <c r="U1" s="56" t="s">
        <v>3672</v>
      </c>
      <c r="V1" s="56" t="s">
        <v>3673</v>
      </c>
      <c r="W1" s="56" t="s">
        <v>3674</v>
      </c>
      <c r="X1" s="56" t="s">
        <v>3675</v>
      </c>
      <c r="Y1" s="56" t="s">
        <v>3676</v>
      </c>
      <c r="Z1" s="56" t="s">
        <v>3452</v>
      </c>
      <c r="AA1" s="56" t="s">
        <v>3677</v>
      </c>
      <c r="AB1" s="56" t="s">
        <v>3678</v>
      </c>
      <c r="AC1" s="56" t="s">
        <v>3679</v>
      </c>
      <c r="AD1" s="56" t="s">
        <v>3680</v>
      </c>
      <c r="AE1" s="56" t="s">
        <v>3681</v>
      </c>
      <c r="AF1" s="56" t="s">
        <v>3682</v>
      </c>
      <c r="AG1" s="56" t="s">
        <v>3683</v>
      </c>
      <c r="AH1" s="56" t="s">
        <v>3684</v>
      </c>
      <c r="AI1" s="56" t="s">
        <v>3685</v>
      </c>
      <c r="AJ1" s="56" t="s">
        <v>3686</v>
      </c>
      <c r="AK1" s="56" t="s">
        <v>3687</v>
      </c>
      <c r="AL1" s="56" t="s">
        <v>3688</v>
      </c>
      <c r="AM1" s="56" t="s">
        <v>3689</v>
      </c>
      <c r="AN1" s="56" t="s">
        <v>3690</v>
      </c>
      <c r="AO1" s="56" t="s">
        <v>3691</v>
      </c>
      <c r="AP1" s="56" t="s">
        <v>3454</v>
      </c>
      <c r="AQ1" s="56" t="s">
        <v>3692</v>
      </c>
      <c r="AR1" s="56" t="s">
        <v>3693</v>
      </c>
      <c r="AS1" s="56" t="s">
        <v>3694</v>
      </c>
      <c r="AT1" s="56" t="s">
        <v>3695</v>
      </c>
      <c r="AU1" s="56" t="s">
        <v>3696</v>
      </c>
      <c r="AV1" s="56" t="s">
        <v>3697</v>
      </c>
      <c r="AW1" s="56" t="s">
        <v>3453</v>
      </c>
      <c r="AX1" s="56" t="s">
        <v>3698</v>
      </c>
      <c r="AY1" s="56" t="s">
        <v>3699</v>
      </c>
      <c r="AZ1" s="56" t="s">
        <v>3700</v>
      </c>
      <c r="BA1" s="56" t="s">
        <v>3701</v>
      </c>
      <c r="BB1" s="56" t="s">
        <v>3702</v>
      </c>
      <c r="BC1" s="56" t="s">
        <v>3703</v>
      </c>
      <c r="BD1" s="56" t="s">
        <v>3657</v>
      </c>
      <c r="BE1" s="56" t="s">
        <v>3422</v>
      </c>
      <c r="BF1" s="56" t="s">
        <v>3704</v>
      </c>
      <c r="BG1" s="56" t="s">
        <v>3705</v>
      </c>
      <c r="BH1" s="56" t="s">
        <v>3706</v>
      </c>
      <c r="BI1" s="56" t="s">
        <v>3707</v>
      </c>
      <c r="BJ1" s="56" t="s">
        <v>3708</v>
      </c>
      <c r="BK1" s="56" t="s">
        <v>3709</v>
      </c>
      <c r="BL1" s="56" t="s">
        <v>3710</v>
      </c>
      <c r="BM1" s="56" t="s">
        <v>3711</v>
      </c>
      <c r="BN1" s="56" t="s">
        <v>3712</v>
      </c>
      <c r="BO1" s="56" t="s">
        <v>3713</v>
      </c>
      <c r="BP1" s="56" t="s">
        <v>3714</v>
      </c>
      <c r="BQ1" s="56" t="s">
        <v>3715</v>
      </c>
      <c r="BR1" s="56" t="s">
        <v>3716</v>
      </c>
      <c r="BS1" s="56" t="s">
        <v>3717</v>
      </c>
      <c r="BT1" s="56" t="s">
        <v>3718</v>
      </c>
      <c r="BU1" s="56" t="s">
        <v>3719</v>
      </c>
      <c r="BV1" s="56" t="s">
        <v>3720</v>
      </c>
      <c r="BW1" s="56" t="s">
        <v>3721</v>
      </c>
      <c r="BX1" s="56" t="s">
        <v>3722</v>
      </c>
      <c r="BY1" s="56" t="s">
        <v>3723</v>
      </c>
      <c r="BZ1" s="56" t="s">
        <v>3724</v>
      </c>
      <c r="CA1" s="56" t="s">
        <v>3725</v>
      </c>
      <c r="CB1" s="56" t="s">
        <v>3726</v>
      </c>
      <c r="CC1" s="56" t="s">
        <v>3727</v>
      </c>
      <c r="CD1" s="56" t="s">
        <v>3728</v>
      </c>
    </row>
    <row r="2" spans="1:82">
      <c r="A2" s="57">
        <v>387</v>
      </c>
      <c r="B2" s="57" t="s">
        <v>3476</v>
      </c>
      <c r="C2" s="57" t="s">
        <v>3729</v>
      </c>
      <c r="D2" s="57" t="s">
        <v>3476</v>
      </c>
      <c r="E2" s="57" t="s">
        <v>3730</v>
      </c>
      <c r="F2" s="57" t="s">
        <v>3731</v>
      </c>
      <c r="G2" s="57" t="s">
        <v>721</v>
      </c>
      <c r="H2" s="57" t="s">
        <v>3546</v>
      </c>
      <c r="I2" s="57">
        <v>22360</v>
      </c>
      <c r="J2" s="57" t="s">
        <v>3476</v>
      </c>
      <c r="K2" s="57" t="s">
        <v>3476</v>
      </c>
      <c r="L2" s="57" t="s">
        <v>3732</v>
      </c>
      <c r="M2" s="57" t="s">
        <v>3733</v>
      </c>
      <c r="N2" s="57" t="s">
        <v>3733</v>
      </c>
      <c r="O2" s="57" t="s">
        <v>3476</v>
      </c>
      <c r="P2" s="57" t="s">
        <v>3476</v>
      </c>
      <c r="Q2" s="57" t="s">
        <v>3546</v>
      </c>
      <c r="R2" s="57" t="s">
        <v>3734</v>
      </c>
      <c r="S2" s="57" t="s">
        <v>3735</v>
      </c>
      <c r="T2" s="57" t="s">
        <v>3736</v>
      </c>
      <c r="U2" s="57" t="s">
        <v>3476</v>
      </c>
      <c r="V2" s="57" t="s">
        <v>3469</v>
      </c>
      <c r="W2" s="57" t="s">
        <v>3476</v>
      </c>
      <c r="X2" s="57" t="s">
        <v>3737</v>
      </c>
      <c r="Y2" s="57" t="s">
        <v>3738</v>
      </c>
      <c r="Z2" s="57" t="s">
        <v>3739</v>
      </c>
      <c r="AA2" s="57" t="s">
        <v>3740</v>
      </c>
      <c r="AB2" s="57" t="s">
        <v>3476</v>
      </c>
      <c r="AC2" s="57" t="s">
        <v>3741</v>
      </c>
      <c r="AD2" s="57" t="s">
        <v>3476</v>
      </c>
      <c r="AE2" s="57" t="s">
        <v>3476</v>
      </c>
      <c r="AF2" s="57" t="s">
        <v>3476</v>
      </c>
      <c r="AG2" s="57" t="s">
        <v>3476</v>
      </c>
      <c r="AH2" s="57" t="s">
        <v>3476</v>
      </c>
      <c r="AI2" s="57" t="s">
        <v>3476</v>
      </c>
      <c r="AJ2" s="57" t="s">
        <v>3476</v>
      </c>
      <c r="AK2" s="57" t="s">
        <v>1292</v>
      </c>
      <c r="AL2" s="57" t="s">
        <v>3742</v>
      </c>
      <c r="AM2" s="57" t="s">
        <v>3476</v>
      </c>
      <c r="AN2" s="57" t="s">
        <v>3743</v>
      </c>
      <c r="AO2" s="57" t="s">
        <v>3476</v>
      </c>
      <c r="AP2" s="58">
        <v>45821.6670023148</v>
      </c>
      <c r="AQ2" s="57" t="s">
        <v>3476</v>
      </c>
      <c r="AR2" s="57" t="s">
        <v>3744</v>
      </c>
      <c r="AS2" s="57" t="s">
        <v>3502</v>
      </c>
      <c r="AT2" s="57" t="s">
        <v>3745</v>
      </c>
      <c r="AU2" s="57" t="s">
        <v>3746</v>
      </c>
      <c r="AV2" s="57" t="s">
        <v>3476</v>
      </c>
      <c r="AW2" s="58">
        <v>45770.7874421296</v>
      </c>
      <c r="AX2" s="57" t="s">
        <v>3742</v>
      </c>
      <c r="AY2" s="57" t="s">
        <v>3747</v>
      </c>
      <c r="AZ2" s="57" t="s">
        <v>3476</v>
      </c>
      <c r="BA2" s="57" t="s">
        <v>3476</v>
      </c>
      <c r="BB2" s="57" t="s">
        <v>3476</v>
      </c>
      <c r="BC2" s="57" t="s">
        <v>3535</v>
      </c>
      <c r="BD2" s="57" t="s">
        <v>3748</v>
      </c>
      <c r="BE2" s="57" t="s">
        <v>2831</v>
      </c>
      <c r="BF2" s="57" t="s">
        <v>3749</v>
      </c>
      <c r="BG2" s="57" t="s">
        <v>3476</v>
      </c>
      <c r="BH2" s="57" t="s">
        <v>3476</v>
      </c>
      <c r="BI2" s="57" t="s">
        <v>2809</v>
      </c>
      <c r="BJ2" s="57" t="s">
        <v>3476</v>
      </c>
      <c r="BK2" s="57" t="s">
        <v>3476</v>
      </c>
      <c r="BL2" s="57">
        <v>3364787</v>
      </c>
      <c r="BM2" s="57" t="s">
        <v>3750</v>
      </c>
      <c r="BN2" s="57" t="s">
        <v>3476</v>
      </c>
      <c r="BO2" s="57">
        <v>22360</v>
      </c>
      <c r="BP2" s="57" t="s">
        <v>3751</v>
      </c>
      <c r="BQ2" s="57" t="s">
        <v>3476</v>
      </c>
      <c r="BR2" s="57" t="s">
        <v>3752</v>
      </c>
      <c r="BS2" s="57" t="s">
        <v>1292</v>
      </c>
      <c r="BT2" s="57" t="s">
        <v>3476</v>
      </c>
      <c r="BU2" s="57" t="s">
        <v>3476</v>
      </c>
      <c r="BV2" s="57" t="s">
        <v>3753</v>
      </c>
      <c r="BW2" s="57" t="s">
        <v>3476</v>
      </c>
      <c r="BX2" s="57">
        <v>22360</v>
      </c>
      <c r="BY2" s="57" t="s">
        <v>3476</v>
      </c>
      <c r="BZ2" s="57" t="s">
        <v>3476</v>
      </c>
      <c r="CA2" s="57" t="s">
        <v>3476</v>
      </c>
      <c r="CB2" s="57" t="s">
        <v>3476</v>
      </c>
      <c r="CC2" s="57" t="s">
        <v>3476</v>
      </c>
      <c r="CD2" s="57" t="s">
        <v>3476</v>
      </c>
    </row>
    <row r="3" spans="1:82">
      <c r="A3" s="57">
        <v>388</v>
      </c>
      <c r="B3" s="57" t="s">
        <v>3476</v>
      </c>
      <c r="C3" s="57" t="s">
        <v>3754</v>
      </c>
      <c r="D3" s="57" t="s">
        <v>3476</v>
      </c>
      <c r="E3" s="57" t="s">
        <v>3730</v>
      </c>
      <c r="F3" s="57" t="s">
        <v>3755</v>
      </c>
      <c r="G3" s="57" t="s">
        <v>721</v>
      </c>
      <c r="H3" s="57" t="s">
        <v>3546</v>
      </c>
      <c r="I3" s="57">
        <v>22360</v>
      </c>
      <c r="J3" s="57" t="s">
        <v>3476</v>
      </c>
      <c r="K3" s="57" t="s">
        <v>3476</v>
      </c>
      <c r="L3" s="57" t="s">
        <v>3732</v>
      </c>
      <c r="M3" s="57" t="s">
        <v>3733</v>
      </c>
      <c r="N3" s="57" t="s">
        <v>3733</v>
      </c>
      <c r="O3" s="57" t="s">
        <v>3476</v>
      </c>
      <c r="P3" s="57" t="s">
        <v>3476</v>
      </c>
      <c r="Q3" s="57" t="s">
        <v>3546</v>
      </c>
      <c r="R3" s="57" t="s">
        <v>3734</v>
      </c>
      <c r="S3" s="57" t="s">
        <v>3735</v>
      </c>
      <c r="T3" s="57" t="s">
        <v>3736</v>
      </c>
      <c r="U3" s="57" t="s">
        <v>3476</v>
      </c>
      <c r="V3" s="57" t="s">
        <v>3469</v>
      </c>
      <c r="W3" s="57" t="s">
        <v>3476</v>
      </c>
      <c r="X3" s="57" t="s">
        <v>3756</v>
      </c>
      <c r="Y3" s="57" t="s">
        <v>3738</v>
      </c>
      <c r="Z3" s="57" t="s">
        <v>3739</v>
      </c>
      <c r="AA3" s="57" t="s">
        <v>3757</v>
      </c>
      <c r="AB3" s="57" t="s">
        <v>3476</v>
      </c>
      <c r="AC3" s="57" t="s">
        <v>3741</v>
      </c>
      <c r="AD3" s="57" t="s">
        <v>3476</v>
      </c>
      <c r="AE3" s="57" t="s">
        <v>3476</v>
      </c>
      <c r="AF3" s="57" t="s">
        <v>3476</v>
      </c>
      <c r="AG3" s="57" t="s">
        <v>3476</v>
      </c>
      <c r="AH3" s="57" t="s">
        <v>3476</v>
      </c>
      <c r="AI3" s="57" t="s">
        <v>3476</v>
      </c>
      <c r="AJ3" s="57" t="s">
        <v>3476</v>
      </c>
      <c r="AK3" s="57" t="s">
        <v>1292</v>
      </c>
      <c r="AL3" s="57" t="s">
        <v>3758</v>
      </c>
      <c r="AM3" s="57" t="s">
        <v>3476</v>
      </c>
      <c r="AN3" s="57" t="s">
        <v>3759</v>
      </c>
      <c r="AO3" s="57" t="s">
        <v>3476</v>
      </c>
      <c r="AP3" s="58">
        <v>45826.7049421296</v>
      </c>
      <c r="AQ3" s="57" t="s">
        <v>3476</v>
      </c>
      <c r="AR3" s="57" t="s">
        <v>3744</v>
      </c>
      <c r="AS3" s="57" t="s">
        <v>3502</v>
      </c>
      <c r="AT3" s="57" t="s">
        <v>3745</v>
      </c>
      <c r="AU3" s="57" t="s">
        <v>3760</v>
      </c>
      <c r="AV3" s="57" t="s">
        <v>3476</v>
      </c>
      <c r="AW3" s="58">
        <v>45770.7875462963</v>
      </c>
      <c r="AX3" s="57" t="s">
        <v>3758</v>
      </c>
      <c r="AY3" s="57" t="s">
        <v>3747</v>
      </c>
      <c r="AZ3" s="57" t="s">
        <v>3476</v>
      </c>
      <c r="BA3" s="57" t="s">
        <v>3476</v>
      </c>
      <c r="BB3" s="57" t="s">
        <v>3476</v>
      </c>
      <c r="BC3" s="57" t="s">
        <v>3535</v>
      </c>
      <c r="BD3" s="57" t="s">
        <v>3748</v>
      </c>
      <c r="BE3" s="57" t="s">
        <v>2831</v>
      </c>
      <c r="BF3" s="57" t="s">
        <v>3749</v>
      </c>
      <c r="BG3" s="57" t="s">
        <v>3476</v>
      </c>
      <c r="BH3" s="57" t="s">
        <v>3476</v>
      </c>
      <c r="BI3" s="57" t="s">
        <v>2809</v>
      </c>
      <c r="BJ3" s="57" t="s">
        <v>3476</v>
      </c>
      <c r="BK3" s="57" t="s">
        <v>3476</v>
      </c>
      <c r="BL3" s="57">
        <v>3364787</v>
      </c>
      <c r="BM3" s="57" t="s">
        <v>3761</v>
      </c>
      <c r="BN3" s="57" t="s">
        <v>3476</v>
      </c>
      <c r="BO3" s="57">
        <v>22360</v>
      </c>
      <c r="BP3" s="57" t="s">
        <v>3751</v>
      </c>
      <c r="BQ3" s="57" t="s">
        <v>3476</v>
      </c>
      <c r="BR3" s="57" t="s">
        <v>3762</v>
      </c>
      <c r="BS3" s="57" t="s">
        <v>1292</v>
      </c>
      <c r="BT3" s="57" t="s">
        <v>3476</v>
      </c>
      <c r="BU3" s="57" t="s">
        <v>3476</v>
      </c>
      <c r="BV3" s="57" t="s">
        <v>3753</v>
      </c>
      <c r="BW3" s="57" t="s">
        <v>3476</v>
      </c>
      <c r="BX3" s="57">
        <v>22360</v>
      </c>
      <c r="BY3" s="57" t="s">
        <v>3476</v>
      </c>
      <c r="BZ3" s="57" t="s">
        <v>3476</v>
      </c>
      <c r="CA3" s="57" t="s">
        <v>3476</v>
      </c>
      <c r="CB3" s="57" t="s">
        <v>3476</v>
      </c>
      <c r="CC3" s="57" t="s">
        <v>3476</v>
      </c>
      <c r="CD3" s="57" t="s">
        <v>3476</v>
      </c>
    </row>
    <row r="4" spans="1:82">
      <c r="A4" s="57">
        <v>391</v>
      </c>
      <c r="B4" s="57" t="s">
        <v>3476</v>
      </c>
      <c r="C4" s="57" t="s">
        <v>3763</v>
      </c>
      <c r="D4" s="57" t="s">
        <v>3476</v>
      </c>
      <c r="E4" s="57" t="s">
        <v>3730</v>
      </c>
      <c r="F4" s="57" t="s">
        <v>3764</v>
      </c>
      <c r="G4" s="57" t="s">
        <v>721</v>
      </c>
      <c r="H4" s="57" t="s">
        <v>3232</v>
      </c>
      <c r="I4" s="57">
        <v>1250.29</v>
      </c>
      <c r="J4" s="57" t="s">
        <v>3476</v>
      </c>
      <c r="K4" s="57" t="s">
        <v>3476</v>
      </c>
      <c r="L4" s="57" t="s">
        <v>3732</v>
      </c>
      <c r="M4" s="57" t="s">
        <v>3733</v>
      </c>
      <c r="N4" s="57" t="s">
        <v>3733</v>
      </c>
      <c r="O4" s="57" t="s">
        <v>3476</v>
      </c>
      <c r="P4" s="57" t="s">
        <v>3476</v>
      </c>
      <c r="Q4" s="57" t="s">
        <v>3232</v>
      </c>
      <c r="R4" s="57" t="s">
        <v>3765</v>
      </c>
      <c r="S4" s="57" t="s">
        <v>3766</v>
      </c>
      <c r="T4" s="57" t="s">
        <v>3736</v>
      </c>
      <c r="U4" s="57" t="s">
        <v>3476</v>
      </c>
      <c r="V4" s="57" t="s">
        <v>3469</v>
      </c>
      <c r="W4" s="57" t="s">
        <v>3476</v>
      </c>
      <c r="X4" s="57" t="s">
        <v>3767</v>
      </c>
      <c r="Y4" s="57" t="s">
        <v>3738</v>
      </c>
      <c r="Z4" s="57" t="s">
        <v>3733</v>
      </c>
      <c r="AA4" s="57" t="s">
        <v>3632</v>
      </c>
      <c r="AB4" s="57" t="s">
        <v>3476</v>
      </c>
      <c r="AC4" s="57" t="s">
        <v>3768</v>
      </c>
      <c r="AD4" s="57" t="s">
        <v>3476</v>
      </c>
      <c r="AE4" s="57" t="s">
        <v>3476</v>
      </c>
      <c r="AF4" s="57" t="s">
        <v>3476</v>
      </c>
      <c r="AG4" s="57" t="s">
        <v>3476</v>
      </c>
      <c r="AH4" s="57" t="s">
        <v>3476</v>
      </c>
      <c r="AI4" s="57" t="s">
        <v>3476</v>
      </c>
      <c r="AJ4" s="57" t="s">
        <v>3476</v>
      </c>
      <c r="AK4" s="57" t="s">
        <v>1292</v>
      </c>
      <c r="AL4" s="57" t="s">
        <v>3769</v>
      </c>
      <c r="AM4" s="57" t="s">
        <v>3476</v>
      </c>
      <c r="AN4" s="57" t="s">
        <v>3770</v>
      </c>
      <c r="AO4" s="57" t="s">
        <v>3476</v>
      </c>
      <c r="AP4" s="58">
        <v>45847.6219791667</v>
      </c>
      <c r="AQ4" s="57" t="s">
        <v>3476</v>
      </c>
      <c r="AR4" s="57" t="s">
        <v>3771</v>
      </c>
      <c r="AS4" s="57" t="s">
        <v>3502</v>
      </c>
      <c r="AT4" s="57" t="s">
        <v>3745</v>
      </c>
      <c r="AU4" s="57" t="s">
        <v>3772</v>
      </c>
      <c r="AV4" s="57" t="s">
        <v>3476</v>
      </c>
      <c r="AW4" s="58">
        <v>45768.701412037</v>
      </c>
      <c r="AX4" s="57" t="s">
        <v>3769</v>
      </c>
      <c r="AY4" s="57" t="s">
        <v>3747</v>
      </c>
      <c r="AZ4" s="57" t="s">
        <v>3476</v>
      </c>
      <c r="BA4" s="57" t="s">
        <v>3476</v>
      </c>
      <c r="BB4" s="57" t="s">
        <v>3476</v>
      </c>
      <c r="BC4" s="57" t="s">
        <v>138</v>
      </c>
      <c r="BD4" s="57" t="s">
        <v>3773</v>
      </c>
      <c r="BE4" s="57" t="s">
        <v>3774</v>
      </c>
      <c r="BF4" s="57" t="s">
        <v>3749</v>
      </c>
      <c r="BG4" s="57" t="s">
        <v>3476</v>
      </c>
      <c r="BH4" s="57" t="s">
        <v>3476</v>
      </c>
      <c r="BI4" s="57" t="s">
        <v>2809</v>
      </c>
      <c r="BJ4" s="57" t="s">
        <v>3476</v>
      </c>
      <c r="BK4" s="57" t="s">
        <v>3476</v>
      </c>
      <c r="BL4" s="57">
        <v>3534352</v>
      </c>
      <c r="BM4" s="57" t="s">
        <v>3775</v>
      </c>
      <c r="BN4" s="57" t="s">
        <v>3476</v>
      </c>
      <c r="BO4" s="57">
        <v>31.05</v>
      </c>
      <c r="BP4" s="57" t="s">
        <v>3776</v>
      </c>
      <c r="BQ4" s="57" t="s">
        <v>3476</v>
      </c>
      <c r="BR4" s="57" t="s">
        <v>3777</v>
      </c>
      <c r="BS4" s="57" t="s">
        <v>1292</v>
      </c>
      <c r="BT4" s="57" t="s">
        <v>3476</v>
      </c>
      <c r="BU4" s="57" t="s">
        <v>3476</v>
      </c>
      <c r="BV4" s="57" t="s">
        <v>3753</v>
      </c>
      <c r="BW4" s="57" t="s">
        <v>3476</v>
      </c>
      <c r="BX4" s="57">
        <v>31.05</v>
      </c>
      <c r="BY4" s="57" t="s">
        <v>3476</v>
      </c>
      <c r="BZ4" s="57" t="s">
        <v>3476</v>
      </c>
      <c r="CA4" s="57" t="s">
        <v>3476</v>
      </c>
      <c r="CB4" s="57" t="s">
        <v>3476</v>
      </c>
      <c r="CC4" s="57" t="s">
        <v>3476</v>
      </c>
      <c r="CD4" s="57" t="s">
        <v>3476</v>
      </c>
    </row>
    <row r="5" spans="1:82">
      <c r="A5" s="57">
        <v>392</v>
      </c>
      <c r="B5" s="57" t="s">
        <v>3476</v>
      </c>
      <c r="C5" s="57" t="s">
        <v>3763</v>
      </c>
      <c r="D5" s="57" t="s">
        <v>3476</v>
      </c>
      <c r="E5" s="57" t="s">
        <v>3730</v>
      </c>
      <c r="F5" s="57" t="s">
        <v>3764</v>
      </c>
      <c r="G5" s="57" t="s">
        <v>721</v>
      </c>
      <c r="H5" s="57" t="s">
        <v>3232</v>
      </c>
      <c r="I5" s="57">
        <v>1250.29</v>
      </c>
      <c r="J5" s="57" t="s">
        <v>3476</v>
      </c>
      <c r="K5" s="57" t="s">
        <v>3476</v>
      </c>
      <c r="L5" s="57" t="s">
        <v>3732</v>
      </c>
      <c r="M5" s="57" t="s">
        <v>3733</v>
      </c>
      <c r="N5" s="57" t="s">
        <v>3733</v>
      </c>
      <c r="O5" s="57" t="s">
        <v>3476</v>
      </c>
      <c r="P5" s="57" t="s">
        <v>3476</v>
      </c>
      <c r="Q5" s="57" t="s">
        <v>3232</v>
      </c>
      <c r="R5" s="57" t="s">
        <v>3765</v>
      </c>
      <c r="S5" s="57" t="s">
        <v>3766</v>
      </c>
      <c r="T5" s="57" t="s">
        <v>3736</v>
      </c>
      <c r="U5" s="57" t="s">
        <v>3476</v>
      </c>
      <c r="V5" s="57" t="s">
        <v>3469</v>
      </c>
      <c r="W5" s="57" t="s">
        <v>3476</v>
      </c>
      <c r="X5" s="57" t="s">
        <v>3767</v>
      </c>
      <c r="Y5" s="57" t="s">
        <v>3738</v>
      </c>
      <c r="Z5" s="57" t="s">
        <v>3733</v>
      </c>
      <c r="AA5" s="57" t="s">
        <v>3632</v>
      </c>
      <c r="AB5" s="57" t="s">
        <v>3476</v>
      </c>
      <c r="AC5" s="57" t="s">
        <v>3768</v>
      </c>
      <c r="AD5" s="57" t="s">
        <v>3476</v>
      </c>
      <c r="AE5" s="57" t="s">
        <v>3476</v>
      </c>
      <c r="AF5" s="57" t="s">
        <v>3476</v>
      </c>
      <c r="AG5" s="57" t="s">
        <v>3476</v>
      </c>
      <c r="AH5" s="57" t="s">
        <v>3476</v>
      </c>
      <c r="AI5" s="57" t="s">
        <v>3476</v>
      </c>
      <c r="AJ5" s="57" t="s">
        <v>3476</v>
      </c>
      <c r="AK5" s="57" t="s">
        <v>1292</v>
      </c>
      <c r="AL5" s="57" t="s">
        <v>3769</v>
      </c>
      <c r="AM5" s="57" t="s">
        <v>3476</v>
      </c>
      <c r="AN5" s="57" t="s">
        <v>3770</v>
      </c>
      <c r="AO5" s="57" t="s">
        <v>3476</v>
      </c>
      <c r="AP5" s="58">
        <v>45847.6219791667</v>
      </c>
      <c r="AQ5" s="57" t="s">
        <v>3476</v>
      </c>
      <c r="AR5" s="57" t="s">
        <v>3771</v>
      </c>
      <c r="AS5" s="57" t="s">
        <v>3502</v>
      </c>
      <c r="AT5" s="57" t="s">
        <v>3745</v>
      </c>
      <c r="AU5" s="57" t="s">
        <v>3772</v>
      </c>
      <c r="AV5" s="57" t="s">
        <v>3476</v>
      </c>
      <c r="AW5" s="58">
        <v>45768.701412037</v>
      </c>
      <c r="AX5" s="57" t="s">
        <v>3769</v>
      </c>
      <c r="AY5" s="57" t="s">
        <v>3747</v>
      </c>
      <c r="AZ5" s="57" t="s">
        <v>3476</v>
      </c>
      <c r="BA5" s="57" t="s">
        <v>3476</v>
      </c>
      <c r="BB5" s="57" t="s">
        <v>3476</v>
      </c>
      <c r="BC5" s="57" t="s">
        <v>138</v>
      </c>
      <c r="BD5" s="57" t="s">
        <v>3773</v>
      </c>
      <c r="BE5" s="57" t="s">
        <v>3774</v>
      </c>
      <c r="BF5" s="57" t="s">
        <v>3749</v>
      </c>
      <c r="BG5" s="57" t="s">
        <v>3476</v>
      </c>
      <c r="BH5" s="57" t="s">
        <v>3476</v>
      </c>
      <c r="BI5" s="57" t="s">
        <v>2809</v>
      </c>
      <c r="BJ5" s="57" t="s">
        <v>3476</v>
      </c>
      <c r="BK5" s="57" t="s">
        <v>3476</v>
      </c>
      <c r="BL5" s="57">
        <v>3534353</v>
      </c>
      <c r="BM5" s="57" t="s">
        <v>3775</v>
      </c>
      <c r="BN5" s="57" t="s">
        <v>3476</v>
      </c>
      <c r="BO5" s="57">
        <v>41.34</v>
      </c>
      <c r="BP5" s="57" t="s">
        <v>3776</v>
      </c>
      <c r="BQ5" s="57" t="s">
        <v>3476</v>
      </c>
      <c r="BR5" s="57" t="s">
        <v>3777</v>
      </c>
      <c r="BS5" s="57" t="s">
        <v>1292</v>
      </c>
      <c r="BT5" s="57" t="s">
        <v>3476</v>
      </c>
      <c r="BU5" s="57" t="s">
        <v>3476</v>
      </c>
      <c r="BV5" s="57" t="s">
        <v>3753</v>
      </c>
      <c r="BW5" s="57" t="s">
        <v>3476</v>
      </c>
      <c r="BX5" s="57">
        <v>41.34</v>
      </c>
      <c r="BY5" s="57" t="s">
        <v>3476</v>
      </c>
      <c r="BZ5" s="57" t="s">
        <v>3476</v>
      </c>
      <c r="CA5" s="57" t="s">
        <v>3476</v>
      </c>
      <c r="CB5" s="57" t="s">
        <v>3476</v>
      </c>
      <c r="CC5" s="57" t="s">
        <v>3476</v>
      </c>
      <c r="CD5" s="57" t="s">
        <v>3476</v>
      </c>
    </row>
    <row r="6" spans="1:82">
      <c r="A6" s="57">
        <v>393</v>
      </c>
      <c r="B6" s="57" t="s">
        <v>3476</v>
      </c>
      <c r="C6" s="57" t="s">
        <v>3763</v>
      </c>
      <c r="D6" s="57" t="s">
        <v>3476</v>
      </c>
      <c r="E6" s="57" t="s">
        <v>3730</v>
      </c>
      <c r="F6" s="57" t="s">
        <v>3764</v>
      </c>
      <c r="G6" s="57" t="s">
        <v>721</v>
      </c>
      <c r="H6" s="57" t="s">
        <v>3232</v>
      </c>
      <c r="I6" s="57">
        <v>1250.29</v>
      </c>
      <c r="J6" s="57" t="s">
        <v>3476</v>
      </c>
      <c r="K6" s="57" t="s">
        <v>3476</v>
      </c>
      <c r="L6" s="57" t="s">
        <v>3732</v>
      </c>
      <c r="M6" s="57" t="s">
        <v>3733</v>
      </c>
      <c r="N6" s="57" t="s">
        <v>3733</v>
      </c>
      <c r="O6" s="57" t="s">
        <v>3476</v>
      </c>
      <c r="P6" s="57" t="s">
        <v>3476</v>
      </c>
      <c r="Q6" s="57" t="s">
        <v>3232</v>
      </c>
      <c r="R6" s="57" t="s">
        <v>3765</v>
      </c>
      <c r="S6" s="57" t="s">
        <v>3766</v>
      </c>
      <c r="T6" s="57" t="s">
        <v>3736</v>
      </c>
      <c r="U6" s="57" t="s">
        <v>3476</v>
      </c>
      <c r="V6" s="57" t="s">
        <v>3469</v>
      </c>
      <c r="W6" s="57" t="s">
        <v>3476</v>
      </c>
      <c r="X6" s="57" t="s">
        <v>3767</v>
      </c>
      <c r="Y6" s="57" t="s">
        <v>3738</v>
      </c>
      <c r="Z6" s="57" t="s">
        <v>3733</v>
      </c>
      <c r="AA6" s="57" t="s">
        <v>3632</v>
      </c>
      <c r="AB6" s="57" t="s">
        <v>3476</v>
      </c>
      <c r="AC6" s="57" t="s">
        <v>3768</v>
      </c>
      <c r="AD6" s="57" t="s">
        <v>3476</v>
      </c>
      <c r="AE6" s="57" t="s">
        <v>3476</v>
      </c>
      <c r="AF6" s="57" t="s">
        <v>3476</v>
      </c>
      <c r="AG6" s="57" t="s">
        <v>3476</v>
      </c>
      <c r="AH6" s="57" t="s">
        <v>3476</v>
      </c>
      <c r="AI6" s="57" t="s">
        <v>3476</v>
      </c>
      <c r="AJ6" s="57" t="s">
        <v>3476</v>
      </c>
      <c r="AK6" s="57" t="s">
        <v>1292</v>
      </c>
      <c r="AL6" s="57" t="s">
        <v>3769</v>
      </c>
      <c r="AM6" s="57" t="s">
        <v>3476</v>
      </c>
      <c r="AN6" s="57" t="s">
        <v>3770</v>
      </c>
      <c r="AO6" s="57" t="s">
        <v>3476</v>
      </c>
      <c r="AP6" s="58">
        <v>45847.6219791667</v>
      </c>
      <c r="AQ6" s="57" t="s">
        <v>3476</v>
      </c>
      <c r="AR6" s="57" t="s">
        <v>3771</v>
      </c>
      <c r="AS6" s="57" t="s">
        <v>3502</v>
      </c>
      <c r="AT6" s="57" t="s">
        <v>3745</v>
      </c>
      <c r="AU6" s="57" t="s">
        <v>3772</v>
      </c>
      <c r="AV6" s="57" t="s">
        <v>3476</v>
      </c>
      <c r="AW6" s="58">
        <v>45768.701412037</v>
      </c>
      <c r="AX6" s="57" t="s">
        <v>3769</v>
      </c>
      <c r="AY6" s="57" t="s">
        <v>3747</v>
      </c>
      <c r="AZ6" s="57" t="s">
        <v>3476</v>
      </c>
      <c r="BA6" s="57" t="s">
        <v>3476</v>
      </c>
      <c r="BB6" s="57" t="s">
        <v>3476</v>
      </c>
      <c r="BC6" s="57" t="s">
        <v>138</v>
      </c>
      <c r="BD6" s="57" t="s">
        <v>3773</v>
      </c>
      <c r="BE6" s="57" t="s">
        <v>3774</v>
      </c>
      <c r="BF6" s="57" t="s">
        <v>3749</v>
      </c>
      <c r="BG6" s="57" t="s">
        <v>3476</v>
      </c>
      <c r="BH6" s="57" t="s">
        <v>3476</v>
      </c>
      <c r="BI6" s="57" t="s">
        <v>2809</v>
      </c>
      <c r="BJ6" s="57" t="s">
        <v>3476</v>
      </c>
      <c r="BK6" s="57" t="s">
        <v>3476</v>
      </c>
      <c r="BL6" s="57">
        <v>3534354</v>
      </c>
      <c r="BM6" s="57" t="s">
        <v>3775</v>
      </c>
      <c r="BN6" s="57" t="s">
        <v>3476</v>
      </c>
      <c r="BO6" s="57">
        <v>1177.9</v>
      </c>
      <c r="BP6" s="57" t="s">
        <v>3776</v>
      </c>
      <c r="BQ6" s="57" t="s">
        <v>3476</v>
      </c>
      <c r="BR6" s="57" t="s">
        <v>3777</v>
      </c>
      <c r="BS6" s="57" t="s">
        <v>1292</v>
      </c>
      <c r="BT6" s="57" t="s">
        <v>3476</v>
      </c>
      <c r="BU6" s="57" t="s">
        <v>3476</v>
      </c>
      <c r="BV6" s="57" t="s">
        <v>3753</v>
      </c>
      <c r="BW6" s="57" t="s">
        <v>3476</v>
      </c>
      <c r="BX6" s="57">
        <v>1177.9</v>
      </c>
      <c r="BY6" s="57" t="s">
        <v>3476</v>
      </c>
      <c r="BZ6" s="57" t="s">
        <v>3476</v>
      </c>
      <c r="CA6" s="57" t="s">
        <v>3476</v>
      </c>
      <c r="CB6" s="57" t="s">
        <v>3476</v>
      </c>
      <c r="CC6" s="57" t="s">
        <v>3476</v>
      </c>
      <c r="CD6" s="57" t="s">
        <v>3476</v>
      </c>
    </row>
    <row r="7" spans="1:82">
      <c r="A7" s="57">
        <v>1209</v>
      </c>
      <c r="B7" s="57" t="s">
        <v>3476</v>
      </c>
      <c r="C7" s="57" t="s">
        <v>3778</v>
      </c>
      <c r="D7" s="57" t="s">
        <v>3476</v>
      </c>
      <c r="E7" s="57" t="s">
        <v>3730</v>
      </c>
      <c r="F7" s="57" t="s">
        <v>3779</v>
      </c>
      <c r="G7" s="57" t="s">
        <v>721</v>
      </c>
      <c r="H7" s="57" t="s">
        <v>2874</v>
      </c>
      <c r="I7" s="57">
        <v>63536.29</v>
      </c>
      <c r="J7" s="57" t="s">
        <v>3476</v>
      </c>
      <c r="K7" s="57" t="s">
        <v>3476</v>
      </c>
      <c r="L7" s="57" t="s">
        <v>3732</v>
      </c>
      <c r="M7" s="57" t="s">
        <v>3780</v>
      </c>
      <c r="N7" s="57" t="s">
        <v>3780</v>
      </c>
      <c r="O7" s="57" t="s">
        <v>3476</v>
      </c>
      <c r="P7" s="57" t="s">
        <v>3476</v>
      </c>
      <c r="Q7" s="57" t="s">
        <v>2874</v>
      </c>
      <c r="R7" s="57" t="s">
        <v>3781</v>
      </c>
      <c r="S7" s="57" t="s">
        <v>3782</v>
      </c>
      <c r="T7" s="57" t="s">
        <v>3736</v>
      </c>
      <c r="U7" s="57" t="s">
        <v>3476</v>
      </c>
      <c r="V7" s="57" t="s">
        <v>3469</v>
      </c>
      <c r="W7" s="57" t="s">
        <v>3476</v>
      </c>
      <c r="X7" s="57" t="s">
        <v>3783</v>
      </c>
      <c r="Y7" s="57" t="s">
        <v>3738</v>
      </c>
      <c r="Z7" s="57" t="s">
        <v>3780</v>
      </c>
      <c r="AA7" s="57" t="s">
        <v>3757</v>
      </c>
      <c r="AB7" s="57" t="s">
        <v>3476</v>
      </c>
      <c r="AC7" s="57" t="s">
        <v>3741</v>
      </c>
      <c r="AD7" s="57" t="s">
        <v>3476</v>
      </c>
      <c r="AE7" s="57" t="s">
        <v>3476</v>
      </c>
      <c r="AF7" s="57" t="s">
        <v>3476</v>
      </c>
      <c r="AG7" s="57" t="s">
        <v>3476</v>
      </c>
      <c r="AH7" s="57" t="s">
        <v>3476</v>
      </c>
      <c r="AI7" s="57" t="s">
        <v>3476</v>
      </c>
      <c r="AJ7" s="57" t="s">
        <v>3476</v>
      </c>
      <c r="AK7" s="57" t="s">
        <v>1292</v>
      </c>
      <c r="AL7" s="57" t="s">
        <v>3784</v>
      </c>
      <c r="AM7" s="57" t="s">
        <v>3476</v>
      </c>
      <c r="AN7" s="57" t="s">
        <v>3785</v>
      </c>
      <c r="AO7" s="57" t="s">
        <v>3476</v>
      </c>
      <c r="AP7" s="58">
        <v>45826.7806828704</v>
      </c>
      <c r="AQ7" s="57" t="s">
        <v>3476</v>
      </c>
      <c r="AR7" s="57" t="s">
        <v>3744</v>
      </c>
      <c r="AS7" s="57" t="s">
        <v>3502</v>
      </c>
      <c r="AT7" s="57" t="s">
        <v>3745</v>
      </c>
      <c r="AU7" s="57" t="s">
        <v>3786</v>
      </c>
      <c r="AV7" s="57" t="s">
        <v>3476</v>
      </c>
      <c r="AW7" s="58">
        <v>45764.8716203704</v>
      </c>
      <c r="AX7" s="57" t="s">
        <v>3784</v>
      </c>
      <c r="AY7" s="57" t="s">
        <v>3747</v>
      </c>
      <c r="AZ7" s="57" t="s">
        <v>3476</v>
      </c>
      <c r="BA7" s="57" t="s">
        <v>3476</v>
      </c>
      <c r="BB7" s="57" t="s">
        <v>3476</v>
      </c>
      <c r="BC7" s="57" t="s">
        <v>1787</v>
      </c>
      <c r="BD7" s="57" t="s">
        <v>3659</v>
      </c>
      <c r="BE7" s="57" t="s">
        <v>3787</v>
      </c>
      <c r="BF7" s="57" t="s">
        <v>3749</v>
      </c>
      <c r="BG7" s="57" t="s">
        <v>3476</v>
      </c>
      <c r="BH7" s="57" t="s">
        <v>3476</v>
      </c>
      <c r="BI7" s="57" t="s">
        <v>2809</v>
      </c>
      <c r="BJ7" s="57" t="s">
        <v>3476</v>
      </c>
      <c r="BK7" s="57" t="s">
        <v>3476</v>
      </c>
      <c r="BL7" s="57">
        <v>3538801</v>
      </c>
      <c r="BM7" s="57" t="s">
        <v>3788</v>
      </c>
      <c r="BN7" s="57" t="s">
        <v>3476</v>
      </c>
      <c r="BO7" s="57">
        <v>78</v>
      </c>
      <c r="BP7" s="57" t="s">
        <v>3751</v>
      </c>
      <c r="BQ7" s="57" t="s">
        <v>3476</v>
      </c>
      <c r="BR7" s="57" t="s">
        <v>3789</v>
      </c>
      <c r="BS7" s="57" t="s">
        <v>1292</v>
      </c>
      <c r="BT7" s="57" t="s">
        <v>3476</v>
      </c>
      <c r="BU7" s="57" t="s">
        <v>3476</v>
      </c>
      <c r="BV7" s="57" t="s">
        <v>3753</v>
      </c>
      <c r="BW7" s="57" t="s">
        <v>3476</v>
      </c>
      <c r="BX7" s="57">
        <v>78</v>
      </c>
      <c r="BY7" s="57" t="s">
        <v>3476</v>
      </c>
      <c r="BZ7" s="57" t="s">
        <v>3476</v>
      </c>
      <c r="CA7" s="57" t="s">
        <v>3476</v>
      </c>
      <c r="CB7" s="57" t="s">
        <v>3476</v>
      </c>
      <c r="CC7" s="57" t="s">
        <v>3476</v>
      </c>
      <c r="CD7" s="57" t="s">
        <v>3476</v>
      </c>
    </row>
    <row r="8" spans="1:82">
      <c r="A8" s="57">
        <v>1210</v>
      </c>
      <c r="B8" s="57" t="s">
        <v>3476</v>
      </c>
      <c r="C8" s="57" t="s">
        <v>3778</v>
      </c>
      <c r="D8" s="57" t="s">
        <v>3476</v>
      </c>
      <c r="E8" s="57" t="s">
        <v>3730</v>
      </c>
      <c r="F8" s="57" t="s">
        <v>3779</v>
      </c>
      <c r="G8" s="57" t="s">
        <v>721</v>
      </c>
      <c r="H8" s="57" t="s">
        <v>2874</v>
      </c>
      <c r="I8" s="57">
        <v>63536.29</v>
      </c>
      <c r="J8" s="57" t="s">
        <v>3476</v>
      </c>
      <c r="K8" s="57" t="s">
        <v>3476</v>
      </c>
      <c r="L8" s="57" t="s">
        <v>3732</v>
      </c>
      <c r="M8" s="57" t="s">
        <v>3780</v>
      </c>
      <c r="N8" s="57" t="s">
        <v>3780</v>
      </c>
      <c r="O8" s="57" t="s">
        <v>3476</v>
      </c>
      <c r="P8" s="57" t="s">
        <v>3476</v>
      </c>
      <c r="Q8" s="57" t="s">
        <v>2874</v>
      </c>
      <c r="R8" s="57" t="s">
        <v>3781</v>
      </c>
      <c r="S8" s="57" t="s">
        <v>3782</v>
      </c>
      <c r="T8" s="57" t="s">
        <v>3736</v>
      </c>
      <c r="U8" s="57" t="s">
        <v>3476</v>
      </c>
      <c r="V8" s="57" t="s">
        <v>3469</v>
      </c>
      <c r="W8" s="57" t="s">
        <v>3476</v>
      </c>
      <c r="X8" s="57" t="s">
        <v>3783</v>
      </c>
      <c r="Y8" s="57" t="s">
        <v>3738</v>
      </c>
      <c r="Z8" s="57" t="s">
        <v>3780</v>
      </c>
      <c r="AA8" s="57" t="s">
        <v>3757</v>
      </c>
      <c r="AB8" s="57" t="s">
        <v>3476</v>
      </c>
      <c r="AC8" s="57" t="s">
        <v>3741</v>
      </c>
      <c r="AD8" s="57" t="s">
        <v>3476</v>
      </c>
      <c r="AE8" s="57" t="s">
        <v>3476</v>
      </c>
      <c r="AF8" s="57" t="s">
        <v>3476</v>
      </c>
      <c r="AG8" s="57" t="s">
        <v>3476</v>
      </c>
      <c r="AH8" s="57" t="s">
        <v>3476</v>
      </c>
      <c r="AI8" s="57" t="s">
        <v>3476</v>
      </c>
      <c r="AJ8" s="57" t="s">
        <v>3476</v>
      </c>
      <c r="AK8" s="57" t="s">
        <v>1292</v>
      </c>
      <c r="AL8" s="57" t="s">
        <v>3784</v>
      </c>
      <c r="AM8" s="57" t="s">
        <v>3476</v>
      </c>
      <c r="AN8" s="57" t="s">
        <v>3785</v>
      </c>
      <c r="AO8" s="57" t="s">
        <v>3476</v>
      </c>
      <c r="AP8" s="58">
        <v>45826.7806828704</v>
      </c>
      <c r="AQ8" s="57" t="s">
        <v>3476</v>
      </c>
      <c r="AR8" s="57" t="s">
        <v>3744</v>
      </c>
      <c r="AS8" s="57" t="s">
        <v>3502</v>
      </c>
      <c r="AT8" s="57" t="s">
        <v>3745</v>
      </c>
      <c r="AU8" s="57" t="s">
        <v>3786</v>
      </c>
      <c r="AV8" s="57" t="s">
        <v>3476</v>
      </c>
      <c r="AW8" s="58">
        <v>45764.8716203704</v>
      </c>
      <c r="AX8" s="57" t="s">
        <v>3784</v>
      </c>
      <c r="AY8" s="57" t="s">
        <v>3747</v>
      </c>
      <c r="AZ8" s="57" t="s">
        <v>3476</v>
      </c>
      <c r="BA8" s="57" t="s">
        <v>3476</v>
      </c>
      <c r="BB8" s="57" t="s">
        <v>3476</v>
      </c>
      <c r="BC8" s="57" t="s">
        <v>1787</v>
      </c>
      <c r="BD8" s="57" t="s">
        <v>3659</v>
      </c>
      <c r="BE8" s="57" t="s">
        <v>3787</v>
      </c>
      <c r="BF8" s="57" t="s">
        <v>3749</v>
      </c>
      <c r="BG8" s="57" t="s">
        <v>3476</v>
      </c>
      <c r="BH8" s="57" t="s">
        <v>3476</v>
      </c>
      <c r="BI8" s="57" t="s">
        <v>2809</v>
      </c>
      <c r="BJ8" s="57" t="s">
        <v>3476</v>
      </c>
      <c r="BK8" s="57" t="s">
        <v>3476</v>
      </c>
      <c r="BL8" s="57">
        <v>3538800</v>
      </c>
      <c r="BM8" s="57" t="s">
        <v>3788</v>
      </c>
      <c r="BN8" s="57" t="s">
        <v>3476</v>
      </c>
      <c r="BO8" s="57">
        <v>817</v>
      </c>
      <c r="BP8" s="57" t="s">
        <v>3751</v>
      </c>
      <c r="BQ8" s="57" t="s">
        <v>3476</v>
      </c>
      <c r="BR8" s="57" t="s">
        <v>3789</v>
      </c>
      <c r="BS8" s="57" t="s">
        <v>1292</v>
      </c>
      <c r="BT8" s="57" t="s">
        <v>3476</v>
      </c>
      <c r="BU8" s="57" t="s">
        <v>3476</v>
      </c>
      <c r="BV8" s="57" t="s">
        <v>3753</v>
      </c>
      <c r="BW8" s="57" t="s">
        <v>3476</v>
      </c>
      <c r="BX8" s="57">
        <v>817</v>
      </c>
      <c r="BY8" s="57" t="s">
        <v>3476</v>
      </c>
      <c r="BZ8" s="57" t="s">
        <v>3476</v>
      </c>
      <c r="CA8" s="57" t="s">
        <v>3476</v>
      </c>
      <c r="CB8" s="57" t="s">
        <v>3476</v>
      </c>
      <c r="CC8" s="57" t="s">
        <v>3476</v>
      </c>
      <c r="CD8" s="57" t="s">
        <v>3476</v>
      </c>
    </row>
    <row r="9" spans="1:82">
      <c r="A9" s="57">
        <v>1211</v>
      </c>
      <c r="B9" s="57" t="s">
        <v>3476</v>
      </c>
      <c r="C9" s="57" t="s">
        <v>3778</v>
      </c>
      <c r="D9" s="57" t="s">
        <v>3476</v>
      </c>
      <c r="E9" s="57" t="s">
        <v>3730</v>
      </c>
      <c r="F9" s="57" t="s">
        <v>3779</v>
      </c>
      <c r="G9" s="57" t="s">
        <v>721</v>
      </c>
      <c r="H9" s="57" t="s">
        <v>2874</v>
      </c>
      <c r="I9" s="57">
        <v>63536.29</v>
      </c>
      <c r="J9" s="57" t="s">
        <v>3476</v>
      </c>
      <c r="K9" s="57" t="s">
        <v>3476</v>
      </c>
      <c r="L9" s="57" t="s">
        <v>3732</v>
      </c>
      <c r="M9" s="57" t="s">
        <v>3780</v>
      </c>
      <c r="N9" s="57" t="s">
        <v>3780</v>
      </c>
      <c r="O9" s="57" t="s">
        <v>3476</v>
      </c>
      <c r="P9" s="57" t="s">
        <v>3476</v>
      </c>
      <c r="Q9" s="57" t="s">
        <v>2874</v>
      </c>
      <c r="R9" s="57" t="s">
        <v>3781</v>
      </c>
      <c r="S9" s="57" t="s">
        <v>3782</v>
      </c>
      <c r="T9" s="57" t="s">
        <v>3736</v>
      </c>
      <c r="U9" s="57" t="s">
        <v>3476</v>
      </c>
      <c r="V9" s="57" t="s">
        <v>3469</v>
      </c>
      <c r="W9" s="57" t="s">
        <v>3476</v>
      </c>
      <c r="X9" s="57" t="s">
        <v>3783</v>
      </c>
      <c r="Y9" s="57" t="s">
        <v>3738</v>
      </c>
      <c r="Z9" s="57" t="s">
        <v>3780</v>
      </c>
      <c r="AA9" s="57" t="s">
        <v>3757</v>
      </c>
      <c r="AB9" s="57" t="s">
        <v>3476</v>
      </c>
      <c r="AC9" s="57" t="s">
        <v>3741</v>
      </c>
      <c r="AD9" s="57" t="s">
        <v>3476</v>
      </c>
      <c r="AE9" s="57" t="s">
        <v>3476</v>
      </c>
      <c r="AF9" s="57" t="s">
        <v>3476</v>
      </c>
      <c r="AG9" s="57" t="s">
        <v>3476</v>
      </c>
      <c r="AH9" s="57" t="s">
        <v>3476</v>
      </c>
      <c r="AI9" s="57" t="s">
        <v>3476</v>
      </c>
      <c r="AJ9" s="57" t="s">
        <v>3476</v>
      </c>
      <c r="AK9" s="57" t="s">
        <v>1292</v>
      </c>
      <c r="AL9" s="57" t="s">
        <v>3784</v>
      </c>
      <c r="AM9" s="57" t="s">
        <v>3476</v>
      </c>
      <c r="AN9" s="57" t="s">
        <v>3785</v>
      </c>
      <c r="AO9" s="57" t="s">
        <v>3476</v>
      </c>
      <c r="AP9" s="58">
        <v>45826.7806828704</v>
      </c>
      <c r="AQ9" s="57" t="s">
        <v>3476</v>
      </c>
      <c r="AR9" s="57" t="s">
        <v>3744</v>
      </c>
      <c r="AS9" s="57" t="s">
        <v>3502</v>
      </c>
      <c r="AT9" s="57" t="s">
        <v>3745</v>
      </c>
      <c r="AU9" s="57" t="s">
        <v>3786</v>
      </c>
      <c r="AV9" s="57" t="s">
        <v>3476</v>
      </c>
      <c r="AW9" s="58">
        <v>45764.8716203704</v>
      </c>
      <c r="AX9" s="57" t="s">
        <v>3784</v>
      </c>
      <c r="AY9" s="57" t="s">
        <v>3747</v>
      </c>
      <c r="AZ9" s="57" t="s">
        <v>3476</v>
      </c>
      <c r="BA9" s="57" t="s">
        <v>3476</v>
      </c>
      <c r="BB9" s="57" t="s">
        <v>3476</v>
      </c>
      <c r="BC9" s="57" t="s">
        <v>1787</v>
      </c>
      <c r="BD9" s="57" t="s">
        <v>3659</v>
      </c>
      <c r="BE9" s="57" t="s">
        <v>3787</v>
      </c>
      <c r="BF9" s="57" t="s">
        <v>3749</v>
      </c>
      <c r="BG9" s="57" t="s">
        <v>3476</v>
      </c>
      <c r="BH9" s="57" t="s">
        <v>3476</v>
      </c>
      <c r="BI9" s="57" t="s">
        <v>2809</v>
      </c>
      <c r="BJ9" s="57" t="s">
        <v>3476</v>
      </c>
      <c r="BK9" s="57" t="s">
        <v>3476</v>
      </c>
      <c r="BL9" s="57">
        <v>3538803</v>
      </c>
      <c r="BM9" s="57" t="s">
        <v>3788</v>
      </c>
      <c r="BN9" s="57" t="s">
        <v>3476</v>
      </c>
      <c r="BO9" s="57">
        <v>30.38</v>
      </c>
      <c r="BP9" s="57" t="s">
        <v>3751</v>
      </c>
      <c r="BQ9" s="57" t="s">
        <v>3476</v>
      </c>
      <c r="BR9" s="57" t="s">
        <v>3789</v>
      </c>
      <c r="BS9" s="57" t="s">
        <v>1292</v>
      </c>
      <c r="BT9" s="57" t="s">
        <v>3476</v>
      </c>
      <c r="BU9" s="57" t="s">
        <v>3476</v>
      </c>
      <c r="BV9" s="57" t="s">
        <v>3753</v>
      </c>
      <c r="BW9" s="57" t="s">
        <v>3476</v>
      </c>
      <c r="BX9" s="57">
        <v>30.38</v>
      </c>
      <c r="BY9" s="57" t="s">
        <v>3476</v>
      </c>
      <c r="BZ9" s="57" t="s">
        <v>3476</v>
      </c>
      <c r="CA9" s="57" t="s">
        <v>3476</v>
      </c>
      <c r="CB9" s="57" t="s">
        <v>3476</v>
      </c>
      <c r="CC9" s="57" t="s">
        <v>3476</v>
      </c>
      <c r="CD9" s="57" t="s">
        <v>3476</v>
      </c>
    </row>
    <row r="10" spans="1:82">
      <c r="A10" s="57">
        <v>1212</v>
      </c>
      <c r="B10" s="57" t="s">
        <v>3476</v>
      </c>
      <c r="C10" s="57" t="s">
        <v>3778</v>
      </c>
      <c r="D10" s="57" t="s">
        <v>3476</v>
      </c>
      <c r="E10" s="57" t="s">
        <v>3730</v>
      </c>
      <c r="F10" s="57" t="s">
        <v>3779</v>
      </c>
      <c r="G10" s="57" t="s">
        <v>721</v>
      </c>
      <c r="H10" s="57" t="s">
        <v>2874</v>
      </c>
      <c r="I10" s="57">
        <v>63536.29</v>
      </c>
      <c r="J10" s="57" t="s">
        <v>3476</v>
      </c>
      <c r="K10" s="57" t="s">
        <v>3476</v>
      </c>
      <c r="L10" s="57" t="s">
        <v>3732</v>
      </c>
      <c r="M10" s="57" t="s">
        <v>3780</v>
      </c>
      <c r="N10" s="57" t="s">
        <v>3780</v>
      </c>
      <c r="O10" s="57" t="s">
        <v>3476</v>
      </c>
      <c r="P10" s="57" t="s">
        <v>3476</v>
      </c>
      <c r="Q10" s="57" t="s">
        <v>2874</v>
      </c>
      <c r="R10" s="57" t="s">
        <v>3781</v>
      </c>
      <c r="S10" s="57" t="s">
        <v>3782</v>
      </c>
      <c r="T10" s="57" t="s">
        <v>3736</v>
      </c>
      <c r="U10" s="57" t="s">
        <v>3476</v>
      </c>
      <c r="V10" s="57" t="s">
        <v>3469</v>
      </c>
      <c r="W10" s="57" t="s">
        <v>3476</v>
      </c>
      <c r="X10" s="57" t="s">
        <v>3783</v>
      </c>
      <c r="Y10" s="57" t="s">
        <v>3738</v>
      </c>
      <c r="Z10" s="57" t="s">
        <v>3780</v>
      </c>
      <c r="AA10" s="57" t="s">
        <v>3757</v>
      </c>
      <c r="AB10" s="57" t="s">
        <v>3476</v>
      </c>
      <c r="AC10" s="57" t="s">
        <v>3741</v>
      </c>
      <c r="AD10" s="57" t="s">
        <v>3476</v>
      </c>
      <c r="AE10" s="57" t="s">
        <v>3476</v>
      </c>
      <c r="AF10" s="57" t="s">
        <v>3476</v>
      </c>
      <c r="AG10" s="57" t="s">
        <v>3476</v>
      </c>
      <c r="AH10" s="57" t="s">
        <v>3476</v>
      </c>
      <c r="AI10" s="57" t="s">
        <v>3476</v>
      </c>
      <c r="AJ10" s="57" t="s">
        <v>3476</v>
      </c>
      <c r="AK10" s="57" t="s">
        <v>1292</v>
      </c>
      <c r="AL10" s="57" t="s">
        <v>3784</v>
      </c>
      <c r="AM10" s="57" t="s">
        <v>3476</v>
      </c>
      <c r="AN10" s="57" t="s">
        <v>3785</v>
      </c>
      <c r="AO10" s="57" t="s">
        <v>3476</v>
      </c>
      <c r="AP10" s="58">
        <v>45826.7806828704</v>
      </c>
      <c r="AQ10" s="57" t="s">
        <v>3476</v>
      </c>
      <c r="AR10" s="57" t="s">
        <v>3744</v>
      </c>
      <c r="AS10" s="57" t="s">
        <v>3502</v>
      </c>
      <c r="AT10" s="57" t="s">
        <v>3745</v>
      </c>
      <c r="AU10" s="57" t="s">
        <v>3786</v>
      </c>
      <c r="AV10" s="57" t="s">
        <v>3476</v>
      </c>
      <c r="AW10" s="58">
        <v>45764.8716203704</v>
      </c>
      <c r="AX10" s="57" t="s">
        <v>3784</v>
      </c>
      <c r="AY10" s="57" t="s">
        <v>3747</v>
      </c>
      <c r="AZ10" s="57" t="s">
        <v>3476</v>
      </c>
      <c r="BA10" s="57" t="s">
        <v>3476</v>
      </c>
      <c r="BB10" s="57" t="s">
        <v>3476</v>
      </c>
      <c r="BC10" s="57" t="s">
        <v>1787</v>
      </c>
      <c r="BD10" s="57" t="s">
        <v>3659</v>
      </c>
      <c r="BE10" s="57" t="s">
        <v>3787</v>
      </c>
      <c r="BF10" s="57" t="s">
        <v>3749</v>
      </c>
      <c r="BG10" s="57" t="s">
        <v>3476</v>
      </c>
      <c r="BH10" s="57" t="s">
        <v>3476</v>
      </c>
      <c r="BI10" s="57" t="s">
        <v>2809</v>
      </c>
      <c r="BJ10" s="57" t="s">
        <v>3476</v>
      </c>
      <c r="BK10" s="57" t="s">
        <v>3476</v>
      </c>
      <c r="BL10" s="57">
        <v>3538802</v>
      </c>
      <c r="BM10" s="57" t="s">
        <v>3788</v>
      </c>
      <c r="BN10" s="57" t="s">
        <v>3476</v>
      </c>
      <c r="BO10" s="57">
        <v>42</v>
      </c>
      <c r="BP10" s="57" t="s">
        <v>3751</v>
      </c>
      <c r="BQ10" s="57" t="s">
        <v>3476</v>
      </c>
      <c r="BR10" s="57" t="s">
        <v>3789</v>
      </c>
      <c r="BS10" s="57" t="s">
        <v>1292</v>
      </c>
      <c r="BT10" s="57" t="s">
        <v>3476</v>
      </c>
      <c r="BU10" s="57" t="s">
        <v>3476</v>
      </c>
      <c r="BV10" s="57" t="s">
        <v>3753</v>
      </c>
      <c r="BW10" s="57" t="s">
        <v>3476</v>
      </c>
      <c r="BX10" s="57">
        <v>42</v>
      </c>
      <c r="BY10" s="57" t="s">
        <v>3476</v>
      </c>
      <c r="BZ10" s="57" t="s">
        <v>3476</v>
      </c>
      <c r="CA10" s="57" t="s">
        <v>3476</v>
      </c>
      <c r="CB10" s="57" t="s">
        <v>3476</v>
      </c>
      <c r="CC10" s="57" t="s">
        <v>3476</v>
      </c>
      <c r="CD10" s="57" t="s">
        <v>3476</v>
      </c>
    </row>
    <row r="11" spans="1:82">
      <c r="A11" s="57">
        <v>1213</v>
      </c>
      <c r="B11" s="57" t="s">
        <v>3476</v>
      </c>
      <c r="C11" s="57" t="s">
        <v>3778</v>
      </c>
      <c r="D11" s="57" t="s">
        <v>3476</v>
      </c>
      <c r="E11" s="57" t="s">
        <v>3730</v>
      </c>
      <c r="F11" s="57" t="s">
        <v>3779</v>
      </c>
      <c r="G11" s="57" t="s">
        <v>721</v>
      </c>
      <c r="H11" s="57" t="s">
        <v>2874</v>
      </c>
      <c r="I11" s="57">
        <v>63536.29</v>
      </c>
      <c r="J11" s="57" t="s">
        <v>3476</v>
      </c>
      <c r="K11" s="57" t="s">
        <v>3476</v>
      </c>
      <c r="L11" s="57" t="s">
        <v>3732</v>
      </c>
      <c r="M11" s="57" t="s">
        <v>3780</v>
      </c>
      <c r="N11" s="57" t="s">
        <v>3780</v>
      </c>
      <c r="O11" s="57" t="s">
        <v>3476</v>
      </c>
      <c r="P11" s="57" t="s">
        <v>3476</v>
      </c>
      <c r="Q11" s="57" t="s">
        <v>2874</v>
      </c>
      <c r="R11" s="57" t="s">
        <v>3781</v>
      </c>
      <c r="S11" s="57" t="s">
        <v>3782</v>
      </c>
      <c r="T11" s="57" t="s">
        <v>3736</v>
      </c>
      <c r="U11" s="57" t="s">
        <v>3476</v>
      </c>
      <c r="V11" s="57" t="s">
        <v>3469</v>
      </c>
      <c r="W11" s="57" t="s">
        <v>3476</v>
      </c>
      <c r="X11" s="57" t="s">
        <v>3783</v>
      </c>
      <c r="Y11" s="57" t="s">
        <v>3738</v>
      </c>
      <c r="Z11" s="57" t="s">
        <v>3780</v>
      </c>
      <c r="AA11" s="57" t="s">
        <v>3757</v>
      </c>
      <c r="AB11" s="57" t="s">
        <v>3476</v>
      </c>
      <c r="AC11" s="57" t="s">
        <v>3741</v>
      </c>
      <c r="AD11" s="57" t="s">
        <v>3476</v>
      </c>
      <c r="AE11" s="57" t="s">
        <v>3476</v>
      </c>
      <c r="AF11" s="57" t="s">
        <v>3476</v>
      </c>
      <c r="AG11" s="57" t="s">
        <v>3476</v>
      </c>
      <c r="AH11" s="57" t="s">
        <v>3476</v>
      </c>
      <c r="AI11" s="57" t="s">
        <v>3476</v>
      </c>
      <c r="AJ11" s="57" t="s">
        <v>3476</v>
      </c>
      <c r="AK11" s="57" t="s">
        <v>1292</v>
      </c>
      <c r="AL11" s="57" t="s">
        <v>3784</v>
      </c>
      <c r="AM11" s="57" t="s">
        <v>3476</v>
      </c>
      <c r="AN11" s="57" t="s">
        <v>3785</v>
      </c>
      <c r="AO11" s="57" t="s">
        <v>3476</v>
      </c>
      <c r="AP11" s="58">
        <v>45826.7806828704</v>
      </c>
      <c r="AQ11" s="57" t="s">
        <v>3476</v>
      </c>
      <c r="AR11" s="57" t="s">
        <v>3744</v>
      </c>
      <c r="AS11" s="57" t="s">
        <v>3502</v>
      </c>
      <c r="AT11" s="57" t="s">
        <v>3745</v>
      </c>
      <c r="AU11" s="57" t="s">
        <v>3786</v>
      </c>
      <c r="AV11" s="57" t="s">
        <v>3476</v>
      </c>
      <c r="AW11" s="58">
        <v>45764.8716203704</v>
      </c>
      <c r="AX11" s="57" t="s">
        <v>3784</v>
      </c>
      <c r="AY11" s="57" t="s">
        <v>3747</v>
      </c>
      <c r="AZ11" s="57" t="s">
        <v>3476</v>
      </c>
      <c r="BA11" s="57" t="s">
        <v>3476</v>
      </c>
      <c r="BB11" s="57" t="s">
        <v>3476</v>
      </c>
      <c r="BC11" s="57" t="s">
        <v>3790</v>
      </c>
      <c r="BD11" s="57" t="s">
        <v>3659</v>
      </c>
      <c r="BE11" s="57" t="s">
        <v>3787</v>
      </c>
      <c r="BF11" s="57" t="s">
        <v>3749</v>
      </c>
      <c r="BG11" s="57" t="s">
        <v>3476</v>
      </c>
      <c r="BH11" s="57" t="s">
        <v>3476</v>
      </c>
      <c r="BI11" s="57" t="s">
        <v>2809</v>
      </c>
      <c r="BJ11" s="57" t="s">
        <v>3476</v>
      </c>
      <c r="BK11" s="57" t="s">
        <v>3476</v>
      </c>
      <c r="BL11" s="57">
        <v>3538805</v>
      </c>
      <c r="BM11" s="57" t="s">
        <v>3788</v>
      </c>
      <c r="BN11" s="57" t="s">
        <v>3476</v>
      </c>
      <c r="BO11" s="57">
        <v>464.8</v>
      </c>
      <c r="BP11" s="57" t="s">
        <v>3751</v>
      </c>
      <c r="BQ11" s="57" t="s">
        <v>3476</v>
      </c>
      <c r="BR11" s="57" t="s">
        <v>3789</v>
      </c>
      <c r="BS11" s="57" t="s">
        <v>1292</v>
      </c>
      <c r="BT11" s="57" t="s">
        <v>3476</v>
      </c>
      <c r="BU11" s="57" t="s">
        <v>3476</v>
      </c>
      <c r="BV11" s="57" t="s">
        <v>3753</v>
      </c>
      <c r="BW11" s="57" t="s">
        <v>3476</v>
      </c>
      <c r="BX11" s="57">
        <v>464.8</v>
      </c>
      <c r="BY11" s="57" t="s">
        <v>3476</v>
      </c>
      <c r="BZ11" s="57" t="s">
        <v>3476</v>
      </c>
      <c r="CA11" s="57" t="s">
        <v>3476</v>
      </c>
      <c r="CB11" s="57" t="s">
        <v>3476</v>
      </c>
      <c r="CC11" s="57" t="s">
        <v>3476</v>
      </c>
      <c r="CD11" s="57" t="s">
        <v>3476</v>
      </c>
    </row>
    <row r="12" spans="1:82">
      <c r="A12" s="57">
        <v>1214</v>
      </c>
      <c r="B12" s="57" t="s">
        <v>3476</v>
      </c>
      <c r="C12" s="57" t="s">
        <v>3778</v>
      </c>
      <c r="D12" s="57" t="s">
        <v>3476</v>
      </c>
      <c r="E12" s="57" t="s">
        <v>3730</v>
      </c>
      <c r="F12" s="57" t="s">
        <v>3779</v>
      </c>
      <c r="G12" s="57" t="s">
        <v>721</v>
      </c>
      <c r="H12" s="57" t="s">
        <v>2874</v>
      </c>
      <c r="I12" s="57">
        <v>63536.29</v>
      </c>
      <c r="J12" s="57" t="s">
        <v>3476</v>
      </c>
      <c r="K12" s="57" t="s">
        <v>3476</v>
      </c>
      <c r="L12" s="57" t="s">
        <v>3732</v>
      </c>
      <c r="M12" s="57" t="s">
        <v>3780</v>
      </c>
      <c r="N12" s="57" t="s">
        <v>3780</v>
      </c>
      <c r="O12" s="57" t="s">
        <v>3476</v>
      </c>
      <c r="P12" s="57" t="s">
        <v>3476</v>
      </c>
      <c r="Q12" s="57" t="s">
        <v>2874</v>
      </c>
      <c r="R12" s="57" t="s">
        <v>3781</v>
      </c>
      <c r="S12" s="57" t="s">
        <v>3782</v>
      </c>
      <c r="T12" s="57" t="s">
        <v>3736</v>
      </c>
      <c r="U12" s="57" t="s">
        <v>3476</v>
      </c>
      <c r="V12" s="57" t="s">
        <v>3469</v>
      </c>
      <c r="W12" s="57" t="s">
        <v>3476</v>
      </c>
      <c r="X12" s="57" t="s">
        <v>3783</v>
      </c>
      <c r="Y12" s="57" t="s">
        <v>3738</v>
      </c>
      <c r="Z12" s="57" t="s">
        <v>3780</v>
      </c>
      <c r="AA12" s="57" t="s">
        <v>3757</v>
      </c>
      <c r="AB12" s="57" t="s">
        <v>3476</v>
      </c>
      <c r="AC12" s="57" t="s">
        <v>3741</v>
      </c>
      <c r="AD12" s="57" t="s">
        <v>3476</v>
      </c>
      <c r="AE12" s="57" t="s">
        <v>3476</v>
      </c>
      <c r="AF12" s="57" t="s">
        <v>3476</v>
      </c>
      <c r="AG12" s="57" t="s">
        <v>3476</v>
      </c>
      <c r="AH12" s="57" t="s">
        <v>3476</v>
      </c>
      <c r="AI12" s="57" t="s">
        <v>3476</v>
      </c>
      <c r="AJ12" s="57" t="s">
        <v>3476</v>
      </c>
      <c r="AK12" s="57" t="s">
        <v>1292</v>
      </c>
      <c r="AL12" s="57" t="s">
        <v>3784</v>
      </c>
      <c r="AM12" s="57" t="s">
        <v>3476</v>
      </c>
      <c r="AN12" s="57" t="s">
        <v>3785</v>
      </c>
      <c r="AO12" s="57" t="s">
        <v>3476</v>
      </c>
      <c r="AP12" s="58">
        <v>45826.7806828704</v>
      </c>
      <c r="AQ12" s="57" t="s">
        <v>3476</v>
      </c>
      <c r="AR12" s="57" t="s">
        <v>3744</v>
      </c>
      <c r="AS12" s="57" t="s">
        <v>3502</v>
      </c>
      <c r="AT12" s="57" t="s">
        <v>3745</v>
      </c>
      <c r="AU12" s="57" t="s">
        <v>3786</v>
      </c>
      <c r="AV12" s="57" t="s">
        <v>3476</v>
      </c>
      <c r="AW12" s="58">
        <v>45764.8716203704</v>
      </c>
      <c r="AX12" s="57" t="s">
        <v>3784</v>
      </c>
      <c r="AY12" s="57" t="s">
        <v>3747</v>
      </c>
      <c r="AZ12" s="57" t="s">
        <v>3476</v>
      </c>
      <c r="BA12" s="57" t="s">
        <v>3476</v>
      </c>
      <c r="BB12" s="57" t="s">
        <v>3476</v>
      </c>
      <c r="BC12" s="57" t="s">
        <v>3791</v>
      </c>
      <c r="BD12" s="57" t="s">
        <v>3659</v>
      </c>
      <c r="BE12" s="57" t="s">
        <v>3787</v>
      </c>
      <c r="BF12" s="57" t="s">
        <v>3749</v>
      </c>
      <c r="BG12" s="57" t="s">
        <v>3476</v>
      </c>
      <c r="BH12" s="57" t="s">
        <v>3476</v>
      </c>
      <c r="BI12" s="57" t="s">
        <v>2809</v>
      </c>
      <c r="BJ12" s="57" t="s">
        <v>3476</v>
      </c>
      <c r="BK12" s="57" t="s">
        <v>3476</v>
      </c>
      <c r="BL12" s="57">
        <v>3538804</v>
      </c>
      <c r="BM12" s="57" t="s">
        <v>3788</v>
      </c>
      <c r="BN12" s="57" t="s">
        <v>3476</v>
      </c>
      <c r="BO12" s="57">
        <v>172.95</v>
      </c>
      <c r="BP12" s="57" t="s">
        <v>3751</v>
      </c>
      <c r="BQ12" s="57" t="s">
        <v>3476</v>
      </c>
      <c r="BR12" s="57" t="s">
        <v>3789</v>
      </c>
      <c r="BS12" s="57" t="s">
        <v>1292</v>
      </c>
      <c r="BT12" s="57" t="s">
        <v>3476</v>
      </c>
      <c r="BU12" s="57" t="s">
        <v>3476</v>
      </c>
      <c r="BV12" s="57" t="s">
        <v>3753</v>
      </c>
      <c r="BW12" s="57" t="s">
        <v>3476</v>
      </c>
      <c r="BX12" s="57">
        <v>172.95</v>
      </c>
      <c r="BY12" s="57" t="s">
        <v>3476</v>
      </c>
      <c r="BZ12" s="57" t="s">
        <v>3476</v>
      </c>
      <c r="CA12" s="57" t="s">
        <v>3476</v>
      </c>
      <c r="CB12" s="57" t="s">
        <v>3476</v>
      </c>
      <c r="CC12" s="57" t="s">
        <v>3476</v>
      </c>
      <c r="CD12" s="57" t="s">
        <v>3476</v>
      </c>
    </row>
    <row r="13" spans="1:82">
      <c r="A13" s="57">
        <v>1215</v>
      </c>
      <c r="B13" s="57" t="s">
        <v>3476</v>
      </c>
      <c r="C13" s="57" t="s">
        <v>3778</v>
      </c>
      <c r="D13" s="57" t="s">
        <v>3476</v>
      </c>
      <c r="E13" s="57" t="s">
        <v>3730</v>
      </c>
      <c r="F13" s="57" t="s">
        <v>3779</v>
      </c>
      <c r="G13" s="57" t="s">
        <v>721</v>
      </c>
      <c r="H13" s="57" t="s">
        <v>2874</v>
      </c>
      <c r="I13" s="57">
        <v>63536.29</v>
      </c>
      <c r="J13" s="57" t="s">
        <v>3476</v>
      </c>
      <c r="K13" s="57" t="s">
        <v>3476</v>
      </c>
      <c r="L13" s="57" t="s">
        <v>3732</v>
      </c>
      <c r="M13" s="57" t="s">
        <v>3780</v>
      </c>
      <c r="N13" s="57" t="s">
        <v>3780</v>
      </c>
      <c r="O13" s="57" t="s">
        <v>3476</v>
      </c>
      <c r="P13" s="57" t="s">
        <v>3476</v>
      </c>
      <c r="Q13" s="57" t="s">
        <v>2874</v>
      </c>
      <c r="R13" s="57" t="s">
        <v>3781</v>
      </c>
      <c r="S13" s="57" t="s">
        <v>3782</v>
      </c>
      <c r="T13" s="57" t="s">
        <v>3736</v>
      </c>
      <c r="U13" s="57" t="s">
        <v>3476</v>
      </c>
      <c r="V13" s="57" t="s">
        <v>3469</v>
      </c>
      <c r="W13" s="57" t="s">
        <v>3476</v>
      </c>
      <c r="X13" s="57" t="s">
        <v>3783</v>
      </c>
      <c r="Y13" s="57" t="s">
        <v>3738</v>
      </c>
      <c r="Z13" s="57" t="s">
        <v>3780</v>
      </c>
      <c r="AA13" s="57" t="s">
        <v>3757</v>
      </c>
      <c r="AB13" s="57" t="s">
        <v>3476</v>
      </c>
      <c r="AC13" s="57" t="s">
        <v>3741</v>
      </c>
      <c r="AD13" s="57" t="s">
        <v>3476</v>
      </c>
      <c r="AE13" s="57" t="s">
        <v>3476</v>
      </c>
      <c r="AF13" s="57" t="s">
        <v>3476</v>
      </c>
      <c r="AG13" s="57" t="s">
        <v>3476</v>
      </c>
      <c r="AH13" s="57" t="s">
        <v>3476</v>
      </c>
      <c r="AI13" s="57" t="s">
        <v>3476</v>
      </c>
      <c r="AJ13" s="57" t="s">
        <v>3476</v>
      </c>
      <c r="AK13" s="57" t="s">
        <v>1292</v>
      </c>
      <c r="AL13" s="57" t="s">
        <v>3784</v>
      </c>
      <c r="AM13" s="57" t="s">
        <v>3476</v>
      </c>
      <c r="AN13" s="57" t="s">
        <v>3785</v>
      </c>
      <c r="AO13" s="57" t="s">
        <v>3476</v>
      </c>
      <c r="AP13" s="58">
        <v>45826.7806828704</v>
      </c>
      <c r="AQ13" s="57" t="s">
        <v>3476</v>
      </c>
      <c r="AR13" s="57" t="s">
        <v>3744</v>
      </c>
      <c r="AS13" s="57" t="s">
        <v>3502</v>
      </c>
      <c r="AT13" s="57" t="s">
        <v>3745</v>
      </c>
      <c r="AU13" s="57" t="s">
        <v>3786</v>
      </c>
      <c r="AV13" s="57" t="s">
        <v>3476</v>
      </c>
      <c r="AW13" s="58">
        <v>45764.8716203704</v>
      </c>
      <c r="AX13" s="57" t="s">
        <v>3784</v>
      </c>
      <c r="AY13" s="57" t="s">
        <v>3747</v>
      </c>
      <c r="AZ13" s="57" t="s">
        <v>3476</v>
      </c>
      <c r="BA13" s="57" t="s">
        <v>3476</v>
      </c>
      <c r="BB13" s="57" t="s">
        <v>3476</v>
      </c>
      <c r="BC13" s="57" t="s">
        <v>1787</v>
      </c>
      <c r="BD13" s="57" t="s">
        <v>3659</v>
      </c>
      <c r="BE13" s="57" t="s">
        <v>3787</v>
      </c>
      <c r="BF13" s="57" t="s">
        <v>3749</v>
      </c>
      <c r="BG13" s="57" t="s">
        <v>3476</v>
      </c>
      <c r="BH13" s="57" t="s">
        <v>3476</v>
      </c>
      <c r="BI13" s="57" t="s">
        <v>2809</v>
      </c>
      <c r="BJ13" s="57" t="s">
        <v>3476</v>
      </c>
      <c r="BK13" s="57" t="s">
        <v>3476</v>
      </c>
      <c r="BL13" s="57">
        <v>3538807</v>
      </c>
      <c r="BM13" s="57" t="s">
        <v>3788</v>
      </c>
      <c r="BN13" s="57" t="s">
        <v>3476</v>
      </c>
      <c r="BO13" s="57">
        <v>98</v>
      </c>
      <c r="BP13" s="57" t="s">
        <v>3751</v>
      </c>
      <c r="BQ13" s="57" t="s">
        <v>3476</v>
      </c>
      <c r="BR13" s="57" t="s">
        <v>3789</v>
      </c>
      <c r="BS13" s="57" t="s">
        <v>1292</v>
      </c>
      <c r="BT13" s="57" t="s">
        <v>3476</v>
      </c>
      <c r="BU13" s="57" t="s">
        <v>3476</v>
      </c>
      <c r="BV13" s="57" t="s">
        <v>3753</v>
      </c>
      <c r="BW13" s="57" t="s">
        <v>3476</v>
      </c>
      <c r="BX13" s="57">
        <v>98</v>
      </c>
      <c r="BY13" s="57" t="s">
        <v>3476</v>
      </c>
      <c r="BZ13" s="57" t="s">
        <v>3476</v>
      </c>
      <c r="CA13" s="57" t="s">
        <v>3476</v>
      </c>
      <c r="CB13" s="57" t="s">
        <v>3476</v>
      </c>
      <c r="CC13" s="57" t="s">
        <v>3476</v>
      </c>
      <c r="CD13" s="57" t="s">
        <v>3476</v>
      </c>
    </row>
    <row r="14" spans="1:82">
      <c r="A14" s="57">
        <v>1216</v>
      </c>
      <c r="B14" s="57" t="s">
        <v>3476</v>
      </c>
      <c r="C14" s="57" t="s">
        <v>3778</v>
      </c>
      <c r="D14" s="57" t="s">
        <v>3476</v>
      </c>
      <c r="E14" s="57" t="s">
        <v>3730</v>
      </c>
      <c r="F14" s="57" t="s">
        <v>3779</v>
      </c>
      <c r="G14" s="57" t="s">
        <v>721</v>
      </c>
      <c r="H14" s="57" t="s">
        <v>2874</v>
      </c>
      <c r="I14" s="57">
        <v>63536.29</v>
      </c>
      <c r="J14" s="57" t="s">
        <v>3476</v>
      </c>
      <c r="K14" s="57" t="s">
        <v>3476</v>
      </c>
      <c r="L14" s="57" t="s">
        <v>3732</v>
      </c>
      <c r="M14" s="57" t="s">
        <v>3780</v>
      </c>
      <c r="N14" s="57" t="s">
        <v>3780</v>
      </c>
      <c r="O14" s="57" t="s">
        <v>3476</v>
      </c>
      <c r="P14" s="57" t="s">
        <v>3476</v>
      </c>
      <c r="Q14" s="57" t="s">
        <v>2874</v>
      </c>
      <c r="R14" s="57" t="s">
        <v>3781</v>
      </c>
      <c r="S14" s="57" t="s">
        <v>3782</v>
      </c>
      <c r="T14" s="57" t="s">
        <v>3736</v>
      </c>
      <c r="U14" s="57" t="s">
        <v>3476</v>
      </c>
      <c r="V14" s="57" t="s">
        <v>3469</v>
      </c>
      <c r="W14" s="57" t="s">
        <v>3476</v>
      </c>
      <c r="X14" s="57" t="s">
        <v>3783</v>
      </c>
      <c r="Y14" s="57" t="s">
        <v>3738</v>
      </c>
      <c r="Z14" s="57" t="s">
        <v>3780</v>
      </c>
      <c r="AA14" s="57" t="s">
        <v>3757</v>
      </c>
      <c r="AB14" s="57" t="s">
        <v>3476</v>
      </c>
      <c r="AC14" s="57" t="s">
        <v>3741</v>
      </c>
      <c r="AD14" s="57" t="s">
        <v>3476</v>
      </c>
      <c r="AE14" s="57" t="s">
        <v>3476</v>
      </c>
      <c r="AF14" s="57" t="s">
        <v>3476</v>
      </c>
      <c r="AG14" s="57" t="s">
        <v>3476</v>
      </c>
      <c r="AH14" s="57" t="s">
        <v>3476</v>
      </c>
      <c r="AI14" s="57" t="s">
        <v>3476</v>
      </c>
      <c r="AJ14" s="57" t="s">
        <v>3476</v>
      </c>
      <c r="AK14" s="57" t="s">
        <v>1292</v>
      </c>
      <c r="AL14" s="57" t="s">
        <v>3784</v>
      </c>
      <c r="AM14" s="57" t="s">
        <v>3476</v>
      </c>
      <c r="AN14" s="57" t="s">
        <v>3785</v>
      </c>
      <c r="AO14" s="57" t="s">
        <v>3476</v>
      </c>
      <c r="AP14" s="58">
        <v>45826.7806828704</v>
      </c>
      <c r="AQ14" s="57" t="s">
        <v>3476</v>
      </c>
      <c r="AR14" s="57" t="s">
        <v>3744</v>
      </c>
      <c r="AS14" s="57" t="s">
        <v>3502</v>
      </c>
      <c r="AT14" s="57" t="s">
        <v>3745</v>
      </c>
      <c r="AU14" s="57" t="s">
        <v>3786</v>
      </c>
      <c r="AV14" s="57" t="s">
        <v>3476</v>
      </c>
      <c r="AW14" s="58">
        <v>45764.8716203704</v>
      </c>
      <c r="AX14" s="57" t="s">
        <v>3784</v>
      </c>
      <c r="AY14" s="57" t="s">
        <v>3747</v>
      </c>
      <c r="AZ14" s="57" t="s">
        <v>3476</v>
      </c>
      <c r="BA14" s="57" t="s">
        <v>3476</v>
      </c>
      <c r="BB14" s="57" t="s">
        <v>3476</v>
      </c>
      <c r="BC14" s="57" t="s">
        <v>1787</v>
      </c>
      <c r="BD14" s="57" t="s">
        <v>3659</v>
      </c>
      <c r="BE14" s="57" t="s">
        <v>3787</v>
      </c>
      <c r="BF14" s="57" t="s">
        <v>3749</v>
      </c>
      <c r="BG14" s="57" t="s">
        <v>3476</v>
      </c>
      <c r="BH14" s="57" t="s">
        <v>3476</v>
      </c>
      <c r="BI14" s="57" t="s">
        <v>2809</v>
      </c>
      <c r="BJ14" s="57" t="s">
        <v>3476</v>
      </c>
      <c r="BK14" s="57" t="s">
        <v>3476</v>
      </c>
      <c r="BL14" s="57">
        <v>3538806</v>
      </c>
      <c r="BM14" s="57" t="s">
        <v>3788</v>
      </c>
      <c r="BN14" s="57" t="s">
        <v>3476</v>
      </c>
      <c r="BO14" s="57">
        <v>204</v>
      </c>
      <c r="BP14" s="57" t="s">
        <v>3751</v>
      </c>
      <c r="BQ14" s="57" t="s">
        <v>3476</v>
      </c>
      <c r="BR14" s="57" t="s">
        <v>3789</v>
      </c>
      <c r="BS14" s="57" t="s">
        <v>1292</v>
      </c>
      <c r="BT14" s="57" t="s">
        <v>3476</v>
      </c>
      <c r="BU14" s="57" t="s">
        <v>3476</v>
      </c>
      <c r="BV14" s="57" t="s">
        <v>3753</v>
      </c>
      <c r="BW14" s="57" t="s">
        <v>3476</v>
      </c>
      <c r="BX14" s="57">
        <v>204</v>
      </c>
      <c r="BY14" s="57" t="s">
        <v>3476</v>
      </c>
      <c r="BZ14" s="57" t="s">
        <v>3476</v>
      </c>
      <c r="CA14" s="57" t="s">
        <v>3476</v>
      </c>
      <c r="CB14" s="57" t="s">
        <v>3476</v>
      </c>
      <c r="CC14" s="57" t="s">
        <v>3476</v>
      </c>
      <c r="CD14" s="57" t="s">
        <v>3476</v>
      </c>
    </row>
    <row r="15" spans="1:82">
      <c r="A15" s="57">
        <v>1217</v>
      </c>
      <c r="B15" s="57" t="s">
        <v>3476</v>
      </c>
      <c r="C15" s="57" t="s">
        <v>3778</v>
      </c>
      <c r="D15" s="57" t="s">
        <v>3476</v>
      </c>
      <c r="E15" s="57" t="s">
        <v>3730</v>
      </c>
      <c r="F15" s="57" t="s">
        <v>3779</v>
      </c>
      <c r="G15" s="57" t="s">
        <v>721</v>
      </c>
      <c r="H15" s="57" t="s">
        <v>2874</v>
      </c>
      <c r="I15" s="57">
        <v>63536.29</v>
      </c>
      <c r="J15" s="57" t="s">
        <v>3476</v>
      </c>
      <c r="K15" s="57" t="s">
        <v>3476</v>
      </c>
      <c r="L15" s="57" t="s">
        <v>3732</v>
      </c>
      <c r="M15" s="57" t="s">
        <v>3780</v>
      </c>
      <c r="N15" s="57" t="s">
        <v>3780</v>
      </c>
      <c r="O15" s="57" t="s">
        <v>3476</v>
      </c>
      <c r="P15" s="57" t="s">
        <v>3476</v>
      </c>
      <c r="Q15" s="57" t="s">
        <v>2874</v>
      </c>
      <c r="R15" s="57" t="s">
        <v>3781</v>
      </c>
      <c r="S15" s="57" t="s">
        <v>3782</v>
      </c>
      <c r="T15" s="57" t="s">
        <v>3736</v>
      </c>
      <c r="U15" s="57" t="s">
        <v>3476</v>
      </c>
      <c r="V15" s="57" t="s">
        <v>3469</v>
      </c>
      <c r="W15" s="57" t="s">
        <v>3476</v>
      </c>
      <c r="X15" s="57" t="s">
        <v>3783</v>
      </c>
      <c r="Y15" s="57" t="s">
        <v>3738</v>
      </c>
      <c r="Z15" s="57" t="s">
        <v>3780</v>
      </c>
      <c r="AA15" s="57" t="s">
        <v>3757</v>
      </c>
      <c r="AB15" s="57" t="s">
        <v>3476</v>
      </c>
      <c r="AC15" s="57" t="s">
        <v>3741</v>
      </c>
      <c r="AD15" s="57" t="s">
        <v>3476</v>
      </c>
      <c r="AE15" s="57" t="s">
        <v>3476</v>
      </c>
      <c r="AF15" s="57" t="s">
        <v>3476</v>
      </c>
      <c r="AG15" s="57" t="s">
        <v>3476</v>
      </c>
      <c r="AH15" s="57" t="s">
        <v>3476</v>
      </c>
      <c r="AI15" s="57" t="s">
        <v>3476</v>
      </c>
      <c r="AJ15" s="57" t="s">
        <v>3476</v>
      </c>
      <c r="AK15" s="57" t="s">
        <v>1292</v>
      </c>
      <c r="AL15" s="57" t="s">
        <v>3784</v>
      </c>
      <c r="AM15" s="57" t="s">
        <v>3476</v>
      </c>
      <c r="AN15" s="57" t="s">
        <v>3785</v>
      </c>
      <c r="AO15" s="57" t="s">
        <v>3476</v>
      </c>
      <c r="AP15" s="58">
        <v>45826.7806828704</v>
      </c>
      <c r="AQ15" s="57" t="s">
        <v>3476</v>
      </c>
      <c r="AR15" s="57" t="s">
        <v>3744</v>
      </c>
      <c r="AS15" s="57" t="s">
        <v>3502</v>
      </c>
      <c r="AT15" s="57" t="s">
        <v>3745</v>
      </c>
      <c r="AU15" s="57" t="s">
        <v>3786</v>
      </c>
      <c r="AV15" s="57" t="s">
        <v>3476</v>
      </c>
      <c r="AW15" s="58">
        <v>45764.8716203704</v>
      </c>
      <c r="AX15" s="57" t="s">
        <v>3784</v>
      </c>
      <c r="AY15" s="57" t="s">
        <v>3747</v>
      </c>
      <c r="AZ15" s="57" t="s">
        <v>3476</v>
      </c>
      <c r="BA15" s="57" t="s">
        <v>3476</v>
      </c>
      <c r="BB15" s="57" t="s">
        <v>3476</v>
      </c>
      <c r="BC15" s="57" t="s">
        <v>1787</v>
      </c>
      <c r="BD15" s="57" t="s">
        <v>3659</v>
      </c>
      <c r="BE15" s="57" t="s">
        <v>3787</v>
      </c>
      <c r="BF15" s="57" t="s">
        <v>3749</v>
      </c>
      <c r="BG15" s="57" t="s">
        <v>3476</v>
      </c>
      <c r="BH15" s="57" t="s">
        <v>3476</v>
      </c>
      <c r="BI15" s="57" t="s">
        <v>2809</v>
      </c>
      <c r="BJ15" s="57" t="s">
        <v>3476</v>
      </c>
      <c r="BK15" s="57" t="s">
        <v>3476</v>
      </c>
      <c r="BL15" s="57">
        <v>3538809</v>
      </c>
      <c r="BM15" s="57" t="s">
        <v>3788</v>
      </c>
      <c r="BN15" s="57" t="s">
        <v>3476</v>
      </c>
      <c r="BO15" s="57">
        <v>378</v>
      </c>
      <c r="BP15" s="57" t="s">
        <v>3751</v>
      </c>
      <c r="BQ15" s="57" t="s">
        <v>3476</v>
      </c>
      <c r="BR15" s="57" t="s">
        <v>3789</v>
      </c>
      <c r="BS15" s="57" t="s">
        <v>1292</v>
      </c>
      <c r="BT15" s="57" t="s">
        <v>3476</v>
      </c>
      <c r="BU15" s="57" t="s">
        <v>3476</v>
      </c>
      <c r="BV15" s="57" t="s">
        <v>3753</v>
      </c>
      <c r="BW15" s="57" t="s">
        <v>3476</v>
      </c>
      <c r="BX15" s="57">
        <v>378</v>
      </c>
      <c r="BY15" s="57" t="s">
        <v>3476</v>
      </c>
      <c r="BZ15" s="57" t="s">
        <v>3476</v>
      </c>
      <c r="CA15" s="57" t="s">
        <v>3476</v>
      </c>
      <c r="CB15" s="57" t="s">
        <v>3476</v>
      </c>
      <c r="CC15" s="57" t="s">
        <v>3476</v>
      </c>
      <c r="CD15" s="57" t="s">
        <v>3476</v>
      </c>
    </row>
    <row r="16" spans="1:82">
      <c r="A16" s="57">
        <v>1218</v>
      </c>
      <c r="B16" s="57" t="s">
        <v>3476</v>
      </c>
      <c r="C16" s="57" t="s">
        <v>3778</v>
      </c>
      <c r="D16" s="57" t="s">
        <v>3476</v>
      </c>
      <c r="E16" s="57" t="s">
        <v>3730</v>
      </c>
      <c r="F16" s="57" t="s">
        <v>3779</v>
      </c>
      <c r="G16" s="57" t="s">
        <v>721</v>
      </c>
      <c r="H16" s="57" t="s">
        <v>2874</v>
      </c>
      <c r="I16" s="57">
        <v>63536.29</v>
      </c>
      <c r="J16" s="57" t="s">
        <v>3476</v>
      </c>
      <c r="K16" s="57" t="s">
        <v>3476</v>
      </c>
      <c r="L16" s="57" t="s">
        <v>3732</v>
      </c>
      <c r="M16" s="57" t="s">
        <v>3780</v>
      </c>
      <c r="N16" s="57" t="s">
        <v>3780</v>
      </c>
      <c r="O16" s="57" t="s">
        <v>3476</v>
      </c>
      <c r="P16" s="57" t="s">
        <v>3476</v>
      </c>
      <c r="Q16" s="57" t="s">
        <v>2874</v>
      </c>
      <c r="R16" s="57" t="s">
        <v>3781</v>
      </c>
      <c r="S16" s="57" t="s">
        <v>3782</v>
      </c>
      <c r="T16" s="57" t="s">
        <v>3736</v>
      </c>
      <c r="U16" s="57" t="s">
        <v>3476</v>
      </c>
      <c r="V16" s="57" t="s">
        <v>3469</v>
      </c>
      <c r="W16" s="57" t="s">
        <v>3476</v>
      </c>
      <c r="X16" s="57" t="s">
        <v>3783</v>
      </c>
      <c r="Y16" s="57" t="s">
        <v>3738</v>
      </c>
      <c r="Z16" s="57" t="s">
        <v>3780</v>
      </c>
      <c r="AA16" s="57" t="s">
        <v>3757</v>
      </c>
      <c r="AB16" s="57" t="s">
        <v>3476</v>
      </c>
      <c r="AC16" s="57" t="s">
        <v>3741</v>
      </c>
      <c r="AD16" s="57" t="s">
        <v>3476</v>
      </c>
      <c r="AE16" s="57" t="s">
        <v>3476</v>
      </c>
      <c r="AF16" s="57" t="s">
        <v>3476</v>
      </c>
      <c r="AG16" s="57" t="s">
        <v>3476</v>
      </c>
      <c r="AH16" s="57" t="s">
        <v>3476</v>
      </c>
      <c r="AI16" s="57" t="s">
        <v>3476</v>
      </c>
      <c r="AJ16" s="57" t="s">
        <v>3476</v>
      </c>
      <c r="AK16" s="57" t="s">
        <v>1292</v>
      </c>
      <c r="AL16" s="57" t="s">
        <v>3784</v>
      </c>
      <c r="AM16" s="57" t="s">
        <v>3476</v>
      </c>
      <c r="AN16" s="57" t="s">
        <v>3785</v>
      </c>
      <c r="AO16" s="57" t="s">
        <v>3476</v>
      </c>
      <c r="AP16" s="58">
        <v>45826.7806828704</v>
      </c>
      <c r="AQ16" s="57" t="s">
        <v>3476</v>
      </c>
      <c r="AR16" s="57" t="s">
        <v>3744</v>
      </c>
      <c r="AS16" s="57" t="s">
        <v>3502</v>
      </c>
      <c r="AT16" s="57" t="s">
        <v>3745</v>
      </c>
      <c r="AU16" s="57" t="s">
        <v>3786</v>
      </c>
      <c r="AV16" s="57" t="s">
        <v>3476</v>
      </c>
      <c r="AW16" s="58">
        <v>45764.8716203704</v>
      </c>
      <c r="AX16" s="57" t="s">
        <v>3784</v>
      </c>
      <c r="AY16" s="57" t="s">
        <v>3747</v>
      </c>
      <c r="AZ16" s="57" t="s">
        <v>3476</v>
      </c>
      <c r="BA16" s="57" t="s">
        <v>3476</v>
      </c>
      <c r="BB16" s="57" t="s">
        <v>3476</v>
      </c>
      <c r="BC16" s="57" t="s">
        <v>1787</v>
      </c>
      <c r="BD16" s="57" t="s">
        <v>3659</v>
      </c>
      <c r="BE16" s="57" t="s">
        <v>3787</v>
      </c>
      <c r="BF16" s="57" t="s">
        <v>3749</v>
      </c>
      <c r="BG16" s="57" t="s">
        <v>3476</v>
      </c>
      <c r="BH16" s="57" t="s">
        <v>3476</v>
      </c>
      <c r="BI16" s="57" t="s">
        <v>2809</v>
      </c>
      <c r="BJ16" s="57" t="s">
        <v>3476</v>
      </c>
      <c r="BK16" s="57" t="s">
        <v>3476</v>
      </c>
      <c r="BL16" s="57">
        <v>3538808</v>
      </c>
      <c r="BM16" s="57" t="s">
        <v>3788</v>
      </c>
      <c r="BN16" s="57" t="s">
        <v>3476</v>
      </c>
      <c r="BO16" s="57">
        <v>945</v>
      </c>
      <c r="BP16" s="57" t="s">
        <v>3751</v>
      </c>
      <c r="BQ16" s="57" t="s">
        <v>3476</v>
      </c>
      <c r="BR16" s="57" t="s">
        <v>3789</v>
      </c>
      <c r="BS16" s="57" t="s">
        <v>1292</v>
      </c>
      <c r="BT16" s="57" t="s">
        <v>3476</v>
      </c>
      <c r="BU16" s="57" t="s">
        <v>3476</v>
      </c>
      <c r="BV16" s="57" t="s">
        <v>3753</v>
      </c>
      <c r="BW16" s="57" t="s">
        <v>3476</v>
      </c>
      <c r="BX16" s="57">
        <v>945</v>
      </c>
      <c r="BY16" s="57" t="s">
        <v>3476</v>
      </c>
      <c r="BZ16" s="57" t="s">
        <v>3476</v>
      </c>
      <c r="CA16" s="57" t="s">
        <v>3476</v>
      </c>
      <c r="CB16" s="57" t="s">
        <v>3476</v>
      </c>
      <c r="CC16" s="57" t="s">
        <v>3476</v>
      </c>
      <c r="CD16" s="57" t="s">
        <v>3476</v>
      </c>
    </row>
    <row r="17" spans="1:82">
      <c r="A17" s="57">
        <v>1219</v>
      </c>
      <c r="B17" s="57" t="s">
        <v>3476</v>
      </c>
      <c r="C17" s="57" t="s">
        <v>3778</v>
      </c>
      <c r="D17" s="57" t="s">
        <v>3476</v>
      </c>
      <c r="E17" s="57" t="s">
        <v>3730</v>
      </c>
      <c r="F17" s="57" t="s">
        <v>3779</v>
      </c>
      <c r="G17" s="57" t="s">
        <v>721</v>
      </c>
      <c r="H17" s="57" t="s">
        <v>2874</v>
      </c>
      <c r="I17" s="57">
        <v>63536.29</v>
      </c>
      <c r="J17" s="57" t="s">
        <v>3476</v>
      </c>
      <c r="K17" s="57" t="s">
        <v>3476</v>
      </c>
      <c r="L17" s="57" t="s">
        <v>3732</v>
      </c>
      <c r="M17" s="57" t="s">
        <v>3780</v>
      </c>
      <c r="N17" s="57" t="s">
        <v>3780</v>
      </c>
      <c r="O17" s="57" t="s">
        <v>3476</v>
      </c>
      <c r="P17" s="57" t="s">
        <v>3476</v>
      </c>
      <c r="Q17" s="57" t="s">
        <v>2874</v>
      </c>
      <c r="R17" s="57" t="s">
        <v>3781</v>
      </c>
      <c r="S17" s="57" t="s">
        <v>3782</v>
      </c>
      <c r="T17" s="57" t="s">
        <v>3736</v>
      </c>
      <c r="U17" s="57" t="s">
        <v>3476</v>
      </c>
      <c r="V17" s="57" t="s">
        <v>3469</v>
      </c>
      <c r="W17" s="57" t="s">
        <v>3476</v>
      </c>
      <c r="X17" s="57" t="s">
        <v>3783</v>
      </c>
      <c r="Y17" s="57" t="s">
        <v>3738</v>
      </c>
      <c r="Z17" s="57" t="s">
        <v>3780</v>
      </c>
      <c r="AA17" s="57" t="s">
        <v>3757</v>
      </c>
      <c r="AB17" s="57" t="s">
        <v>3476</v>
      </c>
      <c r="AC17" s="57" t="s">
        <v>3741</v>
      </c>
      <c r="AD17" s="57" t="s">
        <v>3476</v>
      </c>
      <c r="AE17" s="57" t="s">
        <v>3476</v>
      </c>
      <c r="AF17" s="57" t="s">
        <v>3476</v>
      </c>
      <c r="AG17" s="57" t="s">
        <v>3476</v>
      </c>
      <c r="AH17" s="57" t="s">
        <v>3476</v>
      </c>
      <c r="AI17" s="57" t="s">
        <v>3476</v>
      </c>
      <c r="AJ17" s="57" t="s">
        <v>3476</v>
      </c>
      <c r="AK17" s="57" t="s">
        <v>1292</v>
      </c>
      <c r="AL17" s="57" t="s">
        <v>3784</v>
      </c>
      <c r="AM17" s="57" t="s">
        <v>3476</v>
      </c>
      <c r="AN17" s="57" t="s">
        <v>3785</v>
      </c>
      <c r="AO17" s="57" t="s">
        <v>3476</v>
      </c>
      <c r="AP17" s="58">
        <v>45826.7806828704</v>
      </c>
      <c r="AQ17" s="57" t="s">
        <v>3476</v>
      </c>
      <c r="AR17" s="57" t="s">
        <v>3744</v>
      </c>
      <c r="AS17" s="57" t="s">
        <v>3502</v>
      </c>
      <c r="AT17" s="57" t="s">
        <v>3745</v>
      </c>
      <c r="AU17" s="57" t="s">
        <v>3786</v>
      </c>
      <c r="AV17" s="57" t="s">
        <v>3476</v>
      </c>
      <c r="AW17" s="58">
        <v>45764.8716203704</v>
      </c>
      <c r="AX17" s="57" t="s">
        <v>3784</v>
      </c>
      <c r="AY17" s="57" t="s">
        <v>3747</v>
      </c>
      <c r="AZ17" s="57" t="s">
        <v>3476</v>
      </c>
      <c r="BA17" s="57" t="s">
        <v>3476</v>
      </c>
      <c r="BB17" s="57" t="s">
        <v>3476</v>
      </c>
      <c r="BC17" s="57" t="s">
        <v>3791</v>
      </c>
      <c r="BD17" s="57" t="s">
        <v>3659</v>
      </c>
      <c r="BE17" s="57" t="s">
        <v>3787</v>
      </c>
      <c r="BF17" s="57" t="s">
        <v>3749</v>
      </c>
      <c r="BG17" s="57" t="s">
        <v>3476</v>
      </c>
      <c r="BH17" s="57" t="s">
        <v>3476</v>
      </c>
      <c r="BI17" s="57" t="s">
        <v>2809</v>
      </c>
      <c r="BJ17" s="57" t="s">
        <v>3476</v>
      </c>
      <c r="BK17" s="57" t="s">
        <v>3476</v>
      </c>
      <c r="BL17" s="57">
        <v>3538811</v>
      </c>
      <c r="BM17" s="57" t="s">
        <v>3788</v>
      </c>
      <c r="BN17" s="57" t="s">
        <v>3476</v>
      </c>
      <c r="BO17" s="57">
        <v>162</v>
      </c>
      <c r="BP17" s="57" t="s">
        <v>3751</v>
      </c>
      <c r="BQ17" s="57" t="s">
        <v>3476</v>
      </c>
      <c r="BR17" s="57" t="s">
        <v>3789</v>
      </c>
      <c r="BS17" s="57" t="s">
        <v>1292</v>
      </c>
      <c r="BT17" s="57" t="s">
        <v>3476</v>
      </c>
      <c r="BU17" s="57" t="s">
        <v>3476</v>
      </c>
      <c r="BV17" s="57" t="s">
        <v>3753</v>
      </c>
      <c r="BW17" s="57" t="s">
        <v>3476</v>
      </c>
      <c r="BX17" s="57">
        <v>162</v>
      </c>
      <c r="BY17" s="57" t="s">
        <v>3476</v>
      </c>
      <c r="BZ17" s="57" t="s">
        <v>3476</v>
      </c>
      <c r="CA17" s="57" t="s">
        <v>3476</v>
      </c>
      <c r="CB17" s="57" t="s">
        <v>3476</v>
      </c>
      <c r="CC17" s="57" t="s">
        <v>3476</v>
      </c>
      <c r="CD17" s="57" t="s">
        <v>3476</v>
      </c>
    </row>
    <row r="18" spans="1:82">
      <c r="A18" s="57">
        <v>1220</v>
      </c>
      <c r="B18" s="57" t="s">
        <v>3476</v>
      </c>
      <c r="C18" s="57" t="s">
        <v>3778</v>
      </c>
      <c r="D18" s="57" t="s">
        <v>3476</v>
      </c>
      <c r="E18" s="57" t="s">
        <v>3730</v>
      </c>
      <c r="F18" s="57" t="s">
        <v>3779</v>
      </c>
      <c r="G18" s="57" t="s">
        <v>721</v>
      </c>
      <c r="H18" s="57" t="s">
        <v>2874</v>
      </c>
      <c r="I18" s="57">
        <v>63536.29</v>
      </c>
      <c r="J18" s="57" t="s">
        <v>3476</v>
      </c>
      <c r="K18" s="57" t="s">
        <v>3476</v>
      </c>
      <c r="L18" s="57" t="s">
        <v>3732</v>
      </c>
      <c r="M18" s="57" t="s">
        <v>3780</v>
      </c>
      <c r="N18" s="57" t="s">
        <v>3780</v>
      </c>
      <c r="O18" s="57" t="s">
        <v>3476</v>
      </c>
      <c r="P18" s="57" t="s">
        <v>3476</v>
      </c>
      <c r="Q18" s="57" t="s">
        <v>2874</v>
      </c>
      <c r="R18" s="57" t="s">
        <v>3781</v>
      </c>
      <c r="S18" s="57" t="s">
        <v>3782</v>
      </c>
      <c r="T18" s="57" t="s">
        <v>3736</v>
      </c>
      <c r="U18" s="57" t="s">
        <v>3476</v>
      </c>
      <c r="V18" s="57" t="s">
        <v>3469</v>
      </c>
      <c r="W18" s="57" t="s">
        <v>3476</v>
      </c>
      <c r="X18" s="57" t="s">
        <v>3783</v>
      </c>
      <c r="Y18" s="57" t="s">
        <v>3738</v>
      </c>
      <c r="Z18" s="57" t="s">
        <v>3780</v>
      </c>
      <c r="AA18" s="57" t="s">
        <v>3757</v>
      </c>
      <c r="AB18" s="57" t="s">
        <v>3476</v>
      </c>
      <c r="AC18" s="57" t="s">
        <v>3741</v>
      </c>
      <c r="AD18" s="57" t="s">
        <v>3476</v>
      </c>
      <c r="AE18" s="57" t="s">
        <v>3476</v>
      </c>
      <c r="AF18" s="57" t="s">
        <v>3476</v>
      </c>
      <c r="AG18" s="57" t="s">
        <v>3476</v>
      </c>
      <c r="AH18" s="57" t="s">
        <v>3476</v>
      </c>
      <c r="AI18" s="57" t="s">
        <v>3476</v>
      </c>
      <c r="AJ18" s="57" t="s">
        <v>3476</v>
      </c>
      <c r="AK18" s="57" t="s">
        <v>1292</v>
      </c>
      <c r="AL18" s="57" t="s">
        <v>3784</v>
      </c>
      <c r="AM18" s="57" t="s">
        <v>3476</v>
      </c>
      <c r="AN18" s="57" t="s">
        <v>3785</v>
      </c>
      <c r="AO18" s="57" t="s">
        <v>3476</v>
      </c>
      <c r="AP18" s="58">
        <v>45826.7806828704</v>
      </c>
      <c r="AQ18" s="57" t="s">
        <v>3476</v>
      </c>
      <c r="AR18" s="57" t="s">
        <v>3744</v>
      </c>
      <c r="AS18" s="57" t="s">
        <v>3502</v>
      </c>
      <c r="AT18" s="57" t="s">
        <v>3745</v>
      </c>
      <c r="AU18" s="57" t="s">
        <v>3786</v>
      </c>
      <c r="AV18" s="57" t="s">
        <v>3476</v>
      </c>
      <c r="AW18" s="58">
        <v>45764.8716203704</v>
      </c>
      <c r="AX18" s="57" t="s">
        <v>3784</v>
      </c>
      <c r="AY18" s="57" t="s">
        <v>3747</v>
      </c>
      <c r="AZ18" s="57" t="s">
        <v>3476</v>
      </c>
      <c r="BA18" s="57" t="s">
        <v>3476</v>
      </c>
      <c r="BB18" s="57" t="s">
        <v>3476</v>
      </c>
      <c r="BC18" s="57" t="s">
        <v>3791</v>
      </c>
      <c r="BD18" s="57" t="s">
        <v>3659</v>
      </c>
      <c r="BE18" s="57" t="s">
        <v>3787</v>
      </c>
      <c r="BF18" s="57" t="s">
        <v>3749</v>
      </c>
      <c r="BG18" s="57" t="s">
        <v>3476</v>
      </c>
      <c r="BH18" s="57" t="s">
        <v>3476</v>
      </c>
      <c r="BI18" s="57" t="s">
        <v>2809</v>
      </c>
      <c r="BJ18" s="57" t="s">
        <v>3476</v>
      </c>
      <c r="BK18" s="57" t="s">
        <v>3476</v>
      </c>
      <c r="BL18" s="57">
        <v>3538810</v>
      </c>
      <c r="BM18" s="57" t="s">
        <v>3788</v>
      </c>
      <c r="BN18" s="57" t="s">
        <v>3476</v>
      </c>
      <c r="BO18" s="57">
        <v>25.5</v>
      </c>
      <c r="BP18" s="57" t="s">
        <v>3751</v>
      </c>
      <c r="BQ18" s="57" t="s">
        <v>3476</v>
      </c>
      <c r="BR18" s="57" t="s">
        <v>3789</v>
      </c>
      <c r="BS18" s="57" t="s">
        <v>1292</v>
      </c>
      <c r="BT18" s="57" t="s">
        <v>3476</v>
      </c>
      <c r="BU18" s="57" t="s">
        <v>3476</v>
      </c>
      <c r="BV18" s="57" t="s">
        <v>3753</v>
      </c>
      <c r="BW18" s="57" t="s">
        <v>3476</v>
      </c>
      <c r="BX18" s="57">
        <v>25.5</v>
      </c>
      <c r="BY18" s="57" t="s">
        <v>3476</v>
      </c>
      <c r="BZ18" s="57" t="s">
        <v>3476</v>
      </c>
      <c r="CA18" s="57" t="s">
        <v>3476</v>
      </c>
      <c r="CB18" s="57" t="s">
        <v>3476</v>
      </c>
      <c r="CC18" s="57" t="s">
        <v>3476</v>
      </c>
      <c r="CD18" s="57" t="s">
        <v>3476</v>
      </c>
    </row>
    <row r="19" spans="1:82">
      <c r="A19" s="57">
        <v>1221</v>
      </c>
      <c r="B19" s="57" t="s">
        <v>3476</v>
      </c>
      <c r="C19" s="57" t="s">
        <v>3778</v>
      </c>
      <c r="D19" s="57" t="s">
        <v>3476</v>
      </c>
      <c r="E19" s="57" t="s">
        <v>3730</v>
      </c>
      <c r="F19" s="57" t="s">
        <v>3779</v>
      </c>
      <c r="G19" s="57" t="s">
        <v>721</v>
      </c>
      <c r="H19" s="57" t="s">
        <v>2874</v>
      </c>
      <c r="I19" s="57">
        <v>63536.29</v>
      </c>
      <c r="J19" s="57" t="s">
        <v>3476</v>
      </c>
      <c r="K19" s="57" t="s">
        <v>3476</v>
      </c>
      <c r="L19" s="57" t="s">
        <v>3732</v>
      </c>
      <c r="M19" s="57" t="s">
        <v>3780</v>
      </c>
      <c r="N19" s="57" t="s">
        <v>3780</v>
      </c>
      <c r="O19" s="57" t="s">
        <v>3476</v>
      </c>
      <c r="P19" s="57" t="s">
        <v>3476</v>
      </c>
      <c r="Q19" s="57" t="s">
        <v>2874</v>
      </c>
      <c r="R19" s="57" t="s">
        <v>3781</v>
      </c>
      <c r="S19" s="57" t="s">
        <v>3782</v>
      </c>
      <c r="T19" s="57" t="s">
        <v>3736</v>
      </c>
      <c r="U19" s="57" t="s">
        <v>3476</v>
      </c>
      <c r="V19" s="57" t="s">
        <v>3469</v>
      </c>
      <c r="W19" s="57" t="s">
        <v>3476</v>
      </c>
      <c r="X19" s="57" t="s">
        <v>3783</v>
      </c>
      <c r="Y19" s="57" t="s">
        <v>3738</v>
      </c>
      <c r="Z19" s="57" t="s">
        <v>3780</v>
      </c>
      <c r="AA19" s="57" t="s">
        <v>3757</v>
      </c>
      <c r="AB19" s="57" t="s">
        <v>3476</v>
      </c>
      <c r="AC19" s="57" t="s">
        <v>3741</v>
      </c>
      <c r="AD19" s="57" t="s">
        <v>3476</v>
      </c>
      <c r="AE19" s="57" t="s">
        <v>3476</v>
      </c>
      <c r="AF19" s="57" t="s">
        <v>3476</v>
      </c>
      <c r="AG19" s="57" t="s">
        <v>3476</v>
      </c>
      <c r="AH19" s="57" t="s">
        <v>3476</v>
      </c>
      <c r="AI19" s="57" t="s">
        <v>3476</v>
      </c>
      <c r="AJ19" s="57" t="s">
        <v>3476</v>
      </c>
      <c r="AK19" s="57" t="s">
        <v>1292</v>
      </c>
      <c r="AL19" s="57" t="s">
        <v>3784</v>
      </c>
      <c r="AM19" s="57" t="s">
        <v>3476</v>
      </c>
      <c r="AN19" s="57" t="s">
        <v>3785</v>
      </c>
      <c r="AO19" s="57" t="s">
        <v>3476</v>
      </c>
      <c r="AP19" s="58">
        <v>45826.7806828704</v>
      </c>
      <c r="AQ19" s="57" t="s">
        <v>3476</v>
      </c>
      <c r="AR19" s="57" t="s">
        <v>3744</v>
      </c>
      <c r="AS19" s="57" t="s">
        <v>3502</v>
      </c>
      <c r="AT19" s="57" t="s">
        <v>3745</v>
      </c>
      <c r="AU19" s="57" t="s">
        <v>3786</v>
      </c>
      <c r="AV19" s="57" t="s">
        <v>3476</v>
      </c>
      <c r="AW19" s="58">
        <v>45764.8716203704</v>
      </c>
      <c r="AX19" s="57" t="s">
        <v>3784</v>
      </c>
      <c r="AY19" s="57" t="s">
        <v>3747</v>
      </c>
      <c r="AZ19" s="57" t="s">
        <v>3476</v>
      </c>
      <c r="BA19" s="57" t="s">
        <v>3476</v>
      </c>
      <c r="BB19" s="57" t="s">
        <v>3476</v>
      </c>
      <c r="BC19" s="57" t="s">
        <v>3791</v>
      </c>
      <c r="BD19" s="57" t="s">
        <v>3659</v>
      </c>
      <c r="BE19" s="57" t="s">
        <v>3787</v>
      </c>
      <c r="BF19" s="57" t="s">
        <v>3749</v>
      </c>
      <c r="BG19" s="57" t="s">
        <v>3476</v>
      </c>
      <c r="BH19" s="57" t="s">
        <v>3476</v>
      </c>
      <c r="BI19" s="57" t="s">
        <v>2809</v>
      </c>
      <c r="BJ19" s="57" t="s">
        <v>3476</v>
      </c>
      <c r="BK19" s="57" t="s">
        <v>3476</v>
      </c>
      <c r="BL19" s="57">
        <v>3538813</v>
      </c>
      <c r="BM19" s="57" t="s">
        <v>3788</v>
      </c>
      <c r="BN19" s="57" t="s">
        <v>3476</v>
      </c>
      <c r="BO19" s="57">
        <v>40.8</v>
      </c>
      <c r="BP19" s="57" t="s">
        <v>3751</v>
      </c>
      <c r="BQ19" s="57" t="s">
        <v>3476</v>
      </c>
      <c r="BR19" s="57" t="s">
        <v>3789</v>
      </c>
      <c r="BS19" s="57" t="s">
        <v>1292</v>
      </c>
      <c r="BT19" s="57" t="s">
        <v>3476</v>
      </c>
      <c r="BU19" s="57" t="s">
        <v>3476</v>
      </c>
      <c r="BV19" s="57" t="s">
        <v>3753</v>
      </c>
      <c r="BW19" s="57" t="s">
        <v>3476</v>
      </c>
      <c r="BX19" s="57">
        <v>40.8</v>
      </c>
      <c r="BY19" s="57" t="s">
        <v>3476</v>
      </c>
      <c r="BZ19" s="57" t="s">
        <v>3476</v>
      </c>
      <c r="CA19" s="57" t="s">
        <v>3476</v>
      </c>
      <c r="CB19" s="57" t="s">
        <v>3476</v>
      </c>
      <c r="CC19" s="57" t="s">
        <v>3476</v>
      </c>
      <c r="CD19" s="57" t="s">
        <v>3476</v>
      </c>
    </row>
    <row r="20" spans="1:82">
      <c r="A20" s="57">
        <v>1222</v>
      </c>
      <c r="B20" s="57" t="s">
        <v>3476</v>
      </c>
      <c r="C20" s="57" t="s">
        <v>3778</v>
      </c>
      <c r="D20" s="57" t="s">
        <v>3476</v>
      </c>
      <c r="E20" s="57" t="s">
        <v>3730</v>
      </c>
      <c r="F20" s="57" t="s">
        <v>3779</v>
      </c>
      <c r="G20" s="57" t="s">
        <v>721</v>
      </c>
      <c r="H20" s="57" t="s">
        <v>2874</v>
      </c>
      <c r="I20" s="57">
        <v>63536.29</v>
      </c>
      <c r="J20" s="57" t="s">
        <v>3476</v>
      </c>
      <c r="K20" s="57" t="s">
        <v>3476</v>
      </c>
      <c r="L20" s="57" t="s">
        <v>3732</v>
      </c>
      <c r="M20" s="57" t="s">
        <v>3780</v>
      </c>
      <c r="N20" s="57" t="s">
        <v>3780</v>
      </c>
      <c r="O20" s="57" t="s">
        <v>3476</v>
      </c>
      <c r="P20" s="57" t="s">
        <v>3476</v>
      </c>
      <c r="Q20" s="57" t="s">
        <v>2874</v>
      </c>
      <c r="R20" s="57" t="s">
        <v>3781</v>
      </c>
      <c r="S20" s="57" t="s">
        <v>3782</v>
      </c>
      <c r="T20" s="57" t="s">
        <v>3736</v>
      </c>
      <c r="U20" s="57" t="s">
        <v>3476</v>
      </c>
      <c r="V20" s="57" t="s">
        <v>3469</v>
      </c>
      <c r="W20" s="57" t="s">
        <v>3476</v>
      </c>
      <c r="X20" s="57" t="s">
        <v>3783</v>
      </c>
      <c r="Y20" s="57" t="s">
        <v>3738</v>
      </c>
      <c r="Z20" s="57" t="s">
        <v>3780</v>
      </c>
      <c r="AA20" s="57" t="s">
        <v>3757</v>
      </c>
      <c r="AB20" s="57" t="s">
        <v>3476</v>
      </c>
      <c r="AC20" s="57" t="s">
        <v>3741</v>
      </c>
      <c r="AD20" s="57" t="s">
        <v>3476</v>
      </c>
      <c r="AE20" s="57" t="s">
        <v>3476</v>
      </c>
      <c r="AF20" s="57" t="s">
        <v>3476</v>
      </c>
      <c r="AG20" s="57" t="s">
        <v>3476</v>
      </c>
      <c r="AH20" s="57" t="s">
        <v>3476</v>
      </c>
      <c r="AI20" s="57" t="s">
        <v>3476</v>
      </c>
      <c r="AJ20" s="57" t="s">
        <v>3476</v>
      </c>
      <c r="AK20" s="57" t="s">
        <v>1292</v>
      </c>
      <c r="AL20" s="57" t="s">
        <v>3784</v>
      </c>
      <c r="AM20" s="57" t="s">
        <v>3476</v>
      </c>
      <c r="AN20" s="57" t="s">
        <v>3785</v>
      </c>
      <c r="AO20" s="57" t="s">
        <v>3476</v>
      </c>
      <c r="AP20" s="58">
        <v>45826.7806828704</v>
      </c>
      <c r="AQ20" s="57" t="s">
        <v>3476</v>
      </c>
      <c r="AR20" s="57" t="s">
        <v>3744</v>
      </c>
      <c r="AS20" s="57" t="s">
        <v>3502</v>
      </c>
      <c r="AT20" s="57" t="s">
        <v>3745</v>
      </c>
      <c r="AU20" s="57" t="s">
        <v>3786</v>
      </c>
      <c r="AV20" s="57" t="s">
        <v>3476</v>
      </c>
      <c r="AW20" s="58">
        <v>45764.8716203704</v>
      </c>
      <c r="AX20" s="57" t="s">
        <v>3784</v>
      </c>
      <c r="AY20" s="57" t="s">
        <v>3747</v>
      </c>
      <c r="AZ20" s="57" t="s">
        <v>3476</v>
      </c>
      <c r="BA20" s="57" t="s">
        <v>3476</v>
      </c>
      <c r="BB20" s="57" t="s">
        <v>3476</v>
      </c>
      <c r="BC20" s="57" t="s">
        <v>3791</v>
      </c>
      <c r="BD20" s="57" t="s">
        <v>3659</v>
      </c>
      <c r="BE20" s="57" t="s">
        <v>3787</v>
      </c>
      <c r="BF20" s="57" t="s">
        <v>3749</v>
      </c>
      <c r="BG20" s="57" t="s">
        <v>3476</v>
      </c>
      <c r="BH20" s="57" t="s">
        <v>3476</v>
      </c>
      <c r="BI20" s="57" t="s">
        <v>2809</v>
      </c>
      <c r="BJ20" s="57" t="s">
        <v>3476</v>
      </c>
      <c r="BK20" s="57" t="s">
        <v>3476</v>
      </c>
      <c r="BL20" s="57">
        <v>3538812</v>
      </c>
      <c r="BM20" s="57" t="s">
        <v>3788</v>
      </c>
      <c r="BN20" s="57" t="s">
        <v>3476</v>
      </c>
      <c r="BO20" s="57">
        <v>140</v>
      </c>
      <c r="BP20" s="57" t="s">
        <v>3751</v>
      </c>
      <c r="BQ20" s="57" t="s">
        <v>3476</v>
      </c>
      <c r="BR20" s="57" t="s">
        <v>3789</v>
      </c>
      <c r="BS20" s="57" t="s">
        <v>1292</v>
      </c>
      <c r="BT20" s="57" t="s">
        <v>3476</v>
      </c>
      <c r="BU20" s="57" t="s">
        <v>3476</v>
      </c>
      <c r="BV20" s="57" t="s">
        <v>3753</v>
      </c>
      <c r="BW20" s="57" t="s">
        <v>3476</v>
      </c>
      <c r="BX20" s="57">
        <v>140</v>
      </c>
      <c r="BY20" s="57" t="s">
        <v>3476</v>
      </c>
      <c r="BZ20" s="57" t="s">
        <v>3476</v>
      </c>
      <c r="CA20" s="57" t="s">
        <v>3476</v>
      </c>
      <c r="CB20" s="57" t="s">
        <v>3476</v>
      </c>
      <c r="CC20" s="57" t="s">
        <v>3476</v>
      </c>
      <c r="CD20" s="57" t="s">
        <v>3476</v>
      </c>
    </row>
    <row r="21" spans="1:82">
      <c r="A21" s="57">
        <v>1223</v>
      </c>
      <c r="B21" s="57" t="s">
        <v>3476</v>
      </c>
      <c r="C21" s="57" t="s">
        <v>3778</v>
      </c>
      <c r="D21" s="57" t="s">
        <v>3476</v>
      </c>
      <c r="E21" s="57" t="s">
        <v>3730</v>
      </c>
      <c r="F21" s="57" t="s">
        <v>3779</v>
      </c>
      <c r="G21" s="57" t="s">
        <v>721</v>
      </c>
      <c r="H21" s="57" t="s">
        <v>2874</v>
      </c>
      <c r="I21" s="57">
        <v>63536.29</v>
      </c>
      <c r="J21" s="57" t="s">
        <v>3476</v>
      </c>
      <c r="K21" s="57" t="s">
        <v>3476</v>
      </c>
      <c r="L21" s="57" t="s">
        <v>3732</v>
      </c>
      <c r="M21" s="57" t="s">
        <v>3780</v>
      </c>
      <c r="N21" s="57" t="s">
        <v>3780</v>
      </c>
      <c r="O21" s="57" t="s">
        <v>3476</v>
      </c>
      <c r="P21" s="57" t="s">
        <v>3476</v>
      </c>
      <c r="Q21" s="57" t="s">
        <v>2874</v>
      </c>
      <c r="R21" s="57" t="s">
        <v>3781</v>
      </c>
      <c r="S21" s="57" t="s">
        <v>3782</v>
      </c>
      <c r="T21" s="57" t="s">
        <v>3736</v>
      </c>
      <c r="U21" s="57" t="s">
        <v>3476</v>
      </c>
      <c r="V21" s="57" t="s">
        <v>3469</v>
      </c>
      <c r="W21" s="57" t="s">
        <v>3476</v>
      </c>
      <c r="X21" s="57" t="s">
        <v>3783</v>
      </c>
      <c r="Y21" s="57" t="s">
        <v>3738</v>
      </c>
      <c r="Z21" s="57" t="s">
        <v>3780</v>
      </c>
      <c r="AA21" s="57" t="s">
        <v>3757</v>
      </c>
      <c r="AB21" s="57" t="s">
        <v>3476</v>
      </c>
      <c r="AC21" s="57" t="s">
        <v>3741</v>
      </c>
      <c r="AD21" s="57" t="s">
        <v>3476</v>
      </c>
      <c r="AE21" s="57" t="s">
        <v>3476</v>
      </c>
      <c r="AF21" s="57" t="s">
        <v>3476</v>
      </c>
      <c r="AG21" s="57" t="s">
        <v>3476</v>
      </c>
      <c r="AH21" s="57" t="s">
        <v>3476</v>
      </c>
      <c r="AI21" s="57" t="s">
        <v>3476</v>
      </c>
      <c r="AJ21" s="57" t="s">
        <v>3476</v>
      </c>
      <c r="AK21" s="57" t="s">
        <v>1292</v>
      </c>
      <c r="AL21" s="57" t="s">
        <v>3784</v>
      </c>
      <c r="AM21" s="57" t="s">
        <v>3476</v>
      </c>
      <c r="AN21" s="57" t="s">
        <v>3785</v>
      </c>
      <c r="AO21" s="57" t="s">
        <v>3476</v>
      </c>
      <c r="AP21" s="58">
        <v>45826.7806828704</v>
      </c>
      <c r="AQ21" s="57" t="s">
        <v>3476</v>
      </c>
      <c r="AR21" s="57" t="s">
        <v>3744</v>
      </c>
      <c r="AS21" s="57" t="s">
        <v>3502</v>
      </c>
      <c r="AT21" s="57" t="s">
        <v>3745</v>
      </c>
      <c r="AU21" s="57" t="s">
        <v>3786</v>
      </c>
      <c r="AV21" s="57" t="s">
        <v>3476</v>
      </c>
      <c r="AW21" s="58">
        <v>45764.8716203704</v>
      </c>
      <c r="AX21" s="57" t="s">
        <v>3784</v>
      </c>
      <c r="AY21" s="57" t="s">
        <v>3747</v>
      </c>
      <c r="AZ21" s="57" t="s">
        <v>3476</v>
      </c>
      <c r="BA21" s="57" t="s">
        <v>3476</v>
      </c>
      <c r="BB21" s="57" t="s">
        <v>3476</v>
      </c>
      <c r="BC21" s="57" t="s">
        <v>3791</v>
      </c>
      <c r="BD21" s="57" t="s">
        <v>3659</v>
      </c>
      <c r="BE21" s="57" t="s">
        <v>3787</v>
      </c>
      <c r="BF21" s="57" t="s">
        <v>3749</v>
      </c>
      <c r="BG21" s="57" t="s">
        <v>3476</v>
      </c>
      <c r="BH21" s="57" t="s">
        <v>3476</v>
      </c>
      <c r="BI21" s="57" t="s">
        <v>2809</v>
      </c>
      <c r="BJ21" s="57" t="s">
        <v>3476</v>
      </c>
      <c r="BK21" s="57" t="s">
        <v>3476</v>
      </c>
      <c r="BL21" s="57">
        <v>3538815</v>
      </c>
      <c r="BM21" s="57" t="s">
        <v>3788</v>
      </c>
      <c r="BN21" s="57" t="s">
        <v>3476</v>
      </c>
      <c r="BO21" s="57">
        <v>34</v>
      </c>
      <c r="BP21" s="57" t="s">
        <v>3751</v>
      </c>
      <c r="BQ21" s="57" t="s">
        <v>3476</v>
      </c>
      <c r="BR21" s="57" t="s">
        <v>3789</v>
      </c>
      <c r="BS21" s="57" t="s">
        <v>1292</v>
      </c>
      <c r="BT21" s="57" t="s">
        <v>3476</v>
      </c>
      <c r="BU21" s="57" t="s">
        <v>3476</v>
      </c>
      <c r="BV21" s="57" t="s">
        <v>3753</v>
      </c>
      <c r="BW21" s="57" t="s">
        <v>3476</v>
      </c>
      <c r="BX21" s="57">
        <v>34</v>
      </c>
      <c r="BY21" s="57" t="s">
        <v>3476</v>
      </c>
      <c r="BZ21" s="57" t="s">
        <v>3476</v>
      </c>
      <c r="CA21" s="57" t="s">
        <v>3476</v>
      </c>
      <c r="CB21" s="57" t="s">
        <v>3476</v>
      </c>
      <c r="CC21" s="57" t="s">
        <v>3476</v>
      </c>
      <c r="CD21" s="57" t="s">
        <v>3476</v>
      </c>
    </row>
    <row r="22" spans="1:82">
      <c r="A22" s="57">
        <v>1224</v>
      </c>
      <c r="B22" s="57" t="s">
        <v>3476</v>
      </c>
      <c r="C22" s="57" t="s">
        <v>3778</v>
      </c>
      <c r="D22" s="57" t="s">
        <v>3476</v>
      </c>
      <c r="E22" s="57" t="s">
        <v>3730</v>
      </c>
      <c r="F22" s="57" t="s">
        <v>3779</v>
      </c>
      <c r="G22" s="57" t="s">
        <v>721</v>
      </c>
      <c r="H22" s="57" t="s">
        <v>2874</v>
      </c>
      <c r="I22" s="57">
        <v>63536.29</v>
      </c>
      <c r="J22" s="57" t="s">
        <v>3476</v>
      </c>
      <c r="K22" s="57" t="s">
        <v>3476</v>
      </c>
      <c r="L22" s="57" t="s">
        <v>3732</v>
      </c>
      <c r="M22" s="57" t="s">
        <v>3780</v>
      </c>
      <c r="N22" s="57" t="s">
        <v>3780</v>
      </c>
      <c r="O22" s="57" t="s">
        <v>3476</v>
      </c>
      <c r="P22" s="57" t="s">
        <v>3476</v>
      </c>
      <c r="Q22" s="57" t="s">
        <v>2874</v>
      </c>
      <c r="R22" s="57" t="s">
        <v>3781</v>
      </c>
      <c r="S22" s="57" t="s">
        <v>3782</v>
      </c>
      <c r="T22" s="57" t="s">
        <v>3736</v>
      </c>
      <c r="U22" s="57" t="s">
        <v>3476</v>
      </c>
      <c r="V22" s="57" t="s">
        <v>3469</v>
      </c>
      <c r="W22" s="57" t="s">
        <v>3476</v>
      </c>
      <c r="X22" s="57" t="s">
        <v>3783</v>
      </c>
      <c r="Y22" s="57" t="s">
        <v>3738</v>
      </c>
      <c r="Z22" s="57" t="s">
        <v>3780</v>
      </c>
      <c r="AA22" s="57" t="s">
        <v>3757</v>
      </c>
      <c r="AB22" s="57" t="s">
        <v>3476</v>
      </c>
      <c r="AC22" s="57" t="s">
        <v>3741</v>
      </c>
      <c r="AD22" s="57" t="s">
        <v>3476</v>
      </c>
      <c r="AE22" s="57" t="s">
        <v>3476</v>
      </c>
      <c r="AF22" s="57" t="s">
        <v>3476</v>
      </c>
      <c r="AG22" s="57" t="s">
        <v>3476</v>
      </c>
      <c r="AH22" s="57" t="s">
        <v>3476</v>
      </c>
      <c r="AI22" s="57" t="s">
        <v>3476</v>
      </c>
      <c r="AJ22" s="57" t="s">
        <v>3476</v>
      </c>
      <c r="AK22" s="57" t="s">
        <v>1292</v>
      </c>
      <c r="AL22" s="57" t="s">
        <v>3784</v>
      </c>
      <c r="AM22" s="57" t="s">
        <v>3476</v>
      </c>
      <c r="AN22" s="57" t="s">
        <v>3785</v>
      </c>
      <c r="AO22" s="57" t="s">
        <v>3476</v>
      </c>
      <c r="AP22" s="58">
        <v>45826.7806828704</v>
      </c>
      <c r="AQ22" s="57" t="s">
        <v>3476</v>
      </c>
      <c r="AR22" s="57" t="s">
        <v>3744</v>
      </c>
      <c r="AS22" s="57" t="s">
        <v>3502</v>
      </c>
      <c r="AT22" s="57" t="s">
        <v>3745</v>
      </c>
      <c r="AU22" s="57" t="s">
        <v>3786</v>
      </c>
      <c r="AV22" s="57" t="s">
        <v>3476</v>
      </c>
      <c r="AW22" s="58">
        <v>45764.8716203704</v>
      </c>
      <c r="AX22" s="57" t="s">
        <v>3784</v>
      </c>
      <c r="AY22" s="57" t="s">
        <v>3747</v>
      </c>
      <c r="AZ22" s="57" t="s">
        <v>3476</v>
      </c>
      <c r="BA22" s="57" t="s">
        <v>3476</v>
      </c>
      <c r="BB22" s="57" t="s">
        <v>3476</v>
      </c>
      <c r="BC22" s="57" t="s">
        <v>3791</v>
      </c>
      <c r="BD22" s="57" t="s">
        <v>3659</v>
      </c>
      <c r="BE22" s="57" t="s">
        <v>3787</v>
      </c>
      <c r="BF22" s="57" t="s">
        <v>3749</v>
      </c>
      <c r="BG22" s="57" t="s">
        <v>3476</v>
      </c>
      <c r="BH22" s="57" t="s">
        <v>3476</v>
      </c>
      <c r="BI22" s="57" t="s">
        <v>2809</v>
      </c>
      <c r="BJ22" s="57" t="s">
        <v>3476</v>
      </c>
      <c r="BK22" s="57" t="s">
        <v>3476</v>
      </c>
      <c r="BL22" s="57">
        <v>3538814</v>
      </c>
      <c r="BM22" s="57" t="s">
        <v>3788</v>
      </c>
      <c r="BN22" s="57" t="s">
        <v>3476</v>
      </c>
      <c r="BO22" s="57">
        <v>4590</v>
      </c>
      <c r="BP22" s="57" t="s">
        <v>3751</v>
      </c>
      <c r="BQ22" s="57" t="s">
        <v>3476</v>
      </c>
      <c r="BR22" s="57" t="s">
        <v>3789</v>
      </c>
      <c r="BS22" s="57" t="s">
        <v>1292</v>
      </c>
      <c r="BT22" s="57" t="s">
        <v>3476</v>
      </c>
      <c r="BU22" s="57" t="s">
        <v>3476</v>
      </c>
      <c r="BV22" s="57" t="s">
        <v>3753</v>
      </c>
      <c r="BW22" s="57" t="s">
        <v>3476</v>
      </c>
      <c r="BX22" s="57">
        <v>4590</v>
      </c>
      <c r="BY22" s="57" t="s">
        <v>3476</v>
      </c>
      <c r="BZ22" s="57" t="s">
        <v>3476</v>
      </c>
      <c r="CA22" s="57" t="s">
        <v>3476</v>
      </c>
      <c r="CB22" s="57" t="s">
        <v>3476</v>
      </c>
      <c r="CC22" s="57" t="s">
        <v>3476</v>
      </c>
      <c r="CD22" s="57" t="s">
        <v>3476</v>
      </c>
    </row>
    <row r="23" spans="1:82">
      <c r="A23" s="57">
        <v>1225</v>
      </c>
      <c r="B23" s="57" t="s">
        <v>3476</v>
      </c>
      <c r="C23" s="57" t="s">
        <v>3778</v>
      </c>
      <c r="D23" s="57" t="s">
        <v>3476</v>
      </c>
      <c r="E23" s="57" t="s">
        <v>3730</v>
      </c>
      <c r="F23" s="57" t="s">
        <v>3779</v>
      </c>
      <c r="G23" s="57" t="s">
        <v>721</v>
      </c>
      <c r="H23" s="57" t="s">
        <v>2874</v>
      </c>
      <c r="I23" s="57">
        <v>63536.29</v>
      </c>
      <c r="J23" s="57" t="s">
        <v>3476</v>
      </c>
      <c r="K23" s="57" t="s">
        <v>3476</v>
      </c>
      <c r="L23" s="57" t="s">
        <v>3732</v>
      </c>
      <c r="M23" s="57" t="s">
        <v>3780</v>
      </c>
      <c r="N23" s="57" t="s">
        <v>3780</v>
      </c>
      <c r="O23" s="57" t="s">
        <v>3476</v>
      </c>
      <c r="P23" s="57" t="s">
        <v>3476</v>
      </c>
      <c r="Q23" s="57" t="s">
        <v>2874</v>
      </c>
      <c r="R23" s="57" t="s">
        <v>3781</v>
      </c>
      <c r="S23" s="57" t="s">
        <v>3782</v>
      </c>
      <c r="T23" s="57" t="s">
        <v>3736</v>
      </c>
      <c r="U23" s="57" t="s">
        <v>3476</v>
      </c>
      <c r="V23" s="57" t="s">
        <v>3469</v>
      </c>
      <c r="W23" s="57" t="s">
        <v>3476</v>
      </c>
      <c r="X23" s="57" t="s">
        <v>3783</v>
      </c>
      <c r="Y23" s="57" t="s">
        <v>3738</v>
      </c>
      <c r="Z23" s="57" t="s">
        <v>3780</v>
      </c>
      <c r="AA23" s="57" t="s">
        <v>3757</v>
      </c>
      <c r="AB23" s="57" t="s">
        <v>3476</v>
      </c>
      <c r="AC23" s="57" t="s">
        <v>3741</v>
      </c>
      <c r="AD23" s="57" t="s">
        <v>3476</v>
      </c>
      <c r="AE23" s="57" t="s">
        <v>3476</v>
      </c>
      <c r="AF23" s="57" t="s">
        <v>3476</v>
      </c>
      <c r="AG23" s="57" t="s">
        <v>3476</v>
      </c>
      <c r="AH23" s="57" t="s">
        <v>3476</v>
      </c>
      <c r="AI23" s="57" t="s">
        <v>3476</v>
      </c>
      <c r="AJ23" s="57" t="s">
        <v>3476</v>
      </c>
      <c r="AK23" s="57" t="s">
        <v>1292</v>
      </c>
      <c r="AL23" s="57" t="s">
        <v>3784</v>
      </c>
      <c r="AM23" s="57" t="s">
        <v>3476</v>
      </c>
      <c r="AN23" s="57" t="s">
        <v>3785</v>
      </c>
      <c r="AO23" s="57" t="s">
        <v>3476</v>
      </c>
      <c r="AP23" s="58">
        <v>45826.7806828704</v>
      </c>
      <c r="AQ23" s="57" t="s">
        <v>3476</v>
      </c>
      <c r="AR23" s="57" t="s">
        <v>3744</v>
      </c>
      <c r="AS23" s="57" t="s">
        <v>3502</v>
      </c>
      <c r="AT23" s="57" t="s">
        <v>3745</v>
      </c>
      <c r="AU23" s="57" t="s">
        <v>3786</v>
      </c>
      <c r="AV23" s="57" t="s">
        <v>3476</v>
      </c>
      <c r="AW23" s="58">
        <v>45764.8716203704</v>
      </c>
      <c r="AX23" s="57" t="s">
        <v>3784</v>
      </c>
      <c r="AY23" s="57" t="s">
        <v>3747</v>
      </c>
      <c r="AZ23" s="57" t="s">
        <v>3476</v>
      </c>
      <c r="BA23" s="57" t="s">
        <v>3476</v>
      </c>
      <c r="BB23" s="57" t="s">
        <v>3476</v>
      </c>
      <c r="BC23" s="57" t="s">
        <v>1671</v>
      </c>
      <c r="BD23" s="57" t="s">
        <v>3659</v>
      </c>
      <c r="BE23" s="57" t="s">
        <v>3787</v>
      </c>
      <c r="BF23" s="57" t="s">
        <v>3749</v>
      </c>
      <c r="BG23" s="57" t="s">
        <v>3476</v>
      </c>
      <c r="BH23" s="57" t="s">
        <v>3476</v>
      </c>
      <c r="BI23" s="57" t="s">
        <v>2809</v>
      </c>
      <c r="BJ23" s="57" t="s">
        <v>3476</v>
      </c>
      <c r="BK23" s="57" t="s">
        <v>3476</v>
      </c>
      <c r="BL23" s="57">
        <v>3538785</v>
      </c>
      <c r="BM23" s="57" t="s">
        <v>3788</v>
      </c>
      <c r="BN23" s="57" t="s">
        <v>3476</v>
      </c>
      <c r="BO23" s="57">
        <v>75</v>
      </c>
      <c r="BP23" s="57" t="s">
        <v>3751</v>
      </c>
      <c r="BQ23" s="57" t="s">
        <v>3476</v>
      </c>
      <c r="BR23" s="57" t="s">
        <v>3789</v>
      </c>
      <c r="BS23" s="57" t="s">
        <v>1292</v>
      </c>
      <c r="BT23" s="57" t="s">
        <v>3476</v>
      </c>
      <c r="BU23" s="57" t="s">
        <v>3476</v>
      </c>
      <c r="BV23" s="57" t="s">
        <v>3753</v>
      </c>
      <c r="BW23" s="57" t="s">
        <v>3476</v>
      </c>
      <c r="BX23" s="57">
        <v>75</v>
      </c>
      <c r="BY23" s="57" t="s">
        <v>3476</v>
      </c>
      <c r="BZ23" s="57" t="s">
        <v>3476</v>
      </c>
      <c r="CA23" s="57" t="s">
        <v>3476</v>
      </c>
      <c r="CB23" s="57" t="s">
        <v>3476</v>
      </c>
      <c r="CC23" s="57" t="s">
        <v>3476</v>
      </c>
      <c r="CD23" s="57" t="s">
        <v>3476</v>
      </c>
    </row>
    <row r="24" spans="1:82">
      <c r="A24" s="57">
        <v>1226</v>
      </c>
      <c r="B24" s="57" t="s">
        <v>3476</v>
      </c>
      <c r="C24" s="57" t="s">
        <v>3778</v>
      </c>
      <c r="D24" s="57" t="s">
        <v>3476</v>
      </c>
      <c r="E24" s="57" t="s">
        <v>3730</v>
      </c>
      <c r="F24" s="57" t="s">
        <v>3779</v>
      </c>
      <c r="G24" s="57" t="s">
        <v>721</v>
      </c>
      <c r="H24" s="57" t="s">
        <v>2874</v>
      </c>
      <c r="I24" s="57">
        <v>63536.29</v>
      </c>
      <c r="J24" s="57" t="s">
        <v>3476</v>
      </c>
      <c r="K24" s="57" t="s">
        <v>3476</v>
      </c>
      <c r="L24" s="57" t="s">
        <v>3732</v>
      </c>
      <c r="M24" s="57" t="s">
        <v>3780</v>
      </c>
      <c r="N24" s="57" t="s">
        <v>3780</v>
      </c>
      <c r="O24" s="57" t="s">
        <v>3476</v>
      </c>
      <c r="P24" s="57" t="s">
        <v>3476</v>
      </c>
      <c r="Q24" s="57" t="s">
        <v>2874</v>
      </c>
      <c r="R24" s="57" t="s">
        <v>3781</v>
      </c>
      <c r="S24" s="57" t="s">
        <v>3782</v>
      </c>
      <c r="T24" s="57" t="s">
        <v>3736</v>
      </c>
      <c r="U24" s="57" t="s">
        <v>3476</v>
      </c>
      <c r="V24" s="57" t="s">
        <v>3469</v>
      </c>
      <c r="W24" s="57" t="s">
        <v>3476</v>
      </c>
      <c r="X24" s="57" t="s">
        <v>3783</v>
      </c>
      <c r="Y24" s="57" t="s">
        <v>3738</v>
      </c>
      <c r="Z24" s="57" t="s">
        <v>3780</v>
      </c>
      <c r="AA24" s="57" t="s">
        <v>3757</v>
      </c>
      <c r="AB24" s="57" t="s">
        <v>3476</v>
      </c>
      <c r="AC24" s="57" t="s">
        <v>3741</v>
      </c>
      <c r="AD24" s="57" t="s">
        <v>3476</v>
      </c>
      <c r="AE24" s="57" t="s">
        <v>3476</v>
      </c>
      <c r="AF24" s="57" t="s">
        <v>3476</v>
      </c>
      <c r="AG24" s="57" t="s">
        <v>3476</v>
      </c>
      <c r="AH24" s="57" t="s">
        <v>3476</v>
      </c>
      <c r="AI24" s="57" t="s">
        <v>3476</v>
      </c>
      <c r="AJ24" s="57" t="s">
        <v>3476</v>
      </c>
      <c r="AK24" s="57" t="s">
        <v>1292</v>
      </c>
      <c r="AL24" s="57" t="s">
        <v>3784</v>
      </c>
      <c r="AM24" s="57" t="s">
        <v>3476</v>
      </c>
      <c r="AN24" s="57" t="s">
        <v>3785</v>
      </c>
      <c r="AO24" s="57" t="s">
        <v>3476</v>
      </c>
      <c r="AP24" s="58">
        <v>45826.7806828704</v>
      </c>
      <c r="AQ24" s="57" t="s">
        <v>3476</v>
      </c>
      <c r="AR24" s="57" t="s">
        <v>3744</v>
      </c>
      <c r="AS24" s="57" t="s">
        <v>3502</v>
      </c>
      <c r="AT24" s="57" t="s">
        <v>3745</v>
      </c>
      <c r="AU24" s="57" t="s">
        <v>3786</v>
      </c>
      <c r="AV24" s="57" t="s">
        <v>3476</v>
      </c>
      <c r="AW24" s="58">
        <v>45764.8716203704</v>
      </c>
      <c r="AX24" s="57" t="s">
        <v>3784</v>
      </c>
      <c r="AY24" s="57" t="s">
        <v>3747</v>
      </c>
      <c r="AZ24" s="57" t="s">
        <v>3476</v>
      </c>
      <c r="BA24" s="57" t="s">
        <v>3476</v>
      </c>
      <c r="BB24" s="57" t="s">
        <v>3476</v>
      </c>
      <c r="BC24" s="57" t="s">
        <v>1787</v>
      </c>
      <c r="BD24" s="57" t="s">
        <v>3659</v>
      </c>
      <c r="BE24" s="57" t="s">
        <v>3787</v>
      </c>
      <c r="BF24" s="57" t="s">
        <v>3749</v>
      </c>
      <c r="BG24" s="57" t="s">
        <v>3476</v>
      </c>
      <c r="BH24" s="57" t="s">
        <v>3476</v>
      </c>
      <c r="BI24" s="57" t="s">
        <v>2809</v>
      </c>
      <c r="BJ24" s="57" t="s">
        <v>3476</v>
      </c>
      <c r="BK24" s="57" t="s">
        <v>3476</v>
      </c>
      <c r="BL24" s="57">
        <v>3538784</v>
      </c>
      <c r="BM24" s="57" t="s">
        <v>3788</v>
      </c>
      <c r="BN24" s="57" t="s">
        <v>3476</v>
      </c>
      <c r="BO24" s="57">
        <v>105</v>
      </c>
      <c r="BP24" s="57" t="s">
        <v>3751</v>
      </c>
      <c r="BQ24" s="57" t="s">
        <v>3476</v>
      </c>
      <c r="BR24" s="57" t="s">
        <v>3789</v>
      </c>
      <c r="BS24" s="57" t="s">
        <v>1292</v>
      </c>
      <c r="BT24" s="57" t="s">
        <v>3476</v>
      </c>
      <c r="BU24" s="57" t="s">
        <v>3476</v>
      </c>
      <c r="BV24" s="57" t="s">
        <v>3753</v>
      </c>
      <c r="BW24" s="57" t="s">
        <v>3476</v>
      </c>
      <c r="BX24" s="57">
        <v>105</v>
      </c>
      <c r="BY24" s="57" t="s">
        <v>3476</v>
      </c>
      <c r="BZ24" s="57" t="s">
        <v>3476</v>
      </c>
      <c r="CA24" s="57" t="s">
        <v>3476</v>
      </c>
      <c r="CB24" s="57" t="s">
        <v>3476</v>
      </c>
      <c r="CC24" s="57" t="s">
        <v>3476</v>
      </c>
      <c r="CD24" s="57" t="s">
        <v>3476</v>
      </c>
    </row>
    <row r="25" spans="1:82">
      <c r="A25" s="57">
        <v>1227</v>
      </c>
      <c r="B25" s="57" t="s">
        <v>3476</v>
      </c>
      <c r="C25" s="57" t="s">
        <v>3778</v>
      </c>
      <c r="D25" s="57" t="s">
        <v>3476</v>
      </c>
      <c r="E25" s="57" t="s">
        <v>3730</v>
      </c>
      <c r="F25" s="57" t="s">
        <v>3779</v>
      </c>
      <c r="G25" s="57" t="s">
        <v>721</v>
      </c>
      <c r="H25" s="57" t="s">
        <v>2874</v>
      </c>
      <c r="I25" s="57">
        <v>63536.29</v>
      </c>
      <c r="J25" s="57" t="s">
        <v>3476</v>
      </c>
      <c r="K25" s="57" t="s">
        <v>3476</v>
      </c>
      <c r="L25" s="57" t="s">
        <v>3732</v>
      </c>
      <c r="M25" s="57" t="s">
        <v>3780</v>
      </c>
      <c r="N25" s="57" t="s">
        <v>3780</v>
      </c>
      <c r="O25" s="57" t="s">
        <v>3476</v>
      </c>
      <c r="P25" s="57" t="s">
        <v>3476</v>
      </c>
      <c r="Q25" s="57" t="s">
        <v>2874</v>
      </c>
      <c r="R25" s="57" t="s">
        <v>3781</v>
      </c>
      <c r="S25" s="57" t="s">
        <v>3782</v>
      </c>
      <c r="T25" s="57" t="s">
        <v>3736</v>
      </c>
      <c r="U25" s="57" t="s">
        <v>3476</v>
      </c>
      <c r="V25" s="57" t="s">
        <v>3469</v>
      </c>
      <c r="W25" s="57" t="s">
        <v>3476</v>
      </c>
      <c r="X25" s="57" t="s">
        <v>3783</v>
      </c>
      <c r="Y25" s="57" t="s">
        <v>3738</v>
      </c>
      <c r="Z25" s="57" t="s">
        <v>3780</v>
      </c>
      <c r="AA25" s="57" t="s">
        <v>3757</v>
      </c>
      <c r="AB25" s="57" t="s">
        <v>3476</v>
      </c>
      <c r="AC25" s="57" t="s">
        <v>3741</v>
      </c>
      <c r="AD25" s="57" t="s">
        <v>3476</v>
      </c>
      <c r="AE25" s="57" t="s">
        <v>3476</v>
      </c>
      <c r="AF25" s="57" t="s">
        <v>3476</v>
      </c>
      <c r="AG25" s="57" t="s">
        <v>3476</v>
      </c>
      <c r="AH25" s="57" t="s">
        <v>3476</v>
      </c>
      <c r="AI25" s="57" t="s">
        <v>3476</v>
      </c>
      <c r="AJ25" s="57" t="s">
        <v>3476</v>
      </c>
      <c r="AK25" s="57" t="s">
        <v>1292</v>
      </c>
      <c r="AL25" s="57" t="s">
        <v>3784</v>
      </c>
      <c r="AM25" s="57" t="s">
        <v>3476</v>
      </c>
      <c r="AN25" s="57" t="s">
        <v>3785</v>
      </c>
      <c r="AO25" s="57" t="s">
        <v>3476</v>
      </c>
      <c r="AP25" s="58">
        <v>45826.7806828704</v>
      </c>
      <c r="AQ25" s="57" t="s">
        <v>3476</v>
      </c>
      <c r="AR25" s="57" t="s">
        <v>3744</v>
      </c>
      <c r="AS25" s="57" t="s">
        <v>3502</v>
      </c>
      <c r="AT25" s="57" t="s">
        <v>3745</v>
      </c>
      <c r="AU25" s="57" t="s">
        <v>3786</v>
      </c>
      <c r="AV25" s="57" t="s">
        <v>3476</v>
      </c>
      <c r="AW25" s="58">
        <v>45764.8716203704</v>
      </c>
      <c r="AX25" s="57" t="s">
        <v>3784</v>
      </c>
      <c r="AY25" s="57" t="s">
        <v>3747</v>
      </c>
      <c r="AZ25" s="57" t="s">
        <v>3476</v>
      </c>
      <c r="BA25" s="57" t="s">
        <v>3476</v>
      </c>
      <c r="BB25" s="57" t="s">
        <v>3476</v>
      </c>
      <c r="BC25" s="57" t="s">
        <v>1787</v>
      </c>
      <c r="BD25" s="57" t="s">
        <v>3659</v>
      </c>
      <c r="BE25" s="57" t="s">
        <v>3787</v>
      </c>
      <c r="BF25" s="57" t="s">
        <v>3749</v>
      </c>
      <c r="BG25" s="57" t="s">
        <v>3476</v>
      </c>
      <c r="BH25" s="57" t="s">
        <v>3476</v>
      </c>
      <c r="BI25" s="57" t="s">
        <v>2809</v>
      </c>
      <c r="BJ25" s="57" t="s">
        <v>3476</v>
      </c>
      <c r="BK25" s="57" t="s">
        <v>3476</v>
      </c>
      <c r="BL25" s="57">
        <v>3538787</v>
      </c>
      <c r="BM25" s="57" t="s">
        <v>3788</v>
      </c>
      <c r="BN25" s="57" t="s">
        <v>3476</v>
      </c>
      <c r="BO25" s="57">
        <v>216</v>
      </c>
      <c r="BP25" s="57" t="s">
        <v>3751</v>
      </c>
      <c r="BQ25" s="57" t="s">
        <v>3476</v>
      </c>
      <c r="BR25" s="57" t="s">
        <v>3789</v>
      </c>
      <c r="BS25" s="57" t="s">
        <v>1292</v>
      </c>
      <c r="BT25" s="57" t="s">
        <v>3476</v>
      </c>
      <c r="BU25" s="57" t="s">
        <v>3476</v>
      </c>
      <c r="BV25" s="57" t="s">
        <v>3753</v>
      </c>
      <c r="BW25" s="57" t="s">
        <v>3476</v>
      </c>
      <c r="BX25" s="57">
        <v>216</v>
      </c>
      <c r="BY25" s="57" t="s">
        <v>3476</v>
      </c>
      <c r="BZ25" s="57" t="s">
        <v>3476</v>
      </c>
      <c r="CA25" s="57" t="s">
        <v>3476</v>
      </c>
      <c r="CB25" s="57" t="s">
        <v>3476</v>
      </c>
      <c r="CC25" s="57" t="s">
        <v>3476</v>
      </c>
      <c r="CD25" s="57" t="s">
        <v>3476</v>
      </c>
    </row>
    <row r="26" spans="1:82">
      <c r="A26" s="57">
        <v>1228</v>
      </c>
      <c r="B26" s="57" t="s">
        <v>3476</v>
      </c>
      <c r="C26" s="57" t="s">
        <v>3778</v>
      </c>
      <c r="D26" s="57" t="s">
        <v>3476</v>
      </c>
      <c r="E26" s="57" t="s">
        <v>3730</v>
      </c>
      <c r="F26" s="57" t="s">
        <v>3779</v>
      </c>
      <c r="G26" s="57" t="s">
        <v>721</v>
      </c>
      <c r="H26" s="57" t="s">
        <v>2874</v>
      </c>
      <c r="I26" s="57">
        <v>63536.29</v>
      </c>
      <c r="J26" s="57" t="s">
        <v>3476</v>
      </c>
      <c r="K26" s="57" t="s">
        <v>3476</v>
      </c>
      <c r="L26" s="57" t="s">
        <v>3732</v>
      </c>
      <c r="M26" s="57" t="s">
        <v>3780</v>
      </c>
      <c r="N26" s="57" t="s">
        <v>3780</v>
      </c>
      <c r="O26" s="57" t="s">
        <v>3476</v>
      </c>
      <c r="P26" s="57" t="s">
        <v>3476</v>
      </c>
      <c r="Q26" s="57" t="s">
        <v>2874</v>
      </c>
      <c r="R26" s="57" t="s">
        <v>3781</v>
      </c>
      <c r="S26" s="57" t="s">
        <v>3782</v>
      </c>
      <c r="T26" s="57" t="s">
        <v>3736</v>
      </c>
      <c r="U26" s="57" t="s">
        <v>3476</v>
      </c>
      <c r="V26" s="57" t="s">
        <v>3469</v>
      </c>
      <c r="W26" s="57" t="s">
        <v>3476</v>
      </c>
      <c r="X26" s="57" t="s">
        <v>3783</v>
      </c>
      <c r="Y26" s="57" t="s">
        <v>3738</v>
      </c>
      <c r="Z26" s="57" t="s">
        <v>3780</v>
      </c>
      <c r="AA26" s="57" t="s">
        <v>3757</v>
      </c>
      <c r="AB26" s="57" t="s">
        <v>3476</v>
      </c>
      <c r="AC26" s="57" t="s">
        <v>3741</v>
      </c>
      <c r="AD26" s="57" t="s">
        <v>3476</v>
      </c>
      <c r="AE26" s="57" t="s">
        <v>3476</v>
      </c>
      <c r="AF26" s="57" t="s">
        <v>3476</v>
      </c>
      <c r="AG26" s="57" t="s">
        <v>3476</v>
      </c>
      <c r="AH26" s="57" t="s">
        <v>3476</v>
      </c>
      <c r="AI26" s="57" t="s">
        <v>3476</v>
      </c>
      <c r="AJ26" s="57" t="s">
        <v>3476</v>
      </c>
      <c r="AK26" s="57" t="s">
        <v>1292</v>
      </c>
      <c r="AL26" s="57" t="s">
        <v>3784</v>
      </c>
      <c r="AM26" s="57" t="s">
        <v>3476</v>
      </c>
      <c r="AN26" s="57" t="s">
        <v>3785</v>
      </c>
      <c r="AO26" s="57" t="s">
        <v>3476</v>
      </c>
      <c r="AP26" s="58">
        <v>45826.7806828704</v>
      </c>
      <c r="AQ26" s="57" t="s">
        <v>3476</v>
      </c>
      <c r="AR26" s="57" t="s">
        <v>3744</v>
      </c>
      <c r="AS26" s="57" t="s">
        <v>3502</v>
      </c>
      <c r="AT26" s="57" t="s">
        <v>3745</v>
      </c>
      <c r="AU26" s="57" t="s">
        <v>3786</v>
      </c>
      <c r="AV26" s="57" t="s">
        <v>3476</v>
      </c>
      <c r="AW26" s="58">
        <v>45764.8716203704</v>
      </c>
      <c r="AX26" s="57" t="s">
        <v>3784</v>
      </c>
      <c r="AY26" s="57" t="s">
        <v>3747</v>
      </c>
      <c r="AZ26" s="57" t="s">
        <v>3476</v>
      </c>
      <c r="BA26" s="57" t="s">
        <v>3476</v>
      </c>
      <c r="BB26" s="57" t="s">
        <v>3476</v>
      </c>
      <c r="BC26" s="57" t="s">
        <v>1787</v>
      </c>
      <c r="BD26" s="57" t="s">
        <v>3659</v>
      </c>
      <c r="BE26" s="57" t="s">
        <v>3787</v>
      </c>
      <c r="BF26" s="57" t="s">
        <v>3749</v>
      </c>
      <c r="BG26" s="57" t="s">
        <v>3476</v>
      </c>
      <c r="BH26" s="57" t="s">
        <v>3476</v>
      </c>
      <c r="BI26" s="57" t="s">
        <v>2809</v>
      </c>
      <c r="BJ26" s="57" t="s">
        <v>3476</v>
      </c>
      <c r="BK26" s="57" t="s">
        <v>3476</v>
      </c>
      <c r="BL26" s="57">
        <v>3538786</v>
      </c>
      <c r="BM26" s="57" t="s">
        <v>3788</v>
      </c>
      <c r="BN26" s="57" t="s">
        <v>3476</v>
      </c>
      <c r="BO26" s="57">
        <v>144</v>
      </c>
      <c r="BP26" s="57" t="s">
        <v>3751</v>
      </c>
      <c r="BQ26" s="57" t="s">
        <v>3476</v>
      </c>
      <c r="BR26" s="57" t="s">
        <v>3789</v>
      </c>
      <c r="BS26" s="57" t="s">
        <v>1292</v>
      </c>
      <c r="BT26" s="57" t="s">
        <v>3476</v>
      </c>
      <c r="BU26" s="57" t="s">
        <v>3476</v>
      </c>
      <c r="BV26" s="57" t="s">
        <v>3753</v>
      </c>
      <c r="BW26" s="57" t="s">
        <v>3476</v>
      </c>
      <c r="BX26" s="57">
        <v>144</v>
      </c>
      <c r="BY26" s="57" t="s">
        <v>3476</v>
      </c>
      <c r="BZ26" s="57" t="s">
        <v>3476</v>
      </c>
      <c r="CA26" s="57" t="s">
        <v>3476</v>
      </c>
      <c r="CB26" s="57" t="s">
        <v>3476</v>
      </c>
      <c r="CC26" s="57" t="s">
        <v>3476</v>
      </c>
      <c r="CD26" s="57" t="s">
        <v>3476</v>
      </c>
    </row>
    <row r="27" spans="1:82">
      <c r="A27" s="57">
        <v>1229</v>
      </c>
      <c r="B27" s="57" t="s">
        <v>3476</v>
      </c>
      <c r="C27" s="57" t="s">
        <v>3778</v>
      </c>
      <c r="D27" s="57" t="s">
        <v>3476</v>
      </c>
      <c r="E27" s="57" t="s">
        <v>3730</v>
      </c>
      <c r="F27" s="57" t="s">
        <v>3779</v>
      </c>
      <c r="G27" s="57" t="s">
        <v>721</v>
      </c>
      <c r="H27" s="57" t="s">
        <v>2874</v>
      </c>
      <c r="I27" s="57">
        <v>63536.29</v>
      </c>
      <c r="J27" s="57" t="s">
        <v>3476</v>
      </c>
      <c r="K27" s="57" t="s">
        <v>3476</v>
      </c>
      <c r="L27" s="57" t="s">
        <v>3732</v>
      </c>
      <c r="M27" s="57" t="s">
        <v>3780</v>
      </c>
      <c r="N27" s="57" t="s">
        <v>3780</v>
      </c>
      <c r="O27" s="57" t="s">
        <v>3476</v>
      </c>
      <c r="P27" s="57" t="s">
        <v>3476</v>
      </c>
      <c r="Q27" s="57" t="s">
        <v>2874</v>
      </c>
      <c r="R27" s="57" t="s">
        <v>3781</v>
      </c>
      <c r="S27" s="57" t="s">
        <v>3782</v>
      </c>
      <c r="T27" s="57" t="s">
        <v>3736</v>
      </c>
      <c r="U27" s="57" t="s">
        <v>3476</v>
      </c>
      <c r="V27" s="57" t="s">
        <v>3469</v>
      </c>
      <c r="W27" s="57" t="s">
        <v>3476</v>
      </c>
      <c r="X27" s="57" t="s">
        <v>3783</v>
      </c>
      <c r="Y27" s="57" t="s">
        <v>3738</v>
      </c>
      <c r="Z27" s="57" t="s">
        <v>3780</v>
      </c>
      <c r="AA27" s="57" t="s">
        <v>3757</v>
      </c>
      <c r="AB27" s="57" t="s">
        <v>3476</v>
      </c>
      <c r="AC27" s="57" t="s">
        <v>3741</v>
      </c>
      <c r="AD27" s="57" t="s">
        <v>3476</v>
      </c>
      <c r="AE27" s="57" t="s">
        <v>3476</v>
      </c>
      <c r="AF27" s="57" t="s">
        <v>3476</v>
      </c>
      <c r="AG27" s="57" t="s">
        <v>3476</v>
      </c>
      <c r="AH27" s="57" t="s">
        <v>3476</v>
      </c>
      <c r="AI27" s="57" t="s">
        <v>3476</v>
      </c>
      <c r="AJ27" s="57" t="s">
        <v>3476</v>
      </c>
      <c r="AK27" s="57" t="s">
        <v>1292</v>
      </c>
      <c r="AL27" s="57" t="s">
        <v>3784</v>
      </c>
      <c r="AM27" s="57" t="s">
        <v>3476</v>
      </c>
      <c r="AN27" s="57" t="s">
        <v>3785</v>
      </c>
      <c r="AO27" s="57" t="s">
        <v>3476</v>
      </c>
      <c r="AP27" s="58">
        <v>45826.7806828704</v>
      </c>
      <c r="AQ27" s="57" t="s">
        <v>3476</v>
      </c>
      <c r="AR27" s="57" t="s">
        <v>3744</v>
      </c>
      <c r="AS27" s="57" t="s">
        <v>3502</v>
      </c>
      <c r="AT27" s="57" t="s">
        <v>3745</v>
      </c>
      <c r="AU27" s="57" t="s">
        <v>3786</v>
      </c>
      <c r="AV27" s="57" t="s">
        <v>3476</v>
      </c>
      <c r="AW27" s="58">
        <v>45764.8716203704</v>
      </c>
      <c r="AX27" s="57" t="s">
        <v>3784</v>
      </c>
      <c r="AY27" s="57" t="s">
        <v>3747</v>
      </c>
      <c r="AZ27" s="57" t="s">
        <v>3476</v>
      </c>
      <c r="BA27" s="57" t="s">
        <v>3476</v>
      </c>
      <c r="BB27" s="57" t="s">
        <v>3476</v>
      </c>
      <c r="BC27" s="57" t="s">
        <v>3792</v>
      </c>
      <c r="BD27" s="57" t="s">
        <v>3659</v>
      </c>
      <c r="BE27" s="57" t="s">
        <v>3787</v>
      </c>
      <c r="BF27" s="57" t="s">
        <v>3749</v>
      </c>
      <c r="BG27" s="57" t="s">
        <v>3476</v>
      </c>
      <c r="BH27" s="57" t="s">
        <v>3476</v>
      </c>
      <c r="BI27" s="57" t="s">
        <v>2809</v>
      </c>
      <c r="BJ27" s="57" t="s">
        <v>3476</v>
      </c>
      <c r="BK27" s="57" t="s">
        <v>3476</v>
      </c>
      <c r="BL27" s="57">
        <v>3538789</v>
      </c>
      <c r="BM27" s="57" t="s">
        <v>3788</v>
      </c>
      <c r="BN27" s="57" t="s">
        <v>3476</v>
      </c>
      <c r="BO27" s="57">
        <v>335</v>
      </c>
      <c r="BP27" s="57" t="s">
        <v>3751</v>
      </c>
      <c r="BQ27" s="57" t="s">
        <v>3476</v>
      </c>
      <c r="BR27" s="57" t="s">
        <v>3789</v>
      </c>
      <c r="BS27" s="57" t="s">
        <v>1292</v>
      </c>
      <c r="BT27" s="57" t="s">
        <v>3476</v>
      </c>
      <c r="BU27" s="57" t="s">
        <v>3476</v>
      </c>
      <c r="BV27" s="57" t="s">
        <v>3753</v>
      </c>
      <c r="BW27" s="57" t="s">
        <v>3476</v>
      </c>
      <c r="BX27" s="57">
        <v>335</v>
      </c>
      <c r="BY27" s="57" t="s">
        <v>3476</v>
      </c>
      <c r="BZ27" s="57" t="s">
        <v>3476</v>
      </c>
      <c r="CA27" s="57" t="s">
        <v>3476</v>
      </c>
      <c r="CB27" s="57" t="s">
        <v>3476</v>
      </c>
      <c r="CC27" s="57" t="s">
        <v>3476</v>
      </c>
      <c r="CD27" s="57" t="s">
        <v>3476</v>
      </c>
    </row>
    <row r="28" spans="1:82">
      <c r="A28" s="57">
        <v>1230</v>
      </c>
      <c r="B28" s="57" t="s">
        <v>3476</v>
      </c>
      <c r="C28" s="57" t="s">
        <v>3778</v>
      </c>
      <c r="D28" s="57" t="s">
        <v>3476</v>
      </c>
      <c r="E28" s="57" t="s">
        <v>3730</v>
      </c>
      <c r="F28" s="57" t="s">
        <v>3779</v>
      </c>
      <c r="G28" s="57" t="s">
        <v>721</v>
      </c>
      <c r="H28" s="57" t="s">
        <v>2874</v>
      </c>
      <c r="I28" s="57">
        <v>63536.29</v>
      </c>
      <c r="J28" s="57" t="s">
        <v>3476</v>
      </c>
      <c r="K28" s="57" t="s">
        <v>3476</v>
      </c>
      <c r="L28" s="57" t="s">
        <v>3732</v>
      </c>
      <c r="M28" s="57" t="s">
        <v>3780</v>
      </c>
      <c r="N28" s="57" t="s">
        <v>3780</v>
      </c>
      <c r="O28" s="57" t="s">
        <v>3476</v>
      </c>
      <c r="P28" s="57" t="s">
        <v>3476</v>
      </c>
      <c r="Q28" s="57" t="s">
        <v>2874</v>
      </c>
      <c r="R28" s="57" t="s">
        <v>3781</v>
      </c>
      <c r="S28" s="57" t="s">
        <v>3782</v>
      </c>
      <c r="T28" s="57" t="s">
        <v>3736</v>
      </c>
      <c r="U28" s="57" t="s">
        <v>3476</v>
      </c>
      <c r="V28" s="57" t="s">
        <v>3469</v>
      </c>
      <c r="W28" s="57" t="s">
        <v>3476</v>
      </c>
      <c r="X28" s="57" t="s">
        <v>3783</v>
      </c>
      <c r="Y28" s="57" t="s">
        <v>3738</v>
      </c>
      <c r="Z28" s="57" t="s">
        <v>3780</v>
      </c>
      <c r="AA28" s="57" t="s">
        <v>3757</v>
      </c>
      <c r="AB28" s="57" t="s">
        <v>3476</v>
      </c>
      <c r="AC28" s="57" t="s">
        <v>3741</v>
      </c>
      <c r="AD28" s="57" t="s">
        <v>3476</v>
      </c>
      <c r="AE28" s="57" t="s">
        <v>3476</v>
      </c>
      <c r="AF28" s="57" t="s">
        <v>3476</v>
      </c>
      <c r="AG28" s="57" t="s">
        <v>3476</v>
      </c>
      <c r="AH28" s="57" t="s">
        <v>3476</v>
      </c>
      <c r="AI28" s="57" t="s">
        <v>3476</v>
      </c>
      <c r="AJ28" s="57" t="s">
        <v>3476</v>
      </c>
      <c r="AK28" s="57" t="s">
        <v>1292</v>
      </c>
      <c r="AL28" s="57" t="s">
        <v>3784</v>
      </c>
      <c r="AM28" s="57" t="s">
        <v>3476</v>
      </c>
      <c r="AN28" s="57" t="s">
        <v>3785</v>
      </c>
      <c r="AO28" s="57" t="s">
        <v>3476</v>
      </c>
      <c r="AP28" s="58">
        <v>45826.7806828704</v>
      </c>
      <c r="AQ28" s="57" t="s">
        <v>3476</v>
      </c>
      <c r="AR28" s="57" t="s">
        <v>3744</v>
      </c>
      <c r="AS28" s="57" t="s">
        <v>3502</v>
      </c>
      <c r="AT28" s="57" t="s">
        <v>3745</v>
      </c>
      <c r="AU28" s="57" t="s">
        <v>3786</v>
      </c>
      <c r="AV28" s="57" t="s">
        <v>3476</v>
      </c>
      <c r="AW28" s="58">
        <v>45764.8716203704</v>
      </c>
      <c r="AX28" s="57" t="s">
        <v>3784</v>
      </c>
      <c r="AY28" s="57" t="s">
        <v>3747</v>
      </c>
      <c r="AZ28" s="57" t="s">
        <v>3476</v>
      </c>
      <c r="BA28" s="57" t="s">
        <v>3476</v>
      </c>
      <c r="BB28" s="57" t="s">
        <v>3476</v>
      </c>
      <c r="BC28" s="57" t="s">
        <v>1787</v>
      </c>
      <c r="BD28" s="57" t="s">
        <v>3659</v>
      </c>
      <c r="BE28" s="57" t="s">
        <v>3787</v>
      </c>
      <c r="BF28" s="57" t="s">
        <v>3749</v>
      </c>
      <c r="BG28" s="57" t="s">
        <v>3476</v>
      </c>
      <c r="BH28" s="57" t="s">
        <v>3476</v>
      </c>
      <c r="BI28" s="57" t="s">
        <v>2809</v>
      </c>
      <c r="BJ28" s="57" t="s">
        <v>3476</v>
      </c>
      <c r="BK28" s="57" t="s">
        <v>3476</v>
      </c>
      <c r="BL28" s="57">
        <v>3538788</v>
      </c>
      <c r="BM28" s="57" t="s">
        <v>3788</v>
      </c>
      <c r="BN28" s="57" t="s">
        <v>3476</v>
      </c>
      <c r="BO28" s="57">
        <v>8</v>
      </c>
      <c r="BP28" s="57" t="s">
        <v>3751</v>
      </c>
      <c r="BQ28" s="57" t="s">
        <v>3476</v>
      </c>
      <c r="BR28" s="57" t="s">
        <v>3789</v>
      </c>
      <c r="BS28" s="57" t="s">
        <v>1292</v>
      </c>
      <c r="BT28" s="57" t="s">
        <v>3476</v>
      </c>
      <c r="BU28" s="57" t="s">
        <v>3476</v>
      </c>
      <c r="BV28" s="57" t="s">
        <v>3753</v>
      </c>
      <c r="BW28" s="57" t="s">
        <v>3476</v>
      </c>
      <c r="BX28" s="57">
        <v>8</v>
      </c>
      <c r="BY28" s="57" t="s">
        <v>3476</v>
      </c>
      <c r="BZ28" s="57" t="s">
        <v>3476</v>
      </c>
      <c r="CA28" s="57" t="s">
        <v>3476</v>
      </c>
      <c r="CB28" s="57" t="s">
        <v>3476</v>
      </c>
      <c r="CC28" s="57" t="s">
        <v>3476</v>
      </c>
      <c r="CD28" s="57" t="s">
        <v>3476</v>
      </c>
    </row>
    <row r="29" spans="1:82">
      <c r="A29" s="57">
        <v>1231</v>
      </c>
      <c r="B29" s="57" t="s">
        <v>3476</v>
      </c>
      <c r="C29" s="57" t="s">
        <v>3778</v>
      </c>
      <c r="D29" s="57" t="s">
        <v>3476</v>
      </c>
      <c r="E29" s="57" t="s">
        <v>3730</v>
      </c>
      <c r="F29" s="57" t="s">
        <v>3779</v>
      </c>
      <c r="G29" s="57" t="s">
        <v>721</v>
      </c>
      <c r="H29" s="57" t="s">
        <v>2874</v>
      </c>
      <c r="I29" s="57">
        <v>63536.29</v>
      </c>
      <c r="J29" s="57" t="s">
        <v>3476</v>
      </c>
      <c r="K29" s="57" t="s">
        <v>3476</v>
      </c>
      <c r="L29" s="57" t="s">
        <v>3732</v>
      </c>
      <c r="M29" s="57" t="s">
        <v>3780</v>
      </c>
      <c r="N29" s="57" t="s">
        <v>3780</v>
      </c>
      <c r="O29" s="57" t="s">
        <v>3476</v>
      </c>
      <c r="P29" s="57" t="s">
        <v>3476</v>
      </c>
      <c r="Q29" s="57" t="s">
        <v>2874</v>
      </c>
      <c r="R29" s="57" t="s">
        <v>3781</v>
      </c>
      <c r="S29" s="57" t="s">
        <v>3782</v>
      </c>
      <c r="T29" s="57" t="s">
        <v>3736</v>
      </c>
      <c r="U29" s="57" t="s">
        <v>3476</v>
      </c>
      <c r="V29" s="57" t="s">
        <v>3469</v>
      </c>
      <c r="W29" s="57" t="s">
        <v>3476</v>
      </c>
      <c r="X29" s="57" t="s">
        <v>3783</v>
      </c>
      <c r="Y29" s="57" t="s">
        <v>3738</v>
      </c>
      <c r="Z29" s="57" t="s">
        <v>3780</v>
      </c>
      <c r="AA29" s="57" t="s">
        <v>3757</v>
      </c>
      <c r="AB29" s="57" t="s">
        <v>3476</v>
      </c>
      <c r="AC29" s="57" t="s">
        <v>3741</v>
      </c>
      <c r="AD29" s="57" t="s">
        <v>3476</v>
      </c>
      <c r="AE29" s="57" t="s">
        <v>3476</v>
      </c>
      <c r="AF29" s="57" t="s">
        <v>3476</v>
      </c>
      <c r="AG29" s="57" t="s">
        <v>3476</v>
      </c>
      <c r="AH29" s="57" t="s">
        <v>3476</v>
      </c>
      <c r="AI29" s="57" t="s">
        <v>3476</v>
      </c>
      <c r="AJ29" s="57" t="s">
        <v>3476</v>
      </c>
      <c r="AK29" s="57" t="s">
        <v>1292</v>
      </c>
      <c r="AL29" s="57" t="s">
        <v>3784</v>
      </c>
      <c r="AM29" s="57" t="s">
        <v>3476</v>
      </c>
      <c r="AN29" s="57" t="s">
        <v>3785</v>
      </c>
      <c r="AO29" s="57" t="s">
        <v>3476</v>
      </c>
      <c r="AP29" s="58">
        <v>45826.7806828704</v>
      </c>
      <c r="AQ29" s="57" t="s">
        <v>3476</v>
      </c>
      <c r="AR29" s="57" t="s">
        <v>3744</v>
      </c>
      <c r="AS29" s="57" t="s">
        <v>3502</v>
      </c>
      <c r="AT29" s="57" t="s">
        <v>3745</v>
      </c>
      <c r="AU29" s="57" t="s">
        <v>3786</v>
      </c>
      <c r="AV29" s="57" t="s">
        <v>3476</v>
      </c>
      <c r="AW29" s="58">
        <v>45764.8716203704</v>
      </c>
      <c r="AX29" s="57" t="s">
        <v>3784</v>
      </c>
      <c r="AY29" s="57" t="s">
        <v>3747</v>
      </c>
      <c r="AZ29" s="57" t="s">
        <v>3476</v>
      </c>
      <c r="BA29" s="57" t="s">
        <v>3476</v>
      </c>
      <c r="BB29" s="57" t="s">
        <v>3476</v>
      </c>
      <c r="BC29" s="57" t="s">
        <v>3793</v>
      </c>
      <c r="BD29" s="57" t="s">
        <v>3659</v>
      </c>
      <c r="BE29" s="57" t="s">
        <v>3787</v>
      </c>
      <c r="BF29" s="57" t="s">
        <v>3749</v>
      </c>
      <c r="BG29" s="57" t="s">
        <v>3476</v>
      </c>
      <c r="BH29" s="57" t="s">
        <v>3476</v>
      </c>
      <c r="BI29" s="57" t="s">
        <v>2809</v>
      </c>
      <c r="BJ29" s="57" t="s">
        <v>3476</v>
      </c>
      <c r="BK29" s="57" t="s">
        <v>3476</v>
      </c>
      <c r="BL29" s="57">
        <v>3538791</v>
      </c>
      <c r="BM29" s="57" t="s">
        <v>3788</v>
      </c>
      <c r="BN29" s="57" t="s">
        <v>3476</v>
      </c>
      <c r="BO29" s="57">
        <v>280</v>
      </c>
      <c r="BP29" s="57" t="s">
        <v>3751</v>
      </c>
      <c r="BQ29" s="57" t="s">
        <v>3476</v>
      </c>
      <c r="BR29" s="57" t="s">
        <v>3789</v>
      </c>
      <c r="BS29" s="57" t="s">
        <v>1292</v>
      </c>
      <c r="BT29" s="57" t="s">
        <v>3476</v>
      </c>
      <c r="BU29" s="57" t="s">
        <v>3476</v>
      </c>
      <c r="BV29" s="57" t="s">
        <v>3753</v>
      </c>
      <c r="BW29" s="57" t="s">
        <v>3476</v>
      </c>
      <c r="BX29" s="57">
        <v>280</v>
      </c>
      <c r="BY29" s="57" t="s">
        <v>3476</v>
      </c>
      <c r="BZ29" s="57" t="s">
        <v>3476</v>
      </c>
      <c r="CA29" s="57" t="s">
        <v>3476</v>
      </c>
      <c r="CB29" s="57" t="s">
        <v>3476</v>
      </c>
      <c r="CC29" s="57" t="s">
        <v>3476</v>
      </c>
      <c r="CD29" s="57" t="s">
        <v>3476</v>
      </c>
    </row>
    <row r="30" spans="1:82">
      <c r="A30" s="57">
        <v>1232</v>
      </c>
      <c r="B30" s="57" t="s">
        <v>3476</v>
      </c>
      <c r="C30" s="57" t="s">
        <v>3778</v>
      </c>
      <c r="D30" s="57" t="s">
        <v>3476</v>
      </c>
      <c r="E30" s="57" t="s">
        <v>3730</v>
      </c>
      <c r="F30" s="57" t="s">
        <v>3779</v>
      </c>
      <c r="G30" s="57" t="s">
        <v>721</v>
      </c>
      <c r="H30" s="57" t="s">
        <v>2874</v>
      </c>
      <c r="I30" s="57">
        <v>63536.29</v>
      </c>
      <c r="J30" s="57" t="s">
        <v>3476</v>
      </c>
      <c r="K30" s="57" t="s">
        <v>3476</v>
      </c>
      <c r="L30" s="57" t="s">
        <v>3732</v>
      </c>
      <c r="M30" s="57" t="s">
        <v>3780</v>
      </c>
      <c r="N30" s="57" t="s">
        <v>3780</v>
      </c>
      <c r="O30" s="57" t="s">
        <v>3476</v>
      </c>
      <c r="P30" s="57" t="s">
        <v>3476</v>
      </c>
      <c r="Q30" s="57" t="s">
        <v>2874</v>
      </c>
      <c r="R30" s="57" t="s">
        <v>3781</v>
      </c>
      <c r="S30" s="57" t="s">
        <v>3782</v>
      </c>
      <c r="T30" s="57" t="s">
        <v>3736</v>
      </c>
      <c r="U30" s="57" t="s">
        <v>3476</v>
      </c>
      <c r="V30" s="57" t="s">
        <v>3469</v>
      </c>
      <c r="W30" s="57" t="s">
        <v>3476</v>
      </c>
      <c r="X30" s="57" t="s">
        <v>3783</v>
      </c>
      <c r="Y30" s="57" t="s">
        <v>3738</v>
      </c>
      <c r="Z30" s="57" t="s">
        <v>3780</v>
      </c>
      <c r="AA30" s="57" t="s">
        <v>3757</v>
      </c>
      <c r="AB30" s="57" t="s">
        <v>3476</v>
      </c>
      <c r="AC30" s="57" t="s">
        <v>3741</v>
      </c>
      <c r="AD30" s="57" t="s">
        <v>3476</v>
      </c>
      <c r="AE30" s="57" t="s">
        <v>3476</v>
      </c>
      <c r="AF30" s="57" t="s">
        <v>3476</v>
      </c>
      <c r="AG30" s="57" t="s">
        <v>3476</v>
      </c>
      <c r="AH30" s="57" t="s">
        <v>3476</v>
      </c>
      <c r="AI30" s="57" t="s">
        <v>3476</v>
      </c>
      <c r="AJ30" s="57" t="s">
        <v>3476</v>
      </c>
      <c r="AK30" s="57" t="s">
        <v>1292</v>
      </c>
      <c r="AL30" s="57" t="s">
        <v>3784</v>
      </c>
      <c r="AM30" s="57" t="s">
        <v>3476</v>
      </c>
      <c r="AN30" s="57" t="s">
        <v>3785</v>
      </c>
      <c r="AO30" s="57" t="s">
        <v>3476</v>
      </c>
      <c r="AP30" s="58">
        <v>45826.7806828704</v>
      </c>
      <c r="AQ30" s="57" t="s">
        <v>3476</v>
      </c>
      <c r="AR30" s="57" t="s">
        <v>3744</v>
      </c>
      <c r="AS30" s="57" t="s">
        <v>3502</v>
      </c>
      <c r="AT30" s="57" t="s">
        <v>3745</v>
      </c>
      <c r="AU30" s="57" t="s">
        <v>3786</v>
      </c>
      <c r="AV30" s="57" t="s">
        <v>3476</v>
      </c>
      <c r="AW30" s="58">
        <v>45764.8716203704</v>
      </c>
      <c r="AX30" s="57" t="s">
        <v>3784</v>
      </c>
      <c r="AY30" s="57" t="s">
        <v>3747</v>
      </c>
      <c r="AZ30" s="57" t="s">
        <v>3476</v>
      </c>
      <c r="BA30" s="57" t="s">
        <v>3476</v>
      </c>
      <c r="BB30" s="57" t="s">
        <v>3476</v>
      </c>
      <c r="BC30" s="57" t="s">
        <v>3794</v>
      </c>
      <c r="BD30" s="57" t="s">
        <v>3659</v>
      </c>
      <c r="BE30" s="57" t="s">
        <v>3787</v>
      </c>
      <c r="BF30" s="57" t="s">
        <v>3749</v>
      </c>
      <c r="BG30" s="57" t="s">
        <v>3476</v>
      </c>
      <c r="BH30" s="57" t="s">
        <v>3476</v>
      </c>
      <c r="BI30" s="57" t="s">
        <v>2809</v>
      </c>
      <c r="BJ30" s="57" t="s">
        <v>3476</v>
      </c>
      <c r="BK30" s="57" t="s">
        <v>3476</v>
      </c>
      <c r="BL30" s="57">
        <v>3538790</v>
      </c>
      <c r="BM30" s="57" t="s">
        <v>3788</v>
      </c>
      <c r="BN30" s="57" t="s">
        <v>3476</v>
      </c>
      <c r="BO30" s="57">
        <v>97.84</v>
      </c>
      <c r="BP30" s="57" t="s">
        <v>3751</v>
      </c>
      <c r="BQ30" s="57" t="s">
        <v>3476</v>
      </c>
      <c r="BR30" s="57" t="s">
        <v>3789</v>
      </c>
      <c r="BS30" s="57" t="s">
        <v>1292</v>
      </c>
      <c r="BT30" s="57" t="s">
        <v>3476</v>
      </c>
      <c r="BU30" s="57" t="s">
        <v>3476</v>
      </c>
      <c r="BV30" s="57" t="s">
        <v>3753</v>
      </c>
      <c r="BW30" s="57" t="s">
        <v>3476</v>
      </c>
      <c r="BX30" s="57">
        <v>97.84</v>
      </c>
      <c r="BY30" s="57" t="s">
        <v>3476</v>
      </c>
      <c r="BZ30" s="57" t="s">
        <v>3476</v>
      </c>
      <c r="CA30" s="57" t="s">
        <v>3476</v>
      </c>
      <c r="CB30" s="57" t="s">
        <v>3476</v>
      </c>
      <c r="CC30" s="57" t="s">
        <v>3476</v>
      </c>
      <c r="CD30" s="57" t="s">
        <v>3476</v>
      </c>
    </row>
    <row r="31" spans="1:82">
      <c r="A31" s="57">
        <v>1233</v>
      </c>
      <c r="B31" s="57" t="s">
        <v>3476</v>
      </c>
      <c r="C31" s="57" t="s">
        <v>3778</v>
      </c>
      <c r="D31" s="57" t="s">
        <v>3476</v>
      </c>
      <c r="E31" s="57" t="s">
        <v>3730</v>
      </c>
      <c r="F31" s="57" t="s">
        <v>3779</v>
      </c>
      <c r="G31" s="57" t="s">
        <v>721</v>
      </c>
      <c r="H31" s="57" t="s">
        <v>2874</v>
      </c>
      <c r="I31" s="57">
        <v>63536.29</v>
      </c>
      <c r="J31" s="57" t="s">
        <v>3476</v>
      </c>
      <c r="K31" s="57" t="s">
        <v>3476</v>
      </c>
      <c r="L31" s="57" t="s">
        <v>3732</v>
      </c>
      <c r="M31" s="57" t="s">
        <v>3780</v>
      </c>
      <c r="N31" s="57" t="s">
        <v>3780</v>
      </c>
      <c r="O31" s="57" t="s">
        <v>3476</v>
      </c>
      <c r="P31" s="57" t="s">
        <v>3476</v>
      </c>
      <c r="Q31" s="57" t="s">
        <v>2874</v>
      </c>
      <c r="R31" s="57" t="s">
        <v>3781</v>
      </c>
      <c r="S31" s="57" t="s">
        <v>3782</v>
      </c>
      <c r="T31" s="57" t="s">
        <v>3736</v>
      </c>
      <c r="U31" s="57" t="s">
        <v>3476</v>
      </c>
      <c r="V31" s="57" t="s">
        <v>3469</v>
      </c>
      <c r="W31" s="57" t="s">
        <v>3476</v>
      </c>
      <c r="X31" s="57" t="s">
        <v>3783</v>
      </c>
      <c r="Y31" s="57" t="s">
        <v>3738</v>
      </c>
      <c r="Z31" s="57" t="s">
        <v>3780</v>
      </c>
      <c r="AA31" s="57" t="s">
        <v>3757</v>
      </c>
      <c r="AB31" s="57" t="s">
        <v>3476</v>
      </c>
      <c r="AC31" s="57" t="s">
        <v>3741</v>
      </c>
      <c r="AD31" s="57" t="s">
        <v>3476</v>
      </c>
      <c r="AE31" s="57" t="s">
        <v>3476</v>
      </c>
      <c r="AF31" s="57" t="s">
        <v>3476</v>
      </c>
      <c r="AG31" s="57" t="s">
        <v>3476</v>
      </c>
      <c r="AH31" s="57" t="s">
        <v>3476</v>
      </c>
      <c r="AI31" s="57" t="s">
        <v>3476</v>
      </c>
      <c r="AJ31" s="57" t="s">
        <v>3476</v>
      </c>
      <c r="AK31" s="57" t="s">
        <v>1292</v>
      </c>
      <c r="AL31" s="57" t="s">
        <v>3784</v>
      </c>
      <c r="AM31" s="57" t="s">
        <v>3476</v>
      </c>
      <c r="AN31" s="57" t="s">
        <v>3785</v>
      </c>
      <c r="AO31" s="57" t="s">
        <v>3476</v>
      </c>
      <c r="AP31" s="58">
        <v>45826.7806828704</v>
      </c>
      <c r="AQ31" s="57" t="s">
        <v>3476</v>
      </c>
      <c r="AR31" s="57" t="s">
        <v>3744</v>
      </c>
      <c r="AS31" s="57" t="s">
        <v>3502</v>
      </c>
      <c r="AT31" s="57" t="s">
        <v>3745</v>
      </c>
      <c r="AU31" s="57" t="s">
        <v>3786</v>
      </c>
      <c r="AV31" s="57" t="s">
        <v>3476</v>
      </c>
      <c r="AW31" s="58">
        <v>45764.8716203704</v>
      </c>
      <c r="AX31" s="57" t="s">
        <v>3784</v>
      </c>
      <c r="AY31" s="57" t="s">
        <v>3747</v>
      </c>
      <c r="AZ31" s="57" t="s">
        <v>3476</v>
      </c>
      <c r="BA31" s="57" t="s">
        <v>3476</v>
      </c>
      <c r="BB31" s="57" t="s">
        <v>3476</v>
      </c>
      <c r="BC31" s="57" t="s">
        <v>1787</v>
      </c>
      <c r="BD31" s="57" t="s">
        <v>3659</v>
      </c>
      <c r="BE31" s="57" t="s">
        <v>3787</v>
      </c>
      <c r="BF31" s="57" t="s">
        <v>3749</v>
      </c>
      <c r="BG31" s="57" t="s">
        <v>3476</v>
      </c>
      <c r="BH31" s="57" t="s">
        <v>3476</v>
      </c>
      <c r="BI31" s="57" t="s">
        <v>2809</v>
      </c>
      <c r="BJ31" s="57" t="s">
        <v>3476</v>
      </c>
      <c r="BK31" s="57" t="s">
        <v>3476</v>
      </c>
      <c r="BL31" s="57">
        <v>3538793</v>
      </c>
      <c r="BM31" s="57" t="s">
        <v>3788</v>
      </c>
      <c r="BN31" s="57" t="s">
        <v>3476</v>
      </c>
      <c r="BO31" s="57">
        <v>408.9</v>
      </c>
      <c r="BP31" s="57" t="s">
        <v>3751</v>
      </c>
      <c r="BQ31" s="57" t="s">
        <v>3476</v>
      </c>
      <c r="BR31" s="57" t="s">
        <v>3789</v>
      </c>
      <c r="BS31" s="57" t="s">
        <v>1292</v>
      </c>
      <c r="BT31" s="57" t="s">
        <v>3476</v>
      </c>
      <c r="BU31" s="57" t="s">
        <v>3476</v>
      </c>
      <c r="BV31" s="57" t="s">
        <v>3753</v>
      </c>
      <c r="BW31" s="57" t="s">
        <v>3476</v>
      </c>
      <c r="BX31" s="57">
        <v>408.9</v>
      </c>
      <c r="BY31" s="57" t="s">
        <v>3476</v>
      </c>
      <c r="BZ31" s="57" t="s">
        <v>3476</v>
      </c>
      <c r="CA31" s="57" t="s">
        <v>3476</v>
      </c>
      <c r="CB31" s="57" t="s">
        <v>3476</v>
      </c>
      <c r="CC31" s="57" t="s">
        <v>3476</v>
      </c>
      <c r="CD31" s="57" t="s">
        <v>3476</v>
      </c>
    </row>
    <row r="32" spans="1:82">
      <c r="A32" s="57">
        <v>1234</v>
      </c>
      <c r="B32" s="57" t="s">
        <v>3476</v>
      </c>
      <c r="C32" s="57" t="s">
        <v>3778</v>
      </c>
      <c r="D32" s="57" t="s">
        <v>3476</v>
      </c>
      <c r="E32" s="57" t="s">
        <v>3730</v>
      </c>
      <c r="F32" s="57" t="s">
        <v>3779</v>
      </c>
      <c r="G32" s="57" t="s">
        <v>721</v>
      </c>
      <c r="H32" s="57" t="s">
        <v>2874</v>
      </c>
      <c r="I32" s="57">
        <v>63536.29</v>
      </c>
      <c r="J32" s="57" t="s">
        <v>3476</v>
      </c>
      <c r="K32" s="57" t="s">
        <v>3476</v>
      </c>
      <c r="L32" s="57" t="s">
        <v>3732</v>
      </c>
      <c r="M32" s="57" t="s">
        <v>3780</v>
      </c>
      <c r="N32" s="57" t="s">
        <v>3780</v>
      </c>
      <c r="O32" s="57" t="s">
        <v>3476</v>
      </c>
      <c r="P32" s="57" t="s">
        <v>3476</v>
      </c>
      <c r="Q32" s="57" t="s">
        <v>2874</v>
      </c>
      <c r="R32" s="57" t="s">
        <v>3781</v>
      </c>
      <c r="S32" s="57" t="s">
        <v>3782</v>
      </c>
      <c r="T32" s="57" t="s">
        <v>3736</v>
      </c>
      <c r="U32" s="57" t="s">
        <v>3476</v>
      </c>
      <c r="V32" s="57" t="s">
        <v>3469</v>
      </c>
      <c r="W32" s="57" t="s">
        <v>3476</v>
      </c>
      <c r="X32" s="57" t="s">
        <v>3783</v>
      </c>
      <c r="Y32" s="57" t="s">
        <v>3738</v>
      </c>
      <c r="Z32" s="57" t="s">
        <v>3780</v>
      </c>
      <c r="AA32" s="57" t="s">
        <v>3757</v>
      </c>
      <c r="AB32" s="57" t="s">
        <v>3476</v>
      </c>
      <c r="AC32" s="57" t="s">
        <v>3741</v>
      </c>
      <c r="AD32" s="57" t="s">
        <v>3476</v>
      </c>
      <c r="AE32" s="57" t="s">
        <v>3476</v>
      </c>
      <c r="AF32" s="57" t="s">
        <v>3476</v>
      </c>
      <c r="AG32" s="57" t="s">
        <v>3476</v>
      </c>
      <c r="AH32" s="57" t="s">
        <v>3476</v>
      </c>
      <c r="AI32" s="57" t="s">
        <v>3476</v>
      </c>
      <c r="AJ32" s="57" t="s">
        <v>3476</v>
      </c>
      <c r="AK32" s="57" t="s">
        <v>1292</v>
      </c>
      <c r="AL32" s="57" t="s">
        <v>3784</v>
      </c>
      <c r="AM32" s="57" t="s">
        <v>3476</v>
      </c>
      <c r="AN32" s="57" t="s">
        <v>3785</v>
      </c>
      <c r="AO32" s="57" t="s">
        <v>3476</v>
      </c>
      <c r="AP32" s="58">
        <v>45826.7806828704</v>
      </c>
      <c r="AQ32" s="57" t="s">
        <v>3476</v>
      </c>
      <c r="AR32" s="57" t="s">
        <v>3744</v>
      </c>
      <c r="AS32" s="57" t="s">
        <v>3502</v>
      </c>
      <c r="AT32" s="57" t="s">
        <v>3745</v>
      </c>
      <c r="AU32" s="57" t="s">
        <v>3786</v>
      </c>
      <c r="AV32" s="57" t="s">
        <v>3476</v>
      </c>
      <c r="AW32" s="58">
        <v>45764.8716203704</v>
      </c>
      <c r="AX32" s="57" t="s">
        <v>3784</v>
      </c>
      <c r="AY32" s="57" t="s">
        <v>3747</v>
      </c>
      <c r="AZ32" s="57" t="s">
        <v>3476</v>
      </c>
      <c r="BA32" s="57" t="s">
        <v>3476</v>
      </c>
      <c r="BB32" s="57" t="s">
        <v>3476</v>
      </c>
      <c r="BC32" s="57" t="s">
        <v>1787</v>
      </c>
      <c r="BD32" s="57" t="s">
        <v>3659</v>
      </c>
      <c r="BE32" s="57" t="s">
        <v>3787</v>
      </c>
      <c r="BF32" s="57" t="s">
        <v>3749</v>
      </c>
      <c r="BG32" s="57" t="s">
        <v>3476</v>
      </c>
      <c r="BH32" s="57" t="s">
        <v>3476</v>
      </c>
      <c r="BI32" s="57" t="s">
        <v>2809</v>
      </c>
      <c r="BJ32" s="57" t="s">
        <v>3476</v>
      </c>
      <c r="BK32" s="57" t="s">
        <v>3476</v>
      </c>
      <c r="BL32" s="57">
        <v>3538792</v>
      </c>
      <c r="BM32" s="57" t="s">
        <v>3788</v>
      </c>
      <c r="BN32" s="57" t="s">
        <v>3476</v>
      </c>
      <c r="BO32" s="57">
        <v>540</v>
      </c>
      <c r="BP32" s="57" t="s">
        <v>3751</v>
      </c>
      <c r="BQ32" s="57" t="s">
        <v>3476</v>
      </c>
      <c r="BR32" s="57" t="s">
        <v>3789</v>
      </c>
      <c r="BS32" s="57" t="s">
        <v>1292</v>
      </c>
      <c r="BT32" s="57" t="s">
        <v>3476</v>
      </c>
      <c r="BU32" s="57" t="s">
        <v>3476</v>
      </c>
      <c r="BV32" s="57" t="s">
        <v>3753</v>
      </c>
      <c r="BW32" s="57" t="s">
        <v>3476</v>
      </c>
      <c r="BX32" s="57">
        <v>540</v>
      </c>
      <c r="BY32" s="57" t="s">
        <v>3476</v>
      </c>
      <c r="BZ32" s="57" t="s">
        <v>3476</v>
      </c>
      <c r="CA32" s="57" t="s">
        <v>3476</v>
      </c>
      <c r="CB32" s="57" t="s">
        <v>3476</v>
      </c>
      <c r="CC32" s="57" t="s">
        <v>3476</v>
      </c>
      <c r="CD32" s="57" t="s">
        <v>3476</v>
      </c>
    </row>
    <row r="33" spans="1:82">
      <c r="A33" s="57">
        <v>1235</v>
      </c>
      <c r="B33" s="57" t="s">
        <v>3476</v>
      </c>
      <c r="C33" s="57" t="s">
        <v>3778</v>
      </c>
      <c r="D33" s="57" t="s">
        <v>3476</v>
      </c>
      <c r="E33" s="57" t="s">
        <v>3730</v>
      </c>
      <c r="F33" s="57" t="s">
        <v>3779</v>
      </c>
      <c r="G33" s="57" t="s">
        <v>721</v>
      </c>
      <c r="H33" s="57" t="s">
        <v>2874</v>
      </c>
      <c r="I33" s="57">
        <v>63536.29</v>
      </c>
      <c r="J33" s="57" t="s">
        <v>3476</v>
      </c>
      <c r="K33" s="57" t="s">
        <v>3476</v>
      </c>
      <c r="L33" s="57" t="s">
        <v>3732</v>
      </c>
      <c r="M33" s="57" t="s">
        <v>3780</v>
      </c>
      <c r="N33" s="57" t="s">
        <v>3780</v>
      </c>
      <c r="O33" s="57" t="s">
        <v>3476</v>
      </c>
      <c r="P33" s="57" t="s">
        <v>3476</v>
      </c>
      <c r="Q33" s="57" t="s">
        <v>2874</v>
      </c>
      <c r="R33" s="57" t="s">
        <v>3781</v>
      </c>
      <c r="S33" s="57" t="s">
        <v>3782</v>
      </c>
      <c r="T33" s="57" t="s">
        <v>3736</v>
      </c>
      <c r="U33" s="57" t="s">
        <v>3476</v>
      </c>
      <c r="V33" s="57" t="s">
        <v>3469</v>
      </c>
      <c r="W33" s="57" t="s">
        <v>3476</v>
      </c>
      <c r="X33" s="57" t="s">
        <v>3783</v>
      </c>
      <c r="Y33" s="57" t="s">
        <v>3738</v>
      </c>
      <c r="Z33" s="57" t="s">
        <v>3780</v>
      </c>
      <c r="AA33" s="57" t="s">
        <v>3757</v>
      </c>
      <c r="AB33" s="57" t="s">
        <v>3476</v>
      </c>
      <c r="AC33" s="57" t="s">
        <v>3741</v>
      </c>
      <c r="AD33" s="57" t="s">
        <v>3476</v>
      </c>
      <c r="AE33" s="57" t="s">
        <v>3476</v>
      </c>
      <c r="AF33" s="57" t="s">
        <v>3476</v>
      </c>
      <c r="AG33" s="57" t="s">
        <v>3476</v>
      </c>
      <c r="AH33" s="57" t="s">
        <v>3476</v>
      </c>
      <c r="AI33" s="57" t="s">
        <v>3476</v>
      </c>
      <c r="AJ33" s="57" t="s">
        <v>3476</v>
      </c>
      <c r="AK33" s="57" t="s">
        <v>1292</v>
      </c>
      <c r="AL33" s="57" t="s">
        <v>3784</v>
      </c>
      <c r="AM33" s="57" t="s">
        <v>3476</v>
      </c>
      <c r="AN33" s="57" t="s">
        <v>3785</v>
      </c>
      <c r="AO33" s="57" t="s">
        <v>3476</v>
      </c>
      <c r="AP33" s="58">
        <v>45826.7806828704</v>
      </c>
      <c r="AQ33" s="57" t="s">
        <v>3476</v>
      </c>
      <c r="AR33" s="57" t="s">
        <v>3744</v>
      </c>
      <c r="AS33" s="57" t="s">
        <v>3502</v>
      </c>
      <c r="AT33" s="57" t="s">
        <v>3745</v>
      </c>
      <c r="AU33" s="57" t="s">
        <v>3786</v>
      </c>
      <c r="AV33" s="57" t="s">
        <v>3476</v>
      </c>
      <c r="AW33" s="58">
        <v>45764.8716203704</v>
      </c>
      <c r="AX33" s="57" t="s">
        <v>3784</v>
      </c>
      <c r="AY33" s="57" t="s">
        <v>3747</v>
      </c>
      <c r="AZ33" s="57" t="s">
        <v>3476</v>
      </c>
      <c r="BA33" s="57" t="s">
        <v>3476</v>
      </c>
      <c r="BB33" s="57" t="s">
        <v>3476</v>
      </c>
      <c r="BC33" s="57" t="s">
        <v>3791</v>
      </c>
      <c r="BD33" s="57" t="s">
        <v>3659</v>
      </c>
      <c r="BE33" s="57" t="s">
        <v>3787</v>
      </c>
      <c r="BF33" s="57" t="s">
        <v>3749</v>
      </c>
      <c r="BG33" s="57" t="s">
        <v>3476</v>
      </c>
      <c r="BH33" s="57" t="s">
        <v>3476</v>
      </c>
      <c r="BI33" s="57" t="s">
        <v>2809</v>
      </c>
      <c r="BJ33" s="57" t="s">
        <v>3476</v>
      </c>
      <c r="BK33" s="57" t="s">
        <v>3476</v>
      </c>
      <c r="BL33" s="57">
        <v>3538795</v>
      </c>
      <c r="BM33" s="57" t="s">
        <v>3788</v>
      </c>
      <c r="BN33" s="57" t="s">
        <v>3476</v>
      </c>
      <c r="BO33" s="57">
        <v>3.4</v>
      </c>
      <c r="BP33" s="57" t="s">
        <v>3751</v>
      </c>
      <c r="BQ33" s="57" t="s">
        <v>3476</v>
      </c>
      <c r="BR33" s="57" t="s">
        <v>3789</v>
      </c>
      <c r="BS33" s="57" t="s">
        <v>1292</v>
      </c>
      <c r="BT33" s="57" t="s">
        <v>3476</v>
      </c>
      <c r="BU33" s="57" t="s">
        <v>3476</v>
      </c>
      <c r="BV33" s="57" t="s">
        <v>3753</v>
      </c>
      <c r="BW33" s="57" t="s">
        <v>3476</v>
      </c>
      <c r="BX33" s="57">
        <v>3.4</v>
      </c>
      <c r="BY33" s="57" t="s">
        <v>3476</v>
      </c>
      <c r="BZ33" s="57" t="s">
        <v>3476</v>
      </c>
      <c r="CA33" s="57" t="s">
        <v>3476</v>
      </c>
      <c r="CB33" s="57" t="s">
        <v>3476</v>
      </c>
      <c r="CC33" s="57" t="s">
        <v>3476</v>
      </c>
      <c r="CD33" s="57" t="s">
        <v>3476</v>
      </c>
    </row>
    <row r="34" spans="1:82">
      <c r="A34" s="57">
        <v>1236</v>
      </c>
      <c r="B34" s="57" t="s">
        <v>3476</v>
      </c>
      <c r="C34" s="57" t="s">
        <v>3778</v>
      </c>
      <c r="D34" s="57" t="s">
        <v>3476</v>
      </c>
      <c r="E34" s="57" t="s">
        <v>3730</v>
      </c>
      <c r="F34" s="57" t="s">
        <v>3779</v>
      </c>
      <c r="G34" s="57" t="s">
        <v>721</v>
      </c>
      <c r="H34" s="57" t="s">
        <v>2874</v>
      </c>
      <c r="I34" s="57">
        <v>63536.29</v>
      </c>
      <c r="J34" s="57" t="s">
        <v>3476</v>
      </c>
      <c r="K34" s="57" t="s">
        <v>3476</v>
      </c>
      <c r="L34" s="57" t="s">
        <v>3732</v>
      </c>
      <c r="M34" s="57" t="s">
        <v>3780</v>
      </c>
      <c r="N34" s="57" t="s">
        <v>3780</v>
      </c>
      <c r="O34" s="57" t="s">
        <v>3476</v>
      </c>
      <c r="P34" s="57" t="s">
        <v>3476</v>
      </c>
      <c r="Q34" s="57" t="s">
        <v>2874</v>
      </c>
      <c r="R34" s="57" t="s">
        <v>3781</v>
      </c>
      <c r="S34" s="57" t="s">
        <v>3782</v>
      </c>
      <c r="T34" s="57" t="s">
        <v>3736</v>
      </c>
      <c r="U34" s="57" t="s">
        <v>3476</v>
      </c>
      <c r="V34" s="57" t="s">
        <v>3469</v>
      </c>
      <c r="W34" s="57" t="s">
        <v>3476</v>
      </c>
      <c r="X34" s="57" t="s">
        <v>3783</v>
      </c>
      <c r="Y34" s="57" t="s">
        <v>3738</v>
      </c>
      <c r="Z34" s="57" t="s">
        <v>3780</v>
      </c>
      <c r="AA34" s="57" t="s">
        <v>3757</v>
      </c>
      <c r="AB34" s="57" t="s">
        <v>3476</v>
      </c>
      <c r="AC34" s="57" t="s">
        <v>3741</v>
      </c>
      <c r="AD34" s="57" t="s">
        <v>3476</v>
      </c>
      <c r="AE34" s="57" t="s">
        <v>3476</v>
      </c>
      <c r="AF34" s="57" t="s">
        <v>3476</v>
      </c>
      <c r="AG34" s="57" t="s">
        <v>3476</v>
      </c>
      <c r="AH34" s="57" t="s">
        <v>3476</v>
      </c>
      <c r="AI34" s="57" t="s">
        <v>3476</v>
      </c>
      <c r="AJ34" s="57" t="s">
        <v>3476</v>
      </c>
      <c r="AK34" s="57" t="s">
        <v>1292</v>
      </c>
      <c r="AL34" s="57" t="s">
        <v>3784</v>
      </c>
      <c r="AM34" s="57" t="s">
        <v>3476</v>
      </c>
      <c r="AN34" s="57" t="s">
        <v>3785</v>
      </c>
      <c r="AO34" s="57" t="s">
        <v>3476</v>
      </c>
      <c r="AP34" s="58">
        <v>45826.7806828704</v>
      </c>
      <c r="AQ34" s="57" t="s">
        <v>3476</v>
      </c>
      <c r="AR34" s="57" t="s">
        <v>3744</v>
      </c>
      <c r="AS34" s="57" t="s">
        <v>3502</v>
      </c>
      <c r="AT34" s="57" t="s">
        <v>3745</v>
      </c>
      <c r="AU34" s="57" t="s">
        <v>3786</v>
      </c>
      <c r="AV34" s="57" t="s">
        <v>3476</v>
      </c>
      <c r="AW34" s="58">
        <v>45764.8716203704</v>
      </c>
      <c r="AX34" s="57" t="s">
        <v>3784</v>
      </c>
      <c r="AY34" s="57" t="s">
        <v>3747</v>
      </c>
      <c r="AZ34" s="57" t="s">
        <v>3476</v>
      </c>
      <c r="BA34" s="57" t="s">
        <v>3476</v>
      </c>
      <c r="BB34" s="57" t="s">
        <v>3476</v>
      </c>
      <c r="BC34" s="57" t="s">
        <v>3791</v>
      </c>
      <c r="BD34" s="57" t="s">
        <v>3659</v>
      </c>
      <c r="BE34" s="57" t="s">
        <v>3787</v>
      </c>
      <c r="BF34" s="57" t="s">
        <v>3749</v>
      </c>
      <c r="BG34" s="57" t="s">
        <v>3476</v>
      </c>
      <c r="BH34" s="57" t="s">
        <v>3476</v>
      </c>
      <c r="BI34" s="57" t="s">
        <v>2809</v>
      </c>
      <c r="BJ34" s="57" t="s">
        <v>3476</v>
      </c>
      <c r="BK34" s="57" t="s">
        <v>3476</v>
      </c>
      <c r="BL34" s="57">
        <v>3538794</v>
      </c>
      <c r="BM34" s="57" t="s">
        <v>3788</v>
      </c>
      <c r="BN34" s="57" t="s">
        <v>3476</v>
      </c>
      <c r="BO34" s="57">
        <v>23</v>
      </c>
      <c r="BP34" s="57" t="s">
        <v>3751</v>
      </c>
      <c r="BQ34" s="57" t="s">
        <v>3476</v>
      </c>
      <c r="BR34" s="57" t="s">
        <v>3789</v>
      </c>
      <c r="BS34" s="57" t="s">
        <v>1292</v>
      </c>
      <c r="BT34" s="57" t="s">
        <v>3476</v>
      </c>
      <c r="BU34" s="57" t="s">
        <v>3476</v>
      </c>
      <c r="BV34" s="57" t="s">
        <v>3753</v>
      </c>
      <c r="BW34" s="57" t="s">
        <v>3476</v>
      </c>
      <c r="BX34" s="57">
        <v>23</v>
      </c>
      <c r="BY34" s="57" t="s">
        <v>3476</v>
      </c>
      <c r="BZ34" s="57" t="s">
        <v>3476</v>
      </c>
      <c r="CA34" s="57" t="s">
        <v>3476</v>
      </c>
      <c r="CB34" s="57" t="s">
        <v>3476</v>
      </c>
      <c r="CC34" s="57" t="s">
        <v>3476</v>
      </c>
      <c r="CD34" s="57" t="s">
        <v>3476</v>
      </c>
    </row>
    <row r="35" spans="1:82">
      <c r="A35" s="57">
        <v>1237</v>
      </c>
      <c r="B35" s="57" t="s">
        <v>3476</v>
      </c>
      <c r="C35" s="57" t="s">
        <v>3778</v>
      </c>
      <c r="D35" s="57" t="s">
        <v>3476</v>
      </c>
      <c r="E35" s="57" t="s">
        <v>3730</v>
      </c>
      <c r="F35" s="57" t="s">
        <v>3779</v>
      </c>
      <c r="G35" s="57" t="s">
        <v>721</v>
      </c>
      <c r="H35" s="57" t="s">
        <v>2874</v>
      </c>
      <c r="I35" s="57">
        <v>63536.29</v>
      </c>
      <c r="J35" s="57" t="s">
        <v>3476</v>
      </c>
      <c r="K35" s="57" t="s">
        <v>3476</v>
      </c>
      <c r="L35" s="57" t="s">
        <v>3732</v>
      </c>
      <c r="M35" s="57" t="s">
        <v>3780</v>
      </c>
      <c r="N35" s="57" t="s">
        <v>3780</v>
      </c>
      <c r="O35" s="57" t="s">
        <v>3476</v>
      </c>
      <c r="P35" s="57" t="s">
        <v>3476</v>
      </c>
      <c r="Q35" s="57" t="s">
        <v>2874</v>
      </c>
      <c r="R35" s="57" t="s">
        <v>3781</v>
      </c>
      <c r="S35" s="57" t="s">
        <v>3782</v>
      </c>
      <c r="T35" s="57" t="s">
        <v>3736</v>
      </c>
      <c r="U35" s="57" t="s">
        <v>3476</v>
      </c>
      <c r="V35" s="57" t="s">
        <v>3469</v>
      </c>
      <c r="W35" s="57" t="s">
        <v>3476</v>
      </c>
      <c r="X35" s="57" t="s">
        <v>3783</v>
      </c>
      <c r="Y35" s="57" t="s">
        <v>3738</v>
      </c>
      <c r="Z35" s="57" t="s">
        <v>3780</v>
      </c>
      <c r="AA35" s="57" t="s">
        <v>3757</v>
      </c>
      <c r="AB35" s="57" t="s">
        <v>3476</v>
      </c>
      <c r="AC35" s="57" t="s">
        <v>3741</v>
      </c>
      <c r="AD35" s="57" t="s">
        <v>3476</v>
      </c>
      <c r="AE35" s="57" t="s">
        <v>3476</v>
      </c>
      <c r="AF35" s="57" t="s">
        <v>3476</v>
      </c>
      <c r="AG35" s="57" t="s">
        <v>3476</v>
      </c>
      <c r="AH35" s="57" t="s">
        <v>3476</v>
      </c>
      <c r="AI35" s="57" t="s">
        <v>3476</v>
      </c>
      <c r="AJ35" s="57" t="s">
        <v>3476</v>
      </c>
      <c r="AK35" s="57" t="s">
        <v>1292</v>
      </c>
      <c r="AL35" s="57" t="s">
        <v>3784</v>
      </c>
      <c r="AM35" s="57" t="s">
        <v>3476</v>
      </c>
      <c r="AN35" s="57" t="s">
        <v>3785</v>
      </c>
      <c r="AO35" s="57" t="s">
        <v>3476</v>
      </c>
      <c r="AP35" s="58">
        <v>45826.7806828704</v>
      </c>
      <c r="AQ35" s="57" t="s">
        <v>3476</v>
      </c>
      <c r="AR35" s="57" t="s">
        <v>3744</v>
      </c>
      <c r="AS35" s="57" t="s">
        <v>3502</v>
      </c>
      <c r="AT35" s="57" t="s">
        <v>3745</v>
      </c>
      <c r="AU35" s="57" t="s">
        <v>3786</v>
      </c>
      <c r="AV35" s="57" t="s">
        <v>3476</v>
      </c>
      <c r="AW35" s="58">
        <v>45764.8716203704</v>
      </c>
      <c r="AX35" s="57" t="s">
        <v>3784</v>
      </c>
      <c r="AY35" s="57" t="s">
        <v>3747</v>
      </c>
      <c r="AZ35" s="57" t="s">
        <v>3476</v>
      </c>
      <c r="BA35" s="57" t="s">
        <v>3476</v>
      </c>
      <c r="BB35" s="57" t="s">
        <v>3476</v>
      </c>
      <c r="BC35" s="57" t="s">
        <v>1787</v>
      </c>
      <c r="BD35" s="57" t="s">
        <v>3659</v>
      </c>
      <c r="BE35" s="57" t="s">
        <v>3787</v>
      </c>
      <c r="BF35" s="57" t="s">
        <v>3749</v>
      </c>
      <c r="BG35" s="57" t="s">
        <v>3476</v>
      </c>
      <c r="BH35" s="57" t="s">
        <v>3476</v>
      </c>
      <c r="BI35" s="57" t="s">
        <v>2809</v>
      </c>
      <c r="BJ35" s="57" t="s">
        <v>3476</v>
      </c>
      <c r="BK35" s="57" t="s">
        <v>3476</v>
      </c>
      <c r="BL35" s="57">
        <v>3538797</v>
      </c>
      <c r="BM35" s="57" t="s">
        <v>3788</v>
      </c>
      <c r="BN35" s="57" t="s">
        <v>3476</v>
      </c>
      <c r="BO35" s="57">
        <v>275.2</v>
      </c>
      <c r="BP35" s="57" t="s">
        <v>3751</v>
      </c>
      <c r="BQ35" s="57" t="s">
        <v>3476</v>
      </c>
      <c r="BR35" s="57" t="s">
        <v>3789</v>
      </c>
      <c r="BS35" s="57" t="s">
        <v>1292</v>
      </c>
      <c r="BT35" s="57" t="s">
        <v>3476</v>
      </c>
      <c r="BU35" s="57" t="s">
        <v>3476</v>
      </c>
      <c r="BV35" s="57" t="s">
        <v>3753</v>
      </c>
      <c r="BW35" s="57" t="s">
        <v>3476</v>
      </c>
      <c r="BX35" s="57">
        <v>275.2</v>
      </c>
      <c r="BY35" s="57" t="s">
        <v>3476</v>
      </c>
      <c r="BZ35" s="57" t="s">
        <v>3476</v>
      </c>
      <c r="CA35" s="57" t="s">
        <v>3476</v>
      </c>
      <c r="CB35" s="57" t="s">
        <v>3476</v>
      </c>
      <c r="CC35" s="57" t="s">
        <v>3476</v>
      </c>
      <c r="CD35" s="57" t="s">
        <v>3476</v>
      </c>
    </row>
    <row r="36" spans="1:82">
      <c r="A36" s="57">
        <v>1238</v>
      </c>
      <c r="B36" s="57" t="s">
        <v>3476</v>
      </c>
      <c r="C36" s="57" t="s">
        <v>3778</v>
      </c>
      <c r="D36" s="57" t="s">
        <v>3476</v>
      </c>
      <c r="E36" s="57" t="s">
        <v>3730</v>
      </c>
      <c r="F36" s="57" t="s">
        <v>3779</v>
      </c>
      <c r="G36" s="57" t="s">
        <v>721</v>
      </c>
      <c r="H36" s="57" t="s">
        <v>2874</v>
      </c>
      <c r="I36" s="57">
        <v>63536.29</v>
      </c>
      <c r="J36" s="57" t="s">
        <v>3476</v>
      </c>
      <c r="K36" s="57" t="s">
        <v>3476</v>
      </c>
      <c r="L36" s="57" t="s">
        <v>3732</v>
      </c>
      <c r="M36" s="57" t="s">
        <v>3780</v>
      </c>
      <c r="N36" s="57" t="s">
        <v>3780</v>
      </c>
      <c r="O36" s="57" t="s">
        <v>3476</v>
      </c>
      <c r="P36" s="57" t="s">
        <v>3476</v>
      </c>
      <c r="Q36" s="57" t="s">
        <v>2874</v>
      </c>
      <c r="R36" s="57" t="s">
        <v>3781</v>
      </c>
      <c r="S36" s="57" t="s">
        <v>3782</v>
      </c>
      <c r="T36" s="57" t="s">
        <v>3736</v>
      </c>
      <c r="U36" s="57" t="s">
        <v>3476</v>
      </c>
      <c r="V36" s="57" t="s">
        <v>3469</v>
      </c>
      <c r="W36" s="57" t="s">
        <v>3476</v>
      </c>
      <c r="X36" s="57" t="s">
        <v>3783</v>
      </c>
      <c r="Y36" s="57" t="s">
        <v>3738</v>
      </c>
      <c r="Z36" s="57" t="s">
        <v>3780</v>
      </c>
      <c r="AA36" s="57" t="s">
        <v>3757</v>
      </c>
      <c r="AB36" s="57" t="s">
        <v>3476</v>
      </c>
      <c r="AC36" s="57" t="s">
        <v>3741</v>
      </c>
      <c r="AD36" s="57" t="s">
        <v>3476</v>
      </c>
      <c r="AE36" s="57" t="s">
        <v>3476</v>
      </c>
      <c r="AF36" s="57" t="s">
        <v>3476</v>
      </c>
      <c r="AG36" s="57" t="s">
        <v>3476</v>
      </c>
      <c r="AH36" s="57" t="s">
        <v>3476</v>
      </c>
      <c r="AI36" s="57" t="s">
        <v>3476</v>
      </c>
      <c r="AJ36" s="57" t="s">
        <v>3476</v>
      </c>
      <c r="AK36" s="57" t="s">
        <v>1292</v>
      </c>
      <c r="AL36" s="57" t="s">
        <v>3784</v>
      </c>
      <c r="AM36" s="57" t="s">
        <v>3476</v>
      </c>
      <c r="AN36" s="57" t="s">
        <v>3785</v>
      </c>
      <c r="AO36" s="57" t="s">
        <v>3476</v>
      </c>
      <c r="AP36" s="58">
        <v>45826.7806828704</v>
      </c>
      <c r="AQ36" s="57" t="s">
        <v>3476</v>
      </c>
      <c r="AR36" s="57" t="s">
        <v>3744</v>
      </c>
      <c r="AS36" s="57" t="s">
        <v>3502</v>
      </c>
      <c r="AT36" s="57" t="s">
        <v>3745</v>
      </c>
      <c r="AU36" s="57" t="s">
        <v>3786</v>
      </c>
      <c r="AV36" s="57" t="s">
        <v>3476</v>
      </c>
      <c r="AW36" s="58">
        <v>45764.8716203704</v>
      </c>
      <c r="AX36" s="57" t="s">
        <v>3784</v>
      </c>
      <c r="AY36" s="57" t="s">
        <v>3747</v>
      </c>
      <c r="AZ36" s="57" t="s">
        <v>3476</v>
      </c>
      <c r="BA36" s="57" t="s">
        <v>3476</v>
      </c>
      <c r="BB36" s="57" t="s">
        <v>3476</v>
      </c>
      <c r="BC36" s="57" t="s">
        <v>1787</v>
      </c>
      <c r="BD36" s="57" t="s">
        <v>3659</v>
      </c>
      <c r="BE36" s="57" t="s">
        <v>3787</v>
      </c>
      <c r="BF36" s="57" t="s">
        <v>3749</v>
      </c>
      <c r="BG36" s="57" t="s">
        <v>3476</v>
      </c>
      <c r="BH36" s="57" t="s">
        <v>3476</v>
      </c>
      <c r="BI36" s="57" t="s">
        <v>2809</v>
      </c>
      <c r="BJ36" s="57" t="s">
        <v>3476</v>
      </c>
      <c r="BK36" s="57" t="s">
        <v>3476</v>
      </c>
      <c r="BL36" s="57">
        <v>3538796</v>
      </c>
      <c r="BM36" s="57" t="s">
        <v>3788</v>
      </c>
      <c r="BN36" s="57" t="s">
        <v>3476</v>
      </c>
      <c r="BO36" s="57">
        <v>12</v>
      </c>
      <c r="BP36" s="57" t="s">
        <v>3751</v>
      </c>
      <c r="BQ36" s="57" t="s">
        <v>3476</v>
      </c>
      <c r="BR36" s="57" t="s">
        <v>3789</v>
      </c>
      <c r="BS36" s="57" t="s">
        <v>1292</v>
      </c>
      <c r="BT36" s="57" t="s">
        <v>3476</v>
      </c>
      <c r="BU36" s="57" t="s">
        <v>3476</v>
      </c>
      <c r="BV36" s="57" t="s">
        <v>3753</v>
      </c>
      <c r="BW36" s="57" t="s">
        <v>3476</v>
      </c>
      <c r="BX36" s="57">
        <v>12</v>
      </c>
      <c r="BY36" s="57" t="s">
        <v>3476</v>
      </c>
      <c r="BZ36" s="57" t="s">
        <v>3476</v>
      </c>
      <c r="CA36" s="57" t="s">
        <v>3476</v>
      </c>
      <c r="CB36" s="57" t="s">
        <v>3476</v>
      </c>
      <c r="CC36" s="57" t="s">
        <v>3476</v>
      </c>
      <c r="CD36" s="57" t="s">
        <v>3476</v>
      </c>
    </row>
    <row r="37" spans="1:82">
      <c r="A37" s="57">
        <v>1239</v>
      </c>
      <c r="B37" s="57" t="s">
        <v>3476</v>
      </c>
      <c r="C37" s="57" t="s">
        <v>3778</v>
      </c>
      <c r="D37" s="57" t="s">
        <v>3476</v>
      </c>
      <c r="E37" s="57" t="s">
        <v>3730</v>
      </c>
      <c r="F37" s="57" t="s">
        <v>3779</v>
      </c>
      <c r="G37" s="57" t="s">
        <v>721</v>
      </c>
      <c r="H37" s="57" t="s">
        <v>2874</v>
      </c>
      <c r="I37" s="57">
        <v>63536.29</v>
      </c>
      <c r="J37" s="57" t="s">
        <v>3476</v>
      </c>
      <c r="K37" s="57" t="s">
        <v>3476</v>
      </c>
      <c r="L37" s="57" t="s">
        <v>3732</v>
      </c>
      <c r="M37" s="57" t="s">
        <v>3780</v>
      </c>
      <c r="N37" s="57" t="s">
        <v>3780</v>
      </c>
      <c r="O37" s="57" t="s">
        <v>3476</v>
      </c>
      <c r="P37" s="57" t="s">
        <v>3476</v>
      </c>
      <c r="Q37" s="57" t="s">
        <v>2874</v>
      </c>
      <c r="R37" s="57" t="s">
        <v>3781</v>
      </c>
      <c r="S37" s="57" t="s">
        <v>3782</v>
      </c>
      <c r="T37" s="57" t="s">
        <v>3736</v>
      </c>
      <c r="U37" s="57" t="s">
        <v>3476</v>
      </c>
      <c r="V37" s="57" t="s">
        <v>3469</v>
      </c>
      <c r="W37" s="57" t="s">
        <v>3476</v>
      </c>
      <c r="X37" s="57" t="s">
        <v>3783</v>
      </c>
      <c r="Y37" s="57" t="s">
        <v>3738</v>
      </c>
      <c r="Z37" s="57" t="s">
        <v>3780</v>
      </c>
      <c r="AA37" s="57" t="s">
        <v>3757</v>
      </c>
      <c r="AB37" s="57" t="s">
        <v>3476</v>
      </c>
      <c r="AC37" s="57" t="s">
        <v>3741</v>
      </c>
      <c r="AD37" s="57" t="s">
        <v>3476</v>
      </c>
      <c r="AE37" s="57" t="s">
        <v>3476</v>
      </c>
      <c r="AF37" s="57" t="s">
        <v>3476</v>
      </c>
      <c r="AG37" s="57" t="s">
        <v>3476</v>
      </c>
      <c r="AH37" s="57" t="s">
        <v>3476</v>
      </c>
      <c r="AI37" s="57" t="s">
        <v>3476</v>
      </c>
      <c r="AJ37" s="57" t="s">
        <v>3476</v>
      </c>
      <c r="AK37" s="57" t="s">
        <v>1292</v>
      </c>
      <c r="AL37" s="57" t="s">
        <v>3784</v>
      </c>
      <c r="AM37" s="57" t="s">
        <v>3476</v>
      </c>
      <c r="AN37" s="57" t="s">
        <v>3785</v>
      </c>
      <c r="AO37" s="57" t="s">
        <v>3476</v>
      </c>
      <c r="AP37" s="58">
        <v>45826.7806828704</v>
      </c>
      <c r="AQ37" s="57" t="s">
        <v>3476</v>
      </c>
      <c r="AR37" s="57" t="s">
        <v>3744</v>
      </c>
      <c r="AS37" s="57" t="s">
        <v>3502</v>
      </c>
      <c r="AT37" s="57" t="s">
        <v>3745</v>
      </c>
      <c r="AU37" s="57" t="s">
        <v>3786</v>
      </c>
      <c r="AV37" s="57" t="s">
        <v>3476</v>
      </c>
      <c r="AW37" s="58">
        <v>45764.8716203704</v>
      </c>
      <c r="AX37" s="57" t="s">
        <v>3784</v>
      </c>
      <c r="AY37" s="57" t="s">
        <v>3747</v>
      </c>
      <c r="AZ37" s="57" t="s">
        <v>3476</v>
      </c>
      <c r="BA37" s="57" t="s">
        <v>3476</v>
      </c>
      <c r="BB37" s="57" t="s">
        <v>3476</v>
      </c>
      <c r="BC37" s="57" t="s">
        <v>1787</v>
      </c>
      <c r="BD37" s="57" t="s">
        <v>3659</v>
      </c>
      <c r="BE37" s="57" t="s">
        <v>3787</v>
      </c>
      <c r="BF37" s="57" t="s">
        <v>3749</v>
      </c>
      <c r="BG37" s="57" t="s">
        <v>3476</v>
      </c>
      <c r="BH37" s="57" t="s">
        <v>3476</v>
      </c>
      <c r="BI37" s="57" t="s">
        <v>2809</v>
      </c>
      <c r="BJ37" s="57" t="s">
        <v>3476</v>
      </c>
      <c r="BK37" s="57" t="s">
        <v>3476</v>
      </c>
      <c r="BL37" s="57">
        <v>3538799</v>
      </c>
      <c r="BM37" s="57" t="s">
        <v>3788</v>
      </c>
      <c r="BN37" s="57" t="s">
        <v>3476</v>
      </c>
      <c r="BO37" s="57">
        <v>120.4</v>
      </c>
      <c r="BP37" s="57" t="s">
        <v>3751</v>
      </c>
      <c r="BQ37" s="57" t="s">
        <v>3476</v>
      </c>
      <c r="BR37" s="57" t="s">
        <v>3789</v>
      </c>
      <c r="BS37" s="57" t="s">
        <v>1292</v>
      </c>
      <c r="BT37" s="57" t="s">
        <v>3476</v>
      </c>
      <c r="BU37" s="57" t="s">
        <v>3476</v>
      </c>
      <c r="BV37" s="57" t="s">
        <v>3753</v>
      </c>
      <c r="BW37" s="57" t="s">
        <v>3476</v>
      </c>
      <c r="BX37" s="57">
        <v>120.4</v>
      </c>
      <c r="BY37" s="57" t="s">
        <v>3476</v>
      </c>
      <c r="BZ37" s="57" t="s">
        <v>3476</v>
      </c>
      <c r="CA37" s="57" t="s">
        <v>3476</v>
      </c>
      <c r="CB37" s="57" t="s">
        <v>3476</v>
      </c>
      <c r="CC37" s="57" t="s">
        <v>3476</v>
      </c>
      <c r="CD37" s="57" t="s">
        <v>3476</v>
      </c>
    </row>
    <row r="38" spans="1:82">
      <c r="A38" s="57">
        <v>1240</v>
      </c>
      <c r="B38" s="57" t="s">
        <v>3476</v>
      </c>
      <c r="C38" s="57" t="s">
        <v>3778</v>
      </c>
      <c r="D38" s="57" t="s">
        <v>3476</v>
      </c>
      <c r="E38" s="57" t="s">
        <v>3730</v>
      </c>
      <c r="F38" s="57" t="s">
        <v>3779</v>
      </c>
      <c r="G38" s="57" t="s">
        <v>721</v>
      </c>
      <c r="H38" s="57" t="s">
        <v>2874</v>
      </c>
      <c r="I38" s="57">
        <v>63536.29</v>
      </c>
      <c r="J38" s="57" t="s">
        <v>3476</v>
      </c>
      <c r="K38" s="57" t="s">
        <v>3476</v>
      </c>
      <c r="L38" s="57" t="s">
        <v>3732</v>
      </c>
      <c r="M38" s="57" t="s">
        <v>3780</v>
      </c>
      <c r="N38" s="57" t="s">
        <v>3780</v>
      </c>
      <c r="O38" s="57" t="s">
        <v>3476</v>
      </c>
      <c r="P38" s="57" t="s">
        <v>3476</v>
      </c>
      <c r="Q38" s="57" t="s">
        <v>2874</v>
      </c>
      <c r="R38" s="57" t="s">
        <v>3781</v>
      </c>
      <c r="S38" s="57" t="s">
        <v>3782</v>
      </c>
      <c r="T38" s="57" t="s">
        <v>3736</v>
      </c>
      <c r="U38" s="57" t="s">
        <v>3476</v>
      </c>
      <c r="V38" s="57" t="s">
        <v>3469</v>
      </c>
      <c r="W38" s="57" t="s">
        <v>3476</v>
      </c>
      <c r="X38" s="57" t="s">
        <v>3783</v>
      </c>
      <c r="Y38" s="57" t="s">
        <v>3738</v>
      </c>
      <c r="Z38" s="57" t="s">
        <v>3780</v>
      </c>
      <c r="AA38" s="57" t="s">
        <v>3757</v>
      </c>
      <c r="AB38" s="57" t="s">
        <v>3476</v>
      </c>
      <c r="AC38" s="57" t="s">
        <v>3741</v>
      </c>
      <c r="AD38" s="57" t="s">
        <v>3476</v>
      </c>
      <c r="AE38" s="57" t="s">
        <v>3476</v>
      </c>
      <c r="AF38" s="57" t="s">
        <v>3476</v>
      </c>
      <c r="AG38" s="57" t="s">
        <v>3476</v>
      </c>
      <c r="AH38" s="57" t="s">
        <v>3476</v>
      </c>
      <c r="AI38" s="57" t="s">
        <v>3476</v>
      </c>
      <c r="AJ38" s="57" t="s">
        <v>3476</v>
      </c>
      <c r="AK38" s="57" t="s">
        <v>1292</v>
      </c>
      <c r="AL38" s="57" t="s">
        <v>3784</v>
      </c>
      <c r="AM38" s="57" t="s">
        <v>3476</v>
      </c>
      <c r="AN38" s="57" t="s">
        <v>3785</v>
      </c>
      <c r="AO38" s="57" t="s">
        <v>3476</v>
      </c>
      <c r="AP38" s="58">
        <v>45826.7806828704</v>
      </c>
      <c r="AQ38" s="57" t="s">
        <v>3476</v>
      </c>
      <c r="AR38" s="57" t="s">
        <v>3744</v>
      </c>
      <c r="AS38" s="57" t="s">
        <v>3502</v>
      </c>
      <c r="AT38" s="57" t="s">
        <v>3745</v>
      </c>
      <c r="AU38" s="57" t="s">
        <v>3786</v>
      </c>
      <c r="AV38" s="57" t="s">
        <v>3476</v>
      </c>
      <c r="AW38" s="58">
        <v>45764.8716203704</v>
      </c>
      <c r="AX38" s="57" t="s">
        <v>3784</v>
      </c>
      <c r="AY38" s="57" t="s">
        <v>3747</v>
      </c>
      <c r="AZ38" s="57" t="s">
        <v>3476</v>
      </c>
      <c r="BA38" s="57" t="s">
        <v>3476</v>
      </c>
      <c r="BB38" s="57" t="s">
        <v>3476</v>
      </c>
      <c r="BC38" s="57" t="s">
        <v>1787</v>
      </c>
      <c r="BD38" s="57" t="s">
        <v>3659</v>
      </c>
      <c r="BE38" s="57" t="s">
        <v>3787</v>
      </c>
      <c r="BF38" s="57" t="s">
        <v>3749</v>
      </c>
      <c r="BG38" s="57" t="s">
        <v>3476</v>
      </c>
      <c r="BH38" s="57" t="s">
        <v>3476</v>
      </c>
      <c r="BI38" s="57" t="s">
        <v>2809</v>
      </c>
      <c r="BJ38" s="57" t="s">
        <v>3476</v>
      </c>
      <c r="BK38" s="57" t="s">
        <v>3476</v>
      </c>
      <c r="BL38" s="57">
        <v>3538798</v>
      </c>
      <c r="BM38" s="57" t="s">
        <v>3788</v>
      </c>
      <c r="BN38" s="57" t="s">
        <v>3476</v>
      </c>
      <c r="BO38" s="57">
        <v>165</v>
      </c>
      <c r="BP38" s="57" t="s">
        <v>3751</v>
      </c>
      <c r="BQ38" s="57" t="s">
        <v>3476</v>
      </c>
      <c r="BR38" s="57" t="s">
        <v>3789</v>
      </c>
      <c r="BS38" s="57" t="s">
        <v>1292</v>
      </c>
      <c r="BT38" s="57" t="s">
        <v>3476</v>
      </c>
      <c r="BU38" s="57" t="s">
        <v>3476</v>
      </c>
      <c r="BV38" s="57" t="s">
        <v>3753</v>
      </c>
      <c r="BW38" s="57" t="s">
        <v>3476</v>
      </c>
      <c r="BX38" s="57">
        <v>165</v>
      </c>
      <c r="BY38" s="57" t="s">
        <v>3476</v>
      </c>
      <c r="BZ38" s="57" t="s">
        <v>3476</v>
      </c>
      <c r="CA38" s="57" t="s">
        <v>3476</v>
      </c>
      <c r="CB38" s="57" t="s">
        <v>3476</v>
      </c>
      <c r="CC38" s="57" t="s">
        <v>3476</v>
      </c>
      <c r="CD38" s="57" t="s">
        <v>3476</v>
      </c>
    </row>
    <row r="39" spans="1:82">
      <c r="A39" s="57">
        <v>1241</v>
      </c>
      <c r="B39" s="57" t="s">
        <v>3476</v>
      </c>
      <c r="C39" s="57" t="s">
        <v>3778</v>
      </c>
      <c r="D39" s="57" t="s">
        <v>3476</v>
      </c>
      <c r="E39" s="57" t="s">
        <v>3730</v>
      </c>
      <c r="F39" s="57" t="s">
        <v>3779</v>
      </c>
      <c r="G39" s="57" t="s">
        <v>721</v>
      </c>
      <c r="H39" s="57" t="s">
        <v>2874</v>
      </c>
      <c r="I39" s="57">
        <v>63536.29</v>
      </c>
      <c r="J39" s="57" t="s">
        <v>3476</v>
      </c>
      <c r="K39" s="57" t="s">
        <v>3476</v>
      </c>
      <c r="L39" s="57" t="s">
        <v>3732</v>
      </c>
      <c r="M39" s="57" t="s">
        <v>3780</v>
      </c>
      <c r="N39" s="57" t="s">
        <v>3780</v>
      </c>
      <c r="O39" s="57" t="s">
        <v>3476</v>
      </c>
      <c r="P39" s="57" t="s">
        <v>3476</v>
      </c>
      <c r="Q39" s="57" t="s">
        <v>2874</v>
      </c>
      <c r="R39" s="57" t="s">
        <v>3781</v>
      </c>
      <c r="S39" s="57" t="s">
        <v>3782</v>
      </c>
      <c r="T39" s="57" t="s">
        <v>3736</v>
      </c>
      <c r="U39" s="57" t="s">
        <v>3476</v>
      </c>
      <c r="V39" s="57" t="s">
        <v>3469</v>
      </c>
      <c r="W39" s="57" t="s">
        <v>3476</v>
      </c>
      <c r="X39" s="57" t="s">
        <v>3783</v>
      </c>
      <c r="Y39" s="57" t="s">
        <v>3738</v>
      </c>
      <c r="Z39" s="57" t="s">
        <v>3780</v>
      </c>
      <c r="AA39" s="57" t="s">
        <v>3757</v>
      </c>
      <c r="AB39" s="57" t="s">
        <v>3476</v>
      </c>
      <c r="AC39" s="57" t="s">
        <v>3741</v>
      </c>
      <c r="AD39" s="57" t="s">
        <v>3476</v>
      </c>
      <c r="AE39" s="57" t="s">
        <v>3476</v>
      </c>
      <c r="AF39" s="57" t="s">
        <v>3476</v>
      </c>
      <c r="AG39" s="57" t="s">
        <v>3476</v>
      </c>
      <c r="AH39" s="57" t="s">
        <v>3476</v>
      </c>
      <c r="AI39" s="57" t="s">
        <v>3476</v>
      </c>
      <c r="AJ39" s="57" t="s">
        <v>3476</v>
      </c>
      <c r="AK39" s="57" t="s">
        <v>1292</v>
      </c>
      <c r="AL39" s="57" t="s">
        <v>3784</v>
      </c>
      <c r="AM39" s="57" t="s">
        <v>3476</v>
      </c>
      <c r="AN39" s="57" t="s">
        <v>3785</v>
      </c>
      <c r="AO39" s="57" t="s">
        <v>3476</v>
      </c>
      <c r="AP39" s="58">
        <v>45826.7806828704</v>
      </c>
      <c r="AQ39" s="57" t="s">
        <v>3476</v>
      </c>
      <c r="AR39" s="57" t="s">
        <v>3744</v>
      </c>
      <c r="AS39" s="57" t="s">
        <v>3502</v>
      </c>
      <c r="AT39" s="57" t="s">
        <v>3745</v>
      </c>
      <c r="AU39" s="57" t="s">
        <v>3786</v>
      </c>
      <c r="AV39" s="57" t="s">
        <v>3476</v>
      </c>
      <c r="AW39" s="58">
        <v>45764.8716203704</v>
      </c>
      <c r="AX39" s="57" t="s">
        <v>3784</v>
      </c>
      <c r="AY39" s="57" t="s">
        <v>3747</v>
      </c>
      <c r="AZ39" s="57" t="s">
        <v>3476</v>
      </c>
      <c r="BA39" s="57" t="s">
        <v>3476</v>
      </c>
      <c r="BB39" s="57" t="s">
        <v>3476</v>
      </c>
      <c r="BC39" s="57" t="s">
        <v>3791</v>
      </c>
      <c r="BD39" s="57" t="s">
        <v>3659</v>
      </c>
      <c r="BE39" s="57" t="s">
        <v>3787</v>
      </c>
      <c r="BF39" s="57" t="s">
        <v>3749</v>
      </c>
      <c r="BG39" s="57" t="s">
        <v>3476</v>
      </c>
      <c r="BH39" s="57" t="s">
        <v>3476</v>
      </c>
      <c r="BI39" s="57" t="s">
        <v>2809</v>
      </c>
      <c r="BJ39" s="57" t="s">
        <v>3476</v>
      </c>
      <c r="BK39" s="57" t="s">
        <v>3476</v>
      </c>
      <c r="BL39" s="57">
        <v>3538817</v>
      </c>
      <c r="BM39" s="57" t="s">
        <v>3788</v>
      </c>
      <c r="BN39" s="57" t="s">
        <v>3476</v>
      </c>
      <c r="BO39" s="57">
        <v>4715</v>
      </c>
      <c r="BP39" s="57" t="s">
        <v>3751</v>
      </c>
      <c r="BQ39" s="57" t="s">
        <v>3476</v>
      </c>
      <c r="BR39" s="57" t="s">
        <v>3789</v>
      </c>
      <c r="BS39" s="57" t="s">
        <v>1292</v>
      </c>
      <c r="BT39" s="57" t="s">
        <v>3476</v>
      </c>
      <c r="BU39" s="57" t="s">
        <v>3476</v>
      </c>
      <c r="BV39" s="57" t="s">
        <v>3753</v>
      </c>
      <c r="BW39" s="57" t="s">
        <v>3476</v>
      </c>
      <c r="BX39" s="57">
        <v>4715</v>
      </c>
      <c r="BY39" s="57" t="s">
        <v>3476</v>
      </c>
      <c r="BZ39" s="57" t="s">
        <v>3476</v>
      </c>
      <c r="CA39" s="57" t="s">
        <v>3476</v>
      </c>
      <c r="CB39" s="57" t="s">
        <v>3476</v>
      </c>
      <c r="CC39" s="57" t="s">
        <v>3476</v>
      </c>
      <c r="CD39" s="57" t="s">
        <v>3476</v>
      </c>
    </row>
    <row r="40" spans="1:82">
      <c r="A40" s="57">
        <v>1242</v>
      </c>
      <c r="B40" s="57" t="s">
        <v>3476</v>
      </c>
      <c r="C40" s="57" t="s">
        <v>3778</v>
      </c>
      <c r="D40" s="57" t="s">
        <v>3476</v>
      </c>
      <c r="E40" s="57" t="s">
        <v>3730</v>
      </c>
      <c r="F40" s="57" t="s">
        <v>3779</v>
      </c>
      <c r="G40" s="57" t="s">
        <v>721</v>
      </c>
      <c r="H40" s="57" t="s">
        <v>2874</v>
      </c>
      <c r="I40" s="57">
        <v>63536.29</v>
      </c>
      <c r="J40" s="57" t="s">
        <v>3476</v>
      </c>
      <c r="K40" s="57" t="s">
        <v>3476</v>
      </c>
      <c r="L40" s="57" t="s">
        <v>3732</v>
      </c>
      <c r="M40" s="57" t="s">
        <v>3780</v>
      </c>
      <c r="N40" s="57" t="s">
        <v>3780</v>
      </c>
      <c r="O40" s="57" t="s">
        <v>3476</v>
      </c>
      <c r="P40" s="57" t="s">
        <v>3476</v>
      </c>
      <c r="Q40" s="57" t="s">
        <v>2874</v>
      </c>
      <c r="R40" s="57" t="s">
        <v>3781</v>
      </c>
      <c r="S40" s="57" t="s">
        <v>3782</v>
      </c>
      <c r="T40" s="57" t="s">
        <v>3736</v>
      </c>
      <c r="U40" s="57" t="s">
        <v>3476</v>
      </c>
      <c r="V40" s="57" t="s">
        <v>3469</v>
      </c>
      <c r="W40" s="57" t="s">
        <v>3476</v>
      </c>
      <c r="X40" s="57" t="s">
        <v>3783</v>
      </c>
      <c r="Y40" s="57" t="s">
        <v>3738</v>
      </c>
      <c r="Z40" s="57" t="s">
        <v>3780</v>
      </c>
      <c r="AA40" s="57" t="s">
        <v>3757</v>
      </c>
      <c r="AB40" s="57" t="s">
        <v>3476</v>
      </c>
      <c r="AC40" s="57" t="s">
        <v>3741</v>
      </c>
      <c r="AD40" s="57" t="s">
        <v>3476</v>
      </c>
      <c r="AE40" s="57" t="s">
        <v>3476</v>
      </c>
      <c r="AF40" s="57" t="s">
        <v>3476</v>
      </c>
      <c r="AG40" s="57" t="s">
        <v>3476</v>
      </c>
      <c r="AH40" s="57" t="s">
        <v>3476</v>
      </c>
      <c r="AI40" s="57" t="s">
        <v>3476</v>
      </c>
      <c r="AJ40" s="57" t="s">
        <v>3476</v>
      </c>
      <c r="AK40" s="57" t="s">
        <v>1292</v>
      </c>
      <c r="AL40" s="57" t="s">
        <v>3784</v>
      </c>
      <c r="AM40" s="57" t="s">
        <v>3476</v>
      </c>
      <c r="AN40" s="57" t="s">
        <v>3785</v>
      </c>
      <c r="AO40" s="57" t="s">
        <v>3476</v>
      </c>
      <c r="AP40" s="58">
        <v>45826.7806828704</v>
      </c>
      <c r="AQ40" s="57" t="s">
        <v>3476</v>
      </c>
      <c r="AR40" s="57" t="s">
        <v>3744</v>
      </c>
      <c r="AS40" s="57" t="s">
        <v>3502</v>
      </c>
      <c r="AT40" s="57" t="s">
        <v>3745</v>
      </c>
      <c r="AU40" s="57" t="s">
        <v>3786</v>
      </c>
      <c r="AV40" s="57" t="s">
        <v>3476</v>
      </c>
      <c r="AW40" s="58">
        <v>45764.8716203704</v>
      </c>
      <c r="AX40" s="57" t="s">
        <v>3784</v>
      </c>
      <c r="AY40" s="57" t="s">
        <v>3747</v>
      </c>
      <c r="AZ40" s="57" t="s">
        <v>3476</v>
      </c>
      <c r="BA40" s="57" t="s">
        <v>3476</v>
      </c>
      <c r="BB40" s="57" t="s">
        <v>3476</v>
      </c>
      <c r="BC40" s="57" t="s">
        <v>3791</v>
      </c>
      <c r="BD40" s="57" t="s">
        <v>3659</v>
      </c>
      <c r="BE40" s="57" t="s">
        <v>3787</v>
      </c>
      <c r="BF40" s="57" t="s">
        <v>3749</v>
      </c>
      <c r="BG40" s="57" t="s">
        <v>3476</v>
      </c>
      <c r="BH40" s="57" t="s">
        <v>3476</v>
      </c>
      <c r="BI40" s="57" t="s">
        <v>2809</v>
      </c>
      <c r="BJ40" s="57" t="s">
        <v>3476</v>
      </c>
      <c r="BK40" s="57" t="s">
        <v>3476</v>
      </c>
      <c r="BL40" s="57">
        <v>3538816</v>
      </c>
      <c r="BM40" s="57" t="s">
        <v>3788</v>
      </c>
      <c r="BN40" s="57" t="s">
        <v>3476</v>
      </c>
      <c r="BO40" s="57">
        <v>263.5</v>
      </c>
      <c r="BP40" s="57" t="s">
        <v>3751</v>
      </c>
      <c r="BQ40" s="57" t="s">
        <v>3476</v>
      </c>
      <c r="BR40" s="57" t="s">
        <v>3789</v>
      </c>
      <c r="BS40" s="57" t="s">
        <v>1292</v>
      </c>
      <c r="BT40" s="57" t="s">
        <v>3476</v>
      </c>
      <c r="BU40" s="57" t="s">
        <v>3476</v>
      </c>
      <c r="BV40" s="57" t="s">
        <v>3753</v>
      </c>
      <c r="BW40" s="57" t="s">
        <v>3476</v>
      </c>
      <c r="BX40" s="57">
        <v>263.5</v>
      </c>
      <c r="BY40" s="57" t="s">
        <v>3476</v>
      </c>
      <c r="BZ40" s="57" t="s">
        <v>3476</v>
      </c>
      <c r="CA40" s="57" t="s">
        <v>3476</v>
      </c>
      <c r="CB40" s="57" t="s">
        <v>3476</v>
      </c>
      <c r="CC40" s="57" t="s">
        <v>3476</v>
      </c>
      <c r="CD40" s="57" t="s">
        <v>3476</v>
      </c>
    </row>
    <row r="41" spans="1:82">
      <c r="A41" s="57">
        <v>1243</v>
      </c>
      <c r="B41" s="57" t="s">
        <v>3476</v>
      </c>
      <c r="C41" s="57" t="s">
        <v>3778</v>
      </c>
      <c r="D41" s="57" t="s">
        <v>3476</v>
      </c>
      <c r="E41" s="57" t="s">
        <v>3730</v>
      </c>
      <c r="F41" s="57" t="s">
        <v>3779</v>
      </c>
      <c r="G41" s="57" t="s">
        <v>721</v>
      </c>
      <c r="H41" s="57" t="s">
        <v>2874</v>
      </c>
      <c r="I41" s="57">
        <v>63536.29</v>
      </c>
      <c r="J41" s="57" t="s">
        <v>3476</v>
      </c>
      <c r="K41" s="57" t="s">
        <v>3476</v>
      </c>
      <c r="L41" s="57" t="s">
        <v>3732</v>
      </c>
      <c r="M41" s="57" t="s">
        <v>3780</v>
      </c>
      <c r="N41" s="57" t="s">
        <v>3780</v>
      </c>
      <c r="O41" s="57" t="s">
        <v>3476</v>
      </c>
      <c r="P41" s="57" t="s">
        <v>3476</v>
      </c>
      <c r="Q41" s="57" t="s">
        <v>2874</v>
      </c>
      <c r="R41" s="57" t="s">
        <v>3781</v>
      </c>
      <c r="S41" s="57" t="s">
        <v>3782</v>
      </c>
      <c r="T41" s="57" t="s">
        <v>3736</v>
      </c>
      <c r="U41" s="57" t="s">
        <v>3476</v>
      </c>
      <c r="V41" s="57" t="s">
        <v>3469</v>
      </c>
      <c r="W41" s="57" t="s">
        <v>3476</v>
      </c>
      <c r="X41" s="57" t="s">
        <v>3783</v>
      </c>
      <c r="Y41" s="57" t="s">
        <v>3738</v>
      </c>
      <c r="Z41" s="57" t="s">
        <v>3780</v>
      </c>
      <c r="AA41" s="57" t="s">
        <v>3757</v>
      </c>
      <c r="AB41" s="57" t="s">
        <v>3476</v>
      </c>
      <c r="AC41" s="57" t="s">
        <v>3741</v>
      </c>
      <c r="AD41" s="57" t="s">
        <v>3476</v>
      </c>
      <c r="AE41" s="57" t="s">
        <v>3476</v>
      </c>
      <c r="AF41" s="57" t="s">
        <v>3476</v>
      </c>
      <c r="AG41" s="57" t="s">
        <v>3476</v>
      </c>
      <c r="AH41" s="57" t="s">
        <v>3476</v>
      </c>
      <c r="AI41" s="57" t="s">
        <v>3476</v>
      </c>
      <c r="AJ41" s="57" t="s">
        <v>3476</v>
      </c>
      <c r="AK41" s="57" t="s">
        <v>1292</v>
      </c>
      <c r="AL41" s="57" t="s">
        <v>3784</v>
      </c>
      <c r="AM41" s="57" t="s">
        <v>3476</v>
      </c>
      <c r="AN41" s="57" t="s">
        <v>3785</v>
      </c>
      <c r="AO41" s="57" t="s">
        <v>3476</v>
      </c>
      <c r="AP41" s="58">
        <v>45826.7806828704</v>
      </c>
      <c r="AQ41" s="57" t="s">
        <v>3476</v>
      </c>
      <c r="AR41" s="57" t="s">
        <v>3744</v>
      </c>
      <c r="AS41" s="57" t="s">
        <v>3502</v>
      </c>
      <c r="AT41" s="57" t="s">
        <v>3745</v>
      </c>
      <c r="AU41" s="57" t="s">
        <v>3786</v>
      </c>
      <c r="AV41" s="57" t="s">
        <v>3476</v>
      </c>
      <c r="AW41" s="58">
        <v>45764.8716203704</v>
      </c>
      <c r="AX41" s="57" t="s">
        <v>3784</v>
      </c>
      <c r="AY41" s="57" t="s">
        <v>3747</v>
      </c>
      <c r="AZ41" s="57" t="s">
        <v>3476</v>
      </c>
      <c r="BA41" s="57" t="s">
        <v>3476</v>
      </c>
      <c r="BB41" s="57" t="s">
        <v>3476</v>
      </c>
      <c r="BC41" s="57" t="s">
        <v>3791</v>
      </c>
      <c r="BD41" s="57" t="s">
        <v>3659</v>
      </c>
      <c r="BE41" s="57" t="s">
        <v>3787</v>
      </c>
      <c r="BF41" s="57" t="s">
        <v>3749</v>
      </c>
      <c r="BG41" s="57" t="s">
        <v>3476</v>
      </c>
      <c r="BH41" s="57" t="s">
        <v>3476</v>
      </c>
      <c r="BI41" s="57" t="s">
        <v>2809</v>
      </c>
      <c r="BJ41" s="57" t="s">
        <v>3476</v>
      </c>
      <c r="BK41" s="57" t="s">
        <v>3476</v>
      </c>
      <c r="BL41" s="57">
        <v>3538819</v>
      </c>
      <c r="BM41" s="57" t="s">
        <v>3788</v>
      </c>
      <c r="BN41" s="57" t="s">
        <v>3476</v>
      </c>
      <c r="BO41" s="57">
        <v>224</v>
      </c>
      <c r="BP41" s="57" t="s">
        <v>3751</v>
      </c>
      <c r="BQ41" s="57" t="s">
        <v>3476</v>
      </c>
      <c r="BR41" s="57" t="s">
        <v>3789</v>
      </c>
      <c r="BS41" s="57" t="s">
        <v>1292</v>
      </c>
      <c r="BT41" s="57" t="s">
        <v>3476</v>
      </c>
      <c r="BU41" s="57" t="s">
        <v>3476</v>
      </c>
      <c r="BV41" s="57" t="s">
        <v>3753</v>
      </c>
      <c r="BW41" s="57" t="s">
        <v>3476</v>
      </c>
      <c r="BX41" s="57">
        <v>224</v>
      </c>
      <c r="BY41" s="57" t="s">
        <v>3476</v>
      </c>
      <c r="BZ41" s="57" t="s">
        <v>3476</v>
      </c>
      <c r="CA41" s="57" t="s">
        <v>3476</v>
      </c>
      <c r="CB41" s="57" t="s">
        <v>3476</v>
      </c>
      <c r="CC41" s="57" t="s">
        <v>3476</v>
      </c>
      <c r="CD41" s="57" t="s">
        <v>3476</v>
      </c>
    </row>
    <row r="42" spans="1:82">
      <c r="A42" s="57">
        <v>1244</v>
      </c>
      <c r="B42" s="57" t="s">
        <v>3476</v>
      </c>
      <c r="C42" s="57" t="s">
        <v>3778</v>
      </c>
      <c r="D42" s="57" t="s">
        <v>3476</v>
      </c>
      <c r="E42" s="57" t="s">
        <v>3730</v>
      </c>
      <c r="F42" s="57" t="s">
        <v>3779</v>
      </c>
      <c r="G42" s="57" t="s">
        <v>721</v>
      </c>
      <c r="H42" s="57" t="s">
        <v>2874</v>
      </c>
      <c r="I42" s="57">
        <v>63536.29</v>
      </c>
      <c r="J42" s="57" t="s">
        <v>3476</v>
      </c>
      <c r="K42" s="57" t="s">
        <v>3476</v>
      </c>
      <c r="L42" s="57" t="s">
        <v>3732</v>
      </c>
      <c r="M42" s="57" t="s">
        <v>3780</v>
      </c>
      <c r="N42" s="57" t="s">
        <v>3780</v>
      </c>
      <c r="O42" s="57" t="s">
        <v>3476</v>
      </c>
      <c r="P42" s="57" t="s">
        <v>3476</v>
      </c>
      <c r="Q42" s="57" t="s">
        <v>2874</v>
      </c>
      <c r="R42" s="57" t="s">
        <v>3781</v>
      </c>
      <c r="S42" s="57" t="s">
        <v>3782</v>
      </c>
      <c r="T42" s="57" t="s">
        <v>3736</v>
      </c>
      <c r="U42" s="57" t="s">
        <v>3476</v>
      </c>
      <c r="V42" s="57" t="s">
        <v>3469</v>
      </c>
      <c r="W42" s="57" t="s">
        <v>3476</v>
      </c>
      <c r="X42" s="57" t="s">
        <v>3783</v>
      </c>
      <c r="Y42" s="57" t="s">
        <v>3738</v>
      </c>
      <c r="Z42" s="57" t="s">
        <v>3780</v>
      </c>
      <c r="AA42" s="57" t="s">
        <v>3757</v>
      </c>
      <c r="AB42" s="57" t="s">
        <v>3476</v>
      </c>
      <c r="AC42" s="57" t="s">
        <v>3741</v>
      </c>
      <c r="AD42" s="57" t="s">
        <v>3476</v>
      </c>
      <c r="AE42" s="57" t="s">
        <v>3476</v>
      </c>
      <c r="AF42" s="57" t="s">
        <v>3476</v>
      </c>
      <c r="AG42" s="57" t="s">
        <v>3476</v>
      </c>
      <c r="AH42" s="57" t="s">
        <v>3476</v>
      </c>
      <c r="AI42" s="57" t="s">
        <v>3476</v>
      </c>
      <c r="AJ42" s="57" t="s">
        <v>3476</v>
      </c>
      <c r="AK42" s="57" t="s">
        <v>1292</v>
      </c>
      <c r="AL42" s="57" t="s">
        <v>3784</v>
      </c>
      <c r="AM42" s="57" t="s">
        <v>3476</v>
      </c>
      <c r="AN42" s="57" t="s">
        <v>3785</v>
      </c>
      <c r="AO42" s="57" t="s">
        <v>3476</v>
      </c>
      <c r="AP42" s="58">
        <v>45826.7806828704</v>
      </c>
      <c r="AQ42" s="57" t="s">
        <v>3476</v>
      </c>
      <c r="AR42" s="57" t="s">
        <v>3744</v>
      </c>
      <c r="AS42" s="57" t="s">
        <v>3502</v>
      </c>
      <c r="AT42" s="57" t="s">
        <v>3745</v>
      </c>
      <c r="AU42" s="57" t="s">
        <v>3786</v>
      </c>
      <c r="AV42" s="57" t="s">
        <v>3476</v>
      </c>
      <c r="AW42" s="58">
        <v>45764.8716203704</v>
      </c>
      <c r="AX42" s="57" t="s">
        <v>3784</v>
      </c>
      <c r="AY42" s="57" t="s">
        <v>3747</v>
      </c>
      <c r="AZ42" s="57" t="s">
        <v>3476</v>
      </c>
      <c r="BA42" s="57" t="s">
        <v>3476</v>
      </c>
      <c r="BB42" s="57" t="s">
        <v>3476</v>
      </c>
      <c r="BC42" s="57" t="s">
        <v>3791</v>
      </c>
      <c r="BD42" s="57" t="s">
        <v>3659</v>
      </c>
      <c r="BE42" s="57" t="s">
        <v>3787</v>
      </c>
      <c r="BF42" s="57" t="s">
        <v>3749</v>
      </c>
      <c r="BG42" s="57" t="s">
        <v>3476</v>
      </c>
      <c r="BH42" s="57" t="s">
        <v>3476</v>
      </c>
      <c r="BI42" s="57" t="s">
        <v>2809</v>
      </c>
      <c r="BJ42" s="57" t="s">
        <v>3476</v>
      </c>
      <c r="BK42" s="57" t="s">
        <v>3476</v>
      </c>
      <c r="BL42" s="57">
        <v>3538818</v>
      </c>
      <c r="BM42" s="57" t="s">
        <v>3788</v>
      </c>
      <c r="BN42" s="57" t="s">
        <v>3476</v>
      </c>
      <c r="BO42" s="57">
        <v>369.04</v>
      </c>
      <c r="BP42" s="57" t="s">
        <v>3751</v>
      </c>
      <c r="BQ42" s="57" t="s">
        <v>3476</v>
      </c>
      <c r="BR42" s="57" t="s">
        <v>3789</v>
      </c>
      <c r="BS42" s="57" t="s">
        <v>1292</v>
      </c>
      <c r="BT42" s="57" t="s">
        <v>3476</v>
      </c>
      <c r="BU42" s="57" t="s">
        <v>3476</v>
      </c>
      <c r="BV42" s="57" t="s">
        <v>3753</v>
      </c>
      <c r="BW42" s="57" t="s">
        <v>3476</v>
      </c>
      <c r="BX42" s="57">
        <v>369.04</v>
      </c>
      <c r="BY42" s="57" t="s">
        <v>3476</v>
      </c>
      <c r="BZ42" s="57" t="s">
        <v>3476</v>
      </c>
      <c r="CA42" s="57" t="s">
        <v>3476</v>
      </c>
      <c r="CB42" s="57" t="s">
        <v>3476</v>
      </c>
      <c r="CC42" s="57" t="s">
        <v>3476</v>
      </c>
      <c r="CD42" s="57" t="s">
        <v>3476</v>
      </c>
    </row>
    <row r="43" spans="1:82">
      <c r="A43" s="57">
        <v>1245</v>
      </c>
      <c r="B43" s="57" t="s">
        <v>3476</v>
      </c>
      <c r="C43" s="57" t="s">
        <v>3778</v>
      </c>
      <c r="D43" s="57" t="s">
        <v>3476</v>
      </c>
      <c r="E43" s="57" t="s">
        <v>3730</v>
      </c>
      <c r="F43" s="57" t="s">
        <v>3779</v>
      </c>
      <c r="G43" s="57" t="s">
        <v>721</v>
      </c>
      <c r="H43" s="57" t="s">
        <v>2874</v>
      </c>
      <c r="I43" s="57">
        <v>63536.29</v>
      </c>
      <c r="J43" s="57" t="s">
        <v>3476</v>
      </c>
      <c r="K43" s="57" t="s">
        <v>3476</v>
      </c>
      <c r="L43" s="57" t="s">
        <v>3732</v>
      </c>
      <c r="M43" s="57" t="s">
        <v>3780</v>
      </c>
      <c r="N43" s="57" t="s">
        <v>3780</v>
      </c>
      <c r="O43" s="57" t="s">
        <v>3476</v>
      </c>
      <c r="P43" s="57" t="s">
        <v>3476</v>
      </c>
      <c r="Q43" s="57" t="s">
        <v>2874</v>
      </c>
      <c r="R43" s="57" t="s">
        <v>3781</v>
      </c>
      <c r="S43" s="57" t="s">
        <v>3782</v>
      </c>
      <c r="T43" s="57" t="s">
        <v>3736</v>
      </c>
      <c r="U43" s="57" t="s">
        <v>3476</v>
      </c>
      <c r="V43" s="57" t="s">
        <v>3469</v>
      </c>
      <c r="W43" s="57" t="s">
        <v>3476</v>
      </c>
      <c r="X43" s="57" t="s">
        <v>3783</v>
      </c>
      <c r="Y43" s="57" t="s">
        <v>3738</v>
      </c>
      <c r="Z43" s="57" t="s">
        <v>3780</v>
      </c>
      <c r="AA43" s="57" t="s">
        <v>3757</v>
      </c>
      <c r="AB43" s="57" t="s">
        <v>3476</v>
      </c>
      <c r="AC43" s="57" t="s">
        <v>3741</v>
      </c>
      <c r="AD43" s="57" t="s">
        <v>3476</v>
      </c>
      <c r="AE43" s="57" t="s">
        <v>3476</v>
      </c>
      <c r="AF43" s="57" t="s">
        <v>3476</v>
      </c>
      <c r="AG43" s="57" t="s">
        <v>3476</v>
      </c>
      <c r="AH43" s="57" t="s">
        <v>3476</v>
      </c>
      <c r="AI43" s="57" t="s">
        <v>3476</v>
      </c>
      <c r="AJ43" s="57" t="s">
        <v>3476</v>
      </c>
      <c r="AK43" s="57" t="s">
        <v>1292</v>
      </c>
      <c r="AL43" s="57" t="s">
        <v>3784</v>
      </c>
      <c r="AM43" s="57" t="s">
        <v>3476</v>
      </c>
      <c r="AN43" s="57" t="s">
        <v>3785</v>
      </c>
      <c r="AO43" s="57" t="s">
        <v>3476</v>
      </c>
      <c r="AP43" s="58">
        <v>45826.7806828704</v>
      </c>
      <c r="AQ43" s="57" t="s">
        <v>3476</v>
      </c>
      <c r="AR43" s="57" t="s">
        <v>3744</v>
      </c>
      <c r="AS43" s="57" t="s">
        <v>3502</v>
      </c>
      <c r="AT43" s="57" t="s">
        <v>3745</v>
      </c>
      <c r="AU43" s="57" t="s">
        <v>3786</v>
      </c>
      <c r="AV43" s="57" t="s">
        <v>3476</v>
      </c>
      <c r="AW43" s="58">
        <v>45764.8716203704</v>
      </c>
      <c r="AX43" s="57" t="s">
        <v>3784</v>
      </c>
      <c r="AY43" s="57" t="s">
        <v>3747</v>
      </c>
      <c r="AZ43" s="57" t="s">
        <v>3476</v>
      </c>
      <c r="BA43" s="57" t="s">
        <v>3476</v>
      </c>
      <c r="BB43" s="57" t="s">
        <v>3476</v>
      </c>
      <c r="BC43" s="57" t="s">
        <v>3791</v>
      </c>
      <c r="BD43" s="57" t="s">
        <v>3659</v>
      </c>
      <c r="BE43" s="57" t="s">
        <v>3787</v>
      </c>
      <c r="BF43" s="57" t="s">
        <v>3749</v>
      </c>
      <c r="BG43" s="57" t="s">
        <v>3476</v>
      </c>
      <c r="BH43" s="57" t="s">
        <v>3476</v>
      </c>
      <c r="BI43" s="57" t="s">
        <v>2809</v>
      </c>
      <c r="BJ43" s="57" t="s">
        <v>3476</v>
      </c>
      <c r="BK43" s="57" t="s">
        <v>3476</v>
      </c>
      <c r="BL43" s="57">
        <v>3538821</v>
      </c>
      <c r="BM43" s="57" t="s">
        <v>3788</v>
      </c>
      <c r="BN43" s="57" t="s">
        <v>3476</v>
      </c>
      <c r="BO43" s="57">
        <v>660</v>
      </c>
      <c r="BP43" s="57" t="s">
        <v>3751</v>
      </c>
      <c r="BQ43" s="57" t="s">
        <v>3476</v>
      </c>
      <c r="BR43" s="57" t="s">
        <v>3789</v>
      </c>
      <c r="BS43" s="57" t="s">
        <v>1292</v>
      </c>
      <c r="BT43" s="57" t="s">
        <v>3476</v>
      </c>
      <c r="BU43" s="57" t="s">
        <v>3476</v>
      </c>
      <c r="BV43" s="57" t="s">
        <v>3753</v>
      </c>
      <c r="BW43" s="57" t="s">
        <v>3476</v>
      </c>
      <c r="BX43" s="57">
        <v>660</v>
      </c>
      <c r="BY43" s="57" t="s">
        <v>3476</v>
      </c>
      <c r="BZ43" s="57" t="s">
        <v>3476</v>
      </c>
      <c r="CA43" s="57" t="s">
        <v>3476</v>
      </c>
      <c r="CB43" s="57" t="s">
        <v>3476</v>
      </c>
      <c r="CC43" s="57" t="s">
        <v>3476</v>
      </c>
      <c r="CD43" s="57" t="s">
        <v>3476</v>
      </c>
    </row>
    <row r="44" spans="1:82">
      <c r="A44" s="57">
        <v>1246</v>
      </c>
      <c r="B44" s="57" t="s">
        <v>3476</v>
      </c>
      <c r="C44" s="57" t="s">
        <v>3778</v>
      </c>
      <c r="D44" s="57" t="s">
        <v>3476</v>
      </c>
      <c r="E44" s="57" t="s">
        <v>3730</v>
      </c>
      <c r="F44" s="57" t="s">
        <v>3779</v>
      </c>
      <c r="G44" s="57" t="s">
        <v>721</v>
      </c>
      <c r="H44" s="57" t="s">
        <v>2874</v>
      </c>
      <c r="I44" s="57">
        <v>63536.29</v>
      </c>
      <c r="J44" s="57" t="s">
        <v>3476</v>
      </c>
      <c r="K44" s="57" t="s">
        <v>3476</v>
      </c>
      <c r="L44" s="57" t="s">
        <v>3732</v>
      </c>
      <c r="M44" s="57" t="s">
        <v>3780</v>
      </c>
      <c r="N44" s="57" t="s">
        <v>3780</v>
      </c>
      <c r="O44" s="57" t="s">
        <v>3476</v>
      </c>
      <c r="P44" s="57" t="s">
        <v>3476</v>
      </c>
      <c r="Q44" s="57" t="s">
        <v>2874</v>
      </c>
      <c r="R44" s="57" t="s">
        <v>3781</v>
      </c>
      <c r="S44" s="57" t="s">
        <v>3782</v>
      </c>
      <c r="T44" s="57" t="s">
        <v>3736</v>
      </c>
      <c r="U44" s="57" t="s">
        <v>3476</v>
      </c>
      <c r="V44" s="57" t="s">
        <v>3469</v>
      </c>
      <c r="W44" s="57" t="s">
        <v>3476</v>
      </c>
      <c r="X44" s="57" t="s">
        <v>3783</v>
      </c>
      <c r="Y44" s="57" t="s">
        <v>3738</v>
      </c>
      <c r="Z44" s="57" t="s">
        <v>3780</v>
      </c>
      <c r="AA44" s="57" t="s">
        <v>3757</v>
      </c>
      <c r="AB44" s="57" t="s">
        <v>3476</v>
      </c>
      <c r="AC44" s="57" t="s">
        <v>3741</v>
      </c>
      <c r="AD44" s="57" t="s">
        <v>3476</v>
      </c>
      <c r="AE44" s="57" t="s">
        <v>3476</v>
      </c>
      <c r="AF44" s="57" t="s">
        <v>3476</v>
      </c>
      <c r="AG44" s="57" t="s">
        <v>3476</v>
      </c>
      <c r="AH44" s="57" t="s">
        <v>3476</v>
      </c>
      <c r="AI44" s="57" t="s">
        <v>3476</v>
      </c>
      <c r="AJ44" s="57" t="s">
        <v>3476</v>
      </c>
      <c r="AK44" s="57" t="s">
        <v>1292</v>
      </c>
      <c r="AL44" s="57" t="s">
        <v>3784</v>
      </c>
      <c r="AM44" s="57" t="s">
        <v>3476</v>
      </c>
      <c r="AN44" s="57" t="s">
        <v>3785</v>
      </c>
      <c r="AO44" s="57" t="s">
        <v>3476</v>
      </c>
      <c r="AP44" s="58">
        <v>45826.7806828704</v>
      </c>
      <c r="AQ44" s="57" t="s">
        <v>3476</v>
      </c>
      <c r="AR44" s="57" t="s">
        <v>3744</v>
      </c>
      <c r="AS44" s="57" t="s">
        <v>3502</v>
      </c>
      <c r="AT44" s="57" t="s">
        <v>3745</v>
      </c>
      <c r="AU44" s="57" t="s">
        <v>3786</v>
      </c>
      <c r="AV44" s="57" t="s">
        <v>3476</v>
      </c>
      <c r="AW44" s="58">
        <v>45764.8716203704</v>
      </c>
      <c r="AX44" s="57" t="s">
        <v>3784</v>
      </c>
      <c r="AY44" s="57" t="s">
        <v>3747</v>
      </c>
      <c r="AZ44" s="57" t="s">
        <v>3476</v>
      </c>
      <c r="BA44" s="57" t="s">
        <v>3476</v>
      </c>
      <c r="BB44" s="57" t="s">
        <v>3476</v>
      </c>
      <c r="BC44" s="57" t="s">
        <v>3791</v>
      </c>
      <c r="BD44" s="57" t="s">
        <v>3659</v>
      </c>
      <c r="BE44" s="57" t="s">
        <v>3787</v>
      </c>
      <c r="BF44" s="57" t="s">
        <v>3749</v>
      </c>
      <c r="BG44" s="57" t="s">
        <v>3476</v>
      </c>
      <c r="BH44" s="57" t="s">
        <v>3476</v>
      </c>
      <c r="BI44" s="57" t="s">
        <v>2809</v>
      </c>
      <c r="BJ44" s="57" t="s">
        <v>3476</v>
      </c>
      <c r="BK44" s="57" t="s">
        <v>3476</v>
      </c>
      <c r="BL44" s="57">
        <v>3538820</v>
      </c>
      <c r="BM44" s="57" t="s">
        <v>3788</v>
      </c>
      <c r="BN44" s="57" t="s">
        <v>3476</v>
      </c>
      <c r="BO44" s="57">
        <v>1020</v>
      </c>
      <c r="BP44" s="57" t="s">
        <v>3751</v>
      </c>
      <c r="BQ44" s="57" t="s">
        <v>3476</v>
      </c>
      <c r="BR44" s="57" t="s">
        <v>3789</v>
      </c>
      <c r="BS44" s="57" t="s">
        <v>1292</v>
      </c>
      <c r="BT44" s="57" t="s">
        <v>3476</v>
      </c>
      <c r="BU44" s="57" t="s">
        <v>3476</v>
      </c>
      <c r="BV44" s="57" t="s">
        <v>3753</v>
      </c>
      <c r="BW44" s="57" t="s">
        <v>3476</v>
      </c>
      <c r="BX44" s="57">
        <v>1020</v>
      </c>
      <c r="BY44" s="57" t="s">
        <v>3476</v>
      </c>
      <c r="BZ44" s="57" t="s">
        <v>3476</v>
      </c>
      <c r="CA44" s="57" t="s">
        <v>3476</v>
      </c>
      <c r="CB44" s="57" t="s">
        <v>3476</v>
      </c>
      <c r="CC44" s="57" t="s">
        <v>3476</v>
      </c>
      <c r="CD44" s="57" t="s">
        <v>3476</v>
      </c>
    </row>
    <row r="45" spans="1:82">
      <c r="A45" s="57">
        <v>1247</v>
      </c>
      <c r="B45" s="57" t="s">
        <v>3476</v>
      </c>
      <c r="C45" s="57" t="s">
        <v>3778</v>
      </c>
      <c r="D45" s="57" t="s">
        <v>3476</v>
      </c>
      <c r="E45" s="57" t="s">
        <v>3730</v>
      </c>
      <c r="F45" s="57" t="s">
        <v>3779</v>
      </c>
      <c r="G45" s="57" t="s">
        <v>721</v>
      </c>
      <c r="H45" s="57" t="s">
        <v>2874</v>
      </c>
      <c r="I45" s="57">
        <v>63536.29</v>
      </c>
      <c r="J45" s="57" t="s">
        <v>3476</v>
      </c>
      <c r="K45" s="57" t="s">
        <v>3476</v>
      </c>
      <c r="L45" s="57" t="s">
        <v>3732</v>
      </c>
      <c r="M45" s="57" t="s">
        <v>3780</v>
      </c>
      <c r="N45" s="57" t="s">
        <v>3780</v>
      </c>
      <c r="O45" s="57" t="s">
        <v>3476</v>
      </c>
      <c r="P45" s="57" t="s">
        <v>3476</v>
      </c>
      <c r="Q45" s="57" t="s">
        <v>2874</v>
      </c>
      <c r="R45" s="57" t="s">
        <v>3781</v>
      </c>
      <c r="S45" s="57" t="s">
        <v>3782</v>
      </c>
      <c r="T45" s="57" t="s">
        <v>3736</v>
      </c>
      <c r="U45" s="57" t="s">
        <v>3476</v>
      </c>
      <c r="V45" s="57" t="s">
        <v>3469</v>
      </c>
      <c r="W45" s="57" t="s">
        <v>3476</v>
      </c>
      <c r="X45" s="57" t="s">
        <v>3783</v>
      </c>
      <c r="Y45" s="57" t="s">
        <v>3738</v>
      </c>
      <c r="Z45" s="57" t="s">
        <v>3780</v>
      </c>
      <c r="AA45" s="57" t="s">
        <v>3757</v>
      </c>
      <c r="AB45" s="57" t="s">
        <v>3476</v>
      </c>
      <c r="AC45" s="57" t="s">
        <v>3741</v>
      </c>
      <c r="AD45" s="57" t="s">
        <v>3476</v>
      </c>
      <c r="AE45" s="57" t="s">
        <v>3476</v>
      </c>
      <c r="AF45" s="57" t="s">
        <v>3476</v>
      </c>
      <c r="AG45" s="57" t="s">
        <v>3476</v>
      </c>
      <c r="AH45" s="57" t="s">
        <v>3476</v>
      </c>
      <c r="AI45" s="57" t="s">
        <v>3476</v>
      </c>
      <c r="AJ45" s="57" t="s">
        <v>3476</v>
      </c>
      <c r="AK45" s="57" t="s">
        <v>1292</v>
      </c>
      <c r="AL45" s="57" t="s">
        <v>3784</v>
      </c>
      <c r="AM45" s="57" t="s">
        <v>3476</v>
      </c>
      <c r="AN45" s="57" t="s">
        <v>3785</v>
      </c>
      <c r="AO45" s="57" t="s">
        <v>3476</v>
      </c>
      <c r="AP45" s="58">
        <v>45826.7806828704</v>
      </c>
      <c r="AQ45" s="57" t="s">
        <v>3476</v>
      </c>
      <c r="AR45" s="57" t="s">
        <v>3744</v>
      </c>
      <c r="AS45" s="57" t="s">
        <v>3502</v>
      </c>
      <c r="AT45" s="57" t="s">
        <v>3745</v>
      </c>
      <c r="AU45" s="57" t="s">
        <v>3786</v>
      </c>
      <c r="AV45" s="57" t="s">
        <v>3476</v>
      </c>
      <c r="AW45" s="58">
        <v>45764.8716203704</v>
      </c>
      <c r="AX45" s="57" t="s">
        <v>3784</v>
      </c>
      <c r="AY45" s="57" t="s">
        <v>3747</v>
      </c>
      <c r="AZ45" s="57" t="s">
        <v>3476</v>
      </c>
      <c r="BA45" s="57" t="s">
        <v>3476</v>
      </c>
      <c r="BB45" s="57" t="s">
        <v>3476</v>
      </c>
      <c r="BC45" s="57" t="s">
        <v>3794</v>
      </c>
      <c r="BD45" s="57" t="s">
        <v>3659</v>
      </c>
      <c r="BE45" s="57" t="s">
        <v>3787</v>
      </c>
      <c r="BF45" s="57" t="s">
        <v>3749</v>
      </c>
      <c r="BG45" s="57" t="s">
        <v>3476</v>
      </c>
      <c r="BH45" s="57" t="s">
        <v>3476</v>
      </c>
      <c r="BI45" s="57" t="s">
        <v>2809</v>
      </c>
      <c r="BJ45" s="57" t="s">
        <v>3476</v>
      </c>
      <c r="BK45" s="57" t="s">
        <v>3476</v>
      </c>
      <c r="BL45" s="57">
        <v>3538823</v>
      </c>
      <c r="BM45" s="57" t="s">
        <v>3788</v>
      </c>
      <c r="BN45" s="57" t="s">
        <v>3476</v>
      </c>
      <c r="BO45" s="57">
        <v>14170</v>
      </c>
      <c r="BP45" s="57" t="s">
        <v>3751</v>
      </c>
      <c r="BQ45" s="57" t="s">
        <v>3476</v>
      </c>
      <c r="BR45" s="57" t="s">
        <v>3789</v>
      </c>
      <c r="BS45" s="57" t="s">
        <v>1292</v>
      </c>
      <c r="BT45" s="57" t="s">
        <v>3476</v>
      </c>
      <c r="BU45" s="57" t="s">
        <v>3476</v>
      </c>
      <c r="BV45" s="57" t="s">
        <v>3753</v>
      </c>
      <c r="BW45" s="57" t="s">
        <v>3476</v>
      </c>
      <c r="BX45" s="57">
        <v>14170</v>
      </c>
      <c r="BY45" s="57" t="s">
        <v>3476</v>
      </c>
      <c r="BZ45" s="57" t="s">
        <v>3476</v>
      </c>
      <c r="CA45" s="57" t="s">
        <v>3476</v>
      </c>
      <c r="CB45" s="57" t="s">
        <v>3476</v>
      </c>
      <c r="CC45" s="57" t="s">
        <v>3476</v>
      </c>
      <c r="CD45" s="57" t="s">
        <v>3476</v>
      </c>
    </row>
    <row r="46" spans="1:82">
      <c r="A46" s="57">
        <v>1248</v>
      </c>
      <c r="B46" s="57" t="s">
        <v>3476</v>
      </c>
      <c r="C46" s="57" t="s">
        <v>3778</v>
      </c>
      <c r="D46" s="57" t="s">
        <v>3476</v>
      </c>
      <c r="E46" s="57" t="s">
        <v>3730</v>
      </c>
      <c r="F46" s="57" t="s">
        <v>3779</v>
      </c>
      <c r="G46" s="57" t="s">
        <v>721</v>
      </c>
      <c r="H46" s="57" t="s">
        <v>2874</v>
      </c>
      <c r="I46" s="57">
        <v>63536.29</v>
      </c>
      <c r="J46" s="57" t="s">
        <v>3476</v>
      </c>
      <c r="K46" s="57" t="s">
        <v>3476</v>
      </c>
      <c r="L46" s="57" t="s">
        <v>3732</v>
      </c>
      <c r="M46" s="57" t="s">
        <v>3780</v>
      </c>
      <c r="N46" s="57" t="s">
        <v>3780</v>
      </c>
      <c r="O46" s="57" t="s">
        <v>3476</v>
      </c>
      <c r="P46" s="57" t="s">
        <v>3476</v>
      </c>
      <c r="Q46" s="57" t="s">
        <v>2874</v>
      </c>
      <c r="R46" s="57" t="s">
        <v>3781</v>
      </c>
      <c r="S46" s="57" t="s">
        <v>3782</v>
      </c>
      <c r="T46" s="57" t="s">
        <v>3736</v>
      </c>
      <c r="U46" s="57" t="s">
        <v>3476</v>
      </c>
      <c r="V46" s="57" t="s">
        <v>3469</v>
      </c>
      <c r="W46" s="57" t="s">
        <v>3476</v>
      </c>
      <c r="X46" s="57" t="s">
        <v>3783</v>
      </c>
      <c r="Y46" s="57" t="s">
        <v>3738</v>
      </c>
      <c r="Z46" s="57" t="s">
        <v>3780</v>
      </c>
      <c r="AA46" s="57" t="s">
        <v>3757</v>
      </c>
      <c r="AB46" s="57" t="s">
        <v>3476</v>
      </c>
      <c r="AC46" s="57" t="s">
        <v>3741</v>
      </c>
      <c r="AD46" s="57" t="s">
        <v>3476</v>
      </c>
      <c r="AE46" s="57" t="s">
        <v>3476</v>
      </c>
      <c r="AF46" s="57" t="s">
        <v>3476</v>
      </c>
      <c r="AG46" s="57" t="s">
        <v>3476</v>
      </c>
      <c r="AH46" s="57" t="s">
        <v>3476</v>
      </c>
      <c r="AI46" s="57" t="s">
        <v>3476</v>
      </c>
      <c r="AJ46" s="57" t="s">
        <v>3476</v>
      </c>
      <c r="AK46" s="57" t="s">
        <v>1292</v>
      </c>
      <c r="AL46" s="57" t="s">
        <v>3784</v>
      </c>
      <c r="AM46" s="57" t="s">
        <v>3476</v>
      </c>
      <c r="AN46" s="57" t="s">
        <v>3785</v>
      </c>
      <c r="AO46" s="57" t="s">
        <v>3476</v>
      </c>
      <c r="AP46" s="58">
        <v>45826.7806828704</v>
      </c>
      <c r="AQ46" s="57" t="s">
        <v>3476</v>
      </c>
      <c r="AR46" s="57" t="s">
        <v>3744</v>
      </c>
      <c r="AS46" s="57" t="s">
        <v>3502</v>
      </c>
      <c r="AT46" s="57" t="s">
        <v>3745</v>
      </c>
      <c r="AU46" s="57" t="s">
        <v>3786</v>
      </c>
      <c r="AV46" s="57" t="s">
        <v>3476</v>
      </c>
      <c r="AW46" s="58">
        <v>45764.8716203704</v>
      </c>
      <c r="AX46" s="57" t="s">
        <v>3784</v>
      </c>
      <c r="AY46" s="57" t="s">
        <v>3747</v>
      </c>
      <c r="AZ46" s="57" t="s">
        <v>3476</v>
      </c>
      <c r="BA46" s="57" t="s">
        <v>3476</v>
      </c>
      <c r="BB46" s="57" t="s">
        <v>3476</v>
      </c>
      <c r="BC46" s="57" t="s">
        <v>3794</v>
      </c>
      <c r="BD46" s="57" t="s">
        <v>3659</v>
      </c>
      <c r="BE46" s="57" t="s">
        <v>3787</v>
      </c>
      <c r="BF46" s="57" t="s">
        <v>3749</v>
      </c>
      <c r="BG46" s="57" t="s">
        <v>3476</v>
      </c>
      <c r="BH46" s="57" t="s">
        <v>3476</v>
      </c>
      <c r="BI46" s="57" t="s">
        <v>2809</v>
      </c>
      <c r="BJ46" s="57" t="s">
        <v>3476</v>
      </c>
      <c r="BK46" s="57" t="s">
        <v>3476</v>
      </c>
      <c r="BL46" s="57">
        <v>3538822</v>
      </c>
      <c r="BM46" s="57" t="s">
        <v>3788</v>
      </c>
      <c r="BN46" s="57" t="s">
        <v>3476</v>
      </c>
      <c r="BO46" s="57">
        <v>7104</v>
      </c>
      <c r="BP46" s="57" t="s">
        <v>3751</v>
      </c>
      <c r="BQ46" s="57" t="s">
        <v>3476</v>
      </c>
      <c r="BR46" s="57" t="s">
        <v>3789</v>
      </c>
      <c r="BS46" s="57" t="s">
        <v>1292</v>
      </c>
      <c r="BT46" s="57" t="s">
        <v>3476</v>
      </c>
      <c r="BU46" s="57" t="s">
        <v>3476</v>
      </c>
      <c r="BV46" s="57" t="s">
        <v>3753</v>
      </c>
      <c r="BW46" s="57" t="s">
        <v>3476</v>
      </c>
      <c r="BX46" s="57">
        <v>7104</v>
      </c>
      <c r="BY46" s="57" t="s">
        <v>3476</v>
      </c>
      <c r="BZ46" s="57" t="s">
        <v>3476</v>
      </c>
      <c r="CA46" s="57" t="s">
        <v>3476</v>
      </c>
      <c r="CB46" s="57" t="s">
        <v>3476</v>
      </c>
      <c r="CC46" s="57" t="s">
        <v>3476</v>
      </c>
      <c r="CD46" s="57" t="s">
        <v>3476</v>
      </c>
    </row>
    <row r="47" spans="1:82">
      <c r="A47" s="57">
        <v>1249</v>
      </c>
      <c r="B47" s="57" t="s">
        <v>3476</v>
      </c>
      <c r="C47" s="57" t="s">
        <v>3778</v>
      </c>
      <c r="D47" s="57" t="s">
        <v>3476</v>
      </c>
      <c r="E47" s="57" t="s">
        <v>3730</v>
      </c>
      <c r="F47" s="57" t="s">
        <v>3779</v>
      </c>
      <c r="G47" s="57" t="s">
        <v>721</v>
      </c>
      <c r="H47" s="57" t="s">
        <v>2874</v>
      </c>
      <c r="I47" s="57">
        <v>63536.29</v>
      </c>
      <c r="J47" s="57" t="s">
        <v>3476</v>
      </c>
      <c r="K47" s="57" t="s">
        <v>3476</v>
      </c>
      <c r="L47" s="57" t="s">
        <v>3732</v>
      </c>
      <c r="M47" s="57" t="s">
        <v>3780</v>
      </c>
      <c r="N47" s="57" t="s">
        <v>3780</v>
      </c>
      <c r="O47" s="57" t="s">
        <v>3476</v>
      </c>
      <c r="P47" s="57" t="s">
        <v>3476</v>
      </c>
      <c r="Q47" s="57" t="s">
        <v>2874</v>
      </c>
      <c r="R47" s="57" t="s">
        <v>3781</v>
      </c>
      <c r="S47" s="57" t="s">
        <v>3782</v>
      </c>
      <c r="T47" s="57" t="s">
        <v>3736</v>
      </c>
      <c r="U47" s="57" t="s">
        <v>3476</v>
      </c>
      <c r="V47" s="57" t="s">
        <v>3469</v>
      </c>
      <c r="W47" s="57" t="s">
        <v>3476</v>
      </c>
      <c r="X47" s="57" t="s">
        <v>3783</v>
      </c>
      <c r="Y47" s="57" t="s">
        <v>3738</v>
      </c>
      <c r="Z47" s="57" t="s">
        <v>3780</v>
      </c>
      <c r="AA47" s="57" t="s">
        <v>3757</v>
      </c>
      <c r="AB47" s="57" t="s">
        <v>3476</v>
      </c>
      <c r="AC47" s="57" t="s">
        <v>3741</v>
      </c>
      <c r="AD47" s="57" t="s">
        <v>3476</v>
      </c>
      <c r="AE47" s="57" t="s">
        <v>3476</v>
      </c>
      <c r="AF47" s="57" t="s">
        <v>3476</v>
      </c>
      <c r="AG47" s="57" t="s">
        <v>3476</v>
      </c>
      <c r="AH47" s="57" t="s">
        <v>3476</v>
      </c>
      <c r="AI47" s="57" t="s">
        <v>3476</v>
      </c>
      <c r="AJ47" s="57" t="s">
        <v>3476</v>
      </c>
      <c r="AK47" s="57" t="s">
        <v>1292</v>
      </c>
      <c r="AL47" s="57" t="s">
        <v>3784</v>
      </c>
      <c r="AM47" s="57" t="s">
        <v>3476</v>
      </c>
      <c r="AN47" s="57" t="s">
        <v>3785</v>
      </c>
      <c r="AO47" s="57" t="s">
        <v>3476</v>
      </c>
      <c r="AP47" s="58">
        <v>45826.7806828704</v>
      </c>
      <c r="AQ47" s="57" t="s">
        <v>3476</v>
      </c>
      <c r="AR47" s="57" t="s">
        <v>3744</v>
      </c>
      <c r="AS47" s="57" t="s">
        <v>3502</v>
      </c>
      <c r="AT47" s="57" t="s">
        <v>3745</v>
      </c>
      <c r="AU47" s="57" t="s">
        <v>3786</v>
      </c>
      <c r="AV47" s="57" t="s">
        <v>3476</v>
      </c>
      <c r="AW47" s="58">
        <v>45764.8716203704</v>
      </c>
      <c r="AX47" s="57" t="s">
        <v>3784</v>
      </c>
      <c r="AY47" s="57" t="s">
        <v>3747</v>
      </c>
      <c r="AZ47" s="57" t="s">
        <v>3476</v>
      </c>
      <c r="BA47" s="57" t="s">
        <v>3476</v>
      </c>
      <c r="BB47" s="57" t="s">
        <v>3476</v>
      </c>
      <c r="BC47" s="57" t="s">
        <v>3791</v>
      </c>
      <c r="BD47" s="57" t="s">
        <v>3659</v>
      </c>
      <c r="BE47" s="57" t="s">
        <v>3787</v>
      </c>
      <c r="BF47" s="57" t="s">
        <v>3749</v>
      </c>
      <c r="BG47" s="57" t="s">
        <v>3476</v>
      </c>
      <c r="BH47" s="57" t="s">
        <v>3476</v>
      </c>
      <c r="BI47" s="57" t="s">
        <v>2809</v>
      </c>
      <c r="BJ47" s="57" t="s">
        <v>3476</v>
      </c>
      <c r="BK47" s="57" t="s">
        <v>3476</v>
      </c>
      <c r="BL47" s="57">
        <v>3538825</v>
      </c>
      <c r="BM47" s="57" t="s">
        <v>3788</v>
      </c>
      <c r="BN47" s="57" t="s">
        <v>3476</v>
      </c>
      <c r="BO47" s="57">
        <v>570</v>
      </c>
      <c r="BP47" s="57" t="s">
        <v>3751</v>
      </c>
      <c r="BQ47" s="57" t="s">
        <v>3476</v>
      </c>
      <c r="BR47" s="57" t="s">
        <v>3789</v>
      </c>
      <c r="BS47" s="57" t="s">
        <v>1292</v>
      </c>
      <c r="BT47" s="57" t="s">
        <v>3476</v>
      </c>
      <c r="BU47" s="57" t="s">
        <v>3476</v>
      </c>
      <c r="BV47" s="57" t="s">
        <v>3753</v>
      </c>
      <c r="BW47" s="57" t="s">
        <v>3476</v>
      </c>
      <c r="BX47" s="57">
        <v>570</v>
      </c>
      <c r="BY47" s="57" t="s">
        <v>3476</v>
      </c>
      <c r="BZ47" s="57" t="s">
        <v>3476</v>
      </c>
      <c r="CA47" s="57" t="s">
        <v>3476</v>
      </c>
      <c r="CB47" s="57" t="s">
        <v>3476</v>
      </c>
      <c r="CC47" s="57" t="s">
        <v>3476</v>
      </c>
      <c r="CD47" s="57" t="s">
        <v>3476</v>
      </c>
    </row>
    <row r="48" spans="1:82">
      <c r="A48" s="57">
        <v>1250</v>
      </c>
      <c r="B48" s="57" t="s">
        <v>3476</v>
      </c>
      <c r="C48" s="57" t="s">
        <v>3778</v>
      </c>
      <c r="D48" s="57" t="s">
        <v>3476</v>
      </c>
      <c r="E48" s="57" t="s">
        <v>3730</v>
      </c>
      <c r="F48" s="57" t="s">
        <v>3779</v>
      </c>
      <c r="G48" s="57" t="s">
        <v>721</v>
      </c>
      <c r="H48" s="57" t="s">
        <v>2874</v>
      </c>
      <c r="I48" s="57">
        <v>63536.29</v>
      </c>
      <c r="J48" s="57" t="s">
        <v>3476</v>
      </c>
      <c r="K48" s="57" t="s">
        <v>3476</v>
      </c>
      <c r="L48" s="57" t="s">
        <v>3732</v>
      </c>
      <c r="M48" s="57" t="s">
        <v>3780</v>
      </c>
      <c r="N48" s="57" t="s">
        <v>3780</v>
      </c>
      <c r="O48" s="57" t="s">
        <v>3476</v>
      </c>
      <c r="P48" s="57" t="s">
        <v>3476</v>
      </c>
      <c r="Q48" s="57" t="s">
        <v>2874</v>
      </c>
      <c r="R48" s="57" t="s">
        <v>3781</v>
      </c>
      <c r="S48" s="57" t="s">
        <v>3782</v>
      </c>
      <c r="T48" s="57" t="s">
        <v>3736</v>
      </c>
      <c r="U48" s="57" t="s">
        <v>3476</v>
      </c>
      <c r="V48" s="57" t="s">
        <v>3469</v>
      </c>
      <c r="W48" s="57" t="s">
        <v>3476</v>
      </c>
      <c r="X48" s="57" t="s">
        <v>3783</v>
      </c>
      <c r="Y48" s="57" t="s">
        <v>3738</v>
      </c>
      <c r="Z48" s="57" t="s">
        <v>3780</v>
      </c>
      <c r="AA48" s="57" t="s">
        <v>3757</v>
      </c>
      <c r="AB48" s="57" t="s">
        <v>3476</v>
      </c>
      <c r="AC48" s="57" t="s">
        <v>3741</v>
      </c>
      <c r="AD48" s="57" t="s">
        <v>3476</v>
      </c>
      <c r="AE48" s="57" t="s">
        <v>3476</v>
      </c>
      <c r="AF48" s="57" t="s">
        <v>3476</v>
      </c>
      <c r="AG48" s="57" t="s">
        <v>3476</v>
      </c>
      <c r="AH48" s="57" t="s">
        <v>3476</v>
      </c>
      <c r="AI48" s="57" t="s">
        <v>3476</v>
      </c>
      <c r="AJ48" s="57" t="s">
        <v>3476</v>
      </c>
      <c r="AK48" s="57" t="s">
        <v>1292</v>
      </c>
      <c r="AL48" s="57" t="s">
        <v>3784</v>
      </c>
      <c r="AM48" s="57" t="s">
        <v>3476</v>
      </c>
      <c r="AN48" s="57" t="s">
        <v>3785</v>
      </c>
      <c r="AO48" s="57" t="s">
        <v>3476</v>
      </c>
      <c r="AP48" s="58">
        <v>45826.7806828704</v>
      </c>
      <c r="AQ48" s="57" t="s">
        <v>3476</v>
      </c>
      <c r="AR48" s="57" t="s">
        <v>3744</v>
      </c>
      <c r="AS48" s="57" t="s">
        <v>3502</v>
      </c>
      <c r="AT48" s="57" t="s">
        <v>3745</v>
      </c>
      <c r="AU48" s="57" t="s">
        <v>3786</v>
      </c>
      <c r="AV48" s="57" t="s">
        <v>3476</v>
      </c>
      <c r="AW48" s="58">
        <v>45764.8716203704</v>
      </c>
      <c r="AX48" s="57" t="s">
        <v>3784</v>
      </c>
      <c r="AY48" s="57" t="s">
        <v>3747</v>
      </c>
      <c r="AZ48" s="57" t="s">
        <v>3476</v>
      </c>
      <c r="BA48" s="57" t="s">
        <v>3476</v>
      </c>
      <c r="BB48" s="57" t="s">
        <v>3476</v>
      </c>
      <c r="BC48" s="57" t="s">
        <v>3794</v>
      </c>
      <c r="BD48" s="57" t="s">
        <v>3659</v>
      </c>
      <c r="BE48" s="57" t="s">
        <v>3787</v>
      </c>
      <c r="BF48" s="57" t="s">
        <v>3749</v>
      </c>
      <c r="BG48" s="57" t="s">
        <v>3476</v>
      </c>
      <c r="BH48" s="57" t="s">
        <v>3476</v>
      </c>
      <c r="BI48" s="57" t="s">
        <v>2809</v>
      </c>
      <c r="BJ48" s="57" t="s">
        <v>3476</v>
      </c>
      <c r="BK48" s="57" t="s">
        <v>3476</v>
      </c>
      <c r="BL48" s="57">
        <v>3538824</v>
      </c>
      <c r="BM48" s="57" t="s">
        <v>3788</v>
      </c>
      <c r="BN48" s="57" t="s">
        <v>3476</v>
      </c>
      <c r="BO48" s="57">
        <v>12540</v>
      </c>
      <c r="BP48" s="57" t="s">
        <v>3751</v>
      </c>
      <c r="BQ48" s="57" t="s">
        <v>3476</v>
      </c>
      <c r="BR48" s="57" t="s">
        <v>3789</v>
      </c>
      <c r="BS48" s="57" t="s">
        <v>1292</v>
      </c>
      <c r="BT48" s="57" t="s">
        <v>3476</v>
      </c>
      <c r="BU48" s="57" t="s">
        <v>3476</v>
      </c>
      <c r="BV48" s="57" t="s">
        <v>3753</v>
      </c>
      <c r="BW48" s="57" t="s">
        <v>3476</v>
      </c>
      <c r="BX48" s="57">
        <v>12540</v>
      </c>
      <c r="BY48" s="57" t="s">
        <v>3476</v>
      </c>
      <c r="BZ48" s="57" t="s">
        <v>3476</v>
      </c>
      <c r="CA48" s="57" t="s">
        <v>3476</v>
      </c>
      <c r="CB48" s="57" t="s">
        <v>3476</v>
      </c>
      <c r="CC48" s="57" t="s">
        <v>3476</v>
      </c>
      <c r="CD48" s="57" t="s">
        <v>3476</v>
      </c>
    </row>
    <row r="49" spans="1:82">
      <c r="A49" s="57">
        <v>1251</v>
      </c>
      <c r="B49" s="57" t="s">
        <v>3476</v>
      </c>
      <c r="C49" s="57" t="s">
        <v>3778</v>
      </c>
      <c r="D49" s="57" t="s">
        <v>3476</v>
      </c>
      <c r="E49" s="57" t="s">
        <v>3730</v>
      </c>
      <c r="F49" s="57" t="s">
        <v>3779</v>
      </c>
      <c r="G49" s="57" t="s">
        <v>721</v>
      </c>
      <c r="H49" s="57" t="s">
        <v>2874</v>
      </c>
      <c r="I49" s="57">
        <v>63536.29</v>
      </c>
      <c r="J49" s="57" t="s">
        <v>3476</v>
      </c>
      <c r="K49" s="57" t="s">
        <v>3476</v>
      </c>
      <c r="L49" s="57" t="s">
        <v>3732</v>
      </c>
      <c r="M49" s="57" t="s">
        <v>3780</v>
      </c>
      <c r="N49" s="57" t="s">
        <v>3780</v>
      </c>
      <c r="O49" s="57" t="s">
        <v>3476</v>
      </c>
      <c r="P49" s="57" t="s">
        <v>3476</v>
      </c>
      <c r="Q49" s="57" t="s">
        <v>2874</v>
      </c>
      <c r="R49" s="57" t="s">
        <v>3781</v>
      </c>
      <c r="S49" s="57" t="s">
        <v>3782</v>
      </c>
      <c r="T49" s="57" t="s">
        <v>3736</v>
      </c>
      <c r="U49" s="57" t="s">
        <v>3476</v>
      </c>
      <c r="V49" s="57" t="s">
        <v>3469</v>
      </c>
      <c r="W49" s="57" t="s">
        <v>3476</v>
      </c>
      <c r="X49" s="57" t="s">
        <v>3783</v>
      </c>
      <c r="Y49" s="57" t="s">
        <v>3738</v>
      </c>
      <c r="Z49" s="57" t="s">
        <v>3780</v>
      </c>
      <c r="AA49" s="57" t="s">
        <v>3757</v>
      </c>
      <c r="AB49" s="57" t="s">
        <v>3476</v>
      </c>
      <c r="AC49" s="57" t="s">
        <v>3741</v>
      </c>
      <c r="AD49" s="57" t="s">
        <v>3476</v>
      </c>
      <c r="AE49" s="57" t="s">
        <v>3476</v>
      </c>
      <c r="AF49" s="57" t="s">
        <v>3476</v>
      </c>
      <c r="AG49" s="57" t="s">
        <v>3476</v>
      </c>
      <c r="AH49" s="57" t="s">
        <v>3476</v>
      </c>
      <c r="AI49" s="57" t="s">
        <v>3476</v>
      </c>
      <c r="AJ49" s="57" t="s">
        <v>3476</v>
      </c>
      <c r="AK49" s="57" t="s">
        <v>1292</v>
      </c>
      <c r="AL49" s="57" t="s">
        <v>3784</v>
      </c>
      <c r="AM49" s="57" t="s">
        <v>3476</v>
      </c>
      <c r="AN49" s="57" t="s">
        <v>3785</v>
      </c>
      <c r="AO49" s="57" t="s">
        <v>3476</v>
      </c>
      <c r="AP49" s="58">
        <v>45826.7806828704</v>
      </c>
      <c r="AQ49" s="57" t="s">
        <v>3476</v>
      </c>
      <c r="AR49" s="57" t="s">
        <v>3744</v>
      </c>
      <c r="AS49" s="57" t="s">
        <v>3502</v>
      </c>
      <c r="AT49" s="57" t="s">
        <v>3745</v>
      </c>
      <c r="AU49" s="57" t="s">
        <v>3786</v>
      </c>
      <c r="AV49" s="57" t="s">
        <v>3476</v>
      </c>
      <c r="AW49" s="58">
        <v>45764.8716203704</v>
      </c>
      <c r="AX49" s="57" t="s">
        <v>3784</v>
      </c>
      <c r="AY49" s="57" t="s">
        <v>3747</v>
      </c>
      <c r="AZ49" s="57" t="s">
        <v>3476</v>
      </c>
      <c r="BA49" s="57" t="s">
        <v>3476</v>
      </c>
      <c r="BB49" s="57" t="s">
        <v>3476</v>
      </c>
      <c r="BC49" s="57" t="s">
        <v>3791</v>
      </c>
      <c r="BD49" s="57" t="s">
        <v>3659</v>
      </c>
      <c r="BE49" s="57" t="s">
        <v>3787</v>
      </c>
      <c r="BF49" s="57" t="s">
        <v>3749</v>
      </c>
      <c r="BG49" s="57" t="s">
        <v>3476</v>
      </c>
      <c r="BH49" s="57" t="s">
        <v>3476</v>
      </c>
      <c r="BI49" s="57" t="s">
        <v>2809</v>
      </c>
      <c r="BJ49" s="57" t="s">
        <v>3476</v>
      </c>
      <c r="BK49" s="57" t="s">
        <v>3476</v>
      </c>
      <c r="BL49" s="57">
        <v>3538827</v>
      </c>
      <c r="BM49" s="57" t="s">
        <v>3788</v>
      </c>
      <c r="BN49" s="57" t="s">
        <v>3476</v>
      </c>
      <c r="BO49" s="57">
        <v>1388.75</v>
      </c>
      <c r="BP49" s="57" t="s">
        <v>3751</v>
      </c>
      <c r="BQ49" s="57" t="s">
        <v>3476</v>
      </c>
      <c r="BR49" s="57" t="s">
        <v>3789</v>
      </c>
      <c r="BS49" s="57" t="s">
        <v>1292</v>
      </c>
      <c r="BT49" s="57" t="s">
        <v>3476</v>
      </c>
      <c r="BU49" s="57" t="s">
        <v>3476</v>
      </c>
      <c r="BV49" s="57" t="s">
        <v>3753</v>
      </c>
      <c r="BW49" s="57" t="s">
        <v>3476</v>
      </c>
      <c r="BX49" s="57">
        <v>1388.75</v>
      </c>
      <c r="BY49" s="57" t="s">
        <v>3476</v>
      </c>
      <c r="BZ49" s="57" t="s">
        <v>3476</v>
      </c>
      <c r="CA49" s="57" t="s">
        <v>3476</v>
      </c>
      <c r="CB49" s="57" t="s">
        <v>3476</v>
      </c>
      <c r="CC49" s="57" t="s">
        <v>3476</v>
      </c>
      <c r="CD49" s="57" t="s">
        <v>3476</v>
      </c>
    </row>
    <row r="50" spans="1:82">
      <c r="A50" s="57">
        <v>1252</v>
      </c>
      <c r="B50" s="57" t="s">
        <v>3476</v>
      </c>
      <c r="C50" s="57" t="s">
        <v>3778</v>
      </c>
      <c r="D50" s="57" t="s">
        <v>3476</v>
      </c>
      <c r="E50" s="57" t="s">
        <v>3730</v>
      </c>
      <c r="F50" s="57" t="s">
        <v>3779</v>
      </c>
      <c r="G50" s="57" t="s">
        <v>721</v>
      </c>
      <c r="H50" s="57" t="s">
        <v>2874</v>
      </c>
      <c r="I50" s="57">
        <v>63536.29</v>
      </c>
      <c r="J50" s="57" t="s">
        <v>3476</v>
      </c>
      <c r="K50" s="57" t="s">
        <v>3476</v>
      </c>
      <c r="L50" s="57" t="s">
        <v>3732</v>
      </c>
      <c r="M50" s="57" t="s">
        <v>3780</v>
      </c>
      <c r="N50" s="57" t="s">
        <v>3780</v>
      </c>
      <c r="O50" s="57" t="s">
        <v>3476</v>
      </c>
      <c r="P50" s="57" t="s">
        <v>3476</v>
      </c>
      <c r="Q50" s="57" t="s">
        <v>2874</v>
      </c>
      <c r="R50" s="57" t="s">
        <v>3781</v>
      </c>
      <c r="S50" s="57" t="s">
        <v>3782</v>
      </c>
      <c r="T50" s="57" t="s">
        <v>3736</v>
      </c>
      <c r="U50" s="57" t="s">
        <v>3476</v>
      </c>
      <c r="V50" s="57" t="s">
        <v>3469</v>
      </c>
      <c r="W50" s="57" t="s">
        <v>3476</v>
      </c>
      <c r="X50" s="57" t="s">
        <v>3783</v>
      </c>
      <c r="Y50" s="57" t="s">
        <v>3738</v>
      </c>
      <c r="Z50" s="57" t="s">
        <v>3780</v>
      </c>
      <c r="AA50" s="57" t="s">
        <v>3757</v>
      </c>
      <c r="AB50" s="57" t="s">
        <v>3476</v>
      </c>
      <c r="AC50" s="57" t="s">
        <v>3741</v>
      </c>
      <c r="AD50" s="57" t="s">
        <v>3476</v>
      </c>
      <c r="AE50" s="57" t="s">
        <v>3476</v>
      </c>
      <c r="AF50" s="57" t="s">
        <v>3476</v>
      </c>
      <c r="AG50" s="57" t="s">
        <v>3476</v>
      </c>
      <c r="AH50" s="57" t="s">
        <v>3476</v>
      </c>
      <c r="AI50" s="57" t="s">
        <v>3476</v>
      </c>
      <c r="AJ50" s="57" t="s">
        <v>3476</v>
      </c>
      <c r="AK50" s="57" t="s">
        <v>1292</v>
      </c>
      <c r="AL50" s="57" t="s">
        <v>3784</v>
      </c>
      <c r="AM50" s="57" t="s">
        <v>3476</v>
      </c>
      <c r="AN50" s="57" t="s">
        <v>3785</v>
      </c>
      <c r="AO50" s="57" t="s">
        <v>3476</v>
      </c>
      <c r="AP50" s="58">
        <v>45826.7806828704</v>
      </c>
      <c r="AQ50" s="57" t="s">
        <v>3476</v>
      </c>
      <c r="AR50" s="57" t="s">
        <v>3744</v>
      </c>
      <c r="AS50" s="57" t="s">
        <v>3502</v>
      </c>
      <c r="AT50" s="57" t="s">
        <v>3745</v>
      </c>
      <c r="AU50" s="57" t="s">
        <v>3786</v>
      </c>
      <c r="AV50" s="57" t="s">
        <v>3476</v>
      </c>
      <c r="AW50" s="58">
        <v>45764.8716203704</v>
      </c>
      <c r="AX50" s="57" t="s">
        <v>3784</v>
      </c>
      <c r="AY50" s="57" t="s">
        <v>3747</v>
      </c>
      <c r="AZ50" s="57" t="s">
        <v>3476</v>
      </c>
      <c r="BA50" s="57" t="s">
        <v>3476</v>
      </c>
      <c r="BB50" s="57" t="s">
        <v>3476</v>
      </c>
      <c r="BC50" s="57" t="s">
        <v>3791</v>
      </c>
      <c r="BD50" s="57" t="s">
        <v>3659</v>
      </c>
      <c r="BE50" s="57" t="s">
        <v>3787</v>
      </c>
      <c r="BF50" s="57" t="s">
        <v>3749</v>
      </c>
      <c r="BG50" s="57" t="s">
        <v>3476</v>
      </c>
      <c r="BH50" s="57" t="s">
        <v>3476</v>
      </c>
      <c r="BI50" s="57" t="s">
        <v>2809</v>
      </c>
      <c r="BJ50" s="57" t="s">
        <v>3476</v>
      </c>
      <c r="BK50" s="57" t="s">
        <v>3476</v>
      </c>
      <c r="BL50" s="57">
        <v>3538826</v>
      </c>
      <c r="BM50" s="57" t="s">
        <v>3788</v>
      </c>
      <c r="BN50" s="57" t="s">
        <v>3476</v>
      </c>
      <c r="BO50" s="57">
        <v>3543.2</v>
      </c>
      <c r="BP50" s="57" t="s">
        <v>3751</v>
      </c>
      <c r="BQ50" s="57" t="s">
        <v>3476</v>
      </c>
      <c r="BR50" s="57" t="s">
        <v>3789</v>
      </c>
      <c r="BS50" s="57" t="s">
        <v>1292</v>
      </c>
      <c r="BT50" s="57" t="s">
        <v>3476</v>
      </c>
      <c r="BU50" s="57" t="s">
        <v>3476</v>
      </c>
      <c r="BV50" s="57" t="s">
        <v>3753</v>
      </c>
      <c r="BW50" s="57" t="s">
        <v>3476</v>
      </c>
      <c r="BX50" s="57">
        <v>3543.2</v>
      </c>
      <c r="BY50" s="57" t="s">
        <v>3476</v>
      </c>
      <c r="BZ50" s="57" t="s">
        <v>3476</v>
      </c>
      <c r="CA50" s="57" t="s">
        <v>3476</v>
      </c>
      <c r="CB50" s="57" t="s">
        <v>3476</v>
      </c>
      <c r="CC50" s="57" t="s">
        <v>3476</v>
      </c>
      <c r="CD50" s="57" t="s">
        <v>3476</v>
      </c>
    </row>
    <row r="51" spans="1:82">
      <c r="A51" s="57">
        <v>1253</v>
      </c>
      <c r="B51" s="57" t="s">
        <v>3476</v>
      </c>
      <c r="C51" s="57" t="s">
        <v>3778</v>
      </c>
      <c r="D51" s="57" t="s">
        <v>3476</v>
      </c>
      <c r="E51" s="57" t="s">
        <v>3730</v>
      </c>
      <c r="F51" s="57" t="s">
        <v>3779</v>
      </c>
      <c r="G51" s="57" t="s">
        <v>721</v>
      </c>
      <c r="H51" s="57" t="s">
        <v>2874</v>
      </c>
      <c r="I51" s="57">
        <v>63536.29</v>
      </c>
      <c r="J51" s="57" t="s">
        <v>3476</v>
      </c>
      <c r="K51" s="57" t="s">
        <v>3476</v>
      </c>
      <c r="L51" s="57" t="s">
        <v>3732</v>
      </c>
      <c r="M51" s="57" t="s">
        <v>3780</v>
      </c>
      <c r="N51" s="57" t="s">
        <v>3780</v>
      </c>
      <c r="O51" s="57" t="s">
        <v>3476</v>
      </c>
      <c r="P51" s="57" t="s">
        <v>3476</v>
      </c>
      <c r="Q51" s="57" t="s">
        <v>2874</v>
      </c>
      <c r="R51" s="57" t="s">
        <v>3781</v>
      </c>
      <c r="S51" s="57" t="s">
        <v>3782</v>
      </c>
      <c r="T51" s="57" t="s">
        <v>3736</v>
      </c>
      <c r="U51" s="57" t="s">
        <v>3476</v>
      </c>
      <c r="V51" s="57" t="s">
        <v>3469</v>
      </c>
      <c r="W51" s="57" t="s">
        <v>3476</v>
      </c>
      <c r="X51" s="57" t="s">
        <v>3783</v>
      </c>
      <c r="Y51" s="57" t="s">
        <v>3738</v>
      </c>
      <c r="Z51" s="57" t="s">
        <v>3780</v>
      </c>
      <c r="AA51" s="57" t="s">
        <v>3757</v>
      </c>
      <c r="AB51" s="57" t="s">
        <v>3476</v>
      </c>
      <c r="AC51" s="57" t="s">
        <v>3741</v>
      </c>
      <c r="AD51" s="57" t="s">
        <v>3476</v>
      </c>
      <c r="AE51" s="57" t="s">
        <v>3476</v>
      </c>
      <c r="AF51" s="57" t="s">
        <v>3476</v>
      </c>
      <c r="AG51" s="57" t="s">
        <v>3476</v>
      </c>
      <c r="AH51" s="57" t="s">
        <v>3476</v>
      </c>
      <c r="AI51" s="57" t="s">
        <v>3476</v>
      </c>
      <c r="AJ51" s="57" t="s">
        <v>3476</v>
      </c>
      <c r="AK51" s="57" t="s">
        <v>1292</v>
      </c>
      <c r="AL51" s="57" t="s">
        <v>3784</v>
      </c>
      <c r="AM51" s="57" t="s">
        <v>3476</v>
      </c>
      <c r="AN51" s="57" t="s">
        <v>3785</v>
      </c>
      <c r="AO51" s="57" t="s">
        <v>3476</v>
      </c>
      <c r="AP51" s="58">
        <v>45826.7806828704</v>
      </c>
      <c r="AQ51" s="57" t="s">
        <v>3476</v>
      </c>
      <c r="AR51" s="57" t="s">
        <v>3744</v>
      </c>
      <c r="AS51" s="57" t="s">
        <v>3502</v>
      </c>
      <c r="AT51" s="57" t="s">
        <v>3745</v>
      </c>
      <c r="AU51" s="57" t="s">
        <v>3786</v>
      </c>
      <c r="AV51" s="57" t="s">
        <v>3476</v>
      </c>
      <c r="AW51" s="58">
        <v>45764.8716203704</v>
      </c>
      <c r="AX51" s="57" t="s">
        <v>3784</v>
      </c>
      <c r="AY51" s="57" t="s">
        <v>3747</v>
      </c>
      <c r="AZ51" s="57" t="s">
        <v>3476</v>
      </c>
      <c r="BA51" s="57" t="s">
        <v>3476</v>
      </c>
      <c r="BB51" s="57" t="s">
        <v>3476</v>
      </c>
      <c r="BC51" s="57" t="s">
        <v>3791</v>
      </c>
      <c r="BD51" s="57" t="s">
        <v>3659</v>
      </c>
      <c r="BE51" s="57" t="s">
        <v>3787</v>
      </c>
      <c r="BF51" s="57" t="s">
        <v>3749</v>
      </c>
      <c r="BG51" s="57" t="s">
        <v>3476</v>
      </c>
      <c r="BH51" s="57" t="s">
        <v>3476</v>
      </c>
      <c r="BI51" s="57" t="s">
        <v>2809</v>
      </c>
      <c r="BJ51" s="57" t="s">
        <v>3476</v>
      </c>
      <c r="BK51" s="57" t="s">
        <v>3476</v>
      </c>
      <c r="BL51" s="57">
        <v>3538829</v>
      </c>
      <c r="BM51" s="57" t="s">
        <v>3788</v>
      </c>
      <c r="BN51" s="57" t="s">
        <v>3476</v>
      </c>
      <c r="BO51" s="57">
        <v>2325</v>
      </c>
      <c r="BP51" s="57" t="s">
        <v>3751</v>
      </c>
      <c r="BQ51" s="57" t="s">
        <v>3476</v>
      </c>
      <c r="BR51" s="57" t="s">
        <v>3789</v>
      </c>
      <c r="BS51" s="57" t="s">
        <v>1292</v>
      </c>
      <c r="BT51" s="57" t="s">
        <v>3476</v>
      </c>
      <c r="BU51" s="57" t="s">
        <v>3476</v>
      </c>
      <c r="BV51" s="57" t="s">
        <v>3753</v>
      </c>
      <c r="BW51" s="57" t="s">
        <v>3476</v>
      </c>
      <c r="BX51" s="57">
        <v>2325</v>
      </c>
      <c r="BY51" s="57" t="s">
        <v>3476</v>
      </c>
      <c r="BZ51" s="57" t="s">
        <v>3476</v>
      </c>
      <c r="CA51" s="57" t="s">
        <v>3476</v>
      </c>
      <c r="CB51" s="57" t="s">
        <v>3476</v>
      </c>
      <c r="CC51" s="57" t="s">
        <v>3476</v>
      </c>
      <c r="CD51" s="57" t="s">
        <v>3476</v>
      </c>
    </row>
    <row r="52" spans="1:82">
      <c r="A52" s="57">
        <v>1254</v>
      </c>
      <c r="B52" s="57" t="s">
        <v>3476</v>
      </c>
      <c r="C52" s="57" t="s">
        <v>3778</v>
      </c>
      <c r="D52" s="57" t="s">
        <v>3476</v>
      </c>
      <c r="E52" s="57" t="s">
        <v>3730</v>
      </c>
      <c r="F52" s="57" t="s">
        <v>3779</v>
      </c>
      <c r="G52" s="57" t="s">
        <v>721</v>
      </c>
      <c r="H52" s="57" t="s">
        <v>2874</v>
      </c>
      <c r="I52" s="57">
        <v>63536.29</v>
      </c>
      <c r="J52" s="57" t="s">
        <v>3476</v>
      </c>
      <c r="K52" s="57" t="s">
        <v>3476</v>
      </c>
      <c r="L52" s="57" t="s">
        <v>3732</v>
      </c>
      <c r="M52" s="57" t="s">
        <v>3780</v>
      </c>
      <c r="N52" s="57" t="s">
        <v>3780</v>
      </c>
      <c r="O52" s="57" t="s">
        <v>3476</v>
      </c>
      <c r="P52" s="57" t="s">
        <v>3476</v>
      </c>
      <c r="Q52" s="57" t="s">
        <v>2874</v>
      </c>
      <c r="R52" s="57" t="s">
        <v>3781</v>
      </c>
      <c r="S52" s="57" t="s">
        <v>3782</v>
      </c>
      <c r="T52" s="57" t="s">
        <v>3736</v>
      </c>
      <c r="U52" s="57" t="s">
        <v>3476</v>
      </c>
      <c r="V52" s="57" t="s">
        <v>3469</v>
      </c>
      <c r="W52" s="57" t="s">
        <v>3476</v>
      </c>
      <c r="X52" s="57" t="s">
        <v>3783</v>
      </c>
      <c r="Y52" s="57" t="s">
        <v>3738</v>
      </c>
      <c r="Z52" s="57" t="s">
        <v>3780</v>
      </c>
      <c r="AA52" s="57" t="s">
        <v>3757</v>
      </c>
      <c r="AB52" s="57" t="s">
        <v>3476</v>
      </c>
      <c r="AC52" s="57" t="s">
        <v>3741</v>
      </c>
      <c r="AD52" s="57" t="s">
        <v>3476</v>
      </c>
      <c r="AE52" s="57" t="s">
        <v>3476</v>
      </c>
      <c r="AF52" s="57" t="s">
        <v>3476</v>
      </c>
      <c r="AG52" s="57" t="s">
        <v>3476</v>
      </c>
      <c r="AH52" s="57" t="s">
        <v>3476</v>
      </c>
      <c r="AI52" s="57" t="s">
        <v>3476</v>
      </c>
      <c r="AJ52" s="57" t="s">
        <v>3476</v>
      </c>
      <c r="AK52" s="57" t="s">
        <v>1292</v>
      </c>
      <c r="AL52" s="57" t="s">
        <v>3784</v>
      </c>
      <c r="AM52" s="57" t="s">
        <v>3476</v>
      </c>
      <c r="AN52" s="57" t="s">
        <v>3785</v>
      </c>
      <c r="AO52" s="57" t="s">
        <v>3476</v>
      </c>
      <c r="AP52" s="58">
        <v>45826.7806828704</v>
      </c>
      <c r="AQ52" s="57" t="s">
        <v>3476</v>
      </c>
      <c r="AR52" s="57" t="s">
        <v>3744</v>
      </c>
      <c r="AS52" s="57" t="s">
        <v>3502</v>
      </c>
      <c r="AT52" s="57" t="s">
        <v>3745</v>
      </c>
      <c r="AU52" s="57" t="s">
        <v>3786</v>
      </c>
      <c r="AV52" s="57" t="s">
        <v>3476</v>
      </c>
      <c r="AW52" s="58">
        <v>45764.8716203704</v>
      </c>
      <c r="AX52" s="57" t="s">
        <v>3784</v>
      </c>
      <c r="AY52" s="57" t="s">
        <v>3747</v>
      </c>
      <c r="AZ52" s="57" t="s">
        <v>3476</v>
      </c>
      <c r="BA52" s="57" t="s">
        <v>3476</v>
      </c>
      <c r="BB52" s="57" t="s">
        <v>3476</v>
      </c>
      <c r="BC52" s="57" t="s">
        <v>3791</v>
      </c>
      <c r="BD52" s="57" t="s">
        <v>3659</v>
      </c>
      <c r="BE52" s="57" t="s">
        <v>3787</v>
      </c>
      <c r="BF52" s="57" t="s">
        <v>3749</v>
      </c>
      <c r="BG52" s="57" t="s">
        <v>3476</v>
      </c>
      <c r="BH52" s="57" t="s">
        <v>3476</v>
      </c>
      <c r="BI52" s="57" t="s">
        <v>2809</v>
      </c>
      <c r="BJ52" s="57" t="s">
        <v>3476</v>
      </c>
      <c r="BK52" s="57" t="s">
        <v>3476</v>
      </c>
      <c r="BL52" s="57">
        <v>3538828</v>
      </c>
      <c r="BM52" s="57" t="s">
        <v>3788</v>
      </c>
      <c r="BN52" s="57" t="s">
        <v>3476</v>
      </c>
      <c r="BO52" s="57">
        <v>3330.63</v>
      </c>
      <c r="BP52" s="57" t="s">
        <v>3751</v>
      </c>
      <c r="BQ52" s="57" t="s">
        <v>3476</v>
      </c>
      <c r="BR52" s="57" t="s">
        <v>3789</v>
      </c>
      <c r="BS52" s="57" t="s">
        <v>1292</v>
      </c>
      <c r="BT52" s="57" t="s">
        <v>3476</v>
      </c>
      <c r="BU52" s="57" t="s">
        <v>3476</v>
      </c>
      <c r="BV52" s="57" t="s">
        <v>3753</v>
      </c>
      <c r="BW52" s="57" t="s">
        <v>3476</v>
      </c>
      <c r="BX52" s="57">
        <v>3330.63</v>
      </c>
      <c r="BY52" s="57" t="s">
        <v>3476</v>
      </c>
      <c r="BZ52" s="57" t="s">
        <v>3476</v>
      </c>
      <c r="CA52" s="57" t="s">
        <v>3476</v>
      </c>
      <c r="CB52" s="57" t="s">
        <v>3476</v>
      </c>
      <c r="CC52" s="57" t="s">
        <v>3476</v>
      </c>
      <c r="CD52" s="57" t="s">
        <v>3476</v>
      </c>
    </row>
    <row r="53" spans="1:82">
      <c r="A53" s="57">
        <v>1255</v>
      </c>
      <c r="B53" s="57" t="s">
        <v>3476</v>
      </c>
      <c r="C53" s="57" t="s">
        <v>3778</v>
      </c>
      <c r="D53" s="57" t="s">
        <v>3476</v>
      </c>
      <c r="E53" s="57" t="s">
        <v>3730</v>
      </c>
      <c r="F53" s="57" t="s">
        <v>3779</v>
      </c>
      <c r="G53" s="57" t="s">
        <v>721</v>
      </c>
      <c r="H53" s="57" t="s">
        <v>2874</v>
      </c>
      <c r="I53" s="57">
        <v>63536.29</v>
      </c>
      <c r="J53" s="57" t="s">
        <v>3476</v>
      </c>
      <c r="K53" s="57" t="s">
        <v>3476</v>
      </c>
      <c r="L53" s="57" t="s">
        <v>3732</v>
      </c>
      <c r="M53" s="57" t="s">
        <v>3780</v>
      </c>
      <c r="N53" s="57" t="s">
        <v>3780</v>
      </c>
      <c r="O53" s="57" t="s">
        <v>3476</v>
      </c>
      <c r="P53" s="57" t="s">
        <v>3476</v>
      </c>
      <c r="Q53" s="57" t="s">
        <v>2874</v>
      </c>
      <c r="R53" s="57" t="s">
        <v>3781</v>
      </c>
      <c r="S53" s="57" t="s">
        <v>3782</v>
      </c>
      <c r="T53" s="57" t="s">
        <v>3736</v>
      </c>
      <c r="U53" s="57" t="s">
        <v>3476</v>
      </c>
      <c r="V53" s="57" t="s">
        <v>3469</v>
      </c>
      <c r="W53" s="57" t="s">
        <v>3476</v>
      </c>
      <c r="X53" s="57" t="s">
        <v>3783</v>
      </c>
      <c r="Y53" s="57" t="s">
        <v>3738</v>
      </c>
      <c r="Z53" s="57" t="s">
        <v>3780</v>
      </c>
      <c r="AA53" s="57" t="s">
        <v>3757</v>
      </c>
      <c r="AB53" s="57" t="s">
        <v>3476</v>
      </c>
      <c r="AC53" s="57" t="s">
        <v>3741</v>
      </c>
      <c r="AD53" s="57" t="s">
        <v>3476</v>
      </c>
      <c r="AE53" s="57" t="s">
        <v>3476</v>
      </c>
      <c r="AF53" s="57" t="s">
        <v>3476</v>
      </c>
      <c r="AG53" s="57" t="s">
        <v>3476</v>
      </c>
      <c r="AH53" s="57" t="s">
        <v>3476</v>
      </c>
      <c r="AI53" s="57" t="s">
        <v>3476</v>
      </c>
      <c r="AJ53" s="57" t="s">
        <v>3476</v>
      </c>
      <c r="AK53" s="57" t="s">
        <v>1292</v>
      </c>
      <c r="AL53" s="57" t="s">
        <v>3784</v>
      </c>
      <c r="AM53" s="57" t="s">
        <v>3476</v>
      </c>
      <c r="AN53" s="57" t="s">
        <v>3785</v>
      </c>
      <c r="AO53" s="57" t="s">
        <v>3476</v>
      </c>
      <c r="AP53" s="58">
        <v>45826.7806828704</v>
      </c>
      <c r="AQ53" s="57" t="s">
        <v>3476</v>
      </c>
      <c r="AR53" s="57" t="s">
        <v>3744</v>
      </c>
      <c r="AS53" s="57" t="s">
        <v>3502</v>
      </c>
      <c r="AT53" s="57" t="s">
        <v>3745</v>
      </c>
      <c r="AU53" s="57" t="s">
        <v>3786</v>
      </c>
      <c r="AV53" s="57" t="s">
        <v>3476</v>
      </c>
      <c r="AW53" s="58">
        <v>45764.8716203704</v>
      </c>
      <c r="AX53" s="57" t="s">
        <v>3784</v>
      </c>
      <c r="AY53" s="57" t="s">
        <v>3747</v>
      </c>
      <c r="AZ53" s="57" t="s">
        <v>3476</v>
      </c>
      <c r="BA53" s="57" t="s">
        <v>3476</v>
      </c>
      <c r="BB53" s="57" t="s">
        <v>3476</v>
      </c>
      <c r="BC53" s="57" t="s">
        <v>1787</v>
      </c>
      <c r="BD53" s="57" t="s">
        <v>3659</v>
      </c>
      <c r="BE53" s="57" t="s">
        <v>3787</v>
      </c>
      <c r="BF53" s="57" t="s">
        <v>3749</v>
      </c>
      <c r="BG53" s="57" t="s">
        <v>3476</v>
      </c>
      <c r="BH53" s="57" t="s">
        <v>3476</v>
      </c>
      <c r="BI53" s="57" t="s">
        <v>2809</v>
      </c>
      <c r="BJ53" s="57" t="s">
        <v>3476</v>
      </c>
      <c r="BK53" s="57" t="s">
        <v>3476</v>
      </c>
      <c r="BL53" s="57">
        <v>3538831</v>
      </c>
      <c r="BM53" s="57" t="s">
        <v>3788</v>
      </c>
      <c r="BN53" s="57" t="s">
        <v>3476</v>
      </c>
      <c r="BO53" s="57">
        <v>54</v>
      </c>
      <c r="BP53" s="57" t="s">
        <v>3751</v>
      </c>
      <c r="BQ53" s="57" t="s">
        <v>3476</v>
      </c>
      <c r="BR53" s="57" t="s">
        <v>3789</v>
      </c>
      <c r="BS53" s="57" t="s">
        <v>1292</v>
      </c>
      <c r="BT53" s="57" t="s">
        <v>3476</v>
      </c>
      <c r="BU53" s="57" t="s">
        <v>3476</v>
      </c>
      <c r="BV53" s="57" t="s">
        <v>3753</v>
      </c>
      <c r="BW53" s="57" t="s">
        <v>3476</v>
      </c>
      <c r="BX53" s="57">
        <v>54</v>
      </c>
      <c r="BY53" s="57" t="s">
        <v>3476</v>
      </c>
      <c r="BZ53" s="57" t="s">
        <v>3476</v>
      </c>
      <c r="CA53" s="57" t="s">
        <v>3476</v>
      </c>
      <c r="CB53" s="57" t="s">
        <v>3476</v>
      </c>
      <c r="CC53" s="57" t="s">
        <v>3476</v>
      </c>
      <c r="CD53" s="57" t="s">
        <v>3476</v>
      </c>
    </row>
    <row r="54" spans="1:82">
      <c r="A54" s="57">
        <v>1256</v>
      </c>
      <c r="B54" s="57" t="s">
        <v>3476</v>
      </c>
      <c r="C54" s="57" t="s">
        <v>3778</v>
      </c>
      <c r="D54" s="57" t="s">
        <v>3476</v>
      </c>
      <c r="E54" s="57" t="s">
        <v>3730</v>
      </c>
      <c r="F54" s="57" t="s">
        <v>3779</v>
      </c>
      <c r="G54" s="57" t="s">
        <v>721</v>
      </c>
      <c r="H54" s="57" t="s">
        <v>2874</v>
      </c>
      <c r="I54" s="57">
        <v>63536.29</v>
      </c>
      <c r="J54" s="57" t="s">
        <v>3476</v>
      </c>
      <c r="K54" s="57" t="s">
        <v>3476</v>
      </c>
      <c r="L54" s="57" t="s">
        <v>3732</v>
      </c>
      <c r="M54" s="57" t="s">
        <v>3780</v>
      </c>
      <c r="N54" s="57" t="s">
        <v>3780</v>
      </c>
      <c r="O54" s="57" t="s">
        <v>3476</v>
      </c>
      <c r="P54" s="57" t="s">
        <v>3476</v>
      </c>
      <c r="Q54" s="57" t="s">
        <v>2874</v>
      </c>
      <c r="R54" s="57" t="s">
        <v>3781</v>
      </c>
      <c r="S54" s="57" t="s">
        <v>3782</v>
      </c>
      <c r="T54" s="57" t="s">
        <v>3736</v>
      </c>
      <c r="U54" s="57" t="s">
        <v>3476</v>
      </c>
      <c r="V54" s="57" t="s">
        <v>3469</v>
      </c>
      <c r="W54" s="57" t="s">
        <v>3476</v>
      </c>
      <c r="X54" s="57" t="s">
        <v>3783</v>
      </c>
      <c r="Y54" s="57" t="s">
        <v>3738</v>
      </c>
      <c r="Z54" s="57" t="s">
        <v>3780</v>
      </c>
      <c r="AA54" s="57" t="s">
        <v>3757</v>
      </c>
      <c r="AB54" s="57" t="s">
        <v>3476</v>
      </c>
      <c r="AC54" s="57" t="s">
        <v>3741</v>
      </c>
      <c r="AD54" s="57" t="s">
        <v>3476</v>
      </c>
      <c r="AE54" s="57" t="s">
        <v>3476</v>
      </c>
      <c r="AF54" s="57" t="s">
        <v>3476</v>
      </c>
      <c r="AG54" s="57" t="s">
        <v>3476</v>
      </c>
      <c r="AH54" s="57" t="s">
        <v>3476</v>
      </c>
      <c r="AI54" s="57" t="s">
        <v>3476</v>
      </c>
      <c r="AJ54" s="57" t="s">
        <v>3476</v>
      </c>
      <c r="AK54" s="57" t="s">
        <v>1292</v>
      </c>
      <c r="AL54" s="57" t="s">
        <v>3784</v>
      </c>
      <c r="AM54" s="57" t="s">
        <v>3476</v>
      </c>
      <c r="AN54" s="57" t="s">
        <v>3785</v>
      </c>
      <c r="AO54" s="57" t="s">
        <v>3476</v>
      </c>
      <c r="AP54" s="58">
        <v>45826.7806828704</v>
      </c>
      <c r="AQ54" s="57" t="s">
        <v>3476</v>
      </c>
      <c r="AR54" s="57" t="s">
        <v>3744</v>
      </c>
      <c r="AS54" s="57" t="s">
        <v>3502</v>
      </c>
      <c r="AT54" s="57" t="s">
        <v>3745</v>
      </c>
      <c r="AU54" s="57" t="s">
        <v>3786</v>
      </c>
      <c r="AV54" s="57" t="s">
        <v>3476</v>
      </c>
      <c r="AW54" s="58">
        <v>45764.8716203704</v>
      </c>
      <c r="AX54" s="57" t="s">
        <v>3784</v>
      </c>
      <c r="AY54" s="57" t="s">
        <v>3747</v>
      </c>
      <c r="AZ54" s="57" t="s">
        <v>3476</v>
      </c>
      <c r="BA54" s="57" t="s">
        <v>3476</v>
      </c>
      <c r="BB54" s="57" t="s">
        <v>3476</v>
      </c>
      <c r="BC54" s="57" t="s">
        <v>3795</v>
      </c>
      <c r="BD54" s="57" t="s">
        <v>3659</v>
      </c>
      <c r="BE54" s="57" t="s">
        <v>3787</v>
      </c>
      <c r="BF54" s="57" t="s">
        <v>3749</v>
      </c>
      <c r="BG54" s="57" t="s">
        <v>3476</v>
      </c>
      <c r="BH54" s="57" t="s">
        <v>3476</v>
      </c>
      <c r="BI54" s="57" t="s">
        <v>2809</v>
      </c>
      <c r="BJ54" s="57" t="s">
        <v>3476</v>
      </c>
      <c r="BK54" s="57" t="s">
        <v>3476</v>
      </c>
      <c r="BL54" s="57">
        <v>3538830</v>
      </c>
      <c r="BM54" s="57" t="s">
        <v>3788</v>
      </c>
      <c r="BN54" s="57" t="s">
        <v>3476</v>
      </c>
      <c r="BO54" s="57">
        <v>228</v>
      </c>
      <c r="BP54" s="57" t="s">
        <v>3751</v>
      </c>
      <c r="BQ54" s="57" t="s">
        <v>3476</v>
      </c>
      <c r="BR54" s="57" t="s">
        <v>3789</v>
      </c>
      <c r="BS54" s="57" t="s">
        <v>1292</v>
      </c>
      <c r="BT54" s="57" t="s">
        <v>3476</v>
      </c>
      <c r="BU54" s="57" t="s">
        <v>3476</v>
      </c>
      <c r="BV54" s="57" t="s">
        <v>3753</v>
      </c>
      <c r="BW54" s="57" t="s">
        <v>3476</v>
      </c>
      <c r="BX54" s="57">
        <v>228</v>
      </c>
      <c r="BY54" s="57" t="s">
        <v>3476</v>
      </c>
      <c r="BZ54" s="57" t="s">
        <v>3476</v>
      </c>
      <c r="CA54" s="57" t="s">
        <v>3476</v>
      </c>
      <c r="CB54" s="57" t="s">
        <v>3476</v>
      </c>
      <c r="CC54" s="57" t="s">
        <v>3476</v>
      </c>
      <c r="CD54" s="57" t="s">
        <v>3476</v>
      </c>
    </row>
    <row r="55" spans="1:82">
      <c r="A55" s="57">
        <v>1904</v>
      </c>
      <c r="B55" s="57" t="s">
        <v>3476</v>
      </c>
      <c r="C55" s="57" t="s">
        <v>3796</v>
      </c>
      <c r="D55" s="57" t="s">
        <v>3476</v>
      </c>
      <c r="E55" s="57" t="s">
        <v>3730</v>
      </c>
      <c r="F55" s="57" t="s">
        <v>3797</v>
      </c>
      <c r="G55" s="57" t="s">
        <v>721</v>
      </c>
      <c r="H55" s="57" t="s">
        <v>3480</v>
      </c>
      <c r="I55" s="57">
        <v>15260</v>
      </c>
      <c r="J55" s="57" t="s">
        <v>3476</v>
      </c>
      <c r="K55" s="57" t="s">
        <v>3476</v>
      </c>
      <c r="L55" s="57" t="s">
        <v>3732</v>
      </c>
      <c r="M55" s="57" t="s">
        <v>3798</v>
      </c>
      <c r="N55" s="57" t="s">
        <v>3798</v>
      </c>
      <c r="O55" s="57" t="s">
        <v>3476</v>
      </c>
      <c r="P55" s="57" t="s">
        <v>3476</v>
      </c>
      <c r="Q55" s="57" t="s">
        <v>3078</v>
      </c>
      <c r="R55" s="57" t="s">
        <v>3799</v>
      </c>
      <c r="S55" s="57" t="s">
        <v>3800</v>
      </c>
      <c r="T55" s="57" t="s">
        <v>3736</v>
      </c>
      <c r="U55" s="57" t="s">
        <v>3476</v>
      </c>
      <c r="V55" s="57" t="s">
        <v>3469</v>
      </c>
      <c r="W55" s="57" t="s">
        <v>3476</v>
      </c>
      <c r="X55" s="57" t="s">
        <v>3801</v>
      </c>
      <c r="Y55" s="57" t="s">
        <v>3738</v>
      </c>
      <c r="Z55" s="57" t="s">
        <v>3802</v>
      </c>
      <c r="AA55" s="57" t="s">
        <v>3803</v>
      </c>
      <c r="AB55" s="57" t="s">
        <v>3476</v>
      </c>
      <c r="AC55" s="57" t="s">
        <v>3741</v>
      </c>
      <c r="AD55" s="57" t="s">
        <v>3476</v>
      </c>
      <c r="AE55" s="57" t="s">
        <v>3476</v>
      </c>
      <c r="AF55" s="57" t="s">
        <v>3476</v>
      </c>
      <c r="AG55" s="57" t="s">
        <v>3476</v>
      </c>
      <c r="AH55" s="57" t="s">
        <v>3476</v>
      </c>
      <c r="AI55" s="57" t="s">
        <v>3476</v>
      </c>
      <c r="AJ55" s="57" t="s">
        <v>3476</v>
      </c>
      <c r="AK55" s="57" t="s">
        <v>1292</v>
      </c>
      <c r="AL55" s="57" t="s">
        <v>3804</v>
      </c>
      <c r="AM55" s="57" t="s">
        <v>3476</v>
      </c>
      <c r="AN55" s="57" t="s">
        <v>3805</v>
      </c>
      <c r="AO55" s="57" t="s">
        <v>3476</v>
      </c>
      <c r="AP55" s="58">
        <v>45772.7793055556</v>
      </c>
      <c r="AQ55" s="57" t="s">
        <v>3476</v>
      </c>
      <c r="AR55" s="57" t="s">
        <v>3806</v>
      </c>
      <c r="AS55" s="57" t="s">
        <v>3502</v>
      </c>
      <c r="AT55" s="57" t="s">
        <v>3745</v>
      </c>
      <c r="AU55" s="57" t="s">
        <v>3807</v>
      </c>
      <c r="AV55" s="57" t="s">
        <v>3476</v>
      </c>
      <c r="AW55" s="58">
        <v>45762.8530671296</v>
      </c>
      <c r="AX55" s="57" t="s">
        <v>3804</v>
      </c>
      <c r="AY55" s="57" t="s">
        <v>3747</v>
      </c>
      <c r="AZ55" s="57" t="s">
        <v>3476</v>
      </c>
      <c r="BA55" s="57" t="s">
        <v>3476</v>
      </c>
      <c r="BB55" s="57" t="s">
        <v>3476</v>
      </c>
      <c r="BC55" s="57" t="s">
        <v>3790</v>
      </c>
      <c r="BD55" s="57" t="s">
        <v>3808</v>
      </c>
      <c r="BE55" s="57" t="s">
        <v>3476</v>
      </c>
      <c r="BF55" s="57" t="s">
        <v>3749</v>
      </c>
      <c r="BG55" s="57" t="s">
        <v>3476</v>
      </c>
      <c r="BH55" s="57" t="s">
        <v>3476</v>
      </c>
      <c r="BI55" s="57" t="s">
        <v>2809</v>
      </c>
      <c r="BJ55" s="57" t="s">
        <v>3476</v>
      </c>
      <c r="BK55" s="57" t="s">
        <v>3476</v>
      </c>
      <c r="BL55" s="57">
        <v>3501101</v>
      </c>
      <c r="BM55" s="57" t="s">
        <v>3809</v>
      </c>
      <c r="BN55" s="57" t="s">
        <v>3476</v>
      </c>
      <c r="BO55" s="57">
        <v>15260</v>
      </c>
      <c r="BP55" s="57" t="s">
        <v>3810</v>
      </c>
      <c r="BQ55" s="57" t="s">
        <v>3476</v>
      </c>
      <c r="BR55" s="57" t="s">
        <v>3811</v>
      </c>
      <c r="BS55" s="57" t="s">
        <v>1292</v>
      </c>
      <c r="BT55" s="57" t="s">
        <v>1292</v>
      </c>
      <c r="BU55" s="57" t="s">
        <v>3476</v>
      </c>
      <c r="BV55" s="57" t="s">
        <v>3753</v>
      </c>
      <c r="BW55" s="57" t="s">
        <v>3476</v>
      </c>
      <c r="BX55" s="57">
        <v>15260</v>
      </c>
      <c r="BY55" s="57" t="s">
        <v>3476</v>
      </c>
      <c r="BZ55" s="57" t="s">
        <v>3476</v>
      </c>
      <c r="CA55" s="57" t="s">
        <v>3476</v>
      </c>
      <c r="CB55" s="57" t="s">
        <v>3476</v>
      </c>
      <c r="CC55" s="57" t="s">
        <v>3476</v>
      </c>
      <c r="CD55" s="57" t="s">
        <v>3476</v>
      </c>
    </row>
    <row r="56" spans="1:82">
      <c r="A56" s="57">
        <v>1908</v>
      </c>
      <c r="B56" s="57" t="s">
        <v>3476</v>
      </c>
      <c r="C56" s="57" t="s">
        <v>3812</v>
      </c>
      <c r="D56" s="57" t="s">
        <v>3476</v>
      </c>
      <c r="E56" s="57" t="s">
        <v>3730</v>
      </c>
      <c r="F56" s="57" t="s">
        <v>3813</v>
      </c>
      <c r="G56" s="57" t="s">
        <v>721</v>
      </c>
      <c r="H56" s="57" t="s">
        <v>3814</v>
      </c>
      <c r="I56" s="57">
        <v>47100</v>
      </c>
      <c r="J56" s="57" t="s">
        <v>3476</v>
      </c>
      <c r="K56" s="57" t="s">
        <v>3476</v>
      </c>
      <c r="L56" s="57" t="s">
        <v>3732</v>
      </c>
      <c r="M56" s="57" t="s">
        <v>3798</v>
      </c>
      <c r="N56" s="57" t="s">
        <v>3798</v>
      </c>
      <c r="O56" s="57" t="s">
        <v>3476</v>
      </c>
      <c r="P56" s="57" t="s">
        <v>3476</v>
      </c>
      <c r="Q56" s="57" t="s">
        <v>3078</v>
      </c>
      <c r="R56" s="57" t="s">
        <v>3815</v>
      </c>
      <c r="S56" s="57" t="s">
        <v>3816</v>
      </c>
      <c r="T56" s="57" t="s">
        <v>3736</v>
      </c>
      <c r="U56" s="57" t="s">
        <v>3476</v>
      </c>
      <c r="V56" s="57" t="s">
        <v>3469</v>
      </c>
      <c r="W56" s="57" t="s">
        <v>3476</v>
      </c>
      <c r="X56" s="57" t="s">
        <v>3801</v>
      </c>
      <c r="Y56" s="57" t="s">
        <v>3738</v>
      </c>
      <c r="Z56" s="57" t="s">
        <v>3802</v>
      </c>
      <c r="AA56" s="57" t="s">
        <v>3803</v>
      </c>
      <c r="AB56" s="57" t="s">
        <v>3476</v>
      </c>
      <c r="AC56" s="57" t="s">
        <v>3741</v>
      </c>
      <c r="AD56" s="57" t="s">
        <v>3476</v>
      </c>
      <c r="AE56" s="57" t="s">
        <v>3476</v>
      </c>
      <c r="AF56" s="57" t="s">
        <v>3476</v>
      </c>
      <c r="AG56" s="57" t="s">
        <v>3476</v>
      </c>
      <c r="AH56" s="57" t="s">
        <v>3476</v>
      </c>
      <c r="AI56" s="57" t="s">
        <v>3476</v>
      </c>
      <c r="AJ56" s="57" t="s">
        <v>3476</v>
      </c>
      <c r="AK56" s="57" t="s">
        <v>1292</v>
      </c>
      <c r="AL56" s="57" t="s">
        <v>3817</v>
      </c>
      <c r="AM56" s="57" t="s">
        <v>3476</v>
      </c>
      <c r="AN56" s="57" t="s">
        <v>3818</v>
      </c>
      <c r="AO56" s="57" t="s">
        <v>3476</v>
      </c>
      <c r="AP56" s="58">
        <v>45772.7793171296</v>
      </c>
      <c r="AQ56" s="57" t="s">
        <v>3476</v>
      </c>
      <c r="AR56" s="57" t="s">
        <v>3806</v>
      </c>
      <c r="AS56" s="57" t="s">
        <v>3502</v>
      </c>
      <c r="AT56" s="57" t="s">
        <v>3745</v>
      </c>
      <c r="AU56" s="57" t="s">
        <v>3819</v>
      </c>
      <c r="AV56" s="57" t="s">
        <v>3476</v>
      </c>
      <c r="AW56" s="58">
        <v>45762.8531481481</v>
      </c>
      <c r="AX56" s="57" t="s">
        <v>3817</v>
      </c>
      <c r="AY56" s="57" t="s">
        <v>3747</v>
      </c>
      <c r="AZ56" s="57" t="s">
        <v>3476</v>
      </c>
      <c r="BA56" s="57" t="s">
        <v>3476</v>
      </c>
      <c r="BB56" s="57" t="s">
        <v>3476</v>
      </c>
      <c r="BC56" s="57" t="s">
        <v>3790</v>
      </c>
      <c r="BD56" s="57" t="s">
        <v>3808</v>
      </c>
      <c r="BE56" s="57" t="s">
        <v>3476</v>
      </c>
      <c r="BF56" s="57" t="s">
        <v>3749</v>
      </c>
      <c r="BG56" s="57" t="s">
        <v>3476</v>
      </c>
      <c r="BH56" s="57" t="s">
        <v>3476</v>
      </c>
      <c r="BI56" s="57" t="s">
        <v>2809</v>
      </c>
      <c r="BJ56" s="57" t="s">
        <v>3476</v>
      </c>
      <c r="BK56" s="57" t="s">
        <v>3476</v>
      </c>
      <c r="BL56" s="57">
        <v>3501100</v>
      </c>
      <c r="BM56" s="57" t="s">
        <v>3820</v>
      </c>
      <c r="BN56" s="57" t="s">
        <v>3476</v>
      </c>
      <c r="BO56" s="57">
        <v>47100</v>
      </c>
      <c r="BP56" s="57" t="s">
        <v>3810</v>
      </c>
      <c r="BQ56" s="57" t="s">
        <v>3476</v>
      </c>
      <c r="BR56" s="57" t="s">
        <v>3821</v>
      </c>
      <c r="BS56" s="57" t="s">
        <v>1292</v>
      </c>
      <c r="BT56" s="57" t="s">
        <v>1292</v>
      </c>
      <c r="BU56" s="57" t="s">
        <v>3476</v>
      </c>
      <c r="BV56" s="57" t="s">
        <v>3753</v>
      </c>
      <c r="BW56" s="57" t="s">
        <v>3476</v>
      </c>
      <c r="BX56" s="57">
        <v>47100</v>
      </c>
      <c r="BY56" s="57" t="s">
        <v>3476</v>
      </c>
      <c r="BZ56" s="57" t="s">
        <v>3476</v>
      </c>
      <c r="CA56" s="57" t="s">
        <v>3476</v>
      </c>
      <c r="CB56" s="57" t="s">
        <v>3476</v>
      </c>
      <c r="CC56" s="57" t="s">
        <v>3476</v>
      </c>
      <c r="CD56" s="57" t="s">
        <v>3476</v>
      </c>
    </row>
    <row r="57" spans="1:82">
      <c r="A57" s="57">
        <v>2005</v>
      </c>
      <c r="B57" s="57" t="s">
        <v>3476</v>
      </c>
      <c r="C57" s="57" t="s">
        <v>3822</v>
      </c>
      <c r="D57" s="57" t="s">
        <v>3476</v>
      </c>
      <c r="E57" s="57" t="s">
        <v>3730</v>
      </c>
      <c r="F57" s="57" t="s">
        <v>3823</v>
      </c>
      <c r="G57" s="57" t="s">
        <v>721</v>
      </c>
      <c r="H57" s="57" t="s">
        <v>3580</v>
      </c>
      <c r="I57" s="57">
        <v>8400</v>
      </c>
      <c r="J57" s="57" t="s">
        <v>3476</v>
      </c>
      <c r="K57" s="57" t="s">
        <v>3476</v>
      </c>
      <c r="L57" s="57" t="s">
        <v>3732</v>
      </c>
      <c r="M57" s="57" t="s">
        <v>3824</v>
      </c>
      <c r="N57" s="57" t="s">
        <v>3824</v>
      </c>
      <c r="O57" s="57" t="s">
        <v>3476</v>
      </c>
      <c r="P57" s="57" t="s">
        <v>3476</v>
      </c>
      <c r="Q57" s="57" t="s">
        <v>3580</v>
      </c>
      <c r="R57" s="57" t="s">
        <v>3825</v>
      </c>
      <c r="S57" s="57" t="s">
        <v>3826</v>
      </c>
      <c r="T57" s="57" t="s">
        <v>3736</v>
      </c>
      <c r="U57" s="57" t="s">
        <v>3476</v>
      </c>
      <c r="V57" s="57" t="s">
        <v>3469</v>
      </c>
      <c r="W57" s="57" t="s">
        <v>3476</v>
      </c>
      <c r="X57" s="57" t="s">
        <v>3827</v>
      </c>
      <c r="Y57" s="57" t="s">
        <v>3738</v>
      </c>
      <c r="Z57" s="57" t="s">
        <v>3802</v>
      </c>
      <c r="AA57" s="57" t="s">
        <v>3828</v>
      </c>
      <c r="AB57" s="57" t="s">
        <v>3476</v>
      </c>
      <c r="AC57" s="57" t="s">
        <v>3741</v>
      </c>
      <c r="AD57" s="57" t="s">
        <v>3476</v>
      </c>
      <c r="AE57" s="57" t="s">
        <v>3476</v>
      </c>
      <c r="AF57" s="57" t="s">
        <v>3476</v>
      </c>
      <c r="AG57" s="57" t="s">
        <v>3476</v>
      </c>
      <c r="AH57" s="57" t="s">
        <v>3476</v>
      </c>
      <c r="AI57" s="57" t="s">
        <v>3476</v>
      </c>
      <c r="AJ57" s="57" t="s">
        <v>3476</v>
      </c>
      <c r="AK57" s="57" t="s">
        <v>1292</v>
      </c>
      <c r="AL57" s="57" t="s">
        <v>3829</v>
      </c>
      <c r="AM57" s="57" t="s">
        <v>3476</v>
      </c>
      <c r="AN57" s="57" t="s">
        <v>3830</v>
      </c>
      <c r="AO57" s="57" t="s">
        <v>3476</v>
      </c>
      <c r="AP57" s="58">
        <v>45800.5042476852</v>
      </c>
      <c r="AQ57" s="57" t="s">
        <v>3476</v>
      </c>
      <c r="AR57" s="57" t="s">
        <v>3831</v>
      </c>
      <c r="AS57" s="57" t="s">
        <v>3502</v>
      </c>
      <c r="AT57" s="57" t="s">
        <v>3745</v>
      </c>
      <c r="AU57" s="57" t="s">
        <v>3832</v>
      </c>
      <c r="AV57" s="57" t="s">
        <v>3476</v>
      </c>
      <c r="AW57" s="58">
        <v>45762.853287037</v>
      </c>
      <c r="AX57" s="57" t="s">
        <v>3829</v>
      </c>
      <c r="AY57" s="57" t="s">
        <v>3747</v>
      </c>
      <c r="AZ57" s="57" t="s">
        <v>3476</v>
      </c>
      <c r="BA57" s="57" t="s">
        <v>3476</v>
      </c>
      <c r="BB57" s="57" t="s">
        <v>3476</v>
      </c>
      <c r="BC57" s="57" t="s">
        <v>3569</v>
      </c>
      <c r="BD57" s="57" t="s">
        <v>3833</v>
      </c>
      <c r="BE57" s="57" t="s">
        <v>2826</v>
      </c>
      <c r="BF57" s="57" t="s">
        <v>3749</v>
      </c>
      <c r="BG57" s="57" t="s">
        <v>3476</v>
      </c>
      <c r="BH57" s="57" t="s">
        <v>3476</v>
      </c>
      <c r="BI57" s="57" t="s">
        <v>2809</v>
      </c>
      <c r="BJ57" s="57" t="s">
        <v>3476</v>
      </c>
      <c r="BK57" s="57" t="s">
        <v>3476</v>
      </c>
      <c r="BL57" s="57">
        <v>3328317</v>
      </c>
      <c r="BM57" s="57" t="s">
        <v>3834</v>
      </c>
      <c r="BN57" s="57" t="s">
        <v>3476</v>
      </c>
      <c r="BO57" s="57">
        <v>8400</v>
      </c>
      <c r="BP57" s="57" t="s">
        <v>3835</v>
      </c>
      <c r="BQ57" s="57" t="s">
        <v>3476</v>
      </c>
      <c r="BR57" s="57" t="s">
        <v>3836</v>
      </c>
      <c r="BS57" s="57" t="s">
        <v>1292</v>
      </c>
      <c r="BT57" s="57" t="s">
        <v>3476</v>
      </c>
      <c r="BU57" s="57" t="s">
        <v>3476</v>
      </c>
      <c r="BV57" s="57" t="s">
        <v>3753</v>
      </c>
      <c r="BW57" s="57" t="s">
        <v>3476</v>
      </c>
      <c r="BX57" s="57">
        <v>8400</v>
      </c>
      <c r="BY57" s="57" t="s">
        <v>3476</v>
      </c>
      <c r="BZ57" s="57" t="s">
        <v>3476</v>
      </c>
      <c r="CA57" s="57" t="s">
        <v>3476</v>
      </c>
      <c r="CB57" s="57" t="s">
        <v>3476</v>
      </c>
      <c r="CC57" s="57" t="s">
        <v>3476</v>
      </c>
      <c r="CD57" s="57" t="s">
        <v>3476</v>
      </c>
    </row>
    <row r="58" spans="1:82">
      <c r="A58" s="57">
        <v>2006</v>
      </c>
      <c r="B58" s="57" t="s">
        <v>3476</v>
      </c>
      <c r="C58" s="57" t="s">
        <v>3837</v>
      </c>
      <c r="D58" s="57" t="s">
        <v>3476</v>
      </c>
      <c r="E58" s="57" t="s">
        <v>3730</v>
      </c>
      <c r="F58" s="57" t="s">
        <v>3838</v>
      </c>
      <c r="G58" s="57" t="s">
        <v>721</v>
      </c>
      <c r="H58" s="57" t="s">
        <v>3598</v>
      </c>
      <c r="I58" s="57">
        <v>7900</v>
      </c>
      <c r="J58" s="57" t="s">
        <v>3476</v>
      </c>
      <c r="K58" s="57" t="s">
        <v>3476</v>
      </c>
      <c r="L58" s="57" t="s">
        <v>3732</v>
      </c>
      <c r="M58" s="57" t="s">
        <v>3824</v>
      </c>
      <c r="N58" s="57" t="s">
        <v>3824</v>
      </c>
      <c r="O58" s="57" t="s">
        <v>3476</v>
      </c>
      <c r="P58" s="57" t="s">
        <v>3476</v>
      </c>
      <c r="Q58" s="57" t="s">
        <v>3598</v>
      </c>
      <c r="R58" s="57" t="s">
        <v>3839</v>
      </c>
      <c r="S58" s="57" t="s">
        <v>3840</v>
      </c>
      <c r="T58" s="57" t="s">
        <v>3736</v>
      </c>
      <c r="U58" s="57" t="s">
        <v>3476</v>
      </c>
      <c r="V58" s="57" t="s">
        <v>3469</v>
      </c>
      <c r="W58" s="57" t="s">
        <v>3476</v>
      </c>
      <c r="X58" s="57" t="s">
        <v>3841</v>
      </c>
      <c r="Y58" s="57" t="s">
        <v>3738</v>
      </c>
      <c r="Z58" s="57" t="s">
        <v>3802</v>
      </c>
      <c r="AA58" s="57" t="s">
        <v>3828</v>
      </c>
      <c r="AB58" s="57" t="s">
        <v>3476</v>
      </c>
      <c r="AC58" s="57" t="s">
        <v>3741</v>
      </c>
      <c r="AD58" s="57" t="s">
        <v>3476</v>
      </c>
      <c r="AE58" s="57" t="s">
        <v>3476</v>
      </c>
      <c r="AF58" s="57" t="s">
        <v>3476</v>
      </c>
      <c r="AG58" s="57" t="s">
        <v>3476</v>
      </c>
      <c r="AH58" s="57" t="s">
        <v>3476</v>
      </c>
      <c r="AI58" s="57" t="s">
        <v>3476</v>
      </c>
      <c r="AJ58" s="57" t="s">
        <v>3476</v>
      </c>
      <c r="AK58" s="57" t="s">
        <v>1292</v>
      </c>
      <c r="AL58" s="57" t="s">
        <v>3842</v>
      </c>
      <c r="AM58" s="57" t="s">
        <v>3476</v>
      </c>
      <c r="AN58" s="57" t="s">
        <v>3843</v>
      </c>
      <c r="AO58" s="57" t="s">
        <v>3476</v>
      </c>
      <c r="AP58" s="58">
        <v>45800.7293287037</v>
      </c>
      <c r="AQ58" s="57" t="s">
        <v>3476</v>
      </c>
      <c r="AR58" s="57" t="s">
        <v>3831</v>
      </c>
      <c r="AS58" s="57" t="s">
        <v>3502</v>
      </c>
      <c r="AT58" s="57" t="s">
        <v>3745</v>
      </c>
      <c r="AU58" s="57" t="s">
        <v>3844</v>
      </c>
      <c r="AV58" s="57" t="s">
        <v>3476</v>
      </c>
      <c r="AW58" s="58">
        <v>45762.8544560185</v>
      </c>
      <c r="AX58" s="57" t="s">
        <v>3842</v>
      </c>
      <c r="AY58" s="57" t="s">
        <v>3747</v>
      </c>
      <c r="AZ58" s="57" t="s">
        <v>3476</v>
      </c>
      <c r="BA58" s="57" t="s">
        <v>3476</v>
      </c>
      <c r="BB58" s="57" t="s">
        <v>3476</v>
      </c>
      <c r="BC58" s="57" t="s">
        <v>3845</v>
      </c>
      <c r="BD58" s="57" t="s">
        <v>3846</v>
      </c>
      <c r="BE58" s="57" t="s">
        <v>2828</v>
      </c>
      <c r="BF58" s="57" t="s">
        <v>3749</v>
      </c>
      <c r="BG58" s="57" t="s">
        <v>3476</v>
      </c>
      <c r="BH58" s="57" t="s">
        <v>3476</v>
      </c>
      <c r="BI58" s="57" t="s">
        <v>2809</v>
      </c>
      <c r="BJ58" s="57" t="s">
        <v>3476</v>
      </c>
      <c r="BK58" s="57" t="s">
        <v>3476</v>
      </c>
      <c r="BL58" s="57">
        <v>3316660</v>
      </c>
      <c r="BM58" s="57" t="s">
        <v>3847</v>
      </c>
      <c r="BN58" s="57" t="s">
        <v>3476</v>
      </c>
      <c r="BO58" s="57">
        <v>7900</v>
      </c>
      <c r="BP58" s="57" t="s">
        <v>3835</v>
      </c>
      <c r="BQ58" s="57" t="s">
        <v>3476</v>
      </c>
      <c r="BR58" s="57" t="s">
        <v>3848</v>
      </c>
      <c r="BS58" s="57" t="s">
        <v>1292</v>
      </c>
      <c r="BT58" s="57" t="s">
        <v>3476</v>
      </c>
      <c r="BU58" s="57" t="s">
        <v>3476</v>
      </c>
      <c r="BV58" s="57" t="s">
        <v>3753</v>
      </c>
      <c r="BW58" s="57" t="s">
        <v>3476</v>
      </c>
      <c r="BX58" s="57">
        <v>7900</v>
      </c>
      <c r="BY58" s="57" t="s">
        <v>3476</v>
      </c>
      <c r="BZ58" s="57" t="s">
        <v>3476</v>
      </c>
      <c r="CA58" s="57" t="s">
        <v>3476</v>
      </c>
      <c r="CB58" s="57" t="s">
        <v>3476</v>
      </c>
      <c r="CC58" s="57" t="s">
        <v>3476</v>
      </c>
      <c r="CD58" s="57" t="s">
        <v>3476</v>
      </c>
    </row>
    <row r="59" spans="1:82">
      <c r="A59" s="57">
        <v>2700</v>
      </c>
      <c r="B59" s="57" t="s">
        <v>3476</v>
      </c>
      <c r="C59" s="57" t="s">
        <v>3849</v>
      </c>
      <c r="D59" s="57" t="s">
        <v>3476</v>
      </c>
      <c r="E59" s="57" t="s">
        <v>3730</v>
      </c>
      <c r="F59" s="57" t="s">
        <v>3850</v>
      </c>
      <c r="G59" s="57" t="s">
        <v>721</v>
      </c>
      <c r="H59" s="57" t="s">
        <v>3814</v>
      </c>
      <c r="I59" s="57">
        <v>780</v>
      </c>
      <c r="J59" s="57" t="s">
        <v>3476</v>
      </c>
      <c r="K59" s="57" t="s">
        <v>3476</v>
      </c>
      <c r="L59" s="57" t="s">
        <v>3732</v>
      </c>
      <c r="M59" s="57" t="s">
        <v>3851</v>
      </c>
      <c r="N59" s="57" t="s">
        <v>3851</v>
      </c>
      <c r="O59" s="57" t="s">
        <v>3476</v>
      </c>
      <c r="P59" s="57" t="s">
        <v>3476</v>
      </c>
      <c r="Q59" s="57" t="s">
        <v>3078</v>
      </c>
      <c r="R59" s="57" t="s">
        <v>3815</v>
      </c>
      <c r="S59" s="57" t="s">
        <v>3816</v>
      </c>
      <c r="T59" s="57" t="s">
        <v>3736</v>
      </c>
      <c r="U59" s="57" t="s">
        <v>3476</v>
      </c>
      <c r="V59" s="57" t="s">
        <v>3469</v>
      </c>
      <c r="W59" s="57" t="s">
        <v>3476</v>
      </c>
      <c r="X59" s="57" t="s">
        <v>3852</v>
      </c>
      <c r="Y59" s="57" t="s">
        <v>3738</v>
      </c>
      <c r="Z59" s="57" t="s">
        <v>3780</v>
      </c>
      <c r="AA59" s="57" t="s">
        <v>3853</v>
      </c>
      <c r="AB59" s="57" t="s">
        <v>3476</v>
      </c>
      <c r="AC59" s="57" t="s">
        <v>3741</v>
      </c>
      <c r="AD59" s="57" t="s">
        <v>3476</v>
      </c>
      <c r="AE59" s="57" t="s">
        <v>3476</v>
      </c>
      <c r="AF59" s="57" t="s">
        <v>3476</v>
      </c>
      <c r="AG59" s="57" t="s">
        <v>3476</v>
      </c>
      <c r="AH59" s="57" t="s">
        <v>3476</v>
      </c>
      <c r="AI59" s="57" t="s">
        <v>3476</v>
      </c>
      <c r="AJ59" s="57" t="s">
        <v>3476</v>
      </c>
      <c r="AK59" s="57" t="s">
        <v>1292</v>
      </c>
      <c r="AL59" s="57" t="s">
        <v>3854</v>
      </c>
      <c r="AM59" s="57" t="s">
        <v>3476</v>
      </c>
      <c r="AN59" s="57" t="s">
        <v>3855</v>
      </c>
      <c r="AO59" s="57" t="s">
        <v>3476</v>
      </c>
      <c r="AP59" s="58">
        <v>45786.8406597222</v>
      </c>
      <c r="AQ59" s="57" t="s">
        <v>3476</v>
      </c>
      <c r="AR59" s="57" t="s">
        <v>3831</v>
      </c>
      <c r="AS59" s="57" t="s">
        <v>3502</v>
      </c>
      <c r="AT59" s="57" t="s">
        <v>3745</v>
      </c>
      <c r="AU59" s="57" t="s">
        <v>3856</v>
      </c>
      <c r="AV59" s="57" t="s">
        <v>3476</v>
      </c>
      <c r="AW59" s="58">
        <v>45764.7190856481</v>
      </c>
      <c r="AX59" s="57" t="s">
        <v>3854</v>
      </c>
      <c r="AY59" s="57" t="s">
        <v>3747</v>
      </c>
      <c r="AZ59" s="57" t="s">
        <v>3476</v>
      </c>
      <c r="BA59" s="57" t="s">
        <v>3476</v>
      </c>
      <c r="BB59" s="57" t="s">
        <v>3476</v>
      </c>
      <c r="BC59" s="57" t="s">
        <v>3857</v>
      </c>
      <c r="BD59" s="57" t="s">
        <v>3659</v>
      </c>
      <c r="BE59" s="57" t="s">
        <v>3476</v>
      </c>
      <c r="BF59" s="57" t="s">
        <v>3749</v>
      </c>
      <c r="BG59" s="57" t="s">
        <v>3476</v>
      </c>
      <c r="BH59" s="57" t="s">
        <v>3476</v>
      </c>
      <c r="BI59" s="57" t="s">
        <v>2809</v>
      </c>
      <c r="BJ59" s="57" t="s">
        <v>3476</v>
      </c>
      <c r="BK59" s="57" t="s">
        <v>3476</v>
      </c>
      <c r="BL59" s="57">
        <v>3525892</v>
      </c>
      <c r="BM59" s="57" t="s">
        <v>3858</v>
      </c>
      <c r="BN59" s="57" t="s">
        <v>3476</v>
      </c>
      <c r="BO59" s="57">
        <v>780</v>
      </c>
      <c r="BP59" s="57" t="s">
        <v>3835</v>
      </c>
      <c r="BQ59" s="57" t="s">
        <v>3476</v>
      </c>
      <c r="BR59" s="57" t="s">
        <v>3859</v>
      </c>
      <c r="BS59" s="57" t="s">
        <v>1292</v>
      </c>
      <c r="BT59" s="57" t="s">
        <v>1292</v>
      </c>
      <c r="BU59" s="57" t="s">
        <v>3476</v>
      </c>
      <c r="BV59" s="57" t="s">
        <v>3753</v>
      </c>
      <c r="BW59" s="57" t="s">
        <v>3476</v>
      </c>
      <c r="BX59" s="57">
        <v>780</v>
      </c>
      <c r="BY59" s="57" t="s">
        <v>3476</v>
      </c>
      <c r="BZ59" s="57" t="s">
        <v>3476</v>
      </c>
      <c r="CA59" s="57" t="s">
        <v>3476</v>
      </c>
      <c r="CB59" s="57" t="s">
        <v>3476</v>
      </c>
      <c r="CC59" s="57" t="s">
        <v>3476</v>
      </c>
      <c r="CD59" s="57" t="s">
        <v>3476</v>
      </c>
    </row>
    <row r="60" spans="1:82">
      <c r="A60" s="57">
        <v>2701</v>
      </c>
      <c r="B60" s="57" t="s">
        <v>3476</v>
      </c>
      <c r="C60" s="57" t="s">
        <v>3860</v>
      </c>
      <c r="D60" s="57" t="s">
        <v>3476</v>
      </c>
      <c r="E60" s="57" t="s">
        <v>3730</v>
      </c>
      <c r="F60" s="57" t="s">
        <v>3861</v>
      </c>
      <c r="G60" s="57" t="s">
        <v>721</v>
      </c>
      <c r="H60" s="57" t="s">
        <v>3480</v>
      </c>
      <c r="I60" s="57">
        <v>16892</v>
      </c>
      <c r="J60" s="57" t="s">
        <v>3476</v>
      </c>
      <c r="K60" s="57" t="s">
        <v>3476</v>
      </c>
      <c r="L60" s="57" t="s">
        <v>3732</v>
      </c>
      <c r="M60" s="57" t="s">
        <v>3851</v>
      </c>
      <c r="N60" s="57" t="s">
        <v>3851</v>
      </c>
      <c r="O60" s="57" t="s">
        <v>3476</v>
      </c>
      <c r="P60" s="57" t="s">
        <v>3476</v>
      </c>
      <c r="Q60" s="57" t="s">
        <v>3078</v>
      </c>
      <c r="R60" s="57" t="s">
        <v>3799</v>
      </c>
      <c r="S60" s="57" t="s">
        <v>3800</v>
      </c>
      <c r="T60" s="57" t="s">
        <v>3736</v>
      </c>
      <c r="U60" s="57" t="s">
        <v>3476</v>
      </c>
      <c r="V60" s="57" t="s">
        <v>3469</v>
      </c>
      <c r="W60" s="57" t="s">
        <v>3476</v>
      </c>
      <c r="X60" s="57" t="s">
        <v>3862</v>
      </c>
      <c r="Y60" s="57" t="s">
        <v>3738</v>
      </c>
      <c r="Z60" s="57" t="s">
        <v>3863</v>
      </c>
      <c r="AA60" s="57" t="s">
        <v>3803</v>
      </c>
      <c r="AB60" s="57" t="s">
        <v>3476</v>
      </c>
      <c r="AC60" s="57" t="s">
        <v>3741</v>
      </c>
      <c r="AD60" s="57" t="s">
        <v>3476</v>
      </c>
      <c r="AE60" s="57" t="s">
        <v>3476</v>
      </c>
      <c r="AF60" s="57" t="s">
        <v>3476</v>
      </c>
      <c r="AG60" s="57" t="s">
        <v>3476</v>
      </c>
      <c r="AH60" s="57" t="s">
        <v>3476</v>
      </c>
      <c r="AI60" s="57" t="s">
        <v>3476</v>
      </c>
      <c r="AJ60" s="57" t="s">
        <v>3476</v>
      </c>
      <c r="AK60" s="57" t="s">
        <v>1292</v>
      </c>
      <c r="AL60" s="57" t="s">
        <v>3864</v>
      </c>
      <c r="AM60" s="57" t="s">
        <v>3476</v>
      </c>
      <c r="AN60" s="57" t="s">
        <v>3865</v>
      </c>
      <c r="AO60" s="57" t="s">
        <v>3476</v>
      </c>
      <c r="AP60" s="58">
        <v>45772.7792824074</v>
      </c>
      <c r="AQ60" s="57" t="s">
        <v>3476</v>
      </c>
      <c r="AR60" s="57" t="s">
        <v>3806</v>
      </c>
      <c r="AS60" s="57" t="s">
        <v>3502</v>
      </c>
      <c r="AT60" s="57" t="s">
        <v>3745</v>
      </c>
      <c r="AU60" s="57" t="s">
        <v>3866</v>
      </c>
      <c r="AV60" s="57" t="s">
        <v>3476</v>
      </c>
      <c r="AW60" s="58">
        <v>45762.8534722222</v>
      </c>
      <c r="AX60" s="57" t="s">
        <v>3864</v>
      </c>
      <c r="AY60" s="57" t="s">
        <v>3747</v>
      </c>
      <c r="AZ60" s="57" t="s">
        <v>3476</v>
      </c>
      <c r="BA60" s="57" t="s">
        <v>3476</v>
      </c>
      <c r="BB60" s="57" t="s">
        <v>3476</v>
      </c>
      <c r="BC60" s="57" t="s">
        <v>3857</v>
      </c>
      <c r="BD60" s="57" t="s">
        <v>3659</v>
      </c>
      <c r="BE60" s="57" t="s">
        <v>3476</v>
      </c>
      <c r="BF60" s="57" t="s">
        <v>3749</v>
      </c>
      <c r="BG60" s="57" t="s">
        <v>3476</v>
      </c>
      <c r="BH60" s="57" t="s">
        <v>3476</v>
      </c>
      <c r="BI60" s="57" t="s">
        <v>2809</v>
      </c>
      <c r="BJ60" s="57" t="s">
        <v>3476</v>
      </c>
      <c r="BK60" s="57" t="s">
        <v>3476</v>
      </c>
      <c r="BL60" s="57">
        <v>3515774</v>
      </c>
      <c r="BM60" s="57" t="s">
        <v>3867</v>
      </c>
      <c r="BN60" s="57" t="s">
        <v>3476</v>
      </c>
      <c r="BO60" s="57">
        <v>16892</v>
      </c>
      <c r="BP60" s="57" t="s">
        <v>3810</v>
      </c>
      <c r="BQ60" s="57" t="s">
        <v>3476</v>
      </c>
      <c r="BR60" s="57" t="s">
        <v>3868</v>
      </c>
      <c r="BS60" s="57" t="s">
        <v>1292</v>
      </c>
      <c r="BT60" s="57" t="s">
        <v>1292</v>
      </c>
      <c r="BU60" s="57" t="s">
        <v>3476</v>
      </c>
      <c r="BV60" s="57" t="s">
        <v>3753</v>
      </c>
      <c r="BW60" s="57" t="s">
        <v>3476</v>
      </c>
      <c r="BX60" s="57">
        <v>16892</v>
      </c>
      <c r="BY60" s="57" t="s">
        <v>3476</v>
      </c>
      <c r="BZ60" s="57" t="s">
        <v>3476</v>
      </c>
      <c r="CA60" s="57" t="s">
        <v>3476</v>
      </c>
      <c r="CB60" s="57" t="s">
        <v>3476</v>
      </c>
      <c r="CC60" s="57" t="s">
        <v>3476</v>
      </c>
      <c r="CD60" s="57" t="s">
        <v>3476</v>
      </c>
    </row>
    <row r="61" spans="1:82">
      <c r="A61" s="57">
        <v>2785</v>
      </c>
      <c r="B61" s="57" t="s">
        <v>3476</v>
      </c>
      <c r="C61" s="57" t="s">
        <v>3869</v>
      </c>
      <c r="D61" s="57" t="s">
        <v>3476</v>
      </c>
      <c r="E61" s="57" t="s">
        <v>3730</v>
      </c>
      <c r="F61" s="57" t="s">
        <v>3870</v>
      </c>
      <c r="G61" s="57" t="s">
        <v>721</v>
      </c>
      <c r="H61" s="57" t="s">
        <v>3628</v>
      </c>
      <c r="I61" s="57">
        <v>13000</v>
      </c>
      <c r="J61" s="57" t="s">
        <v>3476</v>
      </c>
      <c r="K61" s="57" t="s">
        <v>3476</v>
      </c>
      <c r="L61" s="57" t="s">
        <v>3732</v>
      </c>
      <c r="M61" s="57" t="s">
        <v>3871</v>
      </c>
      <c r="N61" s="57" t="s">
        <v>3871</v>
      </c>
      <c r="O61" s="57" t="s">
        <v>3476</v>
      </c>
      <c r="P61" s="57" t="s">
        <v>3476</v>
      </c>
      <c r="Q61" s="57" t="s">
        <v>3628</v>
      </c>
      <c r="R61" s="57" t="s">
        <v>3872</v>
      </c>
      <c r="S61" s="57" t="s">
        <v>3873</v>
      </c>
      <c r="T61" s="57" t="s">
        <v>3736</v>
      </c>
      <c r="U61" s="57" t="s">
        <v>3476</v>
      </c>
      <c r="V61" s="57" t="s">
        <v>3469</v>
      </c>
      <c r="W61" s="57" t="s">
        <v>3476</v>
      </c>
      <c r="X61" s="57" t="s">
        <v>3874</v>
      </c>
      <c r="Y61" s="57" t="s">
        <v>3738</v>
      </c>
      <c r="Z61" s="57" t="s">
        <v>3802</v>
      </c>
      <c r="AA61" s="57" t="s">
        <v>3740</v>
      </c>
      <c r="AB61" s="57" t="s">
        <v>3476</v>
      </c>
      <c r="AC61" s="57" t="s">
        <v>3741</v>
      </c>
      <c r="AD61" s="57" t="s">
        <v>3476</v>
      </c>
      <c r="AE61" s="57" t="s">
        <v>3476</v>
      </c>
      <c r="AF61" s="57" t="s">
        <v>3476</v>
      </c>
      <c r="AG61" s="57" t="s">
        <v>3476</v>
      </c>
      <c r="AH61" s="57" t="s">
        <v>3476</v>
      </c>
      <c r="AI61" s="57" t="s">
        <v>3476</v>
      </c>
      <c r="AJ61" s="57" t="s">
        <v>3476</v>
      </c>
      <c r="AK61" s="57" t="s">
        <v>1292</v>
      </c>
      <c r="AL61" s="57" t="s">
        <v>3875</v>
      </c>
      <c r="AM61" s="57" t="s">
        <v>3476</v>
      </c>
      <c r="AN61" s="57" t="s">
        <v>3876</v>
      </c>
      <c r="AO61" s="57" t="s">
        <v>3476</v>
      </c>
      <c r="AP61" s="58">
        <v>45821.7295138889</v>
      </c>
      <c r="AQ61" s="57" t="s">
        <v>3476</v>
      </c>
      <c r="AR61" s="57" t="s">
        <v>3744</v>
      </c>
      <c r="AS61" s="57" t="s">
        <v>3502</v>
      </c>
      <c r="AT61" s="57" t="s">
        <v>3745</v>
      </c>
      <c r="AU61" s="57" t="s">
        <v>3877</v>
      </c>
      <c r="AV61" s="57" t="s">
        <v>3476</v>
      </c>
      <c r="AW61" s="58">
        <v>45762.8535648148</v>
      </c>
      <c r="AX61" s="57" t="s">
        <v>3875</v>
      </c>
      <c r="AY61" s="57" t="s">
        <v>3747</v>
      </c>
      <c r="AZ61" s="57" t="s">
        <v>3476</v>
      </c>
      <c r="BA61" s="57" t="s">
        <v>3476</v>
      </c>
      <c r="BB61" s="57" t="s">
        <v>3476</v>
      </c>
      <c r="BC61" s="57" t="s">
        <v>3569</v>
      </c>
      <c r="BD61" s="57" t="s">
        <v>3833</v>
      </c>
      <c r="BE61" s="57" t="s">
        <v>3613</v>
      </c>
      <c r="BF61" s="57" t="s">
        <v>3749</v>
      </c>
      <c r="BG61" s="57" t="s">
        <v>3476</v>
      </c>
      <c r="BH61" s="57" t="s">
        <v>3476</v>
      </c>
      <c r="BI61" s="57" t="s">
        <v>2809</v>
      </c>
      <c r="BJ61" s="57" t="s">
        <v>3476</v>
      </c>
      <c r="BK61" s="57" t="s">
        <v>3476</v>
      </c>
      <c r="BL61" s="57">
        <v>3307034</v>
      </c>
      <c r="BM61" s="57" t="s">
        <v>3878</v>
      </c>
      <c r="BN61" s="57" t="s">
        <v>3476</v>
      </c>
      <c r="BO61" s="57">
        <v>13000</v>
      </c>
      <c r="BP61" s="57" t="s">
        <v>3751</v>
      </c>
      <c r="BQ61" s="57" t="s">
        <v>3476</v>
      </c>
      <c r="BR61" s="57" t="s">
        <v>3879</v>
      </c>
      <c r="BS61" s="57" t="s">
        <v>1292</v>
      </c>
      <c r="BT61" s="57" t="s">
        <v>3476</v>
      </c>
      <c r="BU61" s="57" t="s">
        <v>3476</v>
      </c>
      <c r="BV61" s="57" t="s">
        <v>3753</v>
      </c>
      <c r="BW61" s="57" t="s">
        <v>3476</v>
      </c>
      <c r="BX61" s="57">
        <v>13000</v>
      </c>
      <c r="BY61" s="57" t="s">
        <v>3476</v>
      </c>
      <c r="BZ61" s="57" t="s">
        <v>3476</v>
      </c>
      <c r="CA61" s="57" t="s">
        <v>3476</v>
      </c>
      <c r="CB61" s="57" t="s">
        <v>3476</v>
      </c>
      <c r="CC61" s="57" t="s">
        <v>3476</v>
      </c>
      <c r="CD61" s="57" t="s">
        <v>3476</v>
      </c>
    </row>
    <row r="62" spans="1:82">
      <c r="A62" s="57">
        <v>2786</v>
      </c>
      <c r="B62" s="57" t="s">
        <v>3476</v>
      </c>
      <c r="C62" s="57" t="s">
        <v>3880</v>
      </c>
      <c r="D62" s="57" t="s">
        <v>3476</v>
      </c>
      <c r="E62" s="57" t="s">
        <v>3730</v>
      </c>
      <c r="F62" s="57" t="s">
        <v>3881</v>
      </c>
      <c r="G62" s="57" t="s">
        <v>721</v>
      </c>
      <c r="H62" s="57" t="s">
        <v>3598</v>
      </c>
      <c r="I62" s="57">
        <v>7900</v>
      </c>
      <c r="J62" s="57" t="s">
        <v>3476</v>
      </c>
      <c r="K62" s="57" t="s">
        <v>3476</v>
      </c>
      <c r="L62" s="57" t="s">
        <v>3732</v>
      </c>
      <c r="M62" s="57" t="s">
        <v>3871</v>
      </c>
      <c r="N62" s="57" t="s">
        <v>3871</v>
      </c>
      <c r="O62" s="57" t="s">
        <v>3476</v>
      </c>
      <c r="P62" s="57" t="s">
        <v>3476</v>
      </c>
      <c r="Q62" s="57" t="s">
        <v>3598</v>
      </c>
      <c r="R62" s="57" t="s">
        <v>3839</v>
      </c>
      <c r="S62" s="57" t="s">
        <v>3840</v>
      </c>
      <c r="T62" s="57" t="s">
        <v>3736</v>
      </c>
      <c r="U62" s="57" t="s">
        <v>3476</v>
      </c>
      <c r="V62" s="57" t="s">
        <v>3469</v>
      </c>
      <c r="W62" s="57" t="s">
        <v>3476</v>
      </c>
      <c r="X62" s="57" t="s">
        <v>3882</v>
      </c>
      <c r="Y62" s="57" t="s">
        <v>3738</v>
      </c>
      <c r="Z62" s="57" t="s">
        <v>3863</v>
      </c>
      <c r="AA62" s="57" t="s">
        <v>3828</v>
      </c>
      <c r="AB62" s="57" t="s">
        <v>3476</v>
      </c>
      <c r="AC62" s="57" t="s">
        <v>3741</v>
      </c>
      <c r="AD62" s="57" t="s">
        <v>3476</v>
      </c>
      <c r="AE62" s="57" t="s">
        <v>3476</v>
      </c>
      <c r="AF62" s="57" t="s">
        <v>3476</v>
      </c>
      <c r="AG62" s="57" t="s">
        <v>3476</v>
      </c>
      <c r="AH62" s="57" t="s">
        <v>3476</v>
      </c>
      <c r="AI62" s="57" t="s">
        <v>3476</v>
      </c>
      <c r="AJ62" s="57" t="s">
        <v>3476</v>
      </c>
      <c r="AK62" s="57" t="s">
        <v>1292</v>
      </c>
      <c r="AL62" s="57" t="s">
        <v>3883</v>
      </c>
      <c r="AM62" s="57" t="s">
        <v>3476</v>
      </c>
      <c r="AN62" s="57" t="s">
        <v>3759</v>
      </c>
      <c r="AO62" s="57" t="s">
        <v>3476</v>
      </c>
      <c r="AP62" s="58">
        <v>45800.5042361111</v>
      </c>
      <c r="AQ62" s="57" t="s">
        <v>3476</v>
      </c>
      <c r="AR62" s="57" t="s">
        <v>3831</v>
      </c>
      <c r="AS62" s="57" t="s">
        <v>3502</v>
      </c>
      <c r="AT62" s="57" t="s">
        <v>3745</v>
      </c>
      <c r="AU62" s="57" t="s">
        <v>3884</v>
      </c>
      <c r="AV62" s="57" t="s">
        <v>3476</v>
      </c>
      <c r="AW62" s="58">
        <v>45761.7551736111</v>
      </c>
      <c r="AX62" s="57" t="s">
        <v>3883</v>
      </c>
      <c r="AY62" s="57" t="s">
        <v>3747</v>
      </c>
      <c r="AZ62" s="57" t="s">
        <v>3476</v>
      </c>
      <c r="BA62" s="57" t="s">
        <v>3476</v>
      </c>
      <c r="BB62" s="57" t="s">
        <v>3476</v>
      </c>
      <c r="BC62" s="57" t="s">
        <v>3845</v>
      </c>
      <c r="BD62" s="57" t="s">
        <v>3846</v>
      </c>
      <c r="BE62" s="57" t="s">
        <v>2828</v>
      </c>
      <c r="BF62" s="57" t="s">
        <v>3749</v>
      </c>
      <c r="BG62" s="57" t="s">
        <v>3476</v>
      </c>
      <c r="BH62" s="57" t="s">
        <v>3476</v>
      </c>
      <c r="BI62" s="57" t="s">
        <v>2809</v>
      </c>
      <c r="BJ62" s="57" t="s">
        <v>3476</v>
      </c>
      <c r="BK62" s="57" t="s">
        <v>3476</v>
      </c>
      <c r="BL62" s="57">
        <v>3316660</v>
      </c>
      <c r="BM62" s="57" t="s">
        <v>3885</v>
      </c>
      <c r="BN62" s="57" t="s">
        <v>3476</v>
      </c>
      <c r="BO62" s="57">
        <v>7900</v>
      </c>
      <c r="BP62" s="57" t="s">
        <v>3835</v>
      </c>
      <c r="BQ62" s="57" t="s">
        <v>3476</v>
      </c>
      <c r="BR62" s="57" t="s">
        <v>3886</v>
      </c>
      <c r="BS62" s="57" t="s">
        <v>1292</v>
      </c>
      <c r="BT62" s="57" t="s">
        <v>3476</v>
      </c>
      <c r="BU62" s="57" t="s">
        <v>3476</v>
      </c>
      <c r="BV62" s="57" t="s">
        <v>3753</v>
      </c>
      <c r="BW62" s="57" t="s">
        <v>3476</v>
      </c>
      <c r="BX62" s="57">
        <v>7900</v>
      </c>
      <c r="BY62" s="57" t="s">
        <v>3476</v>
      </c>
      <c r="BZ62" s="57" t="s">
        <v>3476</v>
      </c>
      <c r="CA62" s="57" t="s">
        <v>3476</v>
      </c>
      <c r="CB62" s="57" t="s">
        <v>3476</v>
      </c>
      <c r="CC62" s="57" t="s">
        <v>3476</v>
      </c>
      <c r="CD62" s="57" t="s">
        <v>3476</v>
      </c>
    </row>
    <row r="63" spans="1:82">
      <c r="A63" s="57">
        <v>3212</v>
      </c>
      <c r="B63" s="57" t="s">
        <v>3476</v>
      </c>
      <c r="C63" s="57" t="s">
        <v>3887</v>
      </c>
      <c r="D63" s="57" t="s">
        <v>3476</v>
      </c>
      <c r="E63" s="57" t="s">
        <v>3730</v>
      </c>
      <c r="F63" s="57" t="s">
        <v>3888</v>
      </c>
      <c r="G63" s="57" t="s">
        <v>721</v>
      </c>
      <c r="H63" s="57" t="s">
        <v>3580</v>
      </c>
      <c r="I63" s="57">
        <v>8400</v>
      </c>
      <c r="J63" s="57" t="s">
        <v>3476</v>
      </c>
      <c r="K63" s="57" t="s">
        <v>3476</v>
      </c>
      <c r="L63" s="57" t="s">
        <v>3730</v>
      </c>
      <c r="M63" s="57" t="s">
        <v>3889</v>
      </c>
      <c r="N63" s="57" t="s">
        <v>3889</v>
      </c>
      <c r="O63" s="57" t="s">
        <v>3476</v>
      </c>
      <c r="P63" s="57" t="s">
        <v>3476</v>
      </c>
      <c r="Q63" s="57" t="s">
        <v>3580</v>
      </c>
      <c r="R63" s="57" t="s">
        <v>3825</v>
      </c>
      <c r="S63" s="57" t="s">
        <v>3826</v>
      </c>
      <c r="T63" s="57" t="s">
        <v>3736</v>
      </c>
      <c r="U63" s="57" t="s">
        <v>3476</v>
      </c>
      <c r="V63" s="57" t="s">
        <v>3469</v>
      </c>
      <c r="W63" s="57" t="s">
        <v>3476</v>
      </c>
      <c r="X63" s="57" t="s">
        <v>3890</v>
      </c>
      <c r="Y63" s="57" t="s">
        <v>3738</v>
      </c>
      <c r="Z63" s="57" t="s">
        <v>3871</v>
      </c>
      <c r="AA63" s="57" t="s">
        <v>3476</v>
      </c>
      <c r="AB63" s="57" t="s">
        <v>3476</v>
      </c>
      <c r="AC63" s="57" t="s">
        <v>3476</v>
      </c>
      <c r="AD63" s="57" t="s">
        <v>3476</v>
      </c>
      <c r="AE63" s="57" t="s">
        <v>3476</v>
      </c>
      <c r="AF63" s="57" t="s">
        <v>3476</v>
      </c>
      <c r="AG63" s="57" t="s">
        <v>3476</v>
      </c>
      <c r="AH63" s="57" t="s">
        <v>3476</v>
      </c>
      <c r="AI63" s="57" t="s">
        <v>3476</v>
      </c>
      <c r="AJ63" s="57" t="s">
        <v>3476</v>
      </c>
      <c r="AK63" s="57" t="s">
        <v>3476</v>
      </c>
      <c r="AL63" s="57" t="s">
        <v>3476</v>
      </c>
      <c r="AM63" s="57" t="s">
        <v>3476</v>
      </c>
      <c r="AN63" s="57" t="s">
        <v>3476</v>
      </c>
      <c r="AO63" s="57" t="s">
        <v>3476</v>
      </c>
      <c r="AP63" s="58">
        <v>45756.6984606481</v>
      </c>
      <c r="AQ63" s="57" t="s">
        <v>3476</v>
      </c>
      <c r="AR63" s="57" t="s">
        <v>3476</v>
      </c>
      <c r="AS63" s="57" t="s">
        <v>3502</v>
      </c>
      <c r="AT63" s="57" t="s">
        <v>3745</v>
      </c>
      <c r="AU63" s="57" t="s">
        <v>3476</v>
      </c>
      <c r="AV63" s="57" t="s">
        <v>3476</v>
      </c>
      <c r="AW63" s="58">
        <v>45756.6479513889</v>
      </c>
      <c r="AX63" s="57" t="s">
        <v>3476</v>
      </c>
      <c r="AY63" s="57" t="s">
        <v>3747</v>
      </c>
      <c r="AZ63" s="57" t="s">
        <v>3476</v>
      </c>
      <c r="BA63" s="57" t="s">
        <v>3476</v>
      </c>
      <c r="BB63" s="57" t="s">
        <v>3476</v>
      </c>
      <c r="BC63" s="57" t="s">
        <v>3569</v>
      </c>
      <c r="BD63" s="57" t="s">
        <v>3833</v>
      </c>
      <c r="BE63" s="57" t="s">
        <v>2826</v>
      </c>
      <c r="BF63" s="57" t="s">
        <v>3749</v>
      </c>
      <c r="BG63" s="57" t="s">
        <v>3476</v>
      </c>
      <c r="BH63" s="57" t="s">
        <v>3476</v>
      </c>
      <c r="BI63" s="57" t="s">
        <v>2809</v>
      </c>
      <c r="BJ63" s="57" t="s">
        <v>3476</v>
      </c>
      <c r="BK63" s="57" t="s">
        <v>3476</v>
      </c>
      <c r="BL63" s="57">
        <v>3328317</v>
      </c>
      <c r="BM63" s="57" t="s">
        <v>3891</v>
      </c>
      <c r="BN63" s="57">
        <v>8400</v>
      </c>
      <c r="BO63" s="57" t="s">
        <v>3476</v>
      </c>
      <c r="BP63" s="57" t="s">
        <v>3476</v>
      </c>
      <c r="BQ63" s="57" t="s">
        <v>3476</v>
      </c>
      <c r="BR63" s="57" t="s">
        <v>3892</v>
      </c>
      <c r="BS63" s="57" t="s">
        <v>1292</v>
      </c>
      <c r="BT63" s="57" t="s">
        <v>3476</v>
      </c>
      <c r="BU63" s="57" t="s">
        <v>3476</v>
      </c>
      <c r="BV63" s="57" t="s">
        <v>3753</v>
      </c>
      <c r="BW63" s="57" t="s">
        <v>3476</v>
      </c>
      <c r="BX63" s="57">
        <v>8400</v>
      </c>
      <c r="BY63" s="57" t="s">
        <v>3476</v>
      </c>
      <c r="BZ63" s="57" t="s">
        <v>3476</v>
      </c>
      <c r="CA63" s="57" t="s">
        <v>3476</v>
      </c>
      <c r="CB63" s="57" t="s">
        <v>3476</v>
      </c>
      <c r="CC63" s="57" t="s">
        <v>3476</v>
      </c>
      <c r="CD63" s="57" t="s">
        <v>3476</v>
      </c>
    </row>
    <row r="64" spans="1:82">
      <c r="A64" s="57">
        <v>4774</v>
      </c>
      <c r="B64" s="57" t="s">
        <v>3476</v>
      </c>
      <c r="C64" s="57" t="s">
        <v>3893</v>
      </c>
      <c r="D64" s="57" t="s">
        <v>3476</v>
      </c>
      <c r="E64" s="57" t="s">
        <v>3730</v>
      </c>
      <c r="F64" s="57" t="s">
        <v>3894</v>
      </c>
      <c r="G64" s="57" t="s">
        <v>721</v>
      </c>
      <c r="H64" s="57" t="s">
        <v>3480</v>
      </c>
      <c r="I64" s="57">
        <v>23818.9</v>
      </c>
      <c r="J64" s="57" t="s">
        <v>3476</v>
      </c>
      <c r="K64" s="57" t="s">
        <v>3476</v>
      </c>
      <c r="L64" s="57" t="s">
        <v>3732</v>
      </c>
      <c r="M64" s="57" t="s">
        <v>3895</v>
      </c>
      <c r="N64" s="57" t="s">
        <v>3895</v>
      </c>
      <c r="O64" s="57" t="s">
        <v>3476</v>
      </c>
      <c r="P64" s="57" t="s">
        <v>3476</v>
      </c>
      <c r="Q64" s="57" t="s">
        <v>3078</v>
      </c>
      <c r="R64" s="57" t="s">
        <v>3799</v>
      </c>
      <c r="S64" s="57" t="s">
        <v>3800</v>
      </c>
      <c r="T64" s="57" t="s">
        <v>3736</v>
      </c>
      <c r="U64" s="57" t="s">
        <v>3476</v>
      </c>
      <c r="V64" s="57" t="s">
        <v>3469</v>
      </c>
      <c r="W64" s="57" t="s">
        <v>3476</v>
      </c>
      <c r="X64" s="57" t="s">
        <v>3896</v>
      </c>
      <c r="Y64" s="57" t="s">
        <v>3738</v>
      </c>
      <c r="Z64" s="57" t="s">
        <v>3897</v>
      </c>
      <c r="AA64" s="57" t="s">
        <v>3824</v>
      </c>
      <c r="AB64" s="57" t="s">
        <v>3476</v>
      </c>
      <c r="AC64" s="57" t="s">
        <v>3741</v>
      </c>
      <c r="AD64" s="57" t="s">
        <v>3476</v>
      </c>
      <c r="AE64" s="57" t="s">
        <v>3476</v>
      </c>
      <c r="AF64" s="57" t="s">
        <v>3476</v>
      </c>
      <c r="AG64" s="57" t="s">
        <v>3476</v>
      </c>
      <c r="AH64" s="57" t="s">
        <v>3476</v>
      </c>
      <c r="AI64" s="57" t="s">
        <v>3476</v>
      </c>
      <c r="AJ64" s="57" t="s">
        <v>3476</v>
      </c>
      <c r="AK64" s="57" t="s">
        <v>1292</v>
      </c>
      <c r="AL64" s="57" t="s">
        <v>3898</v>
      </c>
      <c r="AM64" s="57" t="s">
        <v>3476</v>
      </c>
      <c r="AN64" s="57" t="s">
        <v>3899</v>
      </c>
      <c r="AO64" s="57" t="s">
        <v>3476</v>
      </c>
      <c r="AP64" s="58">
        <v>45758.7953240741</v>
      </c>
      <c r="AQ64" s="57" t="s">
        <v>3476</v>
      </c>
      <c r="AR64" s="57" t="s">
        <v>3806</v>
      </c>
      <c r="AS64" s="57" t="s">
        <v>3502</v>
      </c>
      <c r="AT64" s="57" t="s">
        <v>3745</v>
      </c>
      <c r="AU64" s="57" t="s">
        <v>3900</v>
      </c>
      <c r="AV64" s="57" t="s">
        <v>3476</v>
      </c>
      <c r="AW64" s="58">
        <v>45741.4066782407</v>
      </c>
      <c r="AX64" s="57" t="s">
        <v>3898</v>
      </c>
      <c r="AY64" s="57" t="s">
        <v>3747</v>
      </c>
      <c r="AZ64" s="57" t="s">
        <v>3476</v>
      </c>
      <c r="BA64" s="57" t="s">
        <v>3476</v>
      </c>
      <c r="BB64" s="57" t="s">
        <v>3476</v>
      </c>
      <c r="BC64" s="57" t="s">
        <v>3857</v>
      </c>
      <c r="BD64" s="57" t="s">
        <v>3659</v>
      </c>
      <c r="BE64" s="57" t="s">
        <v>3476</v>
      </c>
      <c r="BF64" s="57" t="s">
        <v>3749</v>
      </c>
      <c r="BG64" s="57" t="s">
        <v>3476</v>
      </c>
      <c r="BH64" s="57" t="s">
        <v>3476</v>
      </c>
      <c r="BI64" s="57" t="s">
        <v>2809</v>
      </c>
      <c r="BJ64" s="57" t="s">
        <v>3476</v>
      </c>
      <c r="BK64" s="57" t="s">
        <v>3476</v>
      </c>
      <c r="BL64" s="57">
        <v>3521001</v>
      </c>
      <c r="BM64" s="57" t="s">
        <v>3901</v>
      </c>
      <c r="BN64" s="57" t="s">
        <v>3476</v>
      </c>
      <c r="BO64" s="57">
        <v>23818.9</v>
      </c>
      <c r="BP64" s="57" t="s">
        <v>3810</v>
      </c>
      <c r="BQ64" s="57" t="s">
        <v>3476</v>
      </c>
      <c r="BR64" s="57" t="s">
        <v>3902</v>
      </c>
      <c r="BS64" s="57" t="s">
        <v>1292</v>
      </c>
      <c r="BT64" s="57" t="s">
        <v>1292</v>
      </c>
      <c r="BU64" s="57" t="s">
        <v>3476</v>
      </c>
      <c r="BV64" s="57" t="s">
        <v>3753</v>
      </c>
      <c r="BW64" s="57" t="s">
        <v>3476</v>
      </c>
      <c r="BX64" s="57">
        <v>23818.9</v>
      </c>
      <c r="BY64" s="57" t="s">
        <v>3476</v>
      </c>
      <c r="BZ64" s="57" t="s">
        <v>3476</v>
      </c>
      <c r="CA64" s="57" t="s">
        <v>3476</v>
      </c>
      <c r="CB64" s="57" t="s">
        <v>3476</v>
      </c>
      <c r="CC64" s="57" t="s">
        <v>3476</v>
      </c>
      <c r="CD64" s="57" t="s">
        <v>3476</v>
      </c>
    </row>
    <row r="65" spans="1:82">
      <c r="A65" s="57">
        <v>6208</v>
      </c>
      <c r="B65" s="57" t="s">
        <v>3476</v>
      </c>
      <c r="C65" s="57" t="s">
        <v>3903</v>
      </c>
      <c r="D65" s="57" t="s">
        <v>3476</v>
      </c>
      <c r="E65" s="57" t="s">
        <v>3730</v>
      </c>
      <c r="F65" s="57" t="s">
        <v>3904</v>
      </c>
      <c r="G65" s="57" t="s">
        <v>721</v>
      </c>
      <c r="H65" s="57" t="s">
        <v>3256</v>
      </c>
      <c r="I65" s="57">
        <v>474.6</v>
      </c>
      <c r="J65" s="57" t="s">
        <v>3476</v>
      </c>
      <c r="K65" s="57" t="s">
        <v>3476</v>
      </c>
      <c r="L65" s="57" t="s">
        <v>3732</v>
      </c>
      <c r="M65" s="57" t="s">
        <v>3905</v>
      </c>
      <c r="N65" s="57" t="s">
        <v>3905</v>
      </c>
      <c r="O65" s="57" t="s">
        <v>3476</v>
      </c>
      <c r="P65" s="57" t="s">
        <v>3476</v>
      </c>
      <c r="Q65" s="57" t="s">
        <v>3256</v>
      </c>
      <c r="R65" s="57" t="s">
        <v>3906</v>
      </c>
      <c r="S65" s="57" t="s">
        <v>3907</v>
      </c>
      <c r="T65" s="57" t="s">
        <v>3736</v>
      </c>
      <c r="U65" s="57" t="s">
        <v>3476</v>
      </c>
      <c r="V65" s="57" t="s">
        <v>3469</v>
      </c>
      <c r="W65" s="57" t="s">
        <v>3476</v>
      </c>
      <c r="X65" s="57" t="s">
        <v>3908</v>
      </c>
      <c r="Y65" s="57" t="s">
        <v>3738</v>
      </c>
      <c r="Z65" s="57" t="s">
        <v>3909</v>
      </c>
      <c r="AA65" s="57" t="s">
        <v>3740</v>
      </c>
      <c r="AB65" s="57" t="s">
        <v>3476</v>
      </c>
      <c r="AC65" s="57" t="s">
        <v>3741</v>
      </c>
      <c r="AD65" s="57" t="s">
        <v>3476</v>
      </c>
      <c r="AE65" s="57" t="s">
        <v>3476</v>
      </c>
      <c r="AF65" s="57" t="s">
        <v>3476</v>
      </c>
      <c r="AG65" s="57" t="s">
        <v>3476</v>
      </c>
      <c r="AH65" s="57" t="s">
        <v>3476</v>
      </c>
      <c r="AI65" s="57" t="s">
        <v>3476</v>
      </c>
      <c r="AJ65" s="57" t="s">
        <v>3476</v>
      </c>
      <c r="AK65" s="57" t="s">
        <v>1292</v>
      </c>
      <c r="AL65" s="57" t="s">
        <v>3910</v>
      </c>
      <c r="AM65" s="57" t="s">
        <v>3476</v>
      </c>
      <c r="AN65" s="57" t="s">
        <v>3911</v>
      </c>
      <c r="AO65" s="57" t="s">
        <v>3476</v>
      </c>
      <c r="AP65" s="58">
        <v>45821.6740162037</v>
      </c>
      <c r="AQ65" s="57" t="s">
        <v>3476</v>
      </c>
      <c r="AR65" s="57" t="s">
        <v>3744</v>
      </c>
      <c r="AS65" s="57" t="s">
        <v>3502</v>
      </c>
      <c r="AT65" s="57" t="s">
        <v>3745</v>
      </c>
      <c r="AU65" s="57" t="s">
        <v>3912</v>
      </c>
      <c r="AV65" s="57" t="s">
        <v>3476</v>
      </c>
      <c r="AW65" s="58">
        <v>45740.4917708333</v>
      </c>
      <c r="AX65" s="57" t="s">
        <v>3910</v>
      </c>
      <c r="AY65" s="57" t="s">
        <v>3747</v>
      </c>
      <c r="AZ65" s="57" t="s">
        <v>3476</v>
      </c>
      <c r="BA65" s="57" t="s">
        <v>3476</v>
      </c>
      <c r="BB65" s="57" t="s">
        <v>3476</v>
      </c>
      <c r="BC65" s="57" t="s">
        <v>3913</v>
      </c>
      <c r="BD65" s="57" t="s">
        <v>3659</v>
      </c>
      <c r="BE65" s="57" t="s">
        <v>3914</v>
      </c>
      <c r="BF65" s="57" t="s">
        <v>3749</v>
      </c>
      <c r="BG65" s="57" t="s">
        <v>3476</v>
      </c>
      <c r="BH65" s="57" t="s">
        <v>3476</v>
      </c>
      <c r="BI65" s="57" t="s">
        <v>2809</v>
      </c>
      <c r="BJ65" s="57" t="s">
        <v>3476</v>
      </c>
      <c r="BK65" s="57" t="s">
        <v>3476</v>
      </c>
      <c r="BL65" s="57">
        <v>3489492</v>
      </c>
      <c r="BM65" s="57" t="s">
        <v>3915</v>
      </c>
      <c r="BN65" s="57" t="s">
        <v>3476</v>
      </c>
      <c r="BO65" s="57">
        <v>125.43</v>
      </c>
      <c r="BP65" s="57" t="s">
        <v>3751</v>
      </c>
      <c r="BQ65" s="57" t="s">
        <v>3476</v>
      </c>
      <c r="BR65" s="57" t="s">
        <v>3916</v>
      </c>
      <c r="BS65" s="57" t="s">
        <v>1292</v>
      </c>
      <c r="BT65" s="57" t="s">
        <v>3476</v>
      </c>
      <c r="BU65" s="57" t="s">
        <v>3476</v>
      </c>
      <c r="BV65" s="57" t="s">
        <v>3753</v>
      </c>
      <c r="BW65" s="57" t="s">
        <v>3476</v>
      </c>
      <c r="BX65" s="57">
        <v>125.43</v>
      </c>
      <c r="BY65" s="57" t="s">
        <v>3476</v>
      </c>
      <c r="BZ65" s="57" t="s">
        <v>3476</v>
      </c>
      <c r="CA65" s="57" t="s">
        <v>3476</v>
      </c>
      <c r="CB65" s="57" t="s">
        <v>3476</v>
      </c>
      <c r="CC65" s="57" t="s">
        <v>3476</v>
      </c>
      <c r="CD65" s="57" t="s">
        <v>3476</v>
      </c>
    </row>
    <row r="66" spans="1:82">
      <c r="A66" s="57">
        <v>6209</v>
      </c>
      <c r="B66" s="57" t="s">
        <v>3476</v>
      </c>
      <c r="C66" s="57" t="s">
        <v>3903</v>
      </c>
      <c r="D66" s="57" t="s">
        <v>3476</v>
      </c>
      <c r="E66" s="57" t="s">
        <v>3730</v>
      </c>
      <c r="F66" s="57" t="s">
        <v>3904</v>
      </c>
      <c r="G66" s="57" t="s">
        <v>721</v>
      </c>
      <c r="H66" s="57" t="s">
        <v>3256</v>
      </c>
      <c r="I66" s="57">
        <v>474.6</v>
      </c>
      <c r="J66" s="57" t="s">
        <v>3476</v>
      </c>
      <c r="K66" s="57" t="s">
        <v>3476</v>
      </c>
      <c r="L66" s="57" t="s">
        <v>3732</v>
      </c>
      <c r="M66" s="57" t="s">
        <v>3905</v>
      </c>
      <c r="N66" s="57" t="s">
        <v>3905</v>
      </c>
      <c r="O66" s="57" t="s">
        <v>3476</v>
      </c>
      <c r="P66" s="57" t="s">
        <v>3476</v>
      </c>
      <c r="Q66" s="57" t="s">
        <v>3256</v>
      </c>
      <c r="R66" s="57" t="s">
        <v>3906</v>
      </c>
      <c r="S66" s="57" t="s">
        <v>3907</v>
      </c>
      <c r="T66" s="57" t="s">
        <v>3736</v>
      </c>
      <c r="U66" s="57" t="s">
        <v>3476</v>
      </c>
      <c r="V66" s="57" t="s">
        <v>3469</v>
      </c>
      <c r="W66" s="57" t="s">
        <v>3476</v>
      </c>
      <c r="X66" s="57" t="s">
        <v>3908</v>
      </c>
      <c r="Y66" s="57" t="s">
        <v>3738</v>
      </c>
      <c r="Z66" s="57" t="s">
        <v>3909</v>
      </c>
      <c r="AA66" s="57" t="s">
        <v>3740</v>
      </c>
      <c r="AB66" s="57" t="s">
        <v>3476</v>
      </c>
      <c r="AC66" s="57" t="s">
        <v>3741</v>
      </c>
      <c r="AD66" s="57" t="s">
        <v>3476</v>
      </c>
      <c r="AE66" s="57" t="s">
        <v>3476</v>
      </c>
      <c r="AF66" s="57" t="s">
        <v>3476</v>
      </c>
      <c r="AG66" s="57" t="s">
        <v>3476</v>
      </c>
      <c r="AH66" s="57" t="s">
        <v>3476</v>
      </c>
      <c r="AI66" s="57" t="s">
        <v>3476</v>
      </c>
      <c r="AJ66" s="57" t="s">
        <v>3476</v>
      </c>
      <c r="AK66" s="57" t="s">
        <v>1292</v>
      </c>
      <c r="AL66" s="57" t="s">
        <v>3910</v>
      </c>
      <c r="AM66" s="57" t="s">
        <v>3476</v>
      </c>
      <c r="AN66" s="57" t="s">
        <v>3911</v>
      </c>
      <c r="AO66" s="57" t="s">
        <v>3476</v>
      </c>
      <c r="AP66" s="58">
        <v>45821.6740162037</v>
      </c>
      <c r="AQ66" s="57" t="s">
        <v>3476</v>
      </c>
      <c r="AR66" s="57" t="s">
        <v>3744</v>
      </c>
      <c r="AS66" s="57" t="s">
        <v>3502</v>
      </c>
      <c r="AT66" s="57" t="s">
        <v>3745</v>
      </c>
      <c r="AU66" s="57" t="s">
        <v>3912</v>
      </c>
      <c r="AV66" s="57" t="s">
        <v>3476</v>
      </c>
      <c r="AW66" s="58">
        <v>45740.4917708333</v>
      </c>
      <c r="AX66" s="57" t="s">
        <v>3910</v>
      </c>
      <c r="AY66" s="57" t="s">
        <v>3747</v>
      </c>
      <c r="AZ66" s="57" t="s">
        <v>3476</v>
      </c>
      <c r="BA66" s="57" t="s">
        <v>3476</v>
      </c>
      <c r="BB66" s="57" t="s">
        <v>3476</v>
      </c>
      <c r="BC66" s="57" t="s">
        <v>3913</v>
      </c>
      <c r="BD66" s="57" t="s">
        <v>3659</v>
      </c>
      <c r="BE66" s="57" t="s">
        <v>3914</v>
      </c>
      <c r="BF66" s="57" t="s">
        <v>3749</v>
      </c>
      <c r="BG66" s="57" t="s">
        <v>3476</v>
      </c>
      <c r="BH66" s="57" t="s">
        <v>3476</v>
      </c>
      <c r="BI66" s="57" t="s">
        <v>2809</v>
      </c>
      <c r="BJ66" s="57" t="s">
        <v>3476</v>
      </c>
      <c r="BK66" s="57" t="s">
        <v>3476</v>
      </c>
      <c r="BL66" s="57">
        <v>3489493</v>
      </c>
      <c r="BM66" s="57" t="s">
        <v>3915</v>
      </c>
      <c r="BN66" s="57" t="s">
        <v>3476</v>
      </c>
      <c r="BO66" s="57">
        <v>25.99</v>
      </c>
      <c r="BP66" s="57" t="s">
        <v>3751</v>
      </c>
      <c r="BQ66" s="57" t="s">
        <v>3476</v>
      </c>
      <c r="BR66" s="57" t="s">
        <v>3916</v>
      </c>
      <c r="BS66" s="57" t="s">
        <v>1292</v>
      </c>
      <c r="BT66" s="57" t="s">
        <v>3476</v>
      </c>
      <c r="BU66" s="57" t="s">
        <v>3476</v>
      </c>
      <c r="BV66" s="57" t="s">
        <v>3753</v>
      </c>
      <c r="BW66" s="57" t="s">
        <v>3476</v>
      </c>
      <c r="BX66" s="57">
        <v>25.99</v>
      </c>
      <c r="BY66" s="57" t="s">
        <v>3476</v>
      </c>
      <c r="BZ66" s="57" t="s">
        <v>3476</v>
      </c>
      <c r="CA66" s="57" t="s">
        <v>3476</v>
      </c>
      <c r="CB66" s="57" t="s">
        <v>3476</v>
      </c>
      <c r="CC66" s="57" t="s">
        <v>3476</v>
      </c>
      <c r="CD66" s="57" t="s">
        <v>3476</v>
      </c>
    </row>
    <row r="67" spans="1:82">
      <c r="A67" s="57">
        <v>6210</v>
      </c>
      <c r="B67" s="57" t="s">
        <v>3476</v>
      </c>
      <c r="C67" s="57" t="s">
        <v>3903</v>
      </c>
      <c r="D67" s="57" t="s">
        <v>3476</v>
      </c>
      <c r="E67" s="57" t="s">
        <v>3730</v>
      </c>
      <c r="F67" s="57" t="s">
        <v>3904</v>
      </c>
      <c r="G67" s="57" t="s">
        <v>721</v>
      </c>
      <c r="H67" s="57" t="s">
        <v>3256</v>
      </c>
      <c r="I67" s="57">
        <v>474.6</v>
      </c>
      <c r="J67" s="57" t="s">
        <v>3476</v>
      </c>
      <c r="K67" s="57" t="s">
        <v>3476</v>
      </c>
      <c r="L67" s="57" t="s">
        <v>3732</v>
      </c>
      <c r="M67" s="57" t="s">
        <v>3905</v>
      </c>
      <c r="N67" s="57" t="s">
        <v>3905</v>
      </c>
      <c r="O67" s="57" t="s">
        <v>3476</v>
      </c>
      <c r="P67" s="57" t="s">
        <v>3476</v>
      </c>
      <c r="Q67" s="57" t="s">
        <v>3256</v>
      </c>
      <c r="R67" s="57" t="s">
        <v>3906</v>
      </c>
      <c r="S67" s="57" t="s">
        <v>3907</v>
      </c>
      <c r="T67" s="57" t="s">
        <v>3736</v>
      </c>
      <c r="U67" s="57" t="s">
        <v>3476</v>
      </c>
      <c r="V67" s="57" t="s">
        <v>3469</v>
      </c>
      <c r="W67" s="57" t="s">
        <v>3476</v>
      </c>
      <c r="X67" s="57" t="s">
        <v>3908</v>
      </c>
      <c r="Y67" s="57" t="s">
        <v>3738</v>
      </c>
      <c r="Z67" s="57" t="s">
        <v>3909</v>
      </c>
      <c r="AA67" s="57" t="s">
        <v>3740</v>
      </c>
      <c r="AB67" s="57" t="s">
        <v>3476</v>
      </c>
      <c r="AC67" s="57" t="s">
        <v>3741</v>
      </c>
      <c r="AD67" s="57" t="s">
        <v>3476</v>
      </c>
      <c r="AE67" s="57" t="s">
        <v>3476</v>
      </c>
      <c r="AF67" s="57" t="s">
        <v>3476</v>
      </c>
      <c r="AG67" s="57" t="s">
        <v>3476</v>
      </c>
      <c r="AH67" s="57" t="s">
        <v>3476</v>
      </c>
      <c r="AI67" s="57" t="s">
        <v>3476</v>
      </c>
      <c r="AJ67" s="57" t="s">
        <v>3476</v>
      </c>
      <c r="AK67" s="57" t="s">
        <v>1292</v>
      </c>
      <c r="AL67" s="57" t="s">
        <v>3910</v>
      </c>
      <c r="AM67" s="57" t="s">
        <v>3476</v>
      </c>
      <c r="AN67" s="57" t="s">
        <v>3911</v>
      </c>
      <c r="AO67" s="57" t="s">
        <v>3476</v>
      </c>
      <c r="AP67" s="58">
        <v>45821.6740162037</v>
      </c>
      <c r="AQ67" s="57" t="s">
        <v>3476</v>
      </c>
      <c r="AR67" s="57" t="s">
        <v>3744</v>
      </c>
      <c r="AS67" s="57" t="s">
        <v>3502</v>
      </c>
      <c r="AT67" s="57" t="s">
        <v>3745</v>
      </c>
      <c r="AU67" s="57" t="s">
        <v>3912</v>
      </c>
      <c r="AV67" s="57" t="s">
        <v>3476</v>
      </c>
      <c r="AW67" s="58">
        <v>45740.4917708333</v>
      </c>
      <c r="AX67" s="57" t="s">
        <v>3910</v>
      </c>
      <c r="AY67" s="57" t="s">
        <v>3747</v>
      </c>
      <c r="AZ67" s="57" t="s">
        <v>3476</v>
      </c>
      <c r="BA67" s="57" t="s">
        <v>3476</v>
      </c>
      <c r="BB67" s="57" t="s">
        <v>3476</v>
      </c>
      <c r="BC67" s="57" t="s">
        <v>3913</v>
      </c>
      <c r="BD67" s="57" t="s">
        <v>3659</v>
      </c>
      <c r="BE67" s="57" t="s">
        <v>3914</v>
      </c>
      <c r="BF67" s="57" t="s">
        <v>3749</v>
      </c>
      <c r="BG67" s="57" t="s">
        <v>3476</v>
      </c>
      <c r="BH67" s="57" t="s">
        <v>3476</v>
      </c>
      <c r="BI67" s="57" t="s">
        <v>2809</v>
      </c>
      <c r="BJ67" s="57" t="s">
        <v>3476</v>
      </c>
      <c r="BK67" s="57" t="s">
        <v>3476</v>
      </c>
      <c r="BL67" s="57">
        <v>3489494</v>
      </c>
      <c r="BM67" s="57" t="s">
        <v>3915</v>
      </c>
      <c r="BN67" s="57" t="s">
        <v>3476</v>
      </c>
      <c r="BO67" s="57">
        <v>169.5</v>
      </c>
      <c r="BP67" s="57" t="s">
        <v>3751</v>
      </c>
      <c r="BQ67" s="57" t="s">
        <v>3476</v>
      </c>
      <c r="BR67" s="57" t="s">
        <v>3916</v>
      </c>
      <c r="BS67" s="57" t="s">
        <v>1292</v>
      </c>
      <c r="BT67" s="57" t="s">
        <v>3476</v>
      </c>
      <c r="BU67" s="57" t="s">
        <v>3476</v>
      </c>
      <c r="BV67" s="57" t="s">
        <v>3753</v>
      </c>
      <c r="BW67" s="57" t="s">
        <v>3476</v>
      </c>
      <c r="BX67" s="57">
        <v>169.5</v>
      </c>
      <c r="BY67" s="57" t="s">
        <v>3476</v>
      </c>
      <c r="BZ67" s="57" t="s">
        <v>3476</v>
      </c>
      <c r="CA67" s="57" t="s">
        <v>3476</v>
      </c>
      <c r="CB67" s="57" t="s">
        <v>3476</v>
      </c>
      <c r="CC67" s="57" t="s">
        <v>3476</v>
      </c>
      <c r="CD67" s="57" t="s">
        <v>3476</v>
      </c>
    </row>
    <row r="68" spans="1:82">
      <c r="A68" s="57">
        <v>6211</v>
      </c>
      <c r="B68" s="57" t="s">
        <v>3476</v>
      </c>
      <c r="C68" s="57" t="s">
        <v>3903</v>
      </c>
      <c r="D68" s="57" t="s">
        <v>3476</v>
      </c>
      <c r="E68" s="57" t="s">
        <v>3730</v>
      </c>
      <c r="F68" s="57" t="s">
        <v>3904</v>
      </c>
      <c r="G68" s="57" t="s">
        <v>721</v>
      </c>
      <c r="H68" s="57" t="s">
        <v>3256</v>
      </c>
      <c r="I68" s="57">
        <v>474.6</v>
      </c>
      <c r="J68" s="57" t="s">
        <v>3476</v>
      </c>
      <c r="K68" s="57" t="s">
        <v>3476</v>
      </c>
      <c r="L68" s="57" t="s">
        <v>3732</v>
      </c>
      <c r="M68" s="57" t="s">
        <v>3905</v>
      </c>
      <c r="N68" s="57" t="s">
        <v>3905</v>
      </c>
      <c r="O68" s="57" t="s">
        <v>3476</v>
      </c>
      <c r="P68" s="57" t="s">
        <v>3476</v>
      </c>
      <c r="Q68" s="57" t="s">
        <v>3256</v>
      </c>
      <c r="R68" s="57" t="s">
        <v>3906</v>
      </c>
      <c r="S68" s="57" t="s">
        <v>3907</v>
      </c>
      <c r="T68" s="57" t="s">
        <v>3736</v>
      </c>
      <c r="U68" s="57" t="s">
        <v>3476</v>
      </c>
      <c r="V68" s="57" t="s">
        <v>3469</v>
      </c>
      <c r="W68" s="57" t="s">
        <v>3476</v>
      </c>
      <c r="X68" s="57" t="s">
        <v>3908</v>
      </c>
      <c r="Y68" s="57" t="s">
        <v>3738</v>
      </c>
      <c r="Z68" s="57" t="s">
        <v>3909</v>
      </c>
      <c r="AA68" s="57" t="s">
        <v>3740</v>
      </c>
      <c r="AB68" s="57" t="s">
        <v>3476</v>
      </c>
      <c r="AC68" s="57" t="s">
        <v>3741</v>
      </c>
      <c r="AD68" s="57" t="s">
        <v>3476</v>
      </c>
      <c r="AE68" s="57" t="s">
        <v>3476</v>
      </c>
      <c r="AF68" s="57" t="s">
        <v>3476</v>
      </c>
      <c r="AG68" s="57" t="s">
        <v>3476</v>
      </c>
      <c r="AH68" s="57" t="s">
        <v>3476</v>
      </c>
      <c r="AI68" s="57" t="s">
        <v>3476</v>
      </c>
      <c r="AJ68" s="57" t="s">
        <v>3476</v>
      </c>
      <c r="AK68" s="57" t="s">
        <v>1292</v>
      </c>
      <c r="AL68" s="57" t="s">
        <v>3910</v>
      </c>
      <c r="AM68" s="57" t="s">
        <v>3476</v>
      </c>
      <c r="AN68" s="57" t="s">
        <v>3911</v>
      </c>
      <c r="AO68" s="57" t="s">
        <v>3476</v>
      </c>
      <c r="AP68" s="58">
        <v>45821.6740162037</v>
      </c>
      <c r="AQ68" s="57" t="s">
        <v>3476</v>
      </c>
      <c r="AR68" s="57" t="s">
        <v>3744</v>
      </c>
      <c r="AS68" s="57" t="s">
        <v>3502</v>
      </c>
      <c r="AT68" s="57" t="s">
        <v>3745</v>
      </c>
      <c r="AU68" s="57" t="s">
        <v>3912</v>
      </c>
      <c r="AV68" s="57" t="s">
        <v>3476</v>
      </c>
      <c r="AW68" s="58">
        <v>45740.4917708333</v>
      </c>
      <c r="AX68" s="57" t="s">
        <v>3910</v>
      </c>
      <c r="AY68" s="57" t="s">
        <v>3747</v>
      </c>
      <c r="AZ68" s="57" t="s">
        <v>3476</v>
      </c>
      <c r="BA68" s="57" t="s">
        <v>3476</v>
      </c>
      <c r="BB68" s="57" t="s">
        <v>3476</v>
      </c>
      <c r="BC68" s="57" t="s">
        <v>3913</v>
      </c>
      <c r="BD68" s="57" t="s">
        <v>3659</v>
      </c>
      <c r="BE68" s="57" t="s">
        <v>3914</v>
      </c>
      <c r="BF68" s="57" t="s">
        <v>3749</v>
      </c>
      <c r="BG68" s="57" t="s">
        <v>3476</v>
      </c>
      <c r="BH68" s="57" t="s">
        <v>3476</v>
      </c>
      <c r="BI68" s="57" t="s">
        <v>2809</v>
      </c>
      <c r="BJ68" s="57" t="s">
        <v>3476</v>
      </c>
      <c r="BK68" s="57" t="s">
        <v>3476</v>
      </c>
      <c r="BL68" s="57">
        <v>3489495</v>
      </c>
      <c r="BM68" s="57" t="s">
        <v>3915</v>
      </c>
      <c r="BN68" s="57" t="s">
        <v>3476</v>
      </c>
      <c r="BO68" s="57">
        <v>153.68</v>
      </c>
      <c r="BP68" s="57" t="s">
        <v>3751</v>
      </c>
      <c r="BQ68" s="57" t="s">
        <v>3476</v>
      </c>
      <c r="BR68" s="57" t="s">
        <v>3916</v>
      </c>
      <c r="BS68" s="57" t="s">
        <v>1292</v>
      </c>
      <c r="BT68" s="57" t="s">
        <v>3476</v>
      </c>
      <c r="BU68" s="57" t="s">
        <v>3476</v>
      </c>
      <c r="BV68" s="57" t="s">
        <v>3753</v>
      </c>
      <c r="BW68" s="57" t="s">
        <v>3476</v>
      </c>
      <c r="BX68" s="57">
        <v>153.68</v>
      </c>
      <c r="BY68" s="57" t="s">
        <v>3476</v>
      </c>
      <c r="BZ68" s="57" t="s">
        <v>3476</v>
      </c>
      <c r="CA68" s="57" t="s">
        <v>3476</v>
      </c>
      <c r="CB68" s="57" t="s">
        <v>3476</v>
      </c>
      <c r="CC68" s="57" t="s">
        <v>3476</v>
      </c>
      <c r="CD68" s="57" t="s">
        <v>3476</v>
      </c>
    </row>
    <row r="69" spans="1:82">
      <c r="A69" s="57">
        <v>6239</v>
      </c>
      <c r="B69" s="57" t="s">
        <v>3917</v>
      </c>
      <c r="C69" s="57" t="s">
        <v>3476</v>
      </c>
      <c r="D69" s="57" t="s">
        <v>3918</v>
      </c>
      <c r="E69" s="57" t="s">
        <v>3730</v>
      </c>
      <c r="F69" s="57" t="s">
        <v>3919</v>
      </c>
      <c r="G69" s="57" t="s">
        <v>721</v>
      </c>
      <c r="H69" s="57" t="s">
        <v>3480</v>
      </c>
      <c r="I69" s="57">
        <v>20000</v>
      </c>
      <c r="J69" s="57" t="s">
        <v>3476</v>
      </c>
      <c r="K69" s="57" t="s">
        <v>3476</v>
      </c>
      <c r="L69" s="57" t="s">
        <v>3732</v>
      </c>
      <c r="M69" s="57" t="s">
        <v>3905</v>
      </c>
      <c r="N69" s="57" t="s">
        <v>3476</v>
      </c>
      <c r="O69" s="57" t="s">
        <v>3476</v>
      </c>
      <c r="P69" s="57" t="s">
        <v>3476</v>
      </c>
      <c r="Q69" s="57" t="s">
        <v>3480</v>
      </c>
      <c r="R69" s="57" t="s">
        <v>3799</v>
      </c>
      <c r="S69" s="57" t="s">
        <v>3800</v>
      </c>
      <c r="T69" s="57" t="s">
        <v>3476</v>
      </c>
      <c r="U69" s="57" t="s">
        <v>3476</v>
      </c>
      <c r="V69" s="57" t="s">
        <v>3469</v>
      </c>
      <c r="W69" s="57" t="s">
        <v>3476</v>
      </c>
      <c r="X69" s="57" t="s">
        <v>3920</v>
      </c>
      <c r="Y69" s="57" t="s">
        <v>3738</v>
      </c>
      <c r="Z69" s="57" t="s">
        <v>3905</v>
      </c>
      <c r="AA69" s="57" t="s">
        <v>3921</v>
      </c>
      <c r="AB69" s="57" t="s">
        <v>3922</v>
      </c>
      <c r="AC69" s="57" t="s">
        <v>3741</v>
      </c>
      <c r="AD69" s="57" t="s">
        <v>3476</v>
      </c>
      <c r="AE69" s="57" t="s">
        <v>3476</v>
      </c>
      <c r="AF69" s="57" t="s">
        <v>3923</v>
      </c>
      <c r="AG69" s="57" t="s">
        <v>3476</v>
      </c>
      <c r="AH69" s="57" t="s">
        <v>3476</v>
      </c>
      <c r="AI69" s="57" t="s">
        <v>3923</v>
      </c>
      <c r="AJ69" s="57" t="s">
        <v>3476</v>
      </c>
      <c r="AK69" s="57" t="s">
        <v>1292</v>
      </c>
      <c r="AL69" s="57" t="s">
        <v>3924</v>
      </c>
      <c r="AM69" s="57" t="s">
        <v>3476</v>
      </c>
      <c r="AN69" s="57" t="s">
        <v>3925</v>
      </c>
      <c r="AO69" s="57" t="s">
        <v>3476</v>
      </c>
      <c r="AP69" s="58">
        <v>45742.6599305556</v>
      </c>
      <c r="AQ69" s="57" t="s">
        <v>3476</v>
      </c>
      <c r="AR69" s="57" t="s">
        <v>3507</v>
      </c>
      <c r="AS69" s="57" t="s">
        <v>3476</v>
      </c>
      <c r="AT69" s="57" t="s">
        <v>3926</v>
      </c>
      <c r="AU69" s="57" t="s">
        <v>3927</v>
      </c>
      <c r="AV69" s="57" t="s">
        <v>3918</v>
      </c>
      <c r="AW69" s="58">
        <v>45733.540462963</v>
      </c>
      <c r="AX69" s="57" t="s">
        <v>3924</v>
      </c>
      <c r="AY69" s="57" t="s">
        <v>3747</v>
      </c>
      <c r="AZ69" s="57" t="s">
        <v>3476</v>
      </c>
      <c r="BA69" s="57" t="s">
        <v>3476</v>
      </c>
      <c r="BB69" s="57" t="s">
        <v>3476</v>
      </c>
      <c r="BC69" s="57" t="s">
        <v>3476</v>
      </c>
      <c r="BD69" s="57" t="s">
        <v>3928</v>
      </c>
      <c r="BE69" s="57" t="s">
        <v>3476</v>
      </c>
      <c r="BF69" s="57" t="s">
        <v>3749</v>
      </c>
      <c r="BG69" s="57" t="s">
        <v>3476</v>
      </c>
      <c r="BH69" s="57" t="s">
        <v>3476</v>
      </c>
      <c r="BI69" s="57" t="s">
        <v>3929</v>
      </c>
      <c r="BJ69" s="57" t="s">
        <v>3476</v>
      </c>
      <c r="BK69" s="57" t="s">
        <v>3476</v>
      </c>
      <c r="BL69" s="57" t="s">
        <v>3476</v>
      </c>
      <c r="BM69" s="57" t="s">
        <v>3476</v>
      </c>
      <c r="BN69" s="57">
        <v>20000</v>
      </c>
      <c r="BO69" s="57" t="s">
        <v>3476</v>
      </c>
      <c r="BP69" s="57" t="s">
        <v>3930</v>
      </c>
      <c r="BQ69" s="57" t="s">
        <v>3476</v>
      </c>
      <c r="BR69" s="57" t="s">
        <v>3476</v>
      </c>
      <c r="BS69" s="57" t="s">
        <v>3476</v>
      </c>
      <c r="BT69" s="57" t="s">
        <v>1292</v>
      </c>
      <c r="BU69" s="57" t="s">
        <v>3476</v>
      </c>
      <c r="BV69" s="57" t="s">
        <v>3753</v>
      </c>
      <c r="BW69" s="57" t="s">
        <v>3476</v>
      </c>
      <c r="BX69" s="57">
        <v>20000</v>
      </c>
      <c r="BY69" s="57" t="s">
        <v>3476</v>
      </c>
      <c r="BZ69" s="57" t="s">
        <v>721</v>
      </c>
      <c r="CA69" s="57" t="s">
        <v>3476</v>
      </c>
      <c r="CB69" s="57" t="s">
        <v>3476</v>
      </c>
      <c r="CC69" s="57" t="s">
        <v>3476</v>
      </c>
      <c r="CD69" s="57" t="s">
        <v>3476</v>
      </c>
    </row>
    <row r="70" spans="1:82">
      <c r="A70" s="57">
        <v>6290</v>
      </c>
      <c r="B70" s="57" t="s">
        <v>3476</v>
      </c>
      <c r="C70" s="57" t="s">
        <v>3931</v>
      </c>
      <c r="D70" s="57" t="s">
        <v>3476</v>
      </c>
      <c r="E70" s="57" t="s">
        <v>3730</v>
      </c>
      <c r="F70" s="57" t="s">
        <v>3932</v>
      </c>
      <c r="G70" s="57" t="s">
        <v>721</v>
      </c>
      <c r="H70" s="57" t="s">
        <v>3598</v>
      </c>
      <c r="I70" s="57">
        <v>7900</v>
      </c>
      <c r="J70" s="57" t="s">
        <v>3476</v>
      </c>
      <c r="K70" s="57" t="s">
        <v>3476</v>
      </c>
      <c r="L70" s="57" t="s">
        <v>3732</v>
      </c>
      <c r="M70" s="57" t="s">
        <v>3933</v>
      </c>
      <c r="N70" s="57" t="s">
        <v>3933</v>
      </c>
      <c r="O70" s="57" t="s">
        <v>3476</v>
      </c>
      <c r="P70" s="57" t="s">
        <v>3476</v>
      </c>
      <c r="Q70" s="57" t="s">
        <v>3598</v>
      </c>
      <c r="R70" s="57" t="s">
        <v>3839</v>
      </c>
      <c r="S70" s="57" t="s">
        <v>3840</v>
      </c>
      <c r="T70" s="57" t="s">
        <v>3736</v>
      </c>
      <c r="U70" s="57" t="s">
        <v>3476</v>
      </c>
      <c r="V70" s="57" t="s">
        <v>3469</v>
      </c>
      <c r="W70" s="57" t="s">
        <v>3476</v>
      </c>
      <c r="X70" s="57" t="s">
        <v>3934</v>
      </c>
      <c r="Y70" s="57" t="s">
        <v>3738</v>
      </c>
      <c r="Z70" s="57" t="s">
        <v>3895</v>
      </c>
      <c r="AA70" s="57" t="s">
        <v>3935</v>
      </c>
      <c r="AB70" s="57" t="s">
        <v>3476</v>
      </c>
      <c r="AC70" s="57" t="s">
        <v>3741</v>
      </c>
      <c r="AD70" s="57" t="s">
        <v>3476</v>
      </c>
      <c r="AE70" s="57" t="s">
        <v>3476</v>
      </c>
      <c r="AF70" s="57" t="s">
        <v>3476</v>
      </c>
      <c r="AG70" s="57" t="s">
        <v>3476</v>
      </c>
      <c r="AH70" s="57" t="s">
        <v>3476</v>
      </c>
      <c r="AI70" s="57" t="s">
        <v>3476</v>
      </c>
      <c r="AJ70" s="57" t="s">
        <v>3476</v>
      </c>
      <c r="AK70" s="57" t="s">
        <v>1292</v>
      </c>
      <c r="AL70" s="57" t="s">
        <v>3936</v>
      </c>
      <c r="AM70" s="57" t="s">
        <v>3476</v>
      </c>
      <c r="AN70" s="57" t="s">
        <v>3937</v>
      </c>
      <c r="AO70" s="57" t="s">
        <v>3476</v>
      </c>
      <c r="AP70" s="58">
        <v>45793.7674421296</v>
      </c>
      <c r="AQ70" s="57" t="s">
        <v>3476</v>
      </c>
      <c r="AR70" s="57" t="s">
        <v>3831</v>
      </c>
      <c r="AS70" s="57" t="s">
        <v>3502</v>
      </c>
      <c r="AT70" s="57" t="s">
        <v>3745</v>
      </c>
      <c r="AU70" s="57" t="s">
        <v>3938</v>
      </c>
      <c r="AV70" s="57" t="s">
        <v>3476</v>
      </c>
      <c r="AW70" s="58">
        <v>45735.8965740741</v>
      </c>
      <c r="AX70" s="57" t="s">
        <v>3936</v>
      </c>
      <c r="AY70" s="57" t="s">
        <v>3747</v>
      </c>
      <c r="AZ70" s="57" t="s">
        <v>3476</v>
      </c>
      <c r="BA70" s="57" t="s">
        <v>3476</v>
      </c>
      <c r="BB70" s="57" t="s">
        <v>3476</v>
      </c>
      <c r="BC70" s="57" t="s">
        <v>3845</v>
      </c>
      <c r="BD70" s="57" t="s">
        <v>3846</v>
      </c>
      <c r="BE70" s="57" t="s">
        <v>2828</v>
      </c>
      <c r="BF70" s="57" t="s">
        <v>3749</v>
      </c>
      <c r="BG70" s="57" t="s">
        <v>3476</v>
      </c>
      <c r="BH70" s="57" t="s">
        <v>3476</v>
      </c>
      <c r="BI70" s="57" t="s">
        <v>2809</v>
      </c>
      <c r="BJ70" s="57" t="s">
        <v>3476</v>
      </c>
      <c r="BK70" s="57" t="s">
        <v>3476</v>
      </c>
      <c r="BL70" s="57">
        <v>3316660</v>
      </c>
      <c r="BM70" s="57" t="s">
        <v>3939</v>
      </c>
      <c r="BN70" s="57" t="s">
        <v>3476</v>
      </c>
      <c r="BO70" s="57">
        <v>7900</v>
      </c>
      <c r="BP70" s="57" t="s">
        <v>3835</v>
      </c>
      <c r="BQ70" s="57" t="s">
        <v>3476</v>
      </c>
      <c r="BR70" s="57" t="s">
        <v>3940</v>
      </c>
      <c r="BS70" s="57" t="s">
        <v>1292</v>
      </c>
      <c r="BT70" s="57" t="s">
        <v>3476</v>
      </c>
      <c r="BU70" s="57" t="s">
        <v>3476</v>
      </c>
      <c r="BV70" s="57" t="s">
        <v>3753</v>
      </c>
      <c r="BW70" s="57" t="s">
        <v>3476</v>
      </c>
      <c r="BX70" s="57">
        <v>7900</v>
      </c>
      <c r="BY70" s="57" t="s">
        <v>3476</v>
      </c>
      <c r="BZ70" s="57" t="s">
        <v>3476</v>
      </c>
      <c r="CA70" s="57" t="s">
        <v>3476</v>
      </c>
      <c r="CB70" s="57" t="s">
        <v>3476</v>
      </c>
      <c r="CC70" s="57" t="s">
        <v>3476</v>
      </c>
      <c r="CD70" s="57" t="s">
        <v>3476</v>
      </c>
    </row>
    <row r="71" spans="1:82">
      <c r="A71" s="57">
        <v>7879</v>
      </c>
      <c r="B71" s="57" t="s">
        <v>3941</v>
      </c>
      <c r="C71" s="57" t="s">
        <v>3476</v>
      </c>
      <c r="D71" s="57" t="s">
        <v>3942</v>
      </c>
      <c r="E71" s="57" t="s">
        <v>3730</v>
      </c>
      <c r="F71" s="57" t="s">
        <v>3943</v>
      </c>
      <c r="G71" s="57" t="s">
        <v>721</v>
      </c>
      <c r="H71" s="57" t="s">
        <v>3814</v>
      </c>
      <c r="I71" s="57">
        <v>3000</v>
      </c>
      <c r="J71" s="57" t="s">
        <v>3476</v>
      </c>
      <c r="K71" s="57" t="s">
        <v>3476</v>
      </c>
      <c r="L71" s="57" t="s">
        <v>3732</v>
      </c>
      <c r="M71" s="57" t="s">
        <v>3944</v>
      </c>
      <c r="N71" s="57" t="s">
        <v>3476</v>
      </c>
      <c r="O71" s="57" t="s">
        <v>3476</v>
      </c>
      <c r="P71" s="57" t="s">
        <v>3476</v>
      </c>
      <c r="Q71" s="57" t="s">
        <v>3814</v>
      </c>
      <c r="R71" s="57" t="s">
        <v>3815</v>
      </c>
      <c r="S71" s="57" t="s">
        <v>3816</v>
      </c>
      <c r="T71" s="57" t="s">
        <v>3476</v>
      </c>
      <c r="U71" s="57" t="s">
        <v>3476</v>
      </c>
      <c r="V71" s="57" t="s">
        <v>3469</v>
      </c>
      <c r="W71" s="57" t="s">
        <v>3476</v>
      </c>
      <c r="X71" s="57" t="s">
        <v>3945</v>
      </c>
      <c r="Y71" s="57" t="s">
        <v>3738</v>
      </c>
      <c r="Z71" s="57" t="s">
        <v>3944</v>
      </c>
      <c r="AA71" s="57" t="s">
        <v>3824</v>
      </c>
      <c r="AB71" s="57" t="s">
        <v>3922</v>
      </c>
      <c r="AC71" s="57" t="s">
        <v>3741</v>
      </c>
      <c r="AD71" s="57" t="s">
        <v>3476</v>
      </c>
      <c r="AE71" s="57" t="s">
        <v>3476</v>
      </c>
      <c r="AF71" s="57" t="s">
        <v>3923</v>
      </c>
      <c r="AG71" s="57" t="s">
        <v>3476</v>
      </c>
      <c r="AH71" s="57" t="s">
        <v>3476</v>
      </c>
      <c r="AI71" s="57" t="s">
        <v>3923</v>
      </c>
      <c r="AJ71" s="57" t="s">
        <v>3476</v>
      </c>
      <c r="AK71" s="57" t="s">
        <v>1292</v>
      </c>
      <c r="AL71" s="57" t="s">
        <v>3946</v>
      </c>
      <c r="AM71" s="57" t="s">
        <v>3476</v>
      </c>
      <c r="AN71" s="57" t="s">
        <v>3947</v>
      </c>
      <c r="AO71" s="57" t="s">
        <v>3476</v>
      </c>
      <c r="AP71" s="58">
        <v>45758.7953356481</v>
      </c>
      <c r="AQ71" s="57" t="s">
        <v>3476</v>
      </c>
      <c r="AR71" s="57" t="s">
        <v>3806</v>
      </c>
      <c r="AS71" s="57" t="s">
        <v>3476</v>
      </c>
      <c r="AT71" s="57" t="s">
        <v>3948</v>
      </c>
      <c r="AU71" s="57" t="s">
        <v>3949</v>
      </c>
      <c r="AV71" s="57" t="s">
        <v>3942</v>
      </c>
      <c r="AW71" s="58">
        <v>45729.7487384259</v>
      </c>
      <c r="AX71" s="57" t="s">
        <v>3946</v>
      </c>
      <c r="AY71" s="57" t="s">
        <v>3747</v>
      </c>
      <c r="AZ71" s="57" t="s">
        <v>3476</v>
      </c>
      <c r="BA71" s="57" t="s">
        <v>3476</v>
      </c>
      <c r="BB71" s="57" t="s">
        <v>3476</v>
      </c>
      <c r="BC71" s="57" t="s">
        <v>3476</v>
      </c>
      <c r="BD71" s="57" t="s">
        <v>3950</v>
      </c>
      <c r="BE71" s="57" t="s">
        <v>3476</v>
      </c>
      <c r="BF71" s="57" t="s">
        <v>3749</v>
      </c>
      <c r="BG71" s="57" t="s">
        <v>3476</v>
      </c>
      <c r="BH71" s="57" t="s">
        <v>3476</v>
      </c>
      <c r="BI71" s="57" t="s">
        <v>3929</v>
      </c>
      <c r="BJ71" s="57" t="s">
        <v>3476</v>
      </c>
      <c r="BK71" s="57" t="s">
        <v>3476</v>
      </c>
      <c r="BL71" s="57" t="s">
        <v>3476</v>
      </c>
      <c r="BM71" s="57" t="s">
        <v>3476</v>
      </c>
      <c r="BN71" s="57">
        <v>3000</v>
      </c>
      <c r="BO71" s="57" t="s">
        <v>3476</v>
      </c>
      <c r="BP71" s="57" t="s">
        <v>3810</v>
      </c>
      <c r="BQ71" s="57" t="s">
        <v>3476</v>
      </c>
      <c r="BR71" s="57" t="s">
        <v>3476</v>
      </c>
      <c r="BS71" s="57" t="s">
        <v>3476</v>
      </c>
      <c r="BT71" s="57" t="s">
        <v>1292</v>
      </c>
      <c r="BU71" s="57" t="s">
        <v>3476</v>
      </c>
      <c r="BV71" s="57" t="s">
        <v>3753</v>
      </c>
      <c r="BW71" s="57" t="s">
        <v>3476</v>
      </c>
      <c r="BX71" s="57">
        <v>3000</v>
      </c>
      <c r="BY71" s="57" t="s">
        <v>3476</v>
      </c>
      <c r="BZ71" s="57" t="s">
        <v>721</v>
      </c>
      <c r="CA71" s="57" t="s">
        <v>3476</v>
      </c>
      <c r="CB71" s="57" t="s">
        <v>3476</v>
      </c>
      <c r="CC71" s="57" t="s">
        <v>3476</v>
      </c>
      <c r="CD71" s="57" t="s">
        <v>3476</v>
      </c>
    </row>
    <row r="72" spans="1:82">
      <c r="A72" s="57">
        <v>8176</v>
      </c>
      <c r="B72" s="57" t="s">
        <v>3476</v>
      </c>
      <c r="C72" s="57" t="s">
        <v>3951</v>
      </c>
      <c r="D72" s="57" t="s">
        <v>3476</v>
      </c>
      <c r="E72" s="57" t="s">
        <v>3730</v>
      </c>
      <c r="F72" s="57" t="s">
        <v>3952</v>
      </c>
      <c r="G72" s="57" t="s">
        <v>721</v>
      </c>
      <c r="H72" s="57" t="s">
        <v>3322</v>
      </c>
      <c r="I72" s="57">
        <v>34200</v>
      </c>
      <c r="J72" s="57" t="s">
        <v>3476</v>
      </c>
      <c r="K72" s="57" t="s">
        <v>3476</v>
      </c>
      <c r="L72" s="57" t="s">
        <v>3732</v>
      </c>
      <c r="M72" s="57" t="s">
        <v>3953</v>
      </c>
      <c r="N72" s="57" t="s">
        <v>3953</v>
      </c>
      <c r="O72" s="57" t="s">
        <v>3476</v>
      </c>
      <c r="P72" s="57" t="s">
        <v>3476</v>
      </c>
      <c r="Q72" s="57" t="s">
        <v>3322</v>
      </c>
      <c r="R72" s="57" t="s">
        <v>3954</v>
      </c>
      <c r="S72" s="57" t="s">
        <v>3955</v>
      </c>
      <c r="T72" s="57" t="s">
        <v>3736</v>
      </c>
      <c r="U72" s="57" t="s">
        <v>3476</v>
      </c>
      <c r="V72" s="57" t="s">
        <v>3469</v>
      </c>
      <c r="W72" s="57" t="s">
        <v>3476</v>
      </c>
      <c r="X72" s="57" t="s">
        <v>3956</v>
      </c>
      <c r="Y72" s="57" t="s">
        <v>3738</v>
      </c>
      <c r="Z72" s="57" t="s">
        <v>3957</v>
      </c>
      <c r="AA72" s="57" t="s">
        <v>3740</v>
      </c>
      <c r="AB72" s="57" t="s">
        <v>3476</v>
      </c>
      <c r="AC72" s="57" t="s">
        <v>3741</v>
      </c>
      <c r="AD72" s="57" t="s">
        <v>3476</v>
      </c>
      <c r="AE72" s="57" t="s">
        <v>3476</v>
      </c>
      <c r="AF72" s="57" t="s">
        <v>3476</v>
      </c>
      <c r="AG72" s="57" t="s">
        <v>3476</v>
      </c>
      <c r="AH72" s="57" t="s">
        <v>3476</v>
      </c>
      <c r="AI72" s="57" t="s">
        <v>3476</v>
      </c>
      <c r="AJ72" s="57" t="s">
        <v>3476</v>
      </c>
      <c r="AK72" s="57" t="s">
        <v>1292</v>
      </c>
      <c r="AL72" s="57" t="s">
        <v>3958</v>
      </c>
      <c r="AM72" s="57" t="s">
        <v>3476</v>
      </c>
      <c r="AN72" s="57" t="s">
        <v>3959</v>
      </c>
      <c r="AO72" s="57" t="s">
        <v>3476</v>
      </c>
      <c r="AP72" s="58">
        <v>45821.7084143519</v>
      </c>
      <c r="AQ72" s="57" t="s">
        <v>3476</v>
      </c>
      <c r="AR72" s="57" t="s">
        <v>3744</v>
      </c>
      <c r="AS72" s="57" t="s">
        <v>3502</v>
      </c>
      <c r="AT72" s="57" t="s">
        <v>3745</v>
      </c>
      <c r="AU72" s="57" t="s">
        <v>3960</v>
      </c>
      <c r="AV72" s="57" t="s">
        <v>3476</v>
      </c>
      <c r="AW72" s="58">
        <v>45755.4254976852</v>
      </c>
      <c r="AX72" s="57" t="s">
        <v>3958</v>
      </c>
      <c r="AY72" s="57" t="s">
        <v>3747</v>
      </c>
      <c r="AZ72" s="57" t="s">
        <v>3476</v>
      </c>
      <c r="BA72" s="57" t="s">
        <v>3476</v>
      </c>
      <c r="BB72" s="57" t="s">
        <v>3476</v>
      </c>
      <c r="BC72" s="57" t="s">
        <v>3320</v>
      </c>
      <c r="BD72" s="57" t="s">
        <v>3846</v>
      </c>
      <c r="BE72" s="57" t="s">
        <v>2832</v>
      </c>
      <c r="BF72" s="57" t="s">
        <v>3749</v>
      </c>
      <c r="BG72" s="57" t="s">
        <v>3476</v>
      </c>
      <c r="BH72" s="57" t="s">
        <v>3476</v>
      </c>
      <c r="BI72" s="57" t="s">
        <v>2809</v>
      </c>
      <c r="BJ72" s="57" t="s">
        <v>3476</v>
      </c>
      <c r="BK72" s="57" t="s">
        <v>3476</v>
      </c>
      <c r="BL72" s="57">
        <v>3485361</v>
      </c>
      <c r="BM72" s="57" t="s">
        <v>3961</v>
      </c>
      <c r="BN72" s="57" t="s">
        <v>3476</v>
      </c>
      <c r="BO72" s="57">
        <v>34200</v>
      </c>
      <c r="BP72" s="57" t="s">
        <v>3751</v>
      </c>
      <c r="BQ72" s="57" t="s">
        <v>3476</v>
      </c>
      <c r="BR72" s="57" t="s">
        <v>3962</v>
      </c>
      <c r="BS72" s="57" t="s">
        <v>1292</v>
      </c>
      <c r="BT72" s="57" t="s">
        <v>3476</v>
      </c>
      <c r="BU72" s="57" t="s">
        <v>3476</v>
      </c>
      <c r="BV72" s="57" t="s">
        <v>3753</v>
      </c>
      <c r="BW72" s="57" t="s">
        <v>3476</v>
      </c>
      <c r="BX72" s="57">
        <v>34200</v>
      </c>
      <c r="BY72" s="57" t="s">
        <v>3476</v>
      </c>
      <c r="BZ72" s="57" t="s">
        <v>3476</v>
      </c>
      <c r="CA72" s="57" t="s">
        <v>3476</v>
      </c>
      <c r="CB72" s="57" t="s">
        <v>3476</v>
      </c>
      <c r="CC72" s="57" t="s">
        <v>3476</v>
      </c>
      <c r="CD72" s="57" t="s">
        <v>3476</v>
      </c>
    </row>
    <row r="73" spans="1:82">
      <c r="A73" s="57">
        <v>8181</v>
      </c>
      <c r="B73" s="57" t="s">
        <v>3476</v>
      </c>
      <c r="C73" s="57" t="s">
        <v>3963</v>
      </c>
      <c r="D73" s="57" t="s">
        <v>3476</v>
      </c>
      <c r="E73" s="57" t="s">
        <v>3730</v>
      </c>
      <c r="F73" s="57" t="s">
        <v>3964</v>
      </c>
      <c r="G73" s="57" t="s">
        <v>721</v>
      </c>
      <c r="H73" s="57" t="s">
        <v>3294</v>
      </c>
      <c r="I73" s="57">
        <v>5950</v>
      </c>
      <c r="J73" s="57" t="s">
        <v>3476</v>
      </c>
      <c r="K73" s="57" t="s">
        <v>3476</v>
      </c>
      <c r="L73" s="57" t="s">
        <v>3732</v>
      </c>
      <c r="M73" s="57" t="s">
        <v>3953</v>
      </c>
      <c r="N73" s="57" t="s">
        <v>3953</v>
      </c>
      <c r="O73" s="57" t="s">
        <v>3476</v>
      </c>
      <c r="P73" s="57" t="s">
        <v>3476</v>
      </c>
      <c r="Q73" s="57" t="s">
        <v>3294</v>
      </c>
      <c r="R73" s="57" t="s">
        <v>3965</v>
      </c>
      <c r="S73" s="57" t="s">
        <v>3966</v>
      </c>
      <c r="T73" s="57" t="s">
        <v>3736</v>
      </c>
      <c r="U73" s="57" t="s">
        <v>3476</v>
      </c>
      <c r="V73" s="57" t="s">
        <v>3469</v>
      </c>
      <c r="W73" s="57" t="s">
        <v>3476</v>
      </c>
      <c r="X73" s="57" t="s">
        <v>3967</v>
      </c>
      <c r="Y73" s="57" t="s">
        <v>3738</v>
      </c>
      <c r="Z73" s="57" t="s">
        <v>3968</v>
      </c>
      <c r="AA73" s="57" t="s">
        <v>3921</v>
      </c>
      <c r="AB73" s="57" t="s">
        <v>3476</v>
      </c>
      <c r="AC73" s="57" t="s">
        <v>3741</v>
      </c>
      <c r="AD73" s="57" t="s">
        <v>3476</v>
      </c>
      <c r="AE73" s="57" t="s">
        <v>3476</v>
      </c>
      <c r="AF73" s="57" t="s">
        <v>3476</v>
      </c>
      <c r="AG73" s="57" t="s">
        <v>3476</v>
      </c>
      <c r="AH73" s="57" t="s">
        <v>3476</v>
      </c>
      <c r="AI73" s="57" t="s">
        <v>3476</v>
      </c>
      <c r="AJ73" s="57" t="s">
        <v>3476</v>
      </c>
      <c r="AK73" s="57" t="s">
        <v>1292</v>
      </c>
      <c r="AL73" s="57" t="s">
        <v>3969</v>
      </c>
      <c r="AM73" s="57" t="s">
        <v>3476</v>
      </c>
      <c r="AN73" s="57" t="s">
        <v>3970</v>
      </c>
      <c r="AO73" s="57" t="s">
        <v>3476</v>
      </c>
      <c r="AP73" s="58">
        <v>45742.696412037</v>
      </c>
      <c r="AQ73" s="57" t="s">
        <v>3476</v>
      </c>
      <c r="AR73" s="57" t="s">
        <v>3507</v>
      </c>
      <c r="AS73" s="57" t="s">
        <v>3502</v>
      </c>
      <c r="AT73" s="57" t="s">
        <v>3745</v>
      </c>
      <c r="AU73" s="57" t="s">
        <v>3971</v>
      </c>
      <c r="AV73" s="57" t="s">
        <v>3476</v>
      </c>
      <c r="AW73" s="58">
        <v>45735.8978009259</v>
      </c>
      <c r="AX73" s="57" t="s">
        <v>3969</v>
      </c>
      <c r="AY73" s="57" t="s">
        <v>3747</v>
      </c>
      <c r="AZ73" s="57" t="s">
        <v>3476</v>
      </c>
      <c r="BA73" s="57" t="s">
        <v>3476</v>
      </c>
      <c r="BB73" s="57" t="s">
        <v>3476</v>
      </c>
      <c r="BC73" s="57" t="s">
        <v>3972</v>
      </c>
      <c r="BD73" s="57" t="s">
        <v>3659</v>
      </c>
      <c r="BE73" s="57" t="s">
        <v>3973</v>
      </c>
      <c r="BF73" s="57" t="s">
        <v>3749</v>
      </c>
      <c r="BG73" s="57" t="s">
        <v>3476</v>
      </c>
      <c r="BH73" s="57" t="s">
        <v>3476</v>
      </c>
      <c r="BI73" s="57" t="s">
        <v>2809</v>
      </c>
      <c r="BJ73" s="57" t="s">
        <v>3476</v>
      </c>
      <c r="BK73" s="57" t="s">
        <v>3476</v>
      </c>
      <c r="BL73" s="57">
        <v>3480640</v>
      </c>
      <c r="BM73" s="57" t="s">
        <v>3974</v>
      </c>
      <c r="BN73" s="57" t="s">
        <v>3476</v>
      </c>
      <c r="BO73" s="57">
        <v>5950</v>
      </c>
      <c r="BP73" s="57" t="s">
        <v>3930</v>
      </c>
      <c r="BQ73" s="57" t="s">
        <v>3476</v>
      </c>
      <c r="BR73" s="57" t="s">
        <v>3975</v>
      </c>
      <c r="BS73" s="57" t="s">
        <v>1292</v>
      </c>
      <c r="BT73" s="57" t="s">
        <v>3476</v>
      </c>
      <c r="BU73" s="57" t="s">
        <v>3476</v>
      </c>
      <c r="BV73" s="57" t="s">
        <v>3753</v>
      </c>
      <c r="BW73" s="57" t="s">
        <v>3476</v>
      </c>
      <c r="BX73" s="57">
        <v>5950</v>
      </c>
      <c r="BY73" s="57" t="s">
        <v>3476</v>
      </c>
      <c r="BZ73" s="57" t="s">
        <v>3476</v>
      </c>
      <c r="CA73" s="57" t="s">
        <v>3476</v>
      </c>
      <c r="CB73" s="57" t="s">
        <v>3476</v>
      </c>
      <c r="CC73" s="57" t="s">
        <v>3476</v>
      </c>
      <c r="CD73" s="57" t="s">
        <v>3476</v>
      </c>
    </row>
    <row r="74" spans="1:82">
      <c r="A74" s="57">
        <v>8210</v>
      </c>
      <c r="B74" s="57" t="s">
        <v>3476</v>
      </c>
      <c r="C74" s="57" t="s">
        <v>3976</v>
      </c>
      <c r="D74" s="57" t="s">
        <v>3476</v>
      </c>
      <c r="E74" s="57" t="s">
        <v>3730</v>
      </c>
      <c r="F74" s="57" t="s">
        <v>3977</v>
      </c>
      <c r="G74" s="57" t="s">
        <v>721</v>
      </c>
      <c r="H74" s="57" t="s">
        <v>3480</v>
      </c>
      <c r="I74" s="57">
        <v>62360</v>
      </c>
      <c r="J74" s="57" t="s">
        <v>3476</v>
      </c>
      <c r="K74" s="57" t="s">
        <v>3978</v>
      </c>
      <c r="L74" s="57" t="s">
        <v>3979</v>
      </c>
      <c r="M74" s="57" t="s">
        <v>3953</v>
      </c>
      <c r="N74" s="57" t="s">
        <v>3953</v>
      </c>
      <c r="O74" s="57" t="s">
        <v>3476</v>
      </c>
      <c r="P74" s="57" t="s">
        <v>3476</v>
      </c>
      <c r="Q74" s="57" t="s">
        <v>3078</v>
      </c>
      <c r="R74" s="57" t="s">
        <v>3799</v>
      </c>
      <c r="S74" s="57" t="s">
        <v>3800</v>
      </c>
      <c r="T74" s="57" t="s">
        <v>3736</v>
      </c>
      <c r="U74" s="57" t="s">
        <v>3476</v>
      </c>
      <c r="V74" s="57" t="s">
        <v>3469</v>
      </c>
      <c r="W74" s="57" t="s">
        <v>3476</v>
      </c>
      <c r="X74" s="57" t="s">
        <v>3783</v>
      </c>
      <c r="Y74" s="57" t="s">
        <v>3738</v>
      </c>
      <c r="Z74" s="57" t="s">
        <v>3933</v>
      </c>
      <c r="AA74" s="57" t="s">
        <v>3921</v>
      </c>
      <c r="AB74" s="57" t="s">
        <v>3476</v>
      </c>
      <c r="AC74" s="57" t="s">
        <v>3476</v>
      </c>
      <c r="AD74" s="57" t="s">
        <v>3476</v>
      </c>
      <c r="AE74" s="57" t="s">
        <v>3476</v>
      </c>
      <c r="AF74" s="57" t="s">
        <v>3476</v>
      </c>
      <c r="AG74" s="57" t="s">
        <v>3476</v>
      </c>
      <c r="AH74" s="57" t="s">
        <v>3476</v>
      </c>
      <c r="AI74" s="57" t="s">
        <v>3476</v>
      </c>
      <c r="AJ74" s="57" t="s">
        <v>3476</v>
      </c>
      <c r="AK74" s="57" t="s">
        <v>3476</v>
      </c>
      <c r="AL74" s="57" t="s">
        <v>3476</v>
      </c>
      <c r="AM74" s="57" t="s">
        <v>3476</v>
      </c>
      <c r="AN74" s="57" t="s">
        <v>3476</v>
      </c>
      <c r="AO74" s="57" t="s">
        <v>3980</v>
      </c>
      <c r="AP74" s="58">
        <v>45744.6769675926</v>
      </c>
      <c r="AQ74" s="57" t="s">
        <v>3476</v>
      </c>
      <c r="AR74" s="57" t="s">
        <v>3476</v>
      </c>
      <c r="AS74" s="57" t="s">
        <v>3502</v>
      </c>
      <c r="AT74" s="57" t="s">
        <v>3745</v>
      </c>
      <c r="AU74" s="57" t="s">
        <v>3476</v>
      </c>
      <c r="AV74" s="57" t="s">
        <v>3476</v>
      </c>
      <c r="AW74" s="58">
        <v>45729.6882523148</v>
      </c>
      <c r="AX74" s="57" t="s">
        <v>3476</v>
      </c>
      <c r="AY74" s="57" t="s">
        <v>3747</v>
      </c>
      <c r="AZ74" s="57" t="s">
        <v>3476</v>
      </c>
      <c r="BA74" s="57" t="s">
        <v>3476</v>
      </c>
      <c r="BB74" s="57" t="s">
        <v>3476</v>
      </c>
      <c r="BC74" s="57" t="s">
        <v>3790</v>
      </c>
      <c r="BD74" s="57" t="s">
        <v>3808</v>
      </c>
      <c r="BE74" s="57" t="s">
        <v>3476</v>
      </c>
      <c r="BF74" s="57" t="s">
        <v>3749</v>
      </c>
      <c r="BG74" s="57" t="s">
        <v>3476</v>
      </c>
      <c r="BH74" s="57" t="s">
        <v>3476</v>
      </c>
      <c r="BI74" s="57" t="s">
        <v>2809</v>
      </c>
      <c r="BJ74" s="57" t="s">
        <v>3476</v>
      </c>
      <c r="BK74" s="57" t="s">
        <v>3476</v>
      </c>
      <c r="BL74" s="57">
        <v>3501101</v>
      </c>
      <c r="BM74" s="57" t="s">
        <v>3981</v>
      </c>
      <c r="BN74" s="57">
        <v>15260</v>
      </c>
      <c r="BO74" s="57" t="s">
        <v>3476</v>
      </c>
      <c r="BP74" s="57" t="s">
        <v>3476</v>
      </c>
      <c r="BQ74" s="57" t="s">
        <v>3476</v>
      </c>
      <c r="BR74" s="57" t="s">
        <v>3982</v>
      </c>
      <c r="BS74" s="57" t="s">
        <v>1292</v>
      </c>
      <c r="BT74" s="57" t="s">
        <v>1292</v>
      </c>
      <c r="BU74" s="57" t="s">
        <v>3476</v>
      </c>
      <c r="BV74" s="57" t="s">
        <v>3753</v>
      </c>
      <c r="BW74" s="57" t="s">
        <v>3476</v>
      </c>
      <c r="BX74" s="57">
        <v>15260</v>
      </c>
      <c r="BY74" s="57" t="s">
        <v>3476</v>
      </c>
      <c r="BZ74" s="57" t="s">
        <v>3476</v>
      </c>
      <c r="CA74" s="57" t="s">
        <v>3476</v>
      </c>
      <c r="CB74" s="57" t="s">
        <v>3476</v>
      </c>
      <c r="CC74" s="57" t="s">
        <v>3476</v>
      </c>
      <c r="CD74" s="57" t="s">
        <v>3476</v>
      </c>
    </row>
    <row r="75" spans="1:82">
      <c r="A75" s="57">
        <v>8211</v>
      </c>
      <c r="B75" s="57" t="s">
        <v>3476</v>
      </c>
      <c r="C75" s="57" t="s">
        <v>3976</v>
      </c>
      <c r="D75" s="57" t="s">
        <v>3476</v>
      </c>
      <c r="E75" s="57" t="s">
        <v>3730</v>
      </c>
      <c r="F75" s="57" t="s">
        <v>3977</v>
      </c>
      <c r="G75" s="57" t="s">
        <v>721</v>
      </c>
      <c r="H75" s="57" t="s">
        <v>3480</v>
      </c>
      <c r="I75" s="57">
        <v>62360</v>
      </c>
      <c r="J75" s="57" t="s">
        <v>3476</v>
      </c>
      <c r="K75" s="57" t="s">
        <v>3978</v>
      </c>
      <c r="L75" s="57" t="s">
        <v>3979</v>
      </c>
      <c r="M75" s="57" t="s">
        <v>3953</v>
      </c>
      <c r="N75" s="57" t="s">
        <v>3953</v>
      </c>
      <c r="O75" s="57" t="s">
        <v>3476</v>
      </c>
      <c r="P75" s="57" t="s">
        <v>3476</v>
      </c>
      <c r="Q75" s="57" t="s">
        <v>3078</v>
      </c>
      <c r="R75" s="57" t="s">
        <v>3799</v>
      </c>
      <c r="S75" s="57" t="s">
        <v>3800</v>
      </c>
      <c r="T75" s="57" t="s">
        <v>3736</v>
      </c>
      <c r="U75" s="57" t="s">
        <v>3476</v>
      </c>
      <c r="V75" s="57" t="s">
        <v>3469</v>
      </c>
      <c r="W75" s="57" t="s">
        <v>3476</v>
      </c>
      <c r="X75" s="57" t="s">
        <v>3783</v>
      </c>
      <c r="Y75" s="57" t="s">
        <v>3738</v>
      </c>
      <c r="Z75" s="57" t="s">
        <v>3933</v>
      </c>
      <c r="AA75" s="57" t="s">
        <v>3921</v>
      </c>
      <c r="AB75" s="57" t="s">
        <v>3476</v>
      </c>
      <c r="AC75" s="57" t="s">
        <v>3476</v>
      </c>
      <c r="AD75" s="57" t="s">
        <v>3476</v>
      </c>
      <c r="AE75" s="57" t="s">
        <v>3476</v>
      </c>
      <c r="AF75" s="57" t="s">
        <v>3476</v>
      </c>
      <c r="AG75" s="57" t="s">
        <v>3476</v>
      </c>
      <c r="AH75" s="57" t="s">
        <v>3476</v>
      </c>
      <c r="AI75" s="57" t="s">
        <v>3476</v>
      </c>
      <c r="AJ75" s="57" t="s">
        <v>3476</v>
      </c>
      <c r="AK75" s="57" t="s">
        <v>3476</v>
      </c>
      <c r="AL75" s="57" t="s">
        <v>3476</v>
      </c>
      <c r="AM75" s="57" t="s">
        <v>3476</v>
      </c>
      <c r="AN75" s="57" t="s">
        <v>3476</v>
      </c>
      <c r="AO75" s="57" t="s">
        <v>3980</v>
      </c>
      <c r="AP75" s="58">
        <v>45744.6769675926</v>
      </c>
      <c r="AQ75" s="57" t="s">
        <v>3476</v>
      </c>
      <c r="AR75" s="57" t="s">
        <v>3476</v>
      </c>
      <c r="AS75" s="57" t="s">
        <v>3502</v>
      </c>
      <c r="AT75" s="57" t="s">
        <v>3745</v>
      </c>
      <c r="AU75" s="57" t="s">
        <v>3476</v>
      </c>
      <c r="AV75" s="57" t="s">
        <v>3476</v>
      </c>
      <c r="AW75" s="58">
        <v>45729.6882523148</v>
      </c>
      <c r="AX75" s="57" t="s">
        <v>3476</v>
      </c>
      <c r="AY75" s="57" t="s">
        <v>3747</v>
      </c>
      <c r="AZ75" s="57" t="s">
        <v>3476</v>
      </c>
      <c r="BA75" s="57" t="s">
        <v>3476</v>
      </c>
      <c r="BB75" s="57" t="s">
        <v>3476</v>
      </c>
      <c r="BC75" s="57" t="s">
        <v>3790</v>
      </c>
      <c r="BD75" s="57" t="s">
        <v>3808</v>
      </c>
      <c r="BE75" s="57" t="s">
        <v>3476</v>
      </c>
      <c r="BF75" s="57" t="s">
        <v>3749</v>
      </c>
      <c r="BG75" s="57" t="s">
        <v>3476</v>
      </c>
      <c r="BH75" s="57" t="s">
        <v>3476</v>
      </c>
      <c r="BI75" s="57" t="s">
        <v>2809</v>
      </c>
      <c r="BJ75" s="57" t="s">
        <v>3476</v>
      </c>
      <c r="BK75" s="57" t="s">
        <v>3476</v>
      </c>
      <c r="BL75" s="57">
        <v>3501100</v>
      </c>
      <c r="BM75" s="57" t="s">
        <v>3981</v>
      </c>
      <c r="BN75" s="57">
        <v>47100</v>
      </c>
      <c r="BO75" s="57" t="s">
        <v>3476</v>
      </c>
      <c r="BP75" s="57" t="s">
        <v>3476</v>
      </c>
      <c r="BQ75" s="57" t="s">
        <v>3476</v>
      </c>
      <c r="BR75" s="57" t="s">
        <v>3982</v>
      </c>
      <c r="BS75" s="57" t="s">
        <v>1292</v>
      </c>
      <c r="BT75" s="57" t="s">
        <v>1292</v>
      </c>
      <c r="BU75" s="57" t="s">
        <v>3476</v>
      </c>
      <c r="BV75" s="57" t="s">
        <v>3753</v>
      </c>
      <c r="BW75" s="57" t="s">
        <v>3476</v>
      </c>
      <c r="BX75" s="57">
        <v>47100</v>
      </c>
      <c r="BY75" s="57" t="s">
        <v>3476</v>
      </c>
      <c r="BZ75" s="57" t="s">
        <v>3476</v>
      </c>
      <c r="CA75" s="57" t="s">
        <v>3476</v>
      </c>
      <c r="CB75" s="57" t="s">
        <v>3476</v>
      </c>
      <c r="CC75" s="57" t="s">
        <v>3476</v>
      </c>
      <c r="CD75" s="57" t="s">
        <v>3476</v>
      </c>
    </row>
    <row r="76" spans="1:82">
      <c r="A76" s="57">
        <v>9544</v>
      </c>
      <c r="B76" s="57" t="s">
        <v>3476</v>
      </c>
      <c r="C76" s="57" t="s">
        <v>3983</v>
      </c>
      <c r="D76" s="57" t="s">
        <v>3476</v>
      </c>
      <c r="E76" s="57" t="s">
        <v>3730</v>
      </c>
      <c r="F76" s="57" t="s">
        <v>3984</v>
      </c>
      <c r="G76" s="57" t="s">
        <v>721</v>
      </c>
      <c r="H76" s="57" t="s">
        <v>3256</v>
      </c>
      <c r="I76" s="57">
        <v>479.12</v>
      </c>
      <c r="J76" s="57" t="s">
        <v>3476</v>
      </c>
      <c r="K76" s="57" t="s">
        <v>3476</v>
      </c>
      <c r="L76" s="57" t="s">
        <v>3732</v>
      </c>
      <c r="M76" s="57" t="s">
        <v>3985</v>
      </c>
      <c r="N76" s="57" t="s">
        <v>3985</v>
      </c>
      <c r="O76" s="57" t="s">
        <v>3476</v>
      </c>
      <c r="P76" s="57" t="s">
        <v>3476</v>
      </c>
      <c r="Q76" s="57" t="s">
        <v>3256</v>
      </c>
      <c r="R76" s="57" t="s">
        <v>3906</v>
      </c>
      <c r="S76" s="57" t="s">
        <v>3907</v>
      </c>
      <c r="T76" s="57" t="s">
        <v>3736</v>
      </c>
      <c r="U76" s="57" t="s">
        <v>3476</v>
      </c>
      <c r="V76" s="57" t="s">
        <v>3469</v>
      </c>
      <c r="W76" s="57" t="s">
        <v>3476</v>
      </c>
      <c r="X76" s="57" t="s">
        <v>3986</v>
      </c>
      <c r="Y76" s="57" t="s">
        <v>3738</v>
      </c>
      <c r="Z76" s="57" t="s">
        <v>3987</v>
      </c>
      <c r="AA76" s="57" t="s">
        <v>3921</v>
      </c>
      <c r="AB76" s="57" t="s">
        <v>3476</v>
      </c>
      <c r="AC76" s="57" t="s">
        <v>3741</v>
      </c>
      <c r="AD76" s="57" t="s">
        <v>3476</v>
      </c>
      <c r="AE76" s="57" t="s">
        <v>3476</v>
      </c>
      <c r="AF76" s="57" t="s">
        <v>3476</v>
      </c>
      <c r="AG76" s="57" t="s">
        <v>3476</v>
      </c>
      <c r="AH76" s="57" t="s">
        <v>3476</v>
      </c>
      <c r="AI76" s="57" t="s">
        <v>3476</v>
      </c>
      <c r="AJ76" s="57" t="s">
        <v>3476</v>
      </c>
      <c r="AK76" s="57" t="s">
        <v>1292</v>
      </c>
      <c r="AL76" s="57" t="s">
        <v>3988</v>
      </c>
      <c r="AM76" s="57" t="s">
        <v>3476</v>
      </c>
      <c r="AN76" s="57" t="s">
        <v>3989</v>
      </c>
      <c r="AO76" s="57" t="s">
        <v>3476</v>
      </c>
      <c r="AP76" s="58">
        <v>45742.6963888889</v>
      </c>
      <c r="AQ76" s="57" t="s">
        <v>3476</v>
      </c>
      <c r="AR76" s="57" t="s">
        <v>3507</v>
      </c>
      <c r="AS76" s="57" t="s">
        <v>3502</v>
      </c>
      <c r="AT76" s="57" t="s">
        <v>3745</v>
      </c>
      <c r="AU76" s="57" t="s">
        <v>3990</v>
      </c>
      <c r="AV76" s="57" t="s">
        <v>3476</v>
      </c>
      <c r="AW76" s="58">
        <v>45726.6666319444</v>
      </c>
      <c r="AX76" s="57" t="s">
        <v>3988</v>
      </c>
      <c r="AY76" s="57" t="s">
        <v>3747</v>
      </c>
      <c r="AZ76" s="57" t="s">
        <v>3476</v>
      </c>
      <c r="BA76" s="57" t="s">
        <v>3476</v>
      </c>
      <c r="BB76" s="57" t="s">
        <v>3476</v>
      </c>
      <c r="BC76" s="57" t="s">
        <v>3913</v>
      </c>
      <c r="BD76" s="57" t="s">
        <v>3659</v>
      </c>
      <c r="BE76" s="57" t="s">
        <v>3914</v>
      </c>
      <c r="BF76" s="57" t="s">
        <v>3749</v>
      </c>
      <c r="BG76" s="57" t="s">
        <v>3476</v>
      </c>
      <c r="BH76" s="57" t="s">
        <v>3476</v>
      </c>
      <c r="BI76" s="57" t="s">
        <v>2809</v>
      </c>
      <c r="BJ76" s="57" t="s">
        <v>3476</v>
      </c>
      <c r="BK76" s="57" t="s">
        <v>3476</v>
      </c>
      <c r="BL76" s="57">
        <v>3481653</v>
      </c>
      <c r="BM76" s="57" t="s">
        <v>3991</v>
      </c>
      <c r="BN76" s="57" t="s">
        <v>3476</v>
      </c>
      <c r="BO76" s="57">
        <v>25.99</v>
      </c>
      <c r="BP76" s="57" t="s">
        <v>3930</v>
      </c>
      <c r="BQ76" s="57" t="s">
        <v>3476</v>
      </c>
      <c r="BR76" s="57" t="s">
        <v>3992</v>
      </c>
      <c r="BS76" s="57" t="s">
        <v>1292</v>
      </c>
      <c r="BT76" s="57" t="s">
        <v>3476</v>
      </c>
      <c r="BU76" s="57" t="s">
        <v>3476</v>
      </c>
      <c r="BV76" s="57" t="s">
        <v>3753</v>
      </c>
      <c r="BW76" s="57" t="s">
        <v>3476</v>
      </c>
      <c r="BX76" s="57">
        <v>25.99</v>
      </c>
      <c r="BY76" s="57" t="s">
        <v>3476</v>
      </c>
      <c r="BZ76" s="57" t="s">
        <v>3476</v>
      </c>
      <c r="CA76" s="57" t="s">
        <v>3476</v>
      </c>
      <c r="CB76" s="57" t="s">
        <v>3476</v>
      </c>
      <c r="CC76" s="57" t="s">
        <v>3476</v>
      </c>
      <c r="CD76" s="57" t="s">
        <v>3476</v>
      </c>
    </row>
    <row r="77" spans="1:82">
      <c r="A77" s="57">
        <v>9545</v>
      </c>
      <c r="B77" s="57" t="s">
        <v>3476</v>
      </c>
      <c r="C77" s="57" t="s">
        <v>3983</v>
      </c>
      <c r="D77" s="57" t="s">
        <v>3476</v>
      </c>
      <c r="E77" s="57" t="s">
        <v>3730</v>
      </c>
      <c r="F77" s="57" t="s">
        <v>3984</v>
      </c>
      <c r="G77" s="57" t="s">
        <v>721</v>
      </c>
      <c r="H77" s="57" t="s">
        <v>3256</v>
      </c>
      <c r="I77" s="57">
        <v>479.12</v>
      </c>
      <c r="J77" s="57" t="s">
        <v>3476</v>
      </c>
      <c r="K77" s="57" t="s">
        <v>3476</v>
      </c>
      <c r="L77" s="57" t="s">
        <v>3732</v>
      </c>
      <c r="M77" s="57" t="s">
        <v>3985</v>
      </c>
      <c r="N77" s="57" t="s">
        <v>3985</v>
      </c>
      <c r="O77" s="57" t="s">
        <v>3476</v>
      </c>
      <c r="P77" s="57" t="s">
        <v>3476</v>
      </c>
      <c r="Q77" s="57" t="s">
        <v>3256</v>
      </c>
      <c r="R77" s="57" t="s">
        <v>3906</v>
      </c>
      <c r="S77" s="57" t="s">
        <v>3907</v>
      </c>
      <c r="T77" s="57" t="s">
        <v>3736</v>
      </c>
      <c r="U77" s="57" t="s">
        <v>3476</v>
      </c>
      <c r="V77" s="57" t="s">
        <v>3469</v>
      </c>
      <c r="W77" s="57" t="s">
        <v>3476</v>
      </c>
      <c r="X77" s="57" t="s">
        <v>3986</v>
      </c>
      <c r="Y77" s="57" t="s">
        <v>3738</v>
      </c>
      <c r="Z77" s="57" t="s">
        <v>3987</v>
      </c>
      <c r="AA77" s="57" t="s">
        <v>3921</v>
      </c>
      <c r="AB77" s="57" t="s">
        <v>3476</v>
      </c>
      <c r="AC77" s="57" t="s">
        <v>3741</v>
      </c>
      <c r="AD77" s="57" t="s">
        <v>3476</v>
      </c>
      <c r="AE77" s="57" t="s">
        <v>3476</v>
      </c>
      <c r="AF77" s="57" t="s">
        <v>3476</v>
      </c>
      <c r="AG77" s="57" t="s">
        <v>3476</v>
      </c>
      <c r="AH77" s="57" t="s">
        <v>3476</v>
      </c>
      <c r="AI77" s="57" t="s">
        <v>3476</v>
      </c>
      <c r="AJ77" s="57" t="s">
        <v>3476</v>
      </c>
      <c r="AK77" s="57" t="s">
        <v>1292</v>
      </c>
      <c r="AL77" s="57" t="s">
        <v>3988</v>
      </c>
      <c r="AM77" s="57" t="s">
        <v>3476</v>
      </c>
      <c r="AN77" s="57" t="s">
        <v>3989</v>
      </c>
      <c r="AO77" s="57" t="s">
        <v>3476</v>
      </c>
      <c r="AP77" s="58">
        <v>45742.6963888889</v>
      </c>
      <c r="AQ77" s="57" t="s">
        <v>3476</v>
      </c>
      <c r="AR77" s="57" t="s">
        <v>3507</v>
      </c>
      <c r="AS77" s="57" t="s">
        <v>3502</v>
      </c>
      <c r="AT77" s="57" t="s">
        <v>3745</v>
      </c>
      <c r="AU77" s="57" t="s">
        <v>3990</v>
      </c>
      <c r="AV77" s="57" t="s">
        <v>3476</v>
      </c>
      <c r="AW77" s="58">
        <v>45726.6666319444</v>
      </c>
      <c r="AX77" s="57" t="s">
        <v>3988</v>
      </c>
      <c r="AY77" s="57" t="s">
        <v>3747</v>
      </c>
      <c r="AZ77" s="57" t="s">
        <v>3476</v>
      </c>
      <c r="BA77" s="57" t="s">
        <v>3476</v>
      </c>
      <c r="BB77" s="57" t="s">
        <v>3476</v>
      </c>
      <c r="BC77" s="57" t="s">
        <v>3913</v>
      </c>
      <c r="BD77" s="57" t="s">
        <v>3659</v>
      </c>
      <c r="BE77" s="57" t="s">
        <v>3914</v>
      </c>
      <c r="BF77" s="57" t="s">
        <v>3749</v>
      </c>
      <c r="BG77" s="57" t="s">
        <v>3476</v>
      </c>
      <c r="BH77" s="57" t="s">
        <v>3476</v>
      </c>
      <c r="BI77" s="57" t="s">
        <v>2809</v>
      </c>
      <c r="BJ77" s="57" t="s">
        <v>3476</v>
      </c>
      <c r="BK77" s="57" t="s">
        <v>3476</v>
      </c>
      <c r="BL77" s="57">
        <v>3481652</v>
      </c>
      <c r="BM77" s="57" t="s">
        <v>3991</v>
      </c>
      <c r="BN77" s="57" t="s">
        <v>3476</v>
      </c>
      <c r="BO77" s="57">
        <v>169.5</v>
      </c>
      <c r="BP77" s="57" t="s">
        <v>3930</v>
      </c>
      <c r="BQ77" s="57" t="s">
        <v>3476</v>
      </c>
      <c r="BR77" s="57" t="s">
        <v>3992</v>
      </c>
      <c r="BS77" s="57" t="s">
        <v>1292</v>
      </c>
      <c r="BT77" s="57" t="s">
        <v>3476</v>
      </c>
      <c r="BU77" s="57" t="s">
        <v>3476</v>
      </c>
      <c r="BV77" s="57" t="s">
        <v>3753</v>
      </c>
      <c r="BW77" s="57" t="s">
        <v>3476</v>
      </c>
      <c r="BX77" s="57">
        <v>169.5</v>
      </c>
      <c r="BY77" s="57" t="s">
        <v>3476</v>
      </c>
      <c r="BZ77" s="57" t="s">
        <v>3476</v>
      </c>
      <c r="CA77" s="57" t="s">
        <v>3476</v>
      </c>
      <c r="CB77" s="57" t="s">
        <v>3476</v>
      </c>
      <c r="CC77" s="57" t="s">
        <v>3476</v>
      </c>
      <c r="CD77" s="57" t="s">
        <v>3476</v>
      </c>
    </row>
    <row r="78" spans="1:82">
      <c r="A78" s="57">
        <v>9546</v>
      </c>
      <c r="B78" s="57" t="s">
        <v>3476</v>
      </c>
      <c r="C78" s="57" t="s">
        <v>3983</v>
      </c>
      <c r="D78" s="57" t="s">
        <v>3476</v>
      </c>
      <c r="E78" s="57" t="s">
        <v>3730</v>
      </c>
      <c r="F78" s="57" t="s">
        <v>3984</v>
      </c>
      <c r="G78" s="57" t="s">
        <v>721</v>
      </c>
      <c r="H78" s="57" t="s">
        <v>3256</v>
      </c>
      <c r="I78" s="57">
        <v>479.12</v>
      </c>
      <c r="J78" s="57" t="s">
        <v>3476</v>
      </c>
      <c r="K78" s="57" t="s">
        <v>3476</v>
      </c>
      <c r="L78" s="57" t="s">
        <v>3732</v>
      </c>
      <c r="M78" s="57" t="s">
        <v>3985</v>
      </c>
      <c r="N78" s="57" t="s">
        <v>3985</v>
      </c>
      <c r="O78" s="57" t="s">
        <v>3476</v>
      </c>
      <c r="P78" s="57" t="s">
        <v>3476</v>
      </c>
      <c r="Q78" s="57" t="s">
        <v>3256</v>
      </c>
      <c r="R78" s="57" t="s">
        <v>3906</v>
      </c>
      <c r="S78" s="57" t="s">
        <v>3907</v>
      </c>
      <c r="T78" s="57" t="s">
        <v>3736</v>
      </c>
      <c r="U78" s="57" t="s">
        <v>3476</v>
      </c>
      <c r="V78" s="57" t="s">
        <v>3469</v>
      </c>
      <c r="W78" s="57" t="s">
        <v>3476</v>
      </c>
      <c r="X78" s="57" t="s">
        <v>3986</v>
      </c>
      <c r="Y78" s="57" t="s">
        <v>3738</v>
      </c>
      <c r="Z78" s="57" t="s">
        <v>3987</v>
      </c>
      <c r="AA78" s="57" t="s">
        <v>3921</v>
      </c>
      <c r="AB78" s="57" t="s">
        <v>3476</v>
      </c>
      <c r="AC78" s="57" t="s">
        <v>3741</v>
      </c>
      <c r="AD78" s="57" t="s">
        <v>3476</v>
      </c>
      <c r="AE78" s="57" t="s">
        <v>3476</v>
      </c>
      <c r="AF78" s="57" t="s">
        <v>3476</v>
      </c>
      <c r="AG78" s="57" t="s">
        <v>3476</v>
      </c>
      <c r="AH78" s="57" t="s">
        <v>3476</v>
      </c>
      <c r="AI78" s="57" t="s">
        <v>3476</v>
      </c>
      <c r="AJ78" s="57" t="s">
        <v>3476</v>
      </c>
      <c r="AK78" s="57" t="s">
        <v>1292</v>
      </c>
      <c r="AL78" s="57" t="s">
        <v>3988</v>
      </c>
      <c r="AM78" s="57" t="s">
        <v>3476</v>
      </c>
      <c r="AN78" s="57" t="s">
        <v>3989</v>
      </c>
      <c r="AO78" s="57" t="s">
        <v>3476</v>
      </c>
      <c r="AP78" s="58">
        <v>45742.6963888889</v>
      </c>
      <c r="AQ78" s="57" t="s">
        <v>3476</v>
      </c>
      <c r="AR78" s="57" t="s">
        <v>3507</v>
      </c>
      <c r="AS78" s="57" t="s">
        <v>3502</v>
      </c>
      <c r="AT78" s="57" t="s">
        <v>3745</v>
      </c>
      <c r="AU78" s="57" t="s">
        <v>3990</v>
      </c>
      <c r="AV78" s="57" t="s">
        <v>3476</v>
      </c>
      <c r="AW78" s="58">
        <v>45726.6666319444</v>
      </c>
      <c r="AX78" s="57" t="s">
        <v>3988</v>
      </c>
      <c r="AY78" s="57" t="s">
        <v>3747</v>
      </c>
      <c r="AZ78" s="57" t="s">
        <v>3476</v>
      </c>
      <c r="BA78" s="57" t="s">
        <v>3476</v>
      </c>
      <c r="BB78" s="57" t="s">
        <v>3476</v>
      </c>
      <c r="BC78" s="57" t="s">
        <v>3913</v>
      </c>
      <c r="BD78" s="57" t="s">
        <v>3659</v>
      </c>
      <c r="BE78" s="57" t="s">
        <v>3914</v>
      </c>
      <c r="BF78" s="57" t="s">
        <v>3749</v>
      </c>
      <c r="BG78" s="57" t="s">
        <v>3476</v>
      </c>
      <c r="BH78" s="57" t="s">
        <v>3476</v>
      </c>
      <c r="BI78" s="57" t="s">
        <v>2809</v>
      </c>
      <c r="BJ78" s="57" t="s">
        <v>3476</v>
      </c>
      <c r="BK78" s="57" t="s">
        <v>3476</v>
      </c>
      <c r="BL78" s="57">
        <v>3481651</v>
      </c>
      <c r="BM78" s="57" t="s">
        <v>3991</v>
      </c>
      <c r="BN78" s="57" t="s">
        <v>3476</v>
      </c>
      <c r="BO78" s="57">
        <v>158.2</v>
      </c>
      <c r="BP78" s="57" t="s">
        <v>3930</v>
      </c>
      <c r="BQ78" s="57" t="s">
        <v>3476</v>
      </c>
      <c r="BR78" s="57" t="s">
        <v>3992</v>
      </c>
      <c r="BS78" s="57" t="s">
        <v>1292</v>
      </c>
      <c r="BT78" s="57" t="s">
        <v>3476</v>
      </c>
      <c r="BU78" s="57" t="s">
        <v>3476</v>
      </c>
      <c r="BV78" s="57" t="s">
        <v>3753</v>
      </c>
      <c r="BW78" s="57" t="s">
        <v>3476</v>
      </c>
      <c r="BX78" s="57">
        <v>158.2</v>
      </c>
      <c r="BY78" s="57" t="s">
        <v>3476</v>
      </c>
      <c r="BZ78" s="57" t="s">
        <v>3476</v>
      </c>
      <c r="CA78" s="57" t="s">
        <v>3476</v>
      </c>
      <c r="CB78" s="57" t="s">
        <v>3476</v>
      </c>
      <c r="CC78" s="57" t="s">
        <v>3476</v>
      </c>
      <c r="CD78" s="57" t="s">
        <v>3476</v>
      </c>
    </row>
    <row r="79" spans="1:82">
      <c r="A79" s="57">
        <v>9547</v>
      </c>
      <c r="B79" s="57" t="s">
        <v>3476</v>
      </c>
      <c r="C79" s="57" t="s">
        <v>3983</v>
      </c>
      <c r="D79" s="57" t="s">
        <v>3476</v>
      </c>
      <c r="E79" s="57" t="s">
        <v>3730</v>
      </c>
      <c r="F79" s="57" t="s">
        <v>3984</v>
      </c>
      <c r="G79" s="57" t="s">
        <v>721</v>
      </c>
      <c r="H79" s="57" t="s">
        <v>3256</v>
      </c>
      <c r="I79" s="57">
        <v>479.12</v>
      </c>
      <c r="J79" s="57" t="s">
        <v>3476</v>
      </c>
      <c r="K79" s="57" t="s">
        <v>3476</v>
      </c>
      <c r="L79" s="57" t="s">
        <v>3732</v>
      </c>
      <c r="M79" s="57" t="s">
        <v>3985</v>
      </c>
      <c r="N79" s="57" t="s">
        <v>3985</v>
      </c>
      <c r="O79" s="57" t="s">
        <v>3476</v>
      </c>
      <c r="P79" s="57" t="s">
        <v>3476</v>
      </c>
      <c r="Q79" s="57" t="s">
        <v>3256</v>
      </c>
      <c r="R79" s="57" t="s">
        <v>3906</v>
      </c>
      <c r="S79" s="57" t="s">
        <v>3907</v>
      </c>
      <c r="T79" s="57" t="s">
        <v>3736</v>
      </c>
      <c r="U79" s="57" t="s">
        <v>3476</v>
      </c>
      <c r="V79" s="57" t="s">
        <v>3469</v>
      </c>
      <c r="W79" s="57" t="s">
        <v>3476</v>
      </c>
      <c r="X79" s="57" t="s">
        <v>3986</v>
      </c>
      <c r="Y79" s="57" t="s">
        <v>3738</v>
      </c>
      <c r="Z79" s="57" t="s">
        <v>3987</v>
      </c>
      <c r="AA79" s="57" t="s">
        <v>3921</v>
      </c>
      <c r="AB79" s="57" t="s">
        <v>3476</v>
      </c>
      <c r="AC79" s="57" t="s">
        <v>3741</v>
      </c>
      <c r="AD79" s="57" t="s">
        <v>3476</v>
      </c>
      <c r="AE79" s="57" t="s">
        <v>3476</v>
      </c>
      <c r="AF79" s="57" t="s">
        <v>3476</v>
      </c>
      <c r="AG79" s="57" t="s">
        <v>3476</v>
      </c>
      <c r="AH79" s="57" t="s">
        <v>3476</v>
      </c>
      <c r="AI79" s="57" t="s">
        <v>3476</v>
      </c>
      <c r="AJ79" s="57" t="s">
        <v>3476</v>
      </c>
      <c r="AK79" s="57" t="s">
        <v>1292</v>
      </c>
      <c r="AL79" s="57" t="s">
        <v>3988</v>
      </c>
      <c r="AM79" s="57" t="s">
        <v>3476</v>
      </c>
      <c r="AN79" s="57" t="s">
        <v>3989</v>
      </c>
      <c r="AO79" s="57" t="s">
        <v>3476</v>
      </c>
      <c r="AP79" s="58">
        <v>45742.6963888889</v>
      </c>
      <c r="AQ79" s="57" t="s">
        <v>3476</v>
      </c>
      <c r="AR79" s="57" t="s">
        <v>3507</v>
      </c>
      <c r="AS79" s="57" t="s">
        <v>3502</v>
      </c>
      <c r="AT79" s="57" t="s">
        <v>3745</v>
      </c>
      <c r="AU79" s="57" t="s">
        <v>3990</v>
      </c>
      <c r="AV79" s="57" t="s">
        <v>3476</v>
      </c>
      <c r="AW79" s="58">
        <v>45726.6666319444</v>
      </c>
      <c r="AX79" s="57" t="s">
        <v>3988</v>
      </c>
      <c r="AY79" s="57" t="s">
        <v>3747</v>
      </c>
      <c r="AZ79" s="57" t="s">
        <v>3476</v>
      </c>
      <c r="BA79" s="57" t="s">
        <v>3476</v>
      </c>
      <c r="BB79" s="57" t="s">
        <v>3476</v>
      </c>
      <c r="BC79" s="57" t="s">
        <v>3913</v>
      </c>
      <c r="BD79" s="57" t="s">
        <v>3659</v>
      </c>
      <c r="BE79" s="57" t="s">
        <v>3914</v>
      </c>
      <c r="BF79" s="57" t="s">
        <v>3749</v>
      </c>
      <c r="BG79" s="57" t="s">
        <v>3476</v>
      </c>
      <c r="BH79" s="57" t="s">
        <v>3476</v>
      </c>
      <c r="BI79" s="57" t="s">
        <v>2809</v>
      </c>
      <c r="BJ79" s="57" t="s">
        <v>3476</v>
      </c>
      <c r="BK79" s="57" t="s">
        <v>3476</v>
      </c>
      <c r="BL79" s="57">
        <v>3481650</v>
      </c>
      <c r="BM79" s="57" t="s">
        <v>3991</v>
      </c>
      <c r="BN79" s="57" t="s">
        <v>3476</v>
      </c>
      <c r="BO79" s="57">
        <v>125.43</v>
      </c>
      <c r="BP79" s="57" t="s">
        <v>3930</v>
      </c>
      <c r="BQ79" s="57" t="s">
        <v>3476</v>
      </c>
      <c r="BR79" s="57" t="s">
        <v>3992</v>
      </c>
      <c r="BS79" s="57" t="s">
        <v>1292</v>
      </c>
      <c r="BT79" s="57" t="s">
        <v>3476</v>
      </c>
      <c r="BU79" s="57" t="s">
        <v>3476</v>
      </c>
      <c r="BV79" s="57" t="s">
        <v>3753</v>
      </c>
      <c r="BW79" s="57" t="s">
        <v>3476</v>
      </c>
      <c r="BX79" s="57">
        <v>125.43</v>
      </c>
      <c r="BY79" s="57" t="s">
        <v>3476</v>
      </c>
      <c r="BZ79" s="57" t="s">
        <v>3476</v>
      </c>
      <c r="CA79" s="57" t="s">
        <v>3476</v>
      </c>
      <c r="CB79" s="57" t="s">
        <v>3476</v>
      </c>
      <c r="CC79" s="57" t="s">
        <v>3476</v>
      </c>
      <c r="CD79" s="57" t="s">
        <v>3476</v>
      </c>
    </row>
    <row r="80" spans="1:82">
      <c r="A80" s="57">
        <v>9671</v>
      </c>
      <c r="B80" s="57" t="s">
        <v>3476</v>
      </c>
      <c r="C80" s="57" t="s">
        <v>3993</v>
      </c>
      <c r="D80" s="57" t="s">
        <v>3476</v>
      </c>
      <c r="E80" s="57" t="s">
        <v>3730</v>
      </c>
      <c r="F80" s="57" t="s">
        <v>3994</v>
      </c>
      <c r="G80" s="57" t="s">
        <v>721</v>
      </c>
      <c r="H80" s="57" t="s">
        <v>3562</v>
      </c>
      <c r="I80" s="57">
        <v>19370</v>
      </c>
      <c r="J80" s="57" t="s">
        <v>3476</v>
      </c>
      <c r="K80" s="57" t="s">
        <v>3476</v>
      </c>
      <c r="L80" s="57" t="s">
        <v>3732</v>
      </c>
      <c r="M80" s="57" t="s">
        <v>3995</v>
      </c>
      <c r="N80" s="57" t="s">
        <v>3995</v>
      </c>
      <c r="O80" s="57" t="s">
        <v>3476</v>
      </c>
      <c r="P80" s="57" t="s">
        <v>3476</v>
      </c>
      <c r="Q80" s="57" t="s">
        <v>3562</v>
      </c>
      <c r="R80" s="57" t="s">
        <v>3996</v>
      </c>
      <c r="S80" s="57" t="s">
        <v>3997</v>
      </c>
      <c r="T80" s="57" t="s">
        <v>3736</v>
      </c>
      <c r="U80" s="57" t="s">
        <v>3476</v>
      </c>
      <c r="V80" s="57" t="s">
        <v>3469</v>
      </c>
      <c r="W80" s="57" t="s">
        <v>3476</v>
      </c>
      <c r="X80" s="57" t="s">
        <v>3998</v>
      </c>
      <c r="Y80" s="57" t="s">
        <v>3738</v>
      </c>
      <c r="Z80" s="57" t="s">
        <v>3999</v>
      </c>
      <c r="AA80" s="57" t="s">
        <v>3780</v>
      </c>
      <c r="AB80" s="57" t="s">
        <v>3476</v>
      </c>
      <c r="AC80" s="57" t="s">
        <v>3741</v>
      </c>
      <c r="AD80" s="57" t="s">
        <v>3476</v>
      </c>
      <c r="AE80" s="57" t="s">
        <v>3476</v>
      </c>
      <c r="AF80" s="57" t="s">
        <v>3476</v>
      </c>
      <c r="AG80" s="57" t="s">
        <v>3476</v>
      </c>
      <c r="AH80" s="57" t="s">
        <v>3476</v>
      </c>
      <c r="AI80" s="57" t="s">
        <v>3476</v>
      </c>
      <c r="AJ80" s="57" t="s">
        <v>3476</v>
      </c>
      <c r="AK80" s="57" t="s">
        <v>1292</v>
      </c>
      <c r="AL80" s="57" t="s">
        <v>4000</v>
      </c>
      <c r="AM80" s="57" t="s">
        <v>3476</v>
      </c>
      <c r="AN80" s="57" t="s">
        <v>4001</v>
      </c>
      <c r="AO80" s="57" t="s">
        <v>3476</v>
      </c>
      <c r="AP80" s="58">
        <v>45764.4480902778</v>
      </c>
      <c r="AQ80" s="57" t="s">
        <v>3476</v>
      </c>
      <c r="AR80" s="57" t="s">
        <v>3806</v>
      </c>
      <c r="AS80" s="57" t="s">
        <v>3502</v>
      </c>
      <c r="AT80" s="57" t="s">
        <v>3745</v>
      </c>
      <c r="AU80" s="57" t="s">
        <v>4002</v>
      </c>
      <c r="AV80" s="57" t="s">
        <v>3476</v>
      </c>
      <c r="AW80" s="58">
        <v>45720.7626273148</v>
      </c>
      <c r="AX80" s="57" t="s">
        <v>4000</v>
      </c>
      <c r="AY80" s="57" t="s">
        <v>3747</v>
      </c>
      <c r="AZ80" s="57" t="s">
        <v>3476</v>
      </c>
      <c r="BA80" s="57" t="s">
        <v>3476</v>
      </c>
      <c r="BB80" s="57" t="s">
        <v>3476</v>
      </c>
      <c r="BC80" s="57" t="s">
        <v>3551</v>
      </c>
      <c r="BD80" s="57" t="s">
        <v>4003</v>
      </c>
      <c r="BE80" s="57" t="s">
        <v>2829</v>
      </c>
      <c r="BF80" s="57" t="s">
        <v>3749</v>
      </c>
      <c r="BG80" s="57" t="s">
        <v>3476</v>
      </c>
      <c r="BH80" s="57" t="s">
        <v>3476</v>
      </c>
      <c r="BI80" s="57" t="s">
        <v>2809</v>
      </c>
      <c r="BJ80" s="57" t="s">
        <v>3476</v>
      </c>
      <c r="BK80" s="57" t="s">
        <v>3476</v>
      </c>
      <c r="BL80" s="57">
        <v>3338569</v>
      </c>
      <c r="BM80" s="57" t="s">
        <v>4004</v>
      </c>
      <c r="BN80" s="57" t="s">
        <v>3476</v>
      </c>
      <c r="BO80" s="57">
        <v>19370</v>
      </c>
      <c r="BP80" s="57" t="s">
        <v>3810</v>
      </c>
      <c r="BQ80" s="57" t="s">
        <v>3476</v>
      </c>
      <c r="BR80" s="57" t="s">
        <v>4005</v>
      </c>
      <c r="BS80" s="57" t="s">
        <v>1292</v>
      </c>
      <c r="BT80" s="57" t="s">
        <v>3476</v>
      </c>
      <c r="BU80" s="57" t="s">
        <v>3476</v>
      </c>
      <c r="BV80" s="57" t="s">
        <v>3753</v>
      </c>
      <c r="BW80" s="57" t="s">
        <v>3476</v>
      </c>
      <c r="BX80" s="57">
        <v>19370</v>
      </c>
      <c r="BY80" s="57" t="s">
        <v>3476</v>
      </c>
      <c r="BZ80" s="57" t="s">
        <v>3476</v>
      </c>
      <c r="CA80" s="57" t="s">
        <v>3476</v>
      </c>
      <c r="CB80" s="57" t="s">
        <v>3476</v>
      </c>
      <c r="CC80" s="57" t="s">
        <v>3476</v>
      </c>
      <c r="CD80" s="57" t="s">
        <v>3476</v>
      </c>
    </row>
    <row r="81" spans="1:82">
      <c r="A81" s="57">
        <v>11048</v>
      </c>
      <c r="B81" s="57" t="s">
        <v>3476</v>
      </c>
      <c r="C81" s="57" t="s">
        <v>4006</v>
      </c>
      <c r="D81" s="57" t="s">
        <v>3476</v>
      </c>
      <c r="E81" s="57" t="s">
        <v>3730</v>
      </c>
      <c r="F81" s="57" t="s">
        <v>4007</v>
      </c>
      <c r="G81" s="57" t="s">
        <v>721</v>
      </c>
      <c r="H81" s="57" t="s">
        <v>3562</v>
      </c>
      <c r="I81" s="57">
        <v>19370</v>
      </c>
      <c r="J81" s="57" t="s">
        <v>3476</v>
      </c>
      <c r="K81" s="57" t="s">
        <v>3476</v>
      </c>
      <c r="L81" s="57" t="s">
        <v>3732</v>
      </c>
      <c r="M81" s="57" t="s">
        <v>4008</v>
      </c>
      <c r="N81" s="57" t="s">
        <v>4008</v>
      </c>
      <c r="O81" s="57" t="s">
        <v>3476</v>
      </c>
      <c r="P81" s="57" t="s">
        <v>3476</v>
      </c>
      <c r="Q81" s="57" t="s">
        <v>3562</v>
      </c>
      <c r="R81" s="57" t="s">
        <v>3996</v>
      </c>
      <c r="S81" s="57" t="s">
        <v>3997</v>
      </c>
      <c r="T81" s="57" t="s">
        <v>3736</v>
      </c>
      <c r="U81" s="57" t="s">
        <v>3476</v>
      </c>
      <c r="V81" s="57" t="s">
        <v>3469</v>
      </c>
      <c r="W81" s="57" t="s">
        <v>3476</v>
      </c>
      <c r="X81" s="57" t="s">
        <v>4009</v>
      </c>
      <c r="Y81" s="57" t="s">
        <v>3738</v>
      </c>
      <c r="Z81" s="57" t="s">
        <v>4010</v>
      </c>
      <c r="AA81" s="57" t="s">
        <v>3802</v>
      </c>
      <c r="AB81" s="57" t="s">
        <v>3476</v>
      </c>
      <c r="AC81" s="57" t="s">
        <v>3741</v>
      </c>
      <c r="AD81" s="57" t="s">
        <v>3476</v>
      </c>
      <c r="AE81" s="57" t="s">
        <v>3476</v>
      </c>
      <c r="AF81" s="57" t="s">
        <v>3476</v>
      </c>
      <c r="AG81" s="57" t="s">
        <v>3476</v>
      </c>
      <c r="AH81" s="57" t="s">
        <v>3476</v>
      </c>
      <c r="AI81" s="57" t="s">
        <v>3476</v>
      </c>
      <c r="AJ81" s="57" t="s">
        <v>3476</v>
      </c>
      <c r="AK81" s="57" t="s">
        <v>1292</v>
      </c>
      <c r="AL81" s="57" t="s">
        <v>4011</v>
      </c>
      <c r="AM81" s="57" t="s">
        <v>3476</v>
      </c>
      <c r="AN81" s="57" t="s">
        <v>3937</v>
      </c>
      <c r="AO81" s="57" t="s">
        <v>3476</v>
      </c>
      <c r="AP81" s="58">
        <v>45763.7556365741</v>
      </c>
      <c r="AQ81" s="57" t="s">
        <v>3476</v>
      </c>
      <c r="AR81" s="57" t="s">
        <v>3806</v>
      </c>
      <c r="AS81" s="57" t="s">
        <v>3502</v>
      </c>
      <c r="AT81" s="57" t="s">
        <v>3745</v>
      </c>
      <c r="AU81" s="57" t="s">
        <v>4012</v>
      </c>
      <c r="AV81" s="57" t="s">
        <v>3476</v>
      </c>
      <c r="AW81" s="58">
        <v>45719.7597800926</v>
      </c>
      <c r="AX81" s="57" t="s">
        <v>4011</v>
      </c>
      <c r="AY81" s="57" t="s">
        <v>3747</v>
      </c>
      <c r="AZ81" s="57" t="s">
        <v>3476</v>
      </c>
      <c r="BA81" s="57" t="s">
        <v>3476</v>
      </c>
      <c r="BB81" s="57" t="s">
        <v>3476</v>
      </c>
      <c r="BC81" s="57" t="s">
        <v>3551</v>
      </c>
      <c r="BD81" s="57" t="s">
        <v>4003</v>
      </c>
      <c r="BE81" s="57" t="s">
        <v>2829</v>
      </c>
      <c r="BF81" s="57" t="s">
        <v>3749</v>
      </c>
      <c r="BG81" s="57" t="s">
        <v>3476</v>
      </c>
      <c r="BH81" s="57" t="s">
        <v>3476</v>
      </c>
      <c r="BI81" s="57" t="s">
        <v>2809</v>
      </c>
      <c r="BJ81" s="57" t="s">
        <v>3476</v>
      </c>
      <c r="BK81" s="57" t="s">
        <v>3476</v>
      </c>
      <c r="BL81" s="57">
        <v>3338569</v>
      </c>
      <c r="BM81" s="57" t="s">
        <v>4013</v>
      </c>
      <c r="BN81" s="57" t="s">
        <v>3476</v>
      </c>
      <c r="BO81" s="57">
        <v>19370</v>
      </c>
      <c r="BP81" s="57" t="s">
        <v>3810</v>
      </c>
      <c r="BQ81" s="57" t="s">
        <v>3476</v>
      </c>
      <c r="BR81" s="57" t="s">
        <v>4014</v>
      </c>
      <c r="BS81" s="57" t="s">
        <v>1292</v>
      </c>
      <c r="BT81" s="57" t="s">
        <v>3476</v>
      </c>
      <c r="BU81" s="57" t="s">
        <v>3476</v>
      </c>
      <c r="BV81" s="57" t="s">
        <v>3753</v>
      </c>
      <c r="BW81" s="57" t="s">
        <v>3476</v>
      </c>
      <c r="BX81" s="57">
        <v>19370</v>
      </c>
      <c r="BY81" s="57" t="s">
        <v>3476</v>
      </c>
      <c r="BZ81" s="57" t="s">
        <v>3476</v>
      </c>
      <c r="CA81" s="57" t="s">
        <v>3476</v>
      </c>
      <c r="CB81" s="57" t="s">
        <v>3476</v>
      </c>
      <c r="CC81" s="57" t="s">
        <v>3476</v>
      </c>
      <c r="CD81" s="57" t="s">
        <v>3476</v>
      </c>
    </row>
    <row r="82" spans="1:82">
      <c r="A82" s="57">
        <v>11407</v>
      </c>
      <c r="B82" s="57" t="s">
        <v>3476</v>
      </c>
      <c r="C82" s="57" t="s">
        <v>4015</v>
      </c>
      <c r="D82" s="57" t="s">
        <v>3476</v>
      </c>
      <c r="E82" s="57" t="s">
        <v>3730</v>
      </c>
      <c r="F82" s="57" t="s">
        <v>4016</v>
      </c>
      <c r="G82" s="57" t="s">
        <v>721</v>
      </c>
      <c r="H82" s="57" t="s">
        <v>4017</v>
      </c>
      <c r="I82" s="57">
        <v>18540</v>
      </c>
      <c r="J82" s="57" t="s">
        <v>3476</v>
      </c>
      <c r="K82" s="57" t="s">
        <v>3476</v>
      </c>
      <c r="L82" s="57" t="s">
        <v>3732</v>
      </c>
      <c r="M82" s="57" t="s">
        <v>4018</v>
      </c>
      <c r="N82" s="57" t="s">
        <v>4018</v>
      </c>
      <c r="O82" s="57" t="s">
        <v>3476</v>
      </c>
      <c r="P82" s="57" t="s">
        <v>3476</v>
      </c>
      <c r="Q82" s="57" t="s">
        <v>4017</v>
      </c>
      <c r="R82" s="57" t="s">
        <v>4019</v>
      </c>
      <c r="S82" s="57" t="s">
        <v>4020</v>
      </c>
      <c r="T82" s="57" t="s">
        <v>3736</v>
      </c>
      <c r="U82" s="57" t="s">
        <v>3476</v>
      </c>
      <c r="V82" s="57" t="s">
        <v>3469</v>
      </c>
      <c r="W82" s="57" t="s">
        <v>3476</v>
      </c>
      <c r="X82" s="57" t="s">
        <v>4021</v>
      </c>
      <c r="Y82" s="57" t="s">
        <v>3738</v>
      </c>
      <c r="Z82" s="57" t="s">
        <v>3995</v>
      </c>
      <c r="AA82" s="57" t="s">
        <v>3895</v>
      </c>
      <c r="AB82" s="57" t="s">
        <v>3476</v>
      </c>
      <c r="AC82" s="57" t="s">
        <v>3741</v>
      </c>
      <c r="AD82" s="57" t="s">
        <v>3476</v>
      </c>
      <c r="AE82" s="57" t="s">
        <v>3476</v>
      </c>
      <c r="AF82" s="57" t="s">
        <v>3476</v>
      </c>
      <c r="AG82" s="57" t="s">
        <v>3476</v>
      </c>
      <c r="AH82" s="57" t="s">
        <v>3476</v>
      </c>
      <c r="AI82" s="57" t="s">
        <v>3476</v>
      </c>
      <c r="AJ82" s="57" t="s">
        <v>3476</v>
      </c>
      <c r="AK82" s="57" t="s">
        <v>1292</v>
      </c>
      <c r="AL82" s="57" t="s">
        <v>4022</v>
      </c>
      <c r="AM82" s="57" t="s">
        <v>3476</v>
      </c>
      <c r="AN82" s="57" t="s">
        <v>4023</v>
      </c>
      <c r="AO82" s="57" t="s">
        <v>3476</v>
      </c>
      <c r="AP82" s="58">
        <v>45736.4703472222</v>
      </c>
      <c r="AQ82" s="57" t="s">
        <v>3476</v>
      </c>
      <c r="AR82" s="57" t="s">
        <v>3507</v>
      </c>
      <c r="AS82" s="57" t="s">
        <v>3502</v>
      </c>
      <c r="AT82" s="57" t="s">
        <v>3745</v>
      </c>
      <c r="AU82" s="57" t="s">
        <v>4024</v>
      </c>
      <c r="AV82" s="57" t="s">
        <v>3476</v>
      </c>
      <c r="AW82" s="58">
        <v>45715.7435300926</v>
      </c>
      <c r="AX82" s="57" t="s">
        <v>4022</v>
      </c>
      <c r="AY82" s="57" t="s">
        <v>3747</v>
      </c>
      <c r="AZ82" s="57" t="s">
        <v>3476</v>
      </c>
      <c r="BA82" s="57" t="s">
        <v>3476</v>
      </c>
      <c r="BB82" s="57" t="s">
        <v>3476</v>
      </c>
      <c r="BC82" s="57" t="s">
        <v>4025</v>
      </c>
      <c r="BD82" s="57" t="s">
        <v>4026</v>
      </c>
      <c r="BE82" s="57" t="s">
        <v>4027</v>
      </c>
      <c r="BF82" s="57" t="s">
        <v>3749</v>
      </c>
      <c r="BG82" s="57" t="s">
        <v>3476</v>
      </c>
      <c r="BH82" s="57" t="s">
        <v>3476</v>
      </c>
      <c r="BI82" s="57" t="s">
        <v>2809</v>
      </c>
      <c r="BJ82" s="57" t="s">
        <v>3476</v>
      </c>
      <c r="BK82" s="57" t="s">
        <v>3476</v>
      </c>
      <c r="BL82" s="57">
        <v>3066777</v>
      </c>
      <c r="BM82" s="57" t="s">
        <v>4028</v>
      </c>
      <c r="BN82" s="57" t="s">
        <v>3476</v>
      </c>
      <c r="BO82" s="57">
        <v>18540</v>
      </c>
      <c r="BP82" s="57" t="s">
        <v>3930</v>
      </c>
      <c r="BQ82" s="57" t="s">
        <v>3476</v>
      </c>
      <c r="BR82" s="57" t="s">
        <v>4029</v>
      </c>
      <c r="BS82" s="57" t="s">
        <v>1292</v>
      </c>
      <c r="BT82" s="57" t="s">
        <v>3476</v>
      </c>
      <c r="BU82" s="57" t="s">
        <v>3476</v>
      </c>
      <c r="BV82" s="57" t="s">
        <v>3753</v>
      </c>
      <c r="BW82" s="57" t="s">
        <v>3476</v>
      </c>
      <c r="BX82" s="57">
        <v>18540</v>
      </c>
      <c r="BY82" s="57" t="s">
        <v>3476</v>
      </c>
      <c r="BZ82" s="57" t="s">
        <v>3476</v>
      </c>
      <c r="CA82" s="57" t="s">
        <v>3476</v>
      </c>
      <c r="CB82" s="57" t="s">
        <v>3476</v>
      </c>
      <c r="CC82" s="57" t="s">
        <v>3476</v>
      </c>
      <c r="CD82" s="57" t="s">
        <v>3476</v>
      </c>
    </row>
    <row r="83" spans="1:82">
      <c r="A83" s="57">
        <v>11409</v>
      </c>
      <c r="B83" s="57" t="s">
        <v>3476</v>
      </c>
      <c r="C83" s="57" t="s">
        <v>4030</v>
      </c>
      <c r="D83" s="57" t="s">
        <v>3476</v>
      </c>
      <c r="E83" s="57" t="s">
        <v>3730</v>
      </c>
      <c r="F83" s="57" t="s">
        <v>4031</v>
      </c>
      <c r="G83" s="57" t="s">
        <v>721</v>
      </c>
      <c r="H83" s="57" t="s">
        <v>4032</v>
      </c>
      <c r="I83" s="57">
        <v>723.33</v>
      </c>
      <c r="J83" s="57" t="s">
        <v>3476</v>
      </c>
      <c r="K83" s="57" t="s">
        <v>3476</v>
      </c>
      <c r="L83" s="57" t="s">
        <v>3732</v>
      </c>
      <c r="M83" s="57" t="s">
        <v>4018</v>
      </c>
      <c r="N83" s="57" t="s">
        <v>4018</v>
      </c>
      <c r="O83" s="57" t="s">
        <v>3476</v>
      </c>
      <c r="P83" s="57" t="s">
        <v>3476</v>
      </c>
      <c r="Q83" s="57" t="s">
        <v>4032</v>
      </c>
      <c r="R83" s="57" t="s">
        <v>4033</v>
      </c>
      <c r="S83" s="57" t="s">
        <v>4034</v>
      </c>
      <c r="T83" s="57" t="s">
        <v>3736</v>
      </c>
      <c r="U83" s="57" t="s">
        <v>3476</v>
      </c>
      <c r="V83" s="57" t="s">
        <v>3469</v>
      </c>
      <c r="W83" s="57" t="s">
        <v>3476</v>
      </c>
      <c r="X83" s="57" t="s">
        <v>4021</v>
      </c>
      <c r="Y83" s="57" t="s">
        <v>3738</v>
      </c>
      <c r="Z83" s="57" t="s">
        <v>4035</v>
      </c>
      <c r="AA83" s="57" t="s">
        <v>3802</v>
      </c>
      <c r="AB83" s="57" t="s">
        <v>3476</v>
      </c>
      <c r="AC83" s="57" t="s">
        <v>3741</v>
      </c>
      <c r="AD83" s="57" t="s">
        <v>3476</v>
      </c>
      <c r="AE83" s="57" t="s">
        <v>3476</v>
      </c>
      <c r="AF83" s="57" t="s">
        <v>3476</v>
      </c>
      <c r="AG83" s="57" t="s">
        <v>3476</v>
      </c>
      <c r="AH83" s="57" t="s">
        <v>3476</v>
      </c>
      <c r="AI83" s="57" t="s">
        <v>3476</v>
      </c>
      <c r="AJ83" s="57" t="s">
        <v>3476</v>
      </c>
      <c r="AK83" s="57" t="s">
        <v>1292</v>
      </c>
      <c r="AL83" s="57" t="s">
        <v>4036</v>
      </c>
      <c r="AM83" s="57" t="s">
        <v>3476</v>
      </c>
      <c r="AN83" s="57" t="s">
        <v>3876</v>
      </c>
      <c r="AO83" s="57" t="s">
        <v>3476</v>
      </c>
      <c r="AP83" s="58">
        <v>45763.7556481482</v>
      </c>
      <c r="AQ83" s="57" t="s">
        <v>3476</v>
      </c>
      <c r="AR83" s="57" t="s">
        <v>3806</v>
      </c>
      <c r="AS83" s="57" t="s">
        <v>3502</v>
      </c>
      <c r="AT83" s="57" t="s">
        <v>3745</v>
      </c>
      <c r="AU83" s="57" t="s">
        <v>4037</v>
      </c>
      <c r="AV83" s="57" t="s">
        <v>3476</v>
      </c>
      <c r="AW83" s="58">
        <v>45715.662349537</v>
      </c>
      <c r="AX83" s="57" t="s">
        <v>4036</v>
      </c>
      <c r="AY83" s="57" t="s">
        <v>3747</v>
      </c>
      <c r="AZ83" s="57" t="s">
        <v>3476</v>
      </c>
      <c r="BA83" s="57" t="s">
        <v>3476</v>
      </c>
      <c r="BB83" s="57" t="s">
        <v>3476</v>
      </c>
      <c r="BC83" s="57" t="s">
        <v>3569</v>
      </c>
      <c r="BD83" s="57" t="s">
        <v>3833</v>
      </c>
      <c r="BE83" s="57" t="s">
        <v>4038</v>
      </c>
      <c r="BF83" s="57" t="s">
        <v>3749</v>
      </c>
      <c r="BG83" s="57" t="s">
        <v>3476</v>
      </c>
      <c r="BH83" s="57" t="s">
        <v>3476</v>
      </c>
      <c r="BI83" s="57" t="s">
        <v>2809</v>
      </c>
      <c r="BJ83" s="57" t="s">
        <v>3476</v>
      </c>
      <c r="BK83" s="57" t="s">
        <v>3476</v>
      </c>
      <c r="BL83" s="57">
        <v>2954201</v>
      </c>
      <c r="BM83" s="57" t="s">
        <v>4039</v>
      </c>
      <c r="BN83" s="57" t="s">
        <v>3476</v>
      </c>
      <c r="BO83" s="57">
        <v>723.33</v>
      </c>
      <c r="BP83" s="57" t="s">
        <v>3810</v>
      </c>
      <c r="BQ83" s="57" t="s">
        <v>3476</v>
      </c>
      <c r="BR83" s="57" t="s">
        <v>4040</v>
      </c>
      <c r="BS83" s="57" t="s">
        <v>1292</v>
      </c>
      <c r="BT83" s="57" t="s">
        <v>3476</v>
      </c>
      <c r="BU83" s="57" t="s">
        <v>3476</v>
      </c>
      <c r="BV83" s="57" t="s">
        <v>3753</v>
      </c>
      <c r="BW83" s="57" t="s">
        <v>3476</v>
      </c>
      <c r="BX83" s="57">
        <v>723.33</v>
      </c>
      <c r="BY83" s="57" t="s">
        <v>3476</v>
      </c>
      <c r="BZ83" s="57" t="s">
        <v>3476</v>
      </c>
      <c r="CA83" s="57" t="s">
        <v>3476</v>
      </c>
      <c r="CB83" s="57" t="s">
        <v>3476</v>
      </c>
      <c r="CC83" s="57" t="s">
        <v>3476</v>
      </c>
      <c r="CD83" s="57" t="s">
        <v>3476</v>
      </c>
    </row>
    <row r="84" spans="1:82">
      <c r="A84" s="57">
        <v>11443</v>
      </c>
      <c r="B84" s="57" t="s">
        <v>3476</v>
      </c>
      <c r="C84" s="57" t="s">
        <v>4041</v>
      </c>
      <c r="D84" s="57" t="s">
        <v>3476</v>
      </c>
      <c r="E84" s="57" t="s">
        <v>3730</v>
      </c>
      <c r="F84" s="57" t="s">
        <v>4042</v>
      </c>
      <c r="G84" s="57" t="s">
        <v>721</v>
      </c>
      <c r="H84" s="57" t="s">
        <v>3546</v>
      </c>
      <c r="I84" s="57">
        <v>22360</v>
      </c>
      <c r="J84" s="57" t="s">
        <v>3476</v>
      </c>
      <c r="K84" s="57" t="s">
        <v>3476</v>
      </c>
      <c r="L84" s="57" t="s">
        <v>3732</v>
      </c>
      <c r="M84" s="57" t="s">
        <v>4018</v>
      </c>
      <c r="N84" s="57" t="s">
        <v>4043</v>
      </c>
      <c r="O84" s="57" t="s">
        <v>3476</v>
      </c>
      <c r="P84" s="57" t="s">
        <v>3476</v>
      </c>
      <c r="Q84" s="57" t="s">
        <v>3546</v>
      </c>
      <c r="R84" s="57" t="s">
        <v>3734</v>
      </c>
      <c r="S84" s="57" t="s">
        <v>3735</v>
      </c>
      <c r="T84" s="57" t="s">
        <v>3736</v>
      </c>
      <c r="U84" s="57" t="s">
        <v>3476</v>
      </c>
      <c r="V84" s="57" t="s">
        <v>3469</v>
      </c>
      <c r="W84" s="57" t="s">
        <v>3476</v>
      </c>
      <c r="X84" s="57" t="s">
        <v>4021</v>
      </c>
      <c r="Y84" s="57" t="s">
        <v>3738</v>
      </c>
      <c r="Z84" s="57" t="s">
        <v>4044</v>
      </c>
      <c r="AA84" s="57" t="s">
        <v>4018</v>
      </c>
      <c r="AB84" s="57" t="s">
        <v>3476</v>
      </c>
      <c r="AC84" s="57" t="s">
        <v>3741</v>
      </c>
      <c r="AD84" s="57" t="s">
        <v>3476</v>
      </c>
      <c r="AE84" s="57" t="s">
        <v>3476</v>
      </c>
      <c r="AF84" s="57" t="s">
        <v>3476</v>
      </c>
      <c r="AG84" s="57" t="s">
        <v>3476</v>
      </c>
      <c r="AH84" s="57" t="s">
        <v>3476</v>
      </c>
      <c r="AI84" s="57" t="s">
        <v>3476</v>
      </c>
      <c r="AJ84" s="57" t="s">
        <v>3476</v>
      </c>
      <c r="AK84" s="57" t="s">
        <v>1292</v>
      </c>
      <c r="AL84" s="57" t="s">
        <v>4045</v>
      </c>
      <c r="AM84" s="57" t="s">
        <v>3476</v>
      </c>
      <c r="AN84" s="57" t="s">
        <v>3989</v>
      </c>
      <c r="AO84" s="57" t="s">
        <v>3476</v>
      </c>
      <c r="AP84" s="58">
        <v>45709.7284722222</v>
      </c>
      <c r="AQ84" s="57" t="s">
        <v>3476</v>
      </c>
      <c r="AR84" s="57" t="s">
        <v>3995</v>
      </c>
      <c r="AS84" s="57" t="s">
        <v>3502</v>
      </c>
      <c r="AT84" s="57" t="s">
        <v>3745</v>
      </c>
      <c r="AU84" s="57" t="s">
        <v>4046</v>
      </c>
      <c r="AV84" s="57" t="s">
        <v>3476</v>
      </c>
      <c r="AW84" s="58">
        <v>45660.577650463</v>
      </c>
      <c r="AX84" s="57" t="s">
        <v>4045</v>
      </c>
      <c r="AY84" s="57" t="s">
        <v>3747</v>
      </c>
      <c r="AZ84" s="57" t="s">
        <v>3476</v>
      </c>
      <c r="BA84" s="57" t="s">
        <v>3476</v>
      </c>
      <c r="BB84" s="57" t="s">
        <v>3476</v>
      </c>
      <c r="BC84" s="57" t="s">
        <v>3535</v>
      </c>
      <c r="BD84" s="57" t="s">
        <v>3748</v>
      </c>
      <c r="BE84" s="57" t="s">
        <v>2831</v>
      </c>
      <c r="BF84" s="57" t="s">
        <v>3749</v>
      </c>
      <c r="BG84" s="57" t="s">
        <v>3476</v>
      </c>
      <c r="BH84" s="57" t="s">
        <v>3476</v>
      </c>
      <c r="BI84" s="57" t="s">
        <v>2809</v>
      </c>
      <c r="BJ84" s="57" t="s">
        <v>3476</v>
      </c>
      <c r="BK84" s="57" t="s">
        <v>3476</v>
      </c>
      <c r="BL84" s="57">
        <v>3364787</v>
      </c>
      <c r="BM84" s="57" t="s">
        <v>4047</v>
      </c>
      <c r="BN84" s="57" t="s">
        <v>3476</v>
      </c>
      <c r="BO84" s="57">
        <v>22360</v>
      </c>
      <c r="BP84" s="57" t="s">
        <v>4048</v>
      </c>
      <c r="BQ84" s="57" t="s">
        <v>3476</v>
      </c>
      <c r="BR84" s="57" t="s">
        <v>4049</v>
      </c>
      <c r="BS84" s="57" t="s">
        <v>1292</v>
      </c>
      <c r="BT84" s="57" t="s">
        <v>3476</v>
      </c>
      <c r="BU84" s="57" t="s">
        <v>3476</v>
      </c>
      <c r="BV84" s="57" t="s">
        <v>3753</v>
      </c>
      <c r="BW84" s="57" t="s">
        <v>3476</v>
      </c>
      <c r="BX84" s="57">
        <v>22360</v>
      </c>
      <c r="BY84" s="57" t="s">
        <v>3476</v>
      </c>
      <c r="BZ84" s="57" t="s">
        <v>3476</v>
      </c>
      <c r="CA84" s="57" t="s">
        <v>3753</v>
      </c>
      <c r="CB84" s="57" t="s">
        <v>3476</v>
      </c>
      <c r="CC84" s="57" t="s">
        <v>3476</v>
      </c>
      <c r="CD84" s="57" t="s">
        <v>3476</v>
      </c>
    </row>
    <row r="85" spans="1:82">
      <c r="A85" s="57">
        <v>13041</v>
      </c>
      <c r="B85" s="57" t="s">
        <v>3941</v>
      </c>
      <c r="C85" s="57" t="s">
        <v>3476</v>
      </c>
      <c r="D85" s="57" t="s">
        <v>4050</v>
      </c>
      <c r="E85" s="57" t="s">
        <v>3730</v>
      </c>
      <c r="F85" s="57" t="s">
        <v>4051</v>
      </c>
      <c r="G85" s="57" t="s">
        <v>721</v>
      </c>
      <c r="H85" s="57" t="s">
        <v>3480</v>
      </c>
      <c r="I85" s="57">
        <v>1324.04</v>
      </c>
      <c r="J85" s="57" t="s">
        <v>3476</v>
      </c>
      <c r="K85" s="57" t="s">
        <v>3476</v>
      </c>
      <c r="L85" s="57" t="s">
        <v>3732</v>
      </c>
      <c r="M85" s="57" t="s">
        <v>4052</v>
      </c>
      <c r="N85" s="57" t="s">
        <v>4052</v>
      </c>
      <c r="O85" s="57" t="s">
        <v>3476</v>
      </c>
      <c r="P85" s="57" t="s">
        <v>3476</v>
      </c>
      <c r="Q85" s="57" t="s">
        <v>3480</v>
      </c>
      <c r="R85" s="57" t="s">
        <v>3799</v>
      </c>
      <c r="S85" s="57" t="s">
        <v>3800</v>
      </c>
      <c r="T85" s="57" t="s">
        <v>3476</v>
      </c>
      <c r="U85" s="57" t="s">
        <v>3476</v>
      </c>
      <c r="V85" s="57" t="s">
        <v>3469</v>
      </c>
      <c r="W85" s="57" t="s">
        <v>3476</v>
      </c>
      <c r="X85" s="57" t="s">
        <v>4053</v>
      </c>
      <c r="Y85" s="57" t="s">
        <v>3738</v>
      </c>
      <c r="Z85" s="57" t="s">
        <v>4052</v>
      </c>
      <c r="AA85" s="57" t="s">
        <v>3944</v>
      </c>
      <c r="AB85" s="57" t="s">
        <v>3922</v>
      </c>
      <c r="AC85" s="57" t="s">
        <v>3741</v>
      </c>
      <c r="AD85" s="57" t="s">
        <v>3476</v>
      </c>
      <c r="AE85" s="57" t="s">
        <v>3476</v>
      </c>
      <c r="AF85" s="57" t="s">
        <v>3923</v>
      </c>
      <c r="AG85" s="57" t="s">
        <v>3476</v>
      </c>
      <c r="AH85" s="57" t="s">
        <v>3476</v>
      </c>
      <c r="AI85" s="57" t="s">
        <v>3923</v>
      </c>
      <c r="AJ85" s="57" t="s">
        <v>3476</v>
      </c>
      <c r="AK85" s="57" t="s">
        <v>1292</v>
      </c>
      <c r="AL85" s="57" t="s">
        <v>4054</v>
      </c>
      <c r="AM85" s="57" t="s">
        <v>3476</v>
      </c>
      <c r="AN85" s="57" t="s">
        <v>4055</v>
      </c>
      <c r="AO85" s="57" t="s">
        <v>3476</v>
      </c>
      <c r="AP85" s="58">
        <v>45729.740787037</v>
      </c>
      <c r="AQ85" s="57" t="s">
        <v>3476</v>
      </c>
      <c r="AR85" s="57" t="s">
        <v>3507</v>
      </c>
      <c r="AS85" s="57" t="s">
        <v>3476</v>
      </c>
      <c r="AT85" s="57" t="s">
        <v>3948</v>
      </c>
      <c r="AU85" s="57" t="s">
        <v>4056</v>
      </c>
      <c r="AV85" s="57" t="s">
        <v>4050</v>
      </c>
      <c r="AW85" s="58">
        <v>45708.7648611111</v>
      </c>
      <c r="AX85" s="57" t="s">
        <v>4054</v>
      </c>
      <c r="AY85" s="57" t="s">
        <v>3747</v>
      </c>
      <c r="AZ85" s="57" t="s">
        <v>3476</v>
      </c>
      <c r="BA85" s="57" t="s">
        <v>3476</v>
      </c>
      <c r="BB85" s="57" t="s">
        <v>3476</v>
      </c>
      <c r="BC85" s="57" t="s">
        <v>3476</v>
      </c>
      <c r="BD85" s="57" t="s">
        <v>3950</v>
      </c>
      <c r="BE85" s="57" t="s">
        <v>3476</v>
      </c>
      <c r="BF85" s="57" t="s">
        <v>3749</v>
      </c>
      <c r="BG85" s="57" t="s">
        <v>3476</v>
      </c>
      <c r="BH85" s="57" t="s">
        <v>3476</v>
      </c>
      <c r="BI85" s="57" t="s">
        <v>3929</v>
      </c>
      <c r="BJ85" s="57" t="s">
        <v>3476</v>
      </c>
      <c r="BK85" s="57" t="s">
        <v>3476</v>
      </c>
      <c r="BL85" s="57" t="s">
        <v>3476</v>
      </c>
      <c r="BM85" s="57" t="s">
        <v>3476</v>
      </c>
      <c r="BN85" s="57">
        <v>1324.04</v>
      </c>
      <c r="BO85" s="57" t="s">
        <v>3476</v>
      </c>
      <c r="BP85" s="57" t="s">
        <v>3930</v>
      </c>
      <c r="BQ85" s="57" t="s">
        <v>3476</v>
      </c>
      <c r="BR85" s="57" t="s">
        <v>3476</v>
      </c>
      <c r="BS85" s="57" t="s">
        <v>3476</v>
      </c>
      <c r="BT85" s="57" t="s">
        <v>1292</v>
      </c>
      <c r="BU85" s="57" t="s">
        <v>3476</v>
      </c>
      <c r="BV85" s="57" t="s">
        <v>3753</v>
      </c>
      <c r="BW85" s="57" t="s">
        <v>3476</v>
      </c>
      <c r="BX85" s="57">
        <v>1324.04</v>
      </c>
      <c r="BY85" s="57" t="s">
        <v>3476</v>
      </c>
      <c r="BZ85" s="57" t="s">
        <v>721</v>
      </c>
      <c r="CA85" s="57" t="s">
        <v>3476</v>
      </c>
      <c r="CB85" s="57" t="s">
        <v>3476</v>
      </c>
      <c r="CC85" s="57" t="s">
        <v>3476</v>
      </c>
      <c r="CD85" s="57" t="s">
        <v>4057</v>
      </c>
    </row>
    <row r="86" spans="1:82">
      <c r="A86" s="57">
        <v>13042</v>
      </c>
      <c r="B86" s="57" t="s">
        <v>3476</v>
      </c>
      <c r="C86" s="57" t="s">
        <v>4058</v>
      </c>
      <c r="D86" s="57" t="s">
        <v>3476</v>
      </c>
      <c r="E86" s="57" t="s">
        <v>3730</v>
      </c>
      <c r="F86" s="57" t="s">
        <v>4059</v>
      </c>
      <c r="G86" s="57" t="s">
        <v>721</v>
      </c>
      <c r="H86" s="57" t="s">
        <v>3628</v>
      </c>
      <c r="I86" s="57">
        <v>39000</v>
      </c>
      <c r="J86" s="57" t="s">
        <v>3476</v>
      </c>
      <c r="K86" s="57" t="s">
        <v>3476</v>
      </c>
      <c r="L86" s="57" t="s">
        <v>3732</v>
      </c>
      <c r="M86" s="57" t="s">
        <v>4052</v>
      </c>
      <c r="N86" s="57" t="s">
        <v>4043</v>
      </c>
      <c r="O86" s="57" t="s">
        <v>3476</v>
      </c>
      <c r="P86" s="57" t="s">
        <v>3476</v>
      </c>
      <c r="Q86" s="57" t="s">
        <v>3628</v>
      </c>
      <c r="R86" s="57" t="s">
        <v>3872</v>
      </c>
      <c r="S86" s="57" t="s">
        <v>3873</v>
      </c>
      <c r="T86" s="57" t="s">
        <v>3736</v>
      </c>
      <c r="U86" s="57" t="s">
        <v>3476</v>
      </c>
      <c r="V86" s="57" t="s">
        <v>3469</v>
      </c>
      <c r="W86" s="57" t="s">
        <v>3476</v>
      </c>
      <c r="X86" s="57" t="s">
        <v>4021</v>
      </c>
      <c r="Y86" s="57" t="s">
        <v>3738</v>
      </c>
      <c r="Z86" s="57" t="s">
        <v>4060</v>
      </c>
      <c r="AA86" s="57" t="s">
        <v>4052</v>
      </c>
      <c r="AB86" s="57" t="s">
        <v>3476</v>
      </c>
      <c r="AC86" s="57" t="s">
        <v>3741</v>
      </c>
      <c r="AD86" s="57" t="s">
        <v>3476</v>
      </c>
      <c r="AE86" s="57" t="s">
        <v>3476</v>
      </c>
      <c r="AF86" s="57" t="s">
        <v>3476</v>
      </c>
      <c r="AG86" s="57" t="s">
        <v>3476</v>
      </c>
      <c r="AH86" s="57" t="s">
        <v>3476</v>
      </c>
      <c r="AI86" s="57" t="s">
        <v>3476</v>
      </c>
      <c r="AJ86" s="57" t="s">
        <v>3476</v>
      </c>
      <c r="AK86" s="57" t="s">
        <v>1292</v>
      </c>
      <c r="AL86" s="57" t="s">
        <v>4061</v>
      </c>
      <c r="AM86" s="57" t="s">
        <v>3476</v>
      </c>
      <c r="AN86" s="57" t="s">
        <v>4062</v>
      </c>
      <c r="AO86" s="57" t="s">
        <v>3476</v>
      </c>
      <c r="AP86" s="58">
        <v>45708.8058217593</v>
      </c>
      <c r="AQ86" s="57" t="s">
        <v>3476</v>
      </c>
      <c r="AR86" s="57" t="s">
        <v>3995</v>
      </c>
      <c r="AS86" s="57" t="s">
        <v>3502</v>
      </c>
      <c r="AT86" s="57" t="s">
        <v>3745</v>
      </c>
      <c r="AU86" s="57" t="s">
        <v>4063</v>
      </c>
      <c r="AV86" s="57" t="s">
        <v>3476</v>
      </c>
      <c r="AW86" s="58">
        <v>45663.4965046296</v>
      </c>
      <c r="AX86" s="57" t="s">
        <v>4061</v>
      </c>
      <c r="AY86" s="57" t="s">
        <v>3747</v>
      </c>
      <c r="AZ86" s="57" t="s">
        <v>3476</v>
      </c>
      <c r="BA86" s="57" t="s">
        <v>3476</v>
      </c>
      <c r="BB86" s="57" t="s">
        <v>3476</v>
      </c>
      <c r="BC86" s="57" t="s">
        <v>3569</v>
      </c>
      <c r="BD86" s="57" t="s">
        <v>3833</v>
      </c>
      <c r="BE86" s="57" t="s">
        <v>3613</v>
      </c>
      <c r="BF86" s="57" t="s">
        <v>3749</v>
      </c>
      <c r="BG86" s="57" t="s">
        <v>3476</v>
      </c>
      <c r="BH86" s="57" t="s">
        <v>3476</v>
      </c>
      <c r="BI86" s="57" t="s">
        <v>2809</v>
      </c>
      <c r="BJ86" s="57" t="s">
        <v>3476</v>
      </c>
      <c r="BK86" s="57" t="s">
        <v>3476</v>
      </c>
      <c r="BL86" s="57">
        <v>3307034</v>
      </c>
      <c r="BM86" s="57" t="s">
        <v>4064</v>
      </c>
      <c r="BN86" s="57" t="s">
        <v>3476</v>
      </c>
      <c r="BO86" s="57">
        <v>13000</v>
      </c>
      <c r="BP86" s="57" t="s">
        <v>4048</v>
      </c>
      <c r="BQ86" s="57" t="s">
        <v>3476</v>
      </c>
      <c r="BR86" s="57" t="s">
        <v>4065</v>
      </c>
      <c r="BS86" s="57" t="s">
        <v>1292</v>
      </c>
      <c r="BT86" s="57" t="s">
        <v>3476</v>
      </c>
      <c r="BU86" s="57" t="s">
        <v>3476</v>
      </c>
      <c r="BV86" s="57" t="s">
        <v>3753</v>
      </c>
      <c r="BW86" s="57" t="s">
        <v>3476</v>
      </c>
      <c r="BX86" s="57">
        <v>13000</v>
      </c>
      <c r="BY86" s="57" t="s">
        <v>3476</v>
      </c>
      <c r="BZ86" s="57" t="s">
        <v>3476</v>
      </c>
      <c r="CA86" s="57" t="s">
        <v>3753</v>
      </c>
      <c r="CB86" s="57" t="s">
        <v>3476</v>
      </c>
      <c r="CC86" s="57" t="s">
        <v>3476</v>
      </c>
      <c r="CD86" s="57" t="s">
        <v>3476</v>
      </c>
    </row>
    <row r="87" spans="1:82">
      <c r="A87" s="57">
        <v>13043</v>
      </c>
      <c r="B87" s="57" t="s">
        <v>3476</v>
      </c>
      <c r="C87" s="57" t="s">
        <v>4058</v>
      </c>
      <c r="D87" s="57" t="s">
        <v>3476</v>
      </c>
      <c r="E87" s="57" t="s">
        <v>3730</v>
      </c>
      <c r="F87" s="57" t="s">
        <v>4059</v>
      </c>
      <c r="G87" s="57" t="s">
        <v>721</v>
      </c>
      <c r="H87" s="57" t="s">
        <v>3628</v>
      </c>
      <c r="I87" s="57">
        <v>39000</v>
      </c>
      <c r="J87" s="57" t="s">
        <v>3476</v>
      </c>
      <c r="K87" s="57" t="s">
        <v>3476</v>
      </c>
      <c r="L87" s="57" t="s">
        <v>3732</v>
      </c>
      <c r="M87" s="57" t="s">
        <v>4052</v>
      </c>
      <c r="N87" s="57" t="s">
        <v>4043</v>
      </c>
      <c r="O87" s="57" t="s">
        <v>3476</v>
      </c>
      <c r="P87" s="57" t="s">
        <v>3476</v>
      </c>
      <c r="Q87" s="57" t="s">
        <v>3628</v>
      </c>
      <c r="R87" s="57" t="s">
        <v>3872</v>
      </c>
      <c r="S87" s="57" t="s">
        <v>3873</v>
      </c>
      <c r="T87" s="57" t="s">
        <v>3736</v>
      </c>
      <c r="U87" s="57" t="s">
        <v>3476</v>
      </c>
      <c r="V87" s="57" t="s">
        <v>3469</v>
      </c>
      <c r="W87" s="57" t="s">
        <v>3476</v>
      </c>
      <c r="X87" s="57" t="s">
        <v>4021</v>
      </c>
      <c r="Y87" s="57" t="s">
        <v>3738</v>
      </c>
      <c r="Z87" s="57" t="s">
        <v>4060</v>
      </c>
      <c r="AA87" s="57" t="s">
        <v>4052</v>
      </c>
      <c r="AB87" s="57" t="s">
        <v>3476</v>
      </c>
      <c r="AC87" s="57" t="s">
        <v>3741</v>
      </c>
      <c r="AD87" s="57" t="s">
        <v>3476</v>
      </c>
      <c r="AE87" s="57" t="s">
        <v>3476</v>
      </c>
      <c r="AF87" s="57" t="s">
        <v>3476</v>
      </c>
      <c r="AG87" s="57" t="s">
        <v>3476</v>
      </c>
      <c r="AH87" s="57" t="s">
        <v>3476</v>
      </c>
      <c r="AI87" s="57" t="s">
        <v>3476</v>
      </c>
      <c r="AJ87" s="57" t="s">
        <v>3476</v>
      </c>
      <c r="AK87" s="57" t="s">
        <v>1292</v>
      </c>
      <c r="AL87" s="57" t="s">
        <v>4061</v>
      </c>
      <c r="AM87" s="57" t="s">
        <v>3476</v>
      </c>
      <c r="AN87" s="57" t="s">
        <v>4062</v>
      </c>
      <c r="AO87" s="57" t="s">
        <v>3476</v>
      </c>
      <c r="AP87" s="58">
        <v>45708.8058217593</v>
      </c>
      <c r="AQ87" s="57" t="s">
        <v>3476</v>
      </c>
      <c r="AR87" s="57" t="s">
        <v>3995</v>
      </c>
      <c r="AS87" s="57" t="s">
        <v>3502</v>
      </c>
      <c r="AT87" s="57" t="s">
        <v>3745</v>
      </c>
      <c r="AU87" s="57" t="s">
        <v>4063</v>
      </c>
      <c r="AV87" s="57" t="s">
        <v>3476</v>
      </c>
      <c r="AW87" s="58">
        <v>45663.4965046296</v>
      </c>
      <c r="AX87" s="57" t="s">
        <v>4061</v>
      </c>
      <c r="AY87" s="57" t="s">
        <v>3747</v>
      </c>
      <c r="AZ87" s="57" t="s">
        <v>3476</v>
      </c>
      <c r="BA87" s="57" t="s">
        <v>3476</v>
      </c>
      <c r="BB87" s="57" t="s">
        <v>3476</v>
      </c>
      <c r="BC87" s="57" t="s">
        <v>3569</v>
      </c>
      <c r="BD87" s="57" t="s">
        <v>3833</v>
      </c>
      <c r="BE87" s="57" t="s">
        <v>3613</v>
      </c>
      <c r="BF87" s="57" t="s">
        <v>3749</v>
      </c>
      <c r="BG87" s="57" t="s">
        <v>3476</v>
      </c>
      <c r="BH87" s="57" t="s">
        <v>3476</v>
      </c>
      <c r="BI87" s="57" t="s">
        <v>2809</v>
      </c>
      <c r="BJ87" s="57" t="s">
        <v>3476</v>
      </c>
      <c r="BK87" s="57" t="s">
        <v>3476</v>
      </c>
      <c r="BL87" s="57">
        <v>3307034</v>
      </c>
      <c r="BM87" s="57" t="s">
        <v>4066</v>
      </c>
      <c r="BN87" s="57" t="s">
        <v>3476</v>
      </c>
      <c r="BO87" s="57">
        <v>13000</v>
      </c>
      <c r="BP87" s="57" t="s">
        <v>4048</v>
      </c>
      <c r="BQ87" s="57" t="s">
        <v>3476</v>
      </c>
      <c r="BR87" s="57" t="s">
        <v>4065</v>
      </c>
      <c r="BS87" s="57" t="s">
        <v>1292</v>
      </c>
      <c r="BT87" s="57" t="s">
        <v>3476</v>
      </c>
      <c r="BU87" s="57" t="s">
        <v>3476</v>
      </c>
      <c r="BV87" s="57" t="s">
        <v>3753</v>
      </c>
      <c r="BW87" s="57" t="s">
        <v>3476</v>
      </c>
      <c r="BX87" s="57">
        <v>13000</v>
      </c>
      <c r="BY87" s="57" t="s">
        <v>3476</v>
      </c>
      <c r="BZ87" s="57" t="s">
        <v>3476</v>
      </c>
      <c r="CA87" s="57" t="s">
        <v>3753</v>
      </c>
      <c r="CB87" s="57" t="s">
        <v>3476</v>
      </c>
      <c r="CC87" s="57" t="s">
        <v>3476</v>
      </c>
      <c r="CD87" s="57" t="s">
        <v>3476</v>
      </c>
    </row>
    <row r="88" spans="1:82">
      <c r="A88" s="57">
        <v>13044</v>
      </c>
      <c r="B88" s="57" t="s">
        <v>3476</v>
      </c>
      <c r="C88" s="57" t="s">
        <v>4058</v>
      </c>
      <c r="D88" s="57" t="s">
        <v>3476</v>
      </c>
      <c r="E88" s="57" t="s">
        <v>3730</v>
      </c>
      <c r="F88" s="57" t="s">
        <v>4059</v>
      </c>
      <c r="G88" s="57" t="s">
        <v>721</v>
      </c>
      <c r="H88" s="57" t="s">
        <v>3628</v>
      </c>
      <c r="I88" s="57">
        <v>39000</v>
      </c>
      <c r="J88" s="57" t="s">
        <v>3476</v>
      </c>
      <c r="K88" s="57" t="s">
        <v>3476</v>
      </c>
      <c r="L88" s="57" t="s">
        <v>3732</v>
      </c>
      <c r="M88" s="57" t="s">
        <v>4052</v>
      </c>
      <c r="N88" s="57" t="s">
        <v>4043</v>
      </c>
      <c r="O88" s="57" t="s">
        <v>3476</v>
      </c>
      <c r="P88" s="57" t="s">
        <v>3476</v>
      </c>
      <c r="Q88" s="57" t="s">
        <v>3628</v>
      </c>
      <c r="R88" s="57" t="s">
        <v>3872</v>
      </c>
      <c r="S88" s="57" t="s">
        <v>3873</v>
      </c>
      <c r="T88" s="57" t="s">
        <v>3736</v>
      </c>
      <c r="U88" s="57" t="s">
        <v>3476</v>
      </c>
      <c r="V88" s="57" t="s">
        <v>3469</v>
      </c>
      <c r="W88" s="57" t="s">
        <v>3476</v>
      </c>
      <c r="X88" s="57" t="s">
        <v>4021</v>
      </c>
      <c r="Y88" s="57" t="s">
        <v>3738</v>
      </c>
      <c r="Z88" s="57" t="s">
        <v>4060</v>
      </c>
      <c r="AA88" s="57" t="s">
        <v>4052</v>
      </c>
      <c r="AB88" s="57" t="s">
        <v>3476</v>
      </c>
      <c r="AC88" s="57" t="s">
        <v>3741</v>
      </c>
      <c r="AD88" s="57" t="s">
        <v>3476</v>
      </c>
      <c r="AE88" s="57" t="s">
        <v>3476</v>
      </c>
      <c r="AF88" s="57" t="s">
        <v>3476</v>
      </c>
      <c r="AG88" s="57" t="s">
        <v>3476</v>
      </c>
      <c r="AH88" s="57" t="s">
        <v>3476</v>
      </c>
      <c r="AI88" s="57" t="s">
        <v>3476</v>
      </c>
      <c r="AJ88" s="57" t="s">
        <v>3476</v>
      </c>
      <c r="AK88" s="57" t="s">
        <v>1292</v>
      </c>
      <c r="AL88" s="57" t="s">
        <v>4061</v>
      </c>
      <c r="AM88" s="57" t="s">
        <v>3476</v>
      </c>
      <c r="AN88" s="57" t="s">
        <v>4062</v>
      </c>
      <c r="AO88" s="57" t="s">
        <v>3476</v>
      </c>
      <c r="AP88" s="58">
        <v>45708.8058217593</v>
      </c>
      <c r="AQ88" s="57" t="s">
        <v>3476</v>
      </c>
      <c r="AR88" s="57" t="s">
        <v>3995</v>
      </c>
      <c r="AS88" s="57" t="s">
        <v>3502</v>
      </c>
      <c r="AT88" s="57" t="s">
        <v>3745</v>
      </c>
      <c r="AU88" s="57" t="s">
        <v>4063</v>
      </c>
      <c r="AV88" s="57" t="s">
        <v>3476</v>
      </c>
      <c r="AW88" s="58">
        <v>45663.4965046296</v>
      </c>
      <c r="AX88" s="57" t="s">
        <v>4061</v>
      </c>
      <c r="AY88" s="57" t="s">
        <v>3747</v>
      </c>
      <c r="AZ88" s="57" t="s">
        <v>3476</v>
      </c>
      <c r="BA88" s="57" t="s">
        <v>3476</v>
      </c>
      <c r="BB88" s="57" t="s">
        <v>3476</v>
      </c>
      <c r="BC88" s="57" t="s">
        <v>3569</v>
      </c>
      <c r="BD88" s="57" t="s">
        <v>3833</v>
      </c>
      <c r="BE88" s="57" t="s">
        <v>3613</v>
      </c>
      <c r="BF88" s="57" t="s">
        <v>3749</v>
      </c>
      <c r="BG88" s="57" t="s">
        <v>3476</v>
      </c>
      <c r="BH88" s="57" t="s">
        <v>3476</v>
      </c>
      <c r="BI88" s="57" t="s">
        <v>2809</v>
      </c>
      <c r="BJ88" s="57" t="s">
        <v>3476</v>
      </c>
      <c r="BK88" s="57" t="s">
        <v>3476</v>
      </c>
      <c r="BL88" s="57">
        <v>3307034</v>
      </c>
      <c r="BM88" s="57" t="s">
        <v>4067</v>
      </c>
      <c r="BN88" s="57" t="s">
        <v>3476</v>
      </c>
      <c r="BO88" s="57">
        <v>13000</v>
      </c>
      <c r="BP88" s="57" t="s">
        <v>4048</v>
      </c>
      <c r="BQ88" s="57" t="s">
        <v>3476</v>
      </c>
      <c r="BR88" s="57" t="s">
        <v>4065</v>
      </c>
      <c r="BS88" s="57" t="s">
        <v>1292</v>
      </c>
      <c r="BT88" s="57" t="s">
        <v>3476</v>
      </c>
      <c r="BU88" s="57" t="s">
        <v>3476</v>
      </c>
      <c r="BV88" s="57" t="s">
        <v>3753</v>
      </c>
      <c r="BW88" s="57" t="s">
        <v>3476</v>
      </c>
      <c r="BX88" s="57">
        <v>13000</v>
      </c>
      <c r="BY88" s="57" t="s">
        <v>3476</v>
      </c>
      <c r="BZ88" s="57" t="s">
        <v>3476</v>
      </c>
      <c r="CA88" s="57" t="s">
        <v>3753</v>
      </c>
      <c r="CB88" s="57" t="s">
        <v>3476</v>
      </c>
      <c r="CC88" s="57" t="s">
        <v>3476</v>
      </c>
      <c r="CD88" s="57" t="s">
        <v>3476</v>
      </c>
    </row>
    <row r="89" spans="1:82">
      <c r="A89" s="57">
        <v>13838</v>
      </c>
      <c r="B89" s="57" t="s">
        <v>3476</v>
      </c>
      <c r="C89" s="57" t="s">
        <v>4068</v>
      </c>
      <c r="D89" s="57" t="s">
        <v>3476</v>
      </c>
      <c r="E89" s="57" t="s">
        <v>3730</v>
      </c>
      <c r="F89" s="57" t="s">
        <v>4069</v>
      </c>
      <c r="G89" s="57" t="s">
        <v>721</v>
      </c>
      <c r="H89" s="57" t="s">
        <v>3598</v>
      </c>
      <c r="I89" s="57">
        <v>7900</v>
      </c>
      <c r="J89" s="57" t="s">
        <v>3476</v>
      </c>
      <c r="K89" s="57" t="s">
        <v>3476</v>
      </c>
      <c r="L89" s="57" t="s">
        <v>3732</v>
      </c>
      <c r="M89" s="57" t="s">
        <v>4070</v>
      </c>
      <c r="N89" s="57" t="s">
        <v>4070</v>
      </c>
      <c r="O89" s="57" t="s">
        <v>3476</v>
      </c>
      <c r="P89" s="57" t="s">
        <v>3476</v>
      </c>
      <c r="Q89" s="57" t="s">
        <v>3598</v>
      </c>
      <c r="R89" s="57" t="s">
        <v>3839</v>
      </c>
      <c r="S89" s="57" t="s">
        <v>3840</v>
      </c>
      <c r="T89" s="57" t="s">
        <v>3736</v>
      </c>
      <c r="U89" s="57" t="s">
        <v>3476</v>
      </c>
      <c r="V89" s="57" t="s">
        <v>3469</v>
      </c>
      <c r="W89" s="57" t="s">
        <v>3476</v>
      </c>
      <c r="X89" s="57" t="s">
        <v>4021</v>
      </c>
      <c r="Y89" s="57" t="s">
        <v>3738</v>
      </c>
      <c r="Z89" s="57" t="s">
        <v>4071</v>
      </c>
      <c r="AA89" s="57" t="s">
        <v>3853</v>
      </c>
      <c r="AB89" s="57" t="s">
        <v>3476</v>
      </c>
      <c r="AC89" s="57" t="s">
        <v>3741</v>
      </c>
      <c r="AD89" s="57" t="s">
        <v>3476</v>
      </c>
      <c r="AE89" s="57" t="s">
        <v>3476</v>
      </c>
      <c r="AF89" s="57" t="s">
        <v>3476</v>
      </c>
      <c r="AG89" s="57" t="s">
        <v>3476</v>
      </c>
      <c r="AH89" s="57" t="s">
        <v>3476</v>
      </c>
      <c r="AI89" s="57" t="s">
        <v>3476</v>
      </c>
      <c r="AJ89" s="57" t="s">
        <v>3476</v>
      </c>
      <c r="AK89" s="57" t="s">
        <v>1292</v>
      </c>
      <c r="AL89" s="57" t="s">
        <v>4072</v>
      </c>
      <c r="AM89" s="57" t="s">
        <v>3476</v>
      </c>
      <c r="AN89" s="57" t="s">
        <v>3770</v>
      </c>
      <c r="AO89" s="57" t="s">
        <v>3476</v>
      </c>
      <c r="AP89" s="58">
        <v>45786.8553009259</v>
      </c>
      <c r="AQ89" s="57" t="s">
        <v>3476</v>
      </c>
      <c r="AR89" s="57" t="s">
        <v>3831</v>
      </c>
      <c r="AS89" s="57" t="s">
        <v>3502</v>
      </c>
      <c r="AT89" s="57" t="s">
        <v>3745</v>
      </c>
      <c r="AU89" s="57" t="s">
        <v>4073</v>
      </c>
      <c r="AV89" s="57" t="s">
        <v>3476</v>
      </c>
      <c r="AW89" s="58">
        <v>45743.8040393519</v>
      </c>
      <c r="AX89" s="57" t="s">
        <v>4072</v>
      </c>
      <c r="AY89" s="57" t="s">
        <v>3747</v>
      </c>
      <c r="AZ89" s="57" t="s">
        <v>3476</v>
      </c>
      <c r="BA89" s="57" t="s">
        <v>3476</v>
      </c>
      <c r="BB89" s="57" t="s">
        <v>3476</v>
      </c>
      <c r="BC89" s="57" t="s">
        <v>3845</v>
      </c>
      <c r="BD89" s="57" t="s">
        <v>3846</v>
      </c>
      <c r="BE89" s="57" t="s">
        <v>2828</v>
      </c>
      <c r="BF89" s="57" t="s">
        <v>3749</v>
      </c>
      <c r="BG89" s="57" t="s">
        <v>3476</v>
      </c>
      <c r="BH89" s="57" t="s">
        <v>3476</v>
      </c>
      <c r="BI89" s="57" t="s">
        <v>2809</v>
      </c>
      <c r="BJ89" s="57" t="s">
        <v>3476</v>
      </c>
      <c r="BK89" s="57" t="s">
        <v>3476</v>
      </c>
      <c r="BL89" s="57">
        <v>3316660</v>
      </c>
      <c r="BM89" s="57" t="s">
        <v>4074</v>
      </c>
      <c r="BN89" s="57" t="s">
        <v>3476</v>
      </c>
      <c r="BO89" s="57">
        <v>7900</v>
      </c>
      <c r="BP89" s="57" t="s">
        <v>3835</v>
      </c>
      <c r="BQ89" s="57" t="s">
        <v>3476</v>
      </c>
      <c r="BR89" s="57" t="s">
        <v>4075</v>
      </c>
      <c r="BS89" s="57" t="s">
        <v>1292</v>
      </c>
      <c r="BT89" s="57" t="s">
        <v>3476</v>
      </c>
      <c r="BU89" s="57" t="s">
        <v>3476</v>
      </c>
      <c r="BV89" s="57" t="s">
        <v>3753</v>
      </c>
      <c r="BW89" s="57" t="s">
        <v>3476</v>
      </c>
      <c r="BX89" s="57">
        <v>7900</v>
      </c>
      <c r="BY89" s="57" t="s">
        <v>3476</v>
      </c>
      <c r="BZ89" s="57" t="s">
        <v>3476</v>
      </c>
      <c r="CA89" s="57" t="s">
        <v>3476</v>
      </c>
      <c r="CB89" s="57" t="s">
        <v>3476</v>
      </c>
      <c r="CC89" s="57" t="s">
        <v>3476</v>
      </c>
      <c r="CD89" s="57" t="s">
        <v>3476</v>
      </c>
    </row>
    <row r="90" spans="1:82">
      <c r="A90" s="57">
        <v>13860</v>
      </c>
      <c r="B90" s="57" t="s">
        <v>3941</v>
      </c>
      <c r="C90" s="57" t="s">
        <v>3476</v>
      </c>
      <c r="D90" s="57" t="s">
        <v>4076</v>
      </c>
      <c r="E90" s="57" t="s">
        <v>3730</v>
      </c>
      <c r="F90" s="57" t="s">
        <v>4077</v>
      </c>
      <c r="G90" s="57" t="s">
        <v>721</v>
      </c>
      <c r="H90" s="57" t="s">
        <v>3480</v>
      </c>
      <c r="I90" s="57">
        <v>1481.29</v>
      </c>
      <c r="J90" s="57" t="s">
        <v>3476</v>
      </c>
      <c r="K90" s="57" t="s">
        <v>3476</v>
      </c>
      <c r="L90" s="57" t="s">
        <v>3732</v>
      </c>
      <c r="M90" s="57" t="s">
        <v>4070</v>
      </c>
      <c r="N90" s="57" t="s">
        <v>4070</v>
      </c>
      <c r="O90" s="57" t="s">
        <v>3476</v>
      </c>
      <c r="P90" s="57" t="s">
        <v>3476</v>
      </c>
      <c r="Q90" s="57" t="s">
        <v>3480</v>
      </c>
      <c r="R90" s="57" t="s">
        <v>3799</v>
      </c>
      <c r="S90" s="57" t="s">
        <v>3800</v>
      </c>
      <c r="T90" s="57" t="s">
        <v>3476</v>
      </c>
      <c r="U90" s="57" t="s">
        <v>3476</v>
      </c>
      <c r="V90" s="57" t="s">
        <v>3469</v>
      </c>
      <c r="W90" s="57" t="s">
        <v>3476</v>
      </c>
      <c r="X90" s="57" t="s">
        <v>4078</v>
      </c>
      <c r="Y90" s="57" t="s">
        <v>3738</v>
      </c>
      <c r="Z90" s="57" t="s">
        <v>4070</v>
      </c>
      <c r="AA90" s="57" t="s">
        <v>3944</v>
      </c>
      <c r="AB90" s="57" t="s">
        <v>3922</v>
      </c>
      <c r="AC90" s="57" t="s">
        <v>3741</v>
      </c>
      <c r="AD90" s="57" t="s">
        <v>3476</v>
      </c>
      <c r="AE90" s="57" t="s">
        <v>3476</v>
      </c>
      <c r="AF90" s="57" t="s">
        <v>3923</v>
      </c>
      <c r="AG90" s="57" t="s">
        <v>3476</v>
      </c>
      <c r="AH90" s="57" t="s">
        <v>3476</v>
      </c>
      <c r="AI90" s="57" t="s">
        <v>3923</v>
      </c>
      <c r="AJ90" s="57" t="s">
        <v>3476</v>
      </c>
      <c r="AK90" s="57" t="s">
        <v>1292</v>
      </c>
      <c r="AL90" s="57" t="s">
        <v>4079</v>
      </c>
      <c r="AM90" s="57" t="s">
        <v>3476</v>
      </c>
      <c r="AN90" s="57" t="s">
        <v>4080</v>
      </c>
      <c r="AO90" s="57" t="s">
        <v>3476</v>
      </c>
      <c r="AP90" s="58">
        <v>45729.7407986111</v>
      </c>
      <c r="AQ90" s="57" t="s">
        <v>3476</v>
      </c>
      <c r="AR90" s="57" t="s">
        <v>3507</v>
      </c>
      <c r="AS90" s="57" t="s">
        <v>3476</v>
      </c>
      <c r="AT90" s="57" t="s">
        <v>3948</v>
      </c>
      <c r="AU90" s="57" t="s">
        <v>4081</v>
      </c>
      <c r="AV90" s="57" t="s">
        <v>4076</v>
      </c>
      <c r="AW90" s="58">
        <v>45702.7148611111</v>
      </c>
      <c r="AX90" s="57" t="s">
        <v>4079</v>
      </c>
      <c r="AY90" s="57" t="s">
        <v>3747</v>
      </c>
      <c r="AZ90" s="57" t="s">
        <v>3476</v>
      </c>
      <c r="BA90" s="57" t="s">
        <v>3476</v>
      </c>
      <c r="BB90" s="57" t="s">
        <v>3476</v>
      </c>
      <c r="BC90" s="57" t="s">
        <v>3476</v>
      </c>
      <c r="BD90" s="57" t="s">
        <v>3950</v>
      </c>
      <c r="BE90" s="57" t="s">
        <v>3476</v>
      </c>
      <c r="BF90" s="57" t="s">
        <v>3749</v>
      </c>
      <c r="BG90" s="57" t="s">
        <v>3476</v>
      </c>
      <c r="BH90" s="57" t="s">
        <v>3476</v>
      </c>
      <c r="BI90" s="57" t="s">
        <v>3929</v>
      </c>
      <c r="BJ90" s="57" t="s">
        <v>3476</v>
      </c>
      <c r="BK90" s="57" t="s">
        <v>3476</v>
      </c>
      <c r="BL90" s="57" t="s">
        <v>3476</v>
      </c>
      <c r="BM90" s="57" t="s">
        <v>3476</v>
      </c>
      <c r="BN90" s="57">
        <v>1481.29</v>
      </c>
      <c r="BO90" s="57" t="s">
        <v>3476</v>
      </c>
      <c r="BP90" s="57" t="s">
        <v>3930</v>
      </c>
      <c r="BQ90" s="57" t="s">
        <v>3476</v>
      </c>
      <c r="BR90" s="57" t="s">
        <v>3476</v>
      </c>
      <c r="BS90" s="57" t="s">
        <v>3476</v>
      </c>
      <c r="BT90" s="57" t="s">
        <v>1292</v>
      </c>
      <c r="BU90" s="57" t="s">
        <v>3476</v>
      </c>
      <c r="BV90" s="57" t="s">
        <v>3753</v>
      </c>
      <c r="BW90" s="57" t="s">
        <v>3476</v>
      </c>
      <c r="BX90" s="57">
        <v>1481.29</v>
      </c>
      <c r="BY90" s="57" t="s">
        <v>3476</v>
      </c>
      <c r="BZ90" s="57" t="s">
        <v>721</v>
      </c>
      <c r="CA90" s="57" t="s">
        <v>3476</v>
      </c>
      <c r="CB90" s="57" t="s">
        <v>3476</v>
      </c>
      <c r="CC90" s="57" t="s">
        <v>3476</v>
      </c>
      <c r="CD90" s="57" t="s">
        <v>4057</v>
      </c>
    </row>
    <row r="91" spans="1:82">
      <c r="A91" s="57">
        <v>13861</v>
      </c>
      <c r="B91" s="57" t="s">
        <v>3941</v>
      </c>
      <c r="C91" s="57" t="s">
        <v>3476</v>
      </c>
      <c r="D91" s="57" t="s">
        <v>4082</v>
      </c>
      <c r="E91" s="57" t="s">
        <v>3730</v>
      </c>
      <c r="F91" s="57" t="s">
        <v>4083</v>
      </c>
      <c r="G91" s="57" t="s">
        <v>721</v>
      </c>
      <c r="H91" s="57" t="s">
        <v>3480</v>
      </c>
      <c r="I91" s="57">
        <v>16868</v>
      </c>
      <c r="J91" s="57" t="s">
        <v>3476</v>
      </c>
      <c r="K91" s="57" t="s">
        <v>3476</v>
      </c>
      <c r="L91" s="57" t="s">
        <v>3732</v>
      </c>
      <c r="M91" s="57" t="s">
        <v>4070</v>
      </c>
      <c r="N91" s="57" t="s">
        <v>4070</v>
      </c>
      <c r="O91" s="57" t="s">
        <v>3476</v>
      </c>
      <c r="P91" s="57" t="s">
        <v>3476</v>
      </c>
      <c r="Q91" s="57" t="s">
        <v>3480</v>
      </c>
      <c r="R91" s="57" t="s">
        <v>3799</v>
      </c>
      <c r="S91" s="57" t="s">
        <v>3800</v>
      </c>
      <c r="T91" s="57" t="s">
        <v>3476</v>
      </c>
      <c r="U91" s="57" t="s">
        <v>3476</v>
      </c>
      <c r="V91" s="57" t="s">
        <v>3469</v>
      </c>
      <c r="W91" s="57" t="s">
        <v>3476</v>
      </c>
      <c r="X91" s="57" t="s">
        <v>4084</v>
      </c>
      <c r="Y91" s="57" t="s">
        <v>3738</v>
      </c>
      <c r="Z91" s="57" t="s">
        <v>4070</v>
      </c>
      <c r="AA91" s="57" t="s">
        <v>3944</v>
      </c>
      <c r="AB91" s="57" t="s">
        <v>3922</v>
      </c>
      <c r="AC91" s="57" t="s">
        <v>3741</v>
      </c>
      <c r="AD91" s="57" t="s">
        <v>3476</v>
      </c>
      <c r="AE91" s="57" t="s">
        <v>3476</v>
      </c>
      <c r="AF91" s="57" t="s">
        <v>3923</v>
      </c>
      <c r="AG91" s="57" t="s">
        <v>3476</v>
      </c>
      <c r="AH91" s="57" t="s">
        <v>3476</v>
      </c>
      <c r="AI91" s="57" t="s">
        <v>3923</v>
      </c>
      <c r="AJ91" s="57" t="s">
        <v>3476</v>
      </c>
      <c r="AK91" s="57" t="s">
        <v>1292</v>
      </c>
      <c r="AL91" s="57" t="s">
        <v>4085</v>
      </c>
      <c r="AM91" s="57" t="s">
        <v>3476</v>
      </c>
      <c r="AN91" s="57" t="s">
        <v>4062</v>
      </c>
      <c r="AO91" s="57" t="s">
        <v>3476</v>
      </c>
      <c r="AP91" s="58">
        <v>45729.740775463</v>
      </c>
      <c r="AQ91" s="57" t="s">
        <v>3476</v>
      </c>
      <c r="AR91" s="57" t="s">
        <v>3507</v>
      </c>
      <c r="AS91" s="57" t="s">
        <v>3476</v>
      </c>
      <c r="AT91" s="57" t="s">
        <v>3948</v>
      </c>
      <c r="AU91" s="57" t="s">
        <v>4086</v>
      </c>
      <c r="AV91" s="57" t="s">
        <v>4082</v>
      </c>
      <c r="AW91" s="58">
        <v>45702.7099884259</v>
      </c>
      <c r="AX91" s="57" t="s">
        <v>4085</v>
      </c>
      <c r="AY91" s="57" t="s">
        <v>3747</v>
      </c>
      <c r="AZ91" s="57" t="s">
        <v>3476</v>
      </c>
      <c r="BA91" s="57" t="s">
        <v>3476</v>
      </c>
      <c r="BB91" s="57" t="s">
        <v>3476</v>
      </c>
      <c r="BC91" s="57" t="s">
        <v>3476</v>
      </c>
      <c r="BD91" s="57" t="s">
        <v>4087</v>
      </c>
      <c r="BE91" s="57" t="s">
        <v>3476</v>
      </c>
      <c r="BF91" s="57" t="s">
        <v>3749</v>
      </c>
      <c r="BG91" s="57" t="s">
        <v>3476</v>
      </c>
      <c r="BH91" s="57" t="s">
        <v>3476</v>
      </c>
      <c r="BI91" s="57" t="s">
        <v>3929</v>
      </c>
      <c r="BJ91" s="57" t="s">
        <v>3476</v>
      </c>
      <c r="BK91" s="57" t="s">
        <v>3476</v>
      </c>
      <c r="BL91" s="57" t="s">
        <v>3476</v>
      </c>
      <c r="BM91" s="57" t="s">
        <v>3476</v>
      </c>
      <c r="BN91" s="57">
        <v>16868</v>
      </c>
      <c r="BO91" s="57" t="s">
        <v>3476</v>
      </c>
      <c r="BP91" s="57" t="s">
        <v>3930</v>
      </c>
      <c r="BQ91" s="57" t="s">
        <v>3476</v>
      </c>
      <c r="BR91" s="57" t="s">
        <v>3476</v>
      </c>
      <c r="BS91" s="57" t="s">
        <v>3476</v>
      </c>
      <c r="BT91" s="57" t="s">
        <v>1292</v>
      </c>
      <c r="BU91" s="57" t="s">
        <v>3476</v>
      </c>
      <c r="BV91" s="57" t="s">
        <v>3753</v>
      </c>
      <c r="BW91" s="57" t="s">
        <v>3476</v>
      </c>
      <c r="BX91" s="57">
        <v>16868</v>
      </c>
      <c r="BY91" s="57" t="s">
        <v>3476</v>
      </c>
      <c r="BZ91" s="57" t="s">
        <v>721</v>
      </c>
      <c r="CA91" s="57" t="s">
        <v>3476</v>
      </c>
      <c r="CB91" s="57" t="s">
        <v>3476</v>
      </c>
      <c r="CC91" s="57" t="s">
        <v>3476</v>
      </c>
      <c r="CD91" s="57" t="s">
        <v>4057</v>
      </c>
    </row>
    <row r="92" spans="1:82">
      <c r="A92" s="57">
        <v>15832</v>
      </c>
      <c r="B92" s="57" t="s">
        <v>3476</v>
      </c>
      <c r="C92" s="57" t="s">
        <v>4088</v>
      </c>
      <c r="D92" s="57" t="s">
        <v>3476</v>
      </c>
      <c r="E92" s="57" t="s">
        <v>3730</v>
      </c>
      <c r="F92" s="57" t="s">
        <v>4089</v>
      </c>
      <c r="G92" s="57" t="s">
        <v>721</v>
      </c>
      <c r="H92" s="57" t="s">
        <v>3256</v>
      </c>
      <c r="I92" s="57">
        <v>630.54</v>
      </c>
      <c r="J92" s="57" t="s">
        <v>3476</v>
      </c>
      <c r="K92" s="57" t="s">
        <v>3476</v>
      </c>
      <c r="L92" s="57" t="s">
        <v>3732</v>
      </c>
      <c r="M92" s="57" t="s">
        <v>4090</v>
      </c>
      <c r="N92" s="57" t="s">
        <v>4090</v>
      </c>
      <c r="O92" s="57" t="s">
        <v>3476</v>
      </c>
      <c r="P92" s="57" t="s">
        <v>3476</v>
      </c>
      <c r="Q92" s="57" t="s">
        <v>3256</v>
      </c>
      <c r="R92" s="57" t="s">
        <v>3906</v>
      </c>
      <c r="S92" s="57" t="s">
        <v>3907</v>
      </c>
      <c r="T92" s="57" t="s">
        <v>3736</v>
      </c>
      <c r="U92" s="57" t="s">
        <v>3476</v>
      </c>
      <c r="V92" s="57" t="s">
        <v>3469</v>
      </c>
      <c r="W92" s="57" t="s">
        <v>3476</v>
      </c>
      <c r="X92" s="57" t="s">
        <v>4021</v>
      </c>
      <c r="Y92" s="57" t="s">
        <v>3738</v>
      </c>
      <c r="Z92" s="57" t="s">
        <v>4070</v>
      </c>
      <c r="AA92" s="57" t="s">
        <v>4091</v>
      </c>
      <c r="AB92" s="57" t="s">
        <v>3476</v>
      </c>
      <c r="AC92" s="57" t="s">
        <v>3741</v>
      </c>
      <c r="AD92" s="57" t="s">
        <v>3476</v>
      </c>
      <c r="AE92" s="57" t="s">
        <v>3476</v>
      </c>
      <c r="AF92" s="57" t="s">
        <v>3476</v>
      </c>
      <c r="AG92" s="57" t="s">
        <v>3476</v>
      </c>
      <c r="AH92" s="57" t="s">
        <v>3476</v>
      </c>
      <c r="AI92" s="57" t="s">
        <v>3476</v>
      </c>
      <c r="AJ92" s="57" t="s">
        <v>3476</v>
      </c>
      <c r="AK92" s="57" t="s">
        <v>1292</v>
      </c>
      <c r="AL92" s="57" t="s">
        <v>4092</v>
      </c>
      <c r="AM92" s="57" t="s">
        <v>3476</v>
      </c>
      <c r="AN92" s="57" t="s">
        <v>3785</v>
      </c>
      <c r="AO92" s="57" t="s">
        <v>3476</v>
      </c>
      <c r="AP92" s="58">
        <v>45765.8096875</v>
      </c>
      <c r="AQ92" s="57" t="s">
        <v>3476</v>
      </c>
      <c r="AR92" s="57" t="s">
        <v>3806</v>
      </c>
      <c r="AS92" s="57" t="s">
        <v>3502</v>
      </c>
      <c r="AT92" s="57" t="s">
        <v>3745</v>
      </c>
      <c r="AU92" s="57" t="s">
        <v>4093</v>
      </c>
      <c r="AV92" s="57" t="s">
        <v>3476</v>
      </c>
      <c r="AW92" s="58">
        <v>45702.4472106481</v>
      </c>
      <c r="AX92" s="57" t="s">
        <v>4092</v>
      </c>
      <c r="AY92" s="57" t="s">
        <v>3747</v>
      </c>
      <c r="AZ92" s="57" t="s">
        <v>3476</v>
      </c>
      <c r="BA92" s="57" t="s">
        <v>3476</v>
      </c>
      <c r="BB92" s="57" t="s">
        <v>3476</v>
      </c>
      <c r="BC92" s="57" t="s">
        <v>3913</v>
      </c>
      <c r="BD92" s="57" t="s">
        <v>3659</v>
      </c>
      <c r="BE92" s="57" t="s">
        <v>3914</v>
      </c>
      <c r="BF92" s="57" t="s">
        <v>3749</v>
      </c>
      <c r="BG92" s="57" t="s">
        <v>3476</v>
      </c>
      <c r="BH92" s="57" t="s">
        <v>3476</v>
      </c>
      <c r="BI92" s="57" t="s">
        <v>2809</v>
      </c>
      <c r="BJ92" s="57" t="s">
        <v>3476</v>
      </c>
      <c r="BK92" s="57" t="s">
        <v>3476</v>
      </c>
      <c r="BL92" s="57">
        <v>3462395</v>
      </c>
      <c r="BM92" s="57" t="s">
        <v>4094</v>
      </c>
      <c r="BN92" s="57" t="s">
        <v>3476</v>
      </c>
      <c r="BO92" s="57">
        <v>125.43</v>
      </c>
      <c r="BP92" s="57" t="s">
        <v>3810</v>
      </c>
      <c r="BQ92" s="57" t="s">
        <v>3476</v>
      </c>
      <c r="BR92" s="57" t="s">
        <v>4095</v>
      </c>
      <c r="BS92" s="57" t="s">
        <v>1292</v>
      </c>
      <c r="BT92" s="57" t="s">
        <v>3476</v>
      </c>
      <c r="BU92" s="57" t="s">
        <v>3476</v>
      </c>
      <c r="BV92" s="57" t="s">
        <v>3753</v>
      </c>
      <c r="BW92" s="57" t="s">
        <v>3476</v>
      </c>
      <c r="BX92" s="57">
        <v>125.43</v>
      </c>
      <c r="BY92" s="57" t="s">
        <v>3476</v>
      </c>
      <c r="BZ92" s="57" t="s">
        <v>3476</v>
      </c>
      <c r="CA92" s="57" t="s">
        <v>3476</v>
      </c>
      <c r="CB92" s="57" t="s">
        <v>3476</v>
      </c>
      <c r="CC92" s="57" t="s">
        <v>3476</v>
      </c>
      <c r="CD92" s="57" t="s">
        <v>3476</v>
      </c>
    </row>
    <row r="93" spans="1:82">
      <c r="A93" s="57">
        <v>15833</v>
      </c>
      <c r="B93" s="57" t="s">
        <v>3476</v>
      </c>
      <c r="C93" s="57" t="s">
        <v>4088</v>
      </c>
      <c r="D93" s="57" t="s">
        <v>3476</v>
      </c>
      <c r="E93" s="57" t="s">
        <v>3730</v>
      </c>
      <c r="F93" s="57" t="s">
        <v>4089</v>
      </c>
      <c r="G93" s="57" t="s">
        <v>721</v>
      </c>
      <c r="H93" s="57" t="s">
        <v>3256</v>
      </c>
      <c r="I93" s="57">
        <v>630.54</v>
      </c>
      <c r="J93" s="57" t="s">
        <v>3476</v>
      </c>
      <c r="K93" s="57" t="s">
        <v>3476</v>
      </c>
      <c r="L93" s="57" t="s">
        <v>3732</v>
      </c>
      <c r="M93" s="57" t="s">
        <v>4090</v>
      </c>
      <c r="N93" s="57" t="s">
        <v>4090</v>
      </c>
      <c r="O93" s="57" t="s">
        <v>3476</v>
      </c>
      <c r="P93" s="57" t="s">
        <v>3476</v>
      </c>
      <c r="Q93" s="57" t="s">
        <v>3256</v>
      </c>
      <c r="R93" s="57" t="s">
        <v>3906</v>
      </c>
      <c r="S93" s="57" t="s">
        <v>3907</v>
      </c>
      <c r="T93" s="57" t="s">
        <v>3736</v>
      </c>
      <c r="U93" s="57" t="s">
        <v>3476</v>
      </c>
      <c r="V93" s="57" t="s">
        <v>3469</v>
      </c>
      <c r="W93" s="57" t="s">
        <v>3476</v>
      </c>
      <c r="X93" s="57" t="s">
        <v>4021</v>
      </c>
      <c r="Y93" s="57" t="s">
        <v>3738</v>
      </c>
      <c r="Z93" s="57" t="s">
        <v>4070</v>
      </c>
      <c r="AA93" s="57" t="s">
        <v>4091</v>
      </c>
      <c r="AB93" s="57" t="s">
        <v>3476</v>
      </c>
      <c r="AC93" s="57" t="s">
        <v>3741</v>
      </c>
      <c r="AD93" s="57" t="s">
        <v>3476</v>
      </c>
      <c r="AE93" s="57" t="s">
        <v>3476</v>
      </c>
      <c r="AF93" s="57" t="s">
        <v>3476</v>
      </c>
      <c r="AG93" s="57" t="s">
        <v>3476</v>
      </c>
      <c r="AH93" s="57" t="s">
        <v>3476</v>
      </c>
      <c r="AI93" s="57" t="s">
        <v>3476</v>
      </c>
      <c r="AJ93" s="57" t="s">
        <v>3476</v>
      </c>
      <c r="AK93" s="57" t="s">
        <v>1292</v>
      </c>
      <c r="AL93" s="57" t="s">
        <v>4092</v>
      </c>
      <c r="AM93" s="57" t="s">
        <v>3476</v>
      </c>
      <c r="AN93" s="57" t="s">
        <v>3785</v>
      </c>
      <c r="AO93" s="57" t="s">
        <v>3476</v>
      </c>
      <c r="AP93" s="58">
        <v>45765.8096875</v>
      </c>
      <c r="AQ93" s="57" t="s">
        <v>3476</v>
      </c>
      <c r="AR93" s="57" t="s">
        <v>3806</v>
      </c>
      <c r="AS93" s="57" t="s">
        <v>3502</v>
      </c>
      <c r="AT93" s="57" t="s">
        <v>3745</v>
      </c>
      <c r="AU93" s="57" t="s">
        <v>4093</v>
      </c>
      <c r="AV93" s="57" t="s">
        <v>3476</v>
      </c>
      <c r="AW93" s="58">
        <v>45702.4472106481</v>
      </c>
      <c r="AX93" s="57" t="s">
        <v>4092</v>
      </c>
      <c r="AY93" s="57" t="s">
        <v>3747</v>
      </c>
      <c r="AZ93" s="57" t="s">
        <v>3476</v>
      </c>
      <c r="BA93" s="57" t="s">
        <v>3476</v>
      </c>
      <c r="BB93" s="57" t="s">
        <v>3476</v>
      </c>
      <c r="BC93" s="57" t="s">
        <v>3913</v>
      </c>
      <c r="BD93" s="57" t="s">
        <v>3659</v>
      </c>
      <c r="BE93" s="57" t="s">
        <v>3914</v>
      </c>
      <c r="BF93" s="57" t="s">
        <v>3749</v>
      </c>
      <c r="BG93" s="57" t="s">
        <v>3476</v>
      </c>
      <c r="BH93" s="57" t="s">
        <v>3476</v>
      </c>
      <c r="BI93" s="57" t="s">
        <v>2809</v>
      </c>
      <c r="BJ93" s="57" t="s">
        <v>3476</v>
      </c>
      <c r="BK93" s="57" t="s">
        <v>3476</v>
      </c>
      <c r="BL93" s="57">
        <v>3462394</v>
      </c>
      <c r="BM93" s="57" t="s">
        <v>4094</v>
      </c>
      <c r="BN93" s="57" t="s">
        <v>3476</v>
      </c>
      <c r="BO93" s="57">
        <v>51.98</v>
      </c>
      <c r="BP93" s="57" t="s">
        <v>3810</v>
      </c>
      <c r="BQ93" s="57" t="s">
        <v>3476</v>
      </c>
      <c r="BR93" s="57" t="s">
        <v>4095</v>
      </c>
      <c r="BS93" s="57" t="s">
        <v>1292</v>
      </c>
      <c r="BT93" s="57" t="s">
        <v>3476</v>
      </c>
      <c r="BU93" s="57" t="s">
        <v>3476</v>
      </c>
      <c r="BV93" s="57" t="s">
        <v>3753</v>
      </c>
      <c r="BW93" s="57" t="s">
        <v>3476</v>
      </c>
      <c r="BX93" s="57">
        <v>51.98</v>
      </c>
      <c r="BY93" s="57" t="s">
        <v>3476</v>
      </c>
      <c r="BZ93" s="57" t="s">
        <v>3476</v>
      </c>
      <c r="CA93" s="57" t="s">
        <v>3476</v>
      </c>
      <c r="CB93" s="57" t="s">
        <v>3476</v>
      </c>
      <c r="CC93" s="57" t="s">
        <v>3476</v>
      </c>
      <c r="CD93" s="57" t="s">
        <v>3476</v>
      </c>
    </row>
    <row r="94" spans="1:82">
      <c r="A94" s="57">
        <v>15834</v>
      </c>
      <c r="B94" s="57" t="s">
        <v>3476</v>
      </c>
      <c r="C94" s="57" t="s">
        <v>4088</v>
      </c>
      <c r="D94" s="57" t="s">
        <v>3476</v>
      </c>
      <c r="E94" s="57" t="s">
        <v>3730</v>
      </c>
      <c r="F94" s="57" t="s">
        <v>4089</v>
      </c>
      <c r="G94" s="57" t="s">
        <v>721</v>
      </c>
      <c r="H94" s="57" t="s">
        <v>3256</v>
      </c>
      <c r="I94" s="57">
        <v>630.54</v>
      </c>
      <c r="J94" s="57" t="s">
        <v>3476</v>
      </c>
      <c r="K94" s="57" t="s">
        <v>3476</v>
      </c>
      <c r="L94" s="57" t="s">
        <v>3732</v>
      </c>
      <c r="M94" s="57" t="s">
        <v>4090</v>
      </c>
      <c r="N94" s="57" t="s">
        <v>4090</v>
      </c>
      <c r="O94" s="57" t="s">
        <v>3476</v>
      </c>
      <c r="P94" s="57" t="s">
        <v>3476</v>
      </c>
      <c r="Q94" s="57" t="s">
        <v>3256</v>
      </c>
      <c r="R94" s="57" t="s">
        <v>3906</v>
      </c>
      <c r="S94" s="57" t="s">
        <v>3907</v>
      </c>
      <c r="T94" s="57" t="s">
        <v>3736</v>
      </c>
      <c r="U94" s="57" t="s">
        <v>3476</v>
      </c>
      <c r="V94" s="57" t="s">
        <v>3469</v>
      </c>
      <c r="W94" s="57" t="s">
        <v>3476</v>
      </c>
      <c r="X94" s="57" t="s">
        <v>4021</v>
      </c>
      <c r="Y94" s="57" t="s">
        <v>3738</v>
      </c>
      <c r="Z94" s="57" t="s">
        <v>4070</v>
      </c>
      <c r="AA94" s="57" t="s">
        <v>4091</v>
      </c>
      <c r="AB94" s="57" t="s">
        <v>3476</v>
      </c>
      <c r="AC94" s="57" t="s">
        <v>3741</v>
      </c>
      <c r="AD94" s="57" t="s">
        <v>3476</v>
      </c>
      <c r="AE94" s="57" t="s">
        <v>3476</v>
      </c>
      <c r="AF94" s="57" t="s">
        <v>3476</v>
      </c>
      <c r="AG94" s="57" t="s">
        <v>3476</v>
      </c>
      <c r="AH94" s="57" t="s">
        <v>3476</v>
      </c>
      <c r="AI94" s="57" t="s">
        <v>3476</v>
      </c>
      <c r="AJ94" s="57" t="s">
        <v>3476</v>
      </c>
      <c r="AK94" s="57" t="s">
        <v>1292</v>
      </c>
      <c r="AL94" s="57" t="s">
        <v>4092</v>
      </c>
      <c r="AM94" s="57" t="s">
        <v>3476</v>
      </c>
      <c r="AN94" s="57" t="s">
        <v>3785</v>
      </c>
      <c r="AO94" s="57" t="s">
        <v>3476</v>
      </c>
      <c r="AP94" s="58">
        <v>45765.8096875</v>
      </c>
      <c r="AQ94" s="57" t="s">
        <v>3476</v>
      </c>
      <c r="AR94" s="57" t="s">
        <v>3806</v>
      </c>
      <c r="AS94" s="57" t="s">
        <v>3502</v>
      </c>
      <c r="AT94" s="57" t="s">
        <v>3745</v>
      </c>
      <c r="AU94" s="57" t="s">
        <v>4093</v>
      </c>
      <c r="AV94" s="57" t="s">
        <v>3476</v>
      </c>
      <c r="AW94" s="58">
        <v>45702.4472106481</v>
      </c>
      <c r="AX94" s="57" t="s">
        <v>4092</v>
      </c>
      <c r="AY94" s="57" t="s">
        <v>3747</v>
      </c>
      <c r="AZ94" s="57" t="s">
        <v>3476</v>
      </c>
      <c r="BA94" s="57" t="s">
        <v>3476</v>
      </c>
      <c r="BB94" s="57" t="s">
        <v>3476</v>
      </c>
      <c r="BC94" s="57" t="s">
        <v>3913</v>
      </c>
      <c r="BD94" s="57" t="s">
        <v>3659</v>
      </c>
      <c r="BE94" s="57" t="s">
        <v>3914</v>
      </c>
      <c r="BF94" s="57" t="s">
        <v>3749</v>
      </c>
      <c r="BG94" s="57" t="s">
        <v>3476</v>
      </c>
      <c r="BH94" s="57" t="s">
        <v>3476</v>
      </c>
      <c r="BI94" s="57" t="s">
        <v>2809</v>
      </c>
      <c r="BJ94" s="57" t="s">
        <v>3476</v>
      </c>
      <c r="BK94" s="57" t="s">
        <v>3476</v>
      </c>
      <c r="BL94" s="57">
        <v>3462397</v>
      </c>
      <c r="BM94" s="57" t="s">
        <v>4094</v>
      </c>
      <c r="BN94" s="57" t="s">
        <v>3476</v>
      </c>
      <c r="BO94" s="57">
        <v>79.1</v>
      </c>
      <c r="BP94" s="57" t="s">
        <v>3810</v>
      </c>
      <c r="BQ94" s="57" t="s">
        <v>3476</v>
      </c>
      <c r="BR94" s="57" t="s">
        <v>4095</v>
      </c>
      <c r="BS94" s="57" t="s">
        <v>1292</v>
      </c>
      <c r="BT94" s="57" t="s">
        <v>3476</v>
      </c>
      <c r="BU94" s="57" t="s">
        <v>3476</v>
      </c>
      <c r="BV94" s="57" t="s">
        <v>3753</v>
      </c>
      <c r="BW94" s="57" t="s">
        <v>3476</v>
      </c>
      <c r="BX94" s="57">
        <v>79.1</v>
      </c>
      <c r="BY94" s="57" t="s">
        <v>3476</v>
      </c>
      <c r="BZ94" s="57" t="s">
        <v>3476</v>
      </c>
      <c r="CA94" s="57" t="s">
        <v>3476</v>
      </c>
      <c r="CB94" s="57" t="s">
        <v>3476</v>
      </c>
      <c r="CC94" s="57" t="s">
        <v>3476</v>
      </c>
      <c r="CD94" s="57" t="s">
        <v>3476</v>
      </c>
    </row>
    <row r="95" spans="1:82">
      <c r="A95" s="57">
        <v>15835</v>
      </c>
      <c r="B95" s="57" t="s">
        <v>3476</v>
      </c>
      <c r="C95" s="57" t="s">
        <v>4088</v>
      </c>
      <c r="D95" s="57" t="s">
        <v>3476</v>
      </c>
      <c r="E95" s="57" t="s">
        <v>3730</v>
      </c>
      <c r="F95" s="57" t="s">
        <v>4089</v>
      </c>
      <c r="G95" s="57" t="s">
        <v>721</v>
      </c>
      <c r="H95" s="57" t="s">
        <v>3256</v>
      </c>
      <c r="I95" s="57">
        <v>630.54</v>
      </c>
      <c r="J95" s="57" t="s">
        <v>3476</v>
      </c>
      <c r="K95" s="57" t="s">
        <v>3476</v>
      </c>
      <c r="L95" s="57" t="s">
        <v>3732</v>
      </c>
      <c r="M95" s="57" t="s">
        <v>4090</v>
      </c>
      <c r="N95" s="57" t="s">
        <v>4090</v>
      </c>
      <c r="O95" s="57" t="s">
        <v>3476</v>
      </c>
      <c r="P95" s="57" t="s">
        <v>3476</v>
      </c>
      <c r="Q95" s="57" t="s">
        <v>3256</v>
      </c>
      <c r="R95" s="57" t="s">
        <v>3906</v>
      </c>
      <c r="S95" s="57" t="s">
        <v>3907</v>
      </c>
      <c r="T95" s="57" t="s">
        <v>3736</v>
      </c>
      <c r="U95" s="57" t="s">
        <v>3476</v>
      </c>
      <c r="V95" s="57" t="s">
        <v>3469</v>
      </c>
      <c r="W95" s="57" t="s">
        <v>3476</v>
      </c>
      <c r="X95" s="57" t="s">
        <v>4021</v>
      </c>
      <c r="Y95" s="57" t="s">
        <v>3738</v>
      </c>
      <c r="Z95" s="57" t="s">
        <v>4070</v>
      </c>
      <c r="AA95" s="57" t="s">
        <v>4091</v>
      </c>
      <c r="AB95" s="57" t="s">
        <v>3476</v>
      </c>
      <c r="AC95" s="57" t="s">
        <v>3741</v>
      </c>
      <c r="AD95" s="57" t="s">
        <v>3476</v>
      </c>
      <c r="AE95" s="57" t="s">
        <v>3476</v>
      </c>
      <c r="AF95" s="57" t="s">
        <v>3476</v>
      </c>
      <c r="AG95" s="57" t="s">
        <v>3476</v>
      </c>
      <c r="AH95" s="57" t="s">
        <v>3476</v>
      </c>
      <c r="AI95" s="57" t="s">
        <v>3476</v>
      </c>
      <c r="AJ95" s="57" t="s">
        <v>3476</v>
      </c>
      <c r="AK95" s="57" t="s">
        <v>1292</v>
      </c>
      <c r="AL95" s="57" t="s">
        <v>4092</v>
      </c>
      <c r="AM95" s="57" t="s">
        <v>3476</v>
      </c>
      <c r="AN95" s="57" t="s">
        <v>3785</v>
      </c>
      <c r="AO95" s="57" t="s">
        <v>3476</v>
      </c>
      <c r="AP95" s="58">
        <v>45765.8096875</v>
      </c>
      <c r="AQ95" s="57" t="s">
        <v>3476</v>
      </c>
      <c r="AR95" s="57" t="s">
        <v>3806</v>
      </c>
      <c r="AS95" s="57" t="s">
        <v>3502</v>
      </c>
      <c r="AT95" s="57" t="s">
        <v>3745</v>
      </c>
      <c r="AU95" s="57" t="s">
        <v>4093</v>
      </c>
      <c r="AV95" s="57" t="s">
        <v>3476</v>
      </c>
      <c r="AW95" s="58">
        <v>45702.4472106481</v>
      </c>
      <c r="AX95" s="57" t="s">
        <v>4092</v>
      </c>
      <c r="AY95" s="57" t="s">
        <v>3747</v>
      </c>
      <c r="AZ95" s="57" t="s">
        <v>3476</v>
      </c>
      <c r="BA95" s="57" t="s">
        <v>3476</v>
      </c>
      <c r="BB95" s="57" t="s">
        <v>3476</v>
      </c>
      <c r="BC95" s="57" t="s">
        <v>3913</v>
      </c>
      <c r="BD95" s="57" t="s">
        <v>3659</v>
      </c>
      <c r="BE95" s="57" t="s">
        <v>3914</v>
      </c>
      <c r="BF95" s="57" t="s">
        <v>3749</v>
      </c>
      <c r="BG95" s="57" t="s">
        <v>3476</v>
      </c>
      <c r="BH95" s="57" t="s">
        <v>3476</v>
      </c>
      <c r="BI95" s="57" t="s">
        <v>2809</v>
      </c>
      <c r="BJ95" s="57" t="s">
        <v>3476</v>
      </c>
      <c r="BK95" s="57" t="s">
        <v>3476</v>
      </c>
      <c r="BL95" s="57">
        <v>3462396</v>
      </c>
      <c r="BM95" s="57" t="s">
        <v>4094</v>
      </c>
      <c r="BN95" s="57" t="s">
        <v>3476</v>
      </c>
      <c r="BO95" s="57">
        <v>84.75</v>
      </c>
      <c r="BP95" s="57" t="s">
        <v>3810</v>
      </c>
      <c r="BQ95" s="57" t="s">
        <v>3476</v>
      </c>
      <c r="BR95" s="57" t="s">
        <v>4095</v>
      </c>
      <c r="BS95" s="57" t="s">
        <v>1292</v>
      </c>
      <c r="BT95" s="57" t="s">
        <v>3476</v>
      </c>
      <c r="BU95" s="57" t="s">
        <v>3476</v>
      </c>
      <c r="BV95" s="57" t="s">
        <v>3753</v>
      </c>
      <c r="BW95" s="57" t="s">
        <v>3476</v>
      </c>
      <c r="BX95" s="57">
        <v>84.75</v>
      </c>
      <c r="BY95" s="57" t="s">
        <v>3476</v>
      </c>
      <c r="BZ95" s="57" t="s">
        <v>3476</v>
      </c>
      <c r="CA95" s="57" t="s">
        <v>3476</v>
      </c>
      <c r="CB95" s="57" t="s">
        <v>3476</v>
      </c>
      <c r="CC95" s="57" t="s">
        <v>3476</v>
      </c>
      <c r="CD95" s="57" t="s">
        <v>3476</v>
      </c>
    </row>
    <row r="96" spans="1:82">
      <c r="A96" s="57">
        <v>15836</v>
      </c>
      <c r="B96" s="57" t="s">
        <v>3476</v>
      </c>
      <c r="C96" s="57" t="s">
        <v>4088</v>
      </c>
      <c r="D96" s="57" t="s">
        <v>3476</v>
      </c>
      <c r="E96" s="57" t="s">
        <v>3730</v>
      </c>
      <c r="F96" s="57" t="s">
        <v>4089</v>
      </c>
      <c r="G96" s="57" t="s">
        <v>721</v>
      </c>
      <c r="H96" s="57" t="s">
        <v>3256</v>
      </c>
      <c r="I96" s="57">
        <v>630.54</v>
      </c>
      <c r="J96" s="57" t="s">
        <v>3476</v>
      </c>
      <c r="K96" s="57" t="s">
        <v>3476</v>
      </c>
      <c r="L96" s="57" t="s">
        <v>3732</v>
      </c>
      <c r="M96" s="57" t="s">
        <v>4090</v>
      </c>
      <c r="N96" s="57" t="s">
        <v>4090</v>
      </c>
      <c r="O96" s="57" t="s">
        <v>3476</v>
      </c>
      <c r="P96" s="57" t="s">
        <v>3476</v>
      </c>
      <c r="Q96" s="57" t="s">
        <v>3256</v>
      </c>
      <c r="R96" s="57" t="s">
        <v>3906</v>
      </c>
      <c r="S96" s="57" t="s">
        <v>3907</v>
      </c>
      <c r="T96" s="57" t="s">
        <v>3736</v>
      </c>
      <c r="U96" s="57" t="s">
        <v>3476</v>
      </c>
      <c r="V96" s="57" t="s">
        <v>3469</v>
      </c>
      <c r="W96" s="57" t="s">
        <v>3476</v>
      </c>
      <c r="X96" s="57" t="s">
        <v>4021</v>
      </c>
      <c r="Y96" s="57" t="s">
        <v>3738</v>
      </c>
      <c r="Z96" s="57" t="s">
        <v>4070</v>
      </c>
      <c r="AA96" s="57" t="s">
        <v>4091</v>
      </c>
      <c r="AB96" s="57" t="s">
        <v>3476</v>
      </c>
      <c r="AC96" s="57" t="s">
        <v>3741</v>
      </c>
      <c r="AD96" s="57" t="s">
        <v>3476</v>
      </c>
      <c r="AE96" s="57" t="s">
        <v>3476</v>
      </c>
      <c r="AF96" s="57" t="s">
        <v>3476</v>
      </c>
      <c r="AG96" s="57" t="s">
        <v>3476</v>
      </c>
      <c r="AH96" s="57" t="s">
        <v>3476</v>
      </c>
      <c r="AI96" s="57" t="s">
        <v>3476</v>
      </c>
      <c r="AJ96" s="57" t="s">
        <v>3476</v>
      </c>
      <c r="AK96" s="57" t="s">
        <v>1292</v>
      </c>
      <c r="AL96" s="57" t="s">
        <v>4092</v>
      </c>
      <c r="AM96" s="57" t="s">
        <v>3476</v>
      </c>
      <c r="AN96" s="57" t="s">
        <v>3785</v>
      </c>
      <c r="AO96" s="57" t="s">
        <v>3476</v>
      </c>
      <c r="AP96" s="58">
        <v>45765.8096875</v>
      </c>
      <c r="AQ96" s="57" t="s">
        <v>3476</v>
      </c>
      <c r="AR96" s="57" t="s">
        <v>3806</v>
      </c>
      <c r="AS96" s="57" t="s">
        <v>3502</v>
      </c>
      <c r="AT96" s="57" t="s">
        <v>3745</v>
      </c>
      <c r="AU96" s="57" t="s">
        <v>4093</v>
      </c>
      <c r="AV96" s="57" t="s">
        <v>3476</v>
      </c>
      <c r="AW96" s="58">
        <v>45702.4472106481</v>
      </c>
      <c r="AX96" s="57" t="s">
        <v>4092</v>
      </c>
      <c r="AY96" s="57" t="s">
        <v>3747</v>
      </c>
      <c r="AZ96" s="57" t="s">
        <v>3476</v>
      </c>
      <c r="BA96" s="57" t="s">
        <v>3476</v>
      </c>
      <c r="BB96" s="57" t="s">
        <v>3476</v>
      </c>
      <c r="BC96" s="57" t="s">
        <v>3913</v>
      </c>
      <c r="BD96" s="57" t="s">
        <v>3659</v>
      </c>
      <c r="BE96" s="57" t="s">
        <v>3914</v>
      </c>
      <c r="BF96" s="57" t="s">
        <v>3749</v>
      </c>
      <c r="BG96" s="57" t="s">
        <v>3476</v>
      </c>
      <c r="BH96" s="57" t="s">
        <v>3476</v>
      </c>
      <c r="BI96" s="57" t="s">
        <v>2809</v>
      </c>
      <c r="BJ96" s="57" t="s">
        <v>3476</v>
      </c>
      <c r="BK96" s="57" t="s">
        <v>3476</v>
      </c>
      <c r="BL96" s="57">
        <v>3462399</v>
      </c>
      <c r="BM96" s="57" t="s">
        <v>4094</v>
      </c>
      <c r="BN96" s="57" t="s">
        <v>3476</v>
      </c>
      <c r="BO96" s="57">
        <v>84.75</v>
      </c>
      <c r="BP96" s="57" t="s">
        <v>3810</v>
      </c>
      <c r="BQ96" s="57" t="s">
        <v>3476</v>
      </c>
      <c r="BR96" s="57" t="s">
        <v>4095</v>
      </c>
      <c r="BS96" s="57" t="s">
        <v>1292</v>
      </c>
      <c r="BT96" s="57" t="s">
        <v>3476</v>
      </c>
      <c r="BU96" s="57" t="s">
        <v>3476</v>
      </c>
      <c r="BV96" s="57" t="s">
        <v>3753</v>
      </c>
      <c r="BW96" s="57" t="s">
        <v>3476</v>
      </c>
      <c r="BX96" s="57">
        <v>84.75</v>
      </c>
      <c r="BY96" s="57" t="s">
        <v>3476</v>
      </c>
      <c r="BZ96" s="57" t="s">
        <v>3476</v>
      </c>
      <c r="CA96" s="57" t="s">
        <v>3476</v>
      </c>
      <c r="CB96" s="57" t="s">
        <v>3476</v>
      </c>
      <c r="CC96" s="57" t="s">
        <v>3476</v>
      </c>
      <c r="CD96" s="57" t="s">
        <v>3476</v>
      </c>
    </row>
    <row r="97" spans="1:82">
      <c r="A97" s="57">
        <v>15837</v>
      </c>
      <c r="B97" s="57" t="s">
        <v>3476</v>
      </c>
      <c r="C97" s="57" t="s">
        <v>4088</v>
      </c>
      <c r="D97" s="57" t="s">
        <v>3476</v>
      </c>
      <c r="E97" s="57" t="s">
        <v>3730</v>
      </c>
      <c r="F97" s="57" t="s">
        <v>4089</v>
      </c>
      <c r="G97" s="57" t="s">
        <v>721</v>
      </c>
      <c r="H97" s="57" t="s">
        <v>3256</v>
      </c>
      <c r="I97" s="57">
        <v>630.54</v>
      </c>
      <c r="J97" s="57" t="s">
        <v>3476</v>
      </c>
      <c r="K97" s="57" t="s">
        <v>3476</v>
      </c>
      <c r="L97" s="57" t="s">
        <v>3732</v>
      </c>
      <c r="M97" s="57" t="s">
        <v>4090</v>
      </c>
      <c r="N97" s="57" t="s">
        <v>4090</v>
      </c>
      <c r="O97" s="57" t="s">
        <v>3476</v>
      </c>
      <c r="P97" s="57" t="s">
        <v>3476</v>
      </c>
      <c r="Q97" s="57" t="s">
        <v>3256</v>
      </c>
      <c r="R97" s="57" t="s">
        <v>3906</v>
      </c>
      <c r="S97" s="57" t="s">
        <v>3907</v>
      </c>
      <c r="T97" s="57" t="s">
        <v>3736</v>
      </c>
      <c r="U97" s="57" t="s">
        <v>3476</v>
      </c>
      <c r="V97" s="57" t="s">
        <v>3469</v>
      </c>
      <c r="W97" s="57" t="s">
        <v>3476</v>
      </c>
      <c r="X97" s="57" t="s">
        <v>4021</v>
      </c>
      <c r="Y97" s="57" t="s">
        <v>3738</v>
      </c>
      <c r="Z97" s="57" t="s">
        <v>4070</v>
      </c>
      <c r="AA97" s="57" t="s">
        <v>4091</v>
      </c>
      <c r="AB97" s="57" t="s">
        <v>3476</v>
      </c>
      <c r="AC97" s="57" t="s">
        <v>3741</v>
      </c>
      <c r="AD97" s="57" t="s">
        <v>3476</v>
      </c>
      <c r="AE97" s="57" t="s">
        <v>3476</v>
      </c>
      <c r="AF97" s="57" t="s">
        <v>3476</v>
      </c>
      <c r="AG97" s="57" t="s">
        <v>3476</v>
      </c>
      <c r="AH97" s="57" t="s">
        <v>3476</v>
      </c>
      <c r="AI97" s="57" t="s">
        <v>3476</v>
      </c>
      <c r="AJ97" s="57" t="s">
        <v>3476</v>
      </c>
      <c r="AK97" s="57" t="s">
        <v>1292</v>
      </c>
      <c r="AL97" s="57" t="s">
        <v>4092</v>
      </c>
      <c r="AM97" s="57" t="s">
        <v>3476</v>
      </c>
      <c r="AN97" s="57" t="s">
        <v>3785</v>
      </c>
      <c r="AO97" s="57" t="s">
        <v>3476</v>
      </c>
      <c r="AP97" s="58">
        <v>45765.8096875</v>
      </c>
      <c r="AQ97" s="57" t="s">
        <v>3476</v>
      </c>
      <c r="AR97" s="57" t="s">
        <v>3806</v>
      </c>
      <c r="AS97" s="57" t="s">
        <v>3502</v>
      </c>
      <c r="AT97" s="57" t="s">
        <v>3745</v>
      </c>
      <c r="AU97" s="57" t="s">
        <v>4093</v>
      </c>
      <c r="AV97" s="57" t="s">
        <v>3476</v>
      </c>
      <c r="AW97" s="58">
        <v>45702.4472106481</v>
      </c>
      <c r="AX97" s="57" t="s">
        <v>4092</v>
      </c>
      <c r="AY97" s="57" t="s">
        <v>3747</v>
      </c>
      <c r="AZ97" s="57" t="s">
        <v>3476</v>
      </c>
      <c r="BA97" s="57" t="s">
        <v>3476</v>
      </c>
      <c r="BB97" s="57" t="s">
        <v>3476</v>
      </c>
      <c r="BC97" s="57" t="s">
        <v>3913</v>
      </c>
      <c r="BD97" s="57" t="s">
        <v>3659</v>
      </c>
      <c r="BE97" s="57" t="s">
        <v>3914</v>
      </c>
      <c r="BF97" s="57" t="s">
        <v>3749</v>
      </c>
      <c r="BG97" s="57" t="s">
        <v>3476</v>
      </c>
      <c r="BH97" s="57" t="s">
        <v>3476</v>
      </c>
      <c r="BI97" s="57" t="s">
        <v>2809</v>
      </c>
      <c r="BJ97" s="57" t="s">
        <v>3476</v>
      </c>
      <c r="BK97" s="57" t="s">
        <v>3476</v>
      </c>
      <c r="BL97" s="57">
        <v>3462398</v>
      </c>
      <c r="BM97" s="57" t="s">
        <v>4094</v>
      </c>
      <c r="BN97" s="57" t="s">
        <v>3476</v>
      </c>
      <c r="BO97" s="57">
        <v>125.43</v>
      </c>
      <c r="BP97" s="57" t="s">
        <v>3810</v>
      </c>
      <c r="BQ97" s="57" t="s">
        <v>3476</v>
      </c>
      <c r="BR97" s="57" t="s">
        <v>4095</v>
      </c>
      <c r="BS97" s="57" t="s">
        <v>1292</v>
      </c>
      <c r="BT97" s="57" t="s">
        <v>3476</v>
      </c>
      <c r="BU97" s="57" t="s">
        <v>3476</v>
      </c>
      <c r="BV97" s="57" t="s">
        <v>3753</v>
      </c>
      <c r="BW97" s="57" t="s">
        <v>3476</v>
      </c>
      <c r="BX97" s="57">
        <v>125.43</v>
      </c>
      <c r="BY97" s="57" t="s">
        <v>3476</v>
      </c>
      <c r="BZ97" s="57" t="s">
        <v>3476</v>
      </c>
      <c r="CA97" s="57" t="s">
        <v>3476</v>
      </c>
      <c r="CB97" s="57" t="s">
        <v>3476</v>
      </c>
      <c r="CC97" s="57" t="s">
        <v>3476</v>
      </c>
      <c r="CD97" s="57" t="s">
        <v>3476</v>
      </c>
    </row>
    <row r="98" spans="1:82">
      <c r="A98" s="57">
        <v>15838</v>
      </c>
      <c r="B98" s="57" t="s">
        <v>3476</v>
      </c>
      <c r="C98" s="57" t="s">
        <v>4088</v>
      </c>
      <c r="D98" s="57" t="s">
        <v>3476</v>
      </c>
      <c r="E98" s="57" t="s">
        <v>3730</v>
      </c>
      <c r="F98" s="57" t="s">
        <v>4089</v>
      </c>
      <c r="G98" s="57" t="s">
        <v>721</v>
      </c>
      <c r="H98" s="57" t="s">
        <v>3256</v>
      </c>
      <c r="I98" s="57">
        <v>630.54</v>
      </c>
      <c r="J98" s="57" t="s">
        <v>3476</v>
      </c>
      <c r="K98" s="57" t="s">
        <v>3476</v>
      </c>
      <c r="L98" s="57" t="s">
        <v>3732</v>
      </c>
      <c r="M98" s="57" t="s">
        <v>4090</v>
      </c>
      <c r="N98" s="57" t="s">
        <v>4090</v>
      </c>
      <c r="O98" s="57" t="s">
        <v>3476</v>
      </c>
      <c r="P98" s="57" t="s">
        <v>3476</v>
      </c>
      <c r="Q98" s="57" t="s">
        <v>3256</v>
      </c>
      <c r="R98" s="57" t="s">
        <v>3906</v>
      </c>
      <c r="S98" s="57" t="s">
        <v>3907</v>
      </c>
      <c r="T98" s="57" t="s">
        <v>3736</v>
      </c>
      <c r="U98" s="57" t="s">
        <v>3476</v>
      </c>
      <c r="V98" s="57" t="s">
        <v>3469</v>
      </c>
      <c r="W98" s="57" t="s">
        <v>3476</v>
      </c>
      <c r="X98" s="57" t="s">
        <v>4021</v>
      </c>
      <c r="Y98" s="57" t="s">
        <v>3738</v>
      </c>
      <c r="Z98" s="57" t="s">
        <v>4070</v>
      </c>
      <c r="AA98" s="57" t="s">
        <v>4091</v>
      </c>
      <c r="AB98" s="57" t="s">
        <v>3476</v>
      </c>
      <c r="AC98" s="57" t="s">
        <v>3741</v>
      </c>
      <c r="AD98" s="57" t="s">
        <v>3476</v>
      </c>
      <c r="AE98" s="57" t="s">
        <v>3476</v>
      </c>
      <c r="AF98" s="57" t="s">
        <v>3476</v>
      </c>
      <c r="AG98" s="57" t="s">
        <v>3476</v>
      </c>
      <c r="AH98" s="57" t="s">
        <v>3476</v>
      </c>
      <c r="AI98" s="57" t="s">
        <v>3476</v>
      </c>
      <c r="AJ98" s="57" t="s">
        <v>3476</v>
      </c>
      <c r="AK98" s="57" t="s">
        <v>1292</v>
      </c>
      <c r="AL98" s="57" t="s">
        <v>4092</v>
      </c>
      <c r="AM98" s="57" t="s">
        <v>3476</v>
      </c>
      <c r="AN98" s="57" t="s">
        <v>3785</v>
      </c>
      <c r="AO98" s="57" t="s">
        <v>3476</v>
      </c>
      <c r="AP98" s="58">
        <v>45765.8096875</v>
      </c>
      <c r="AQ98" s="57" t="s">
        <v>3476</v>
      </c>
      <c r="AR98" s="57" t="s">
        <v>3806</v>
      </c>
      <c r="AS98" s="57" t="s">
        <v>3502</v>
      </c>
      <c r="AT98" s="57" t="s">
        <v>3745</v>
      </c>
      <c r="AU98" s="57" t="s">
        <v>4093</v>
      </c>
      <c r="AV98" s="57" t="s">
        <v>3476</v>
      </c>
      <c r="AW98" s="58">
        <v>45702.4472106481</v>
      </c>
      <c r="AX98" s="57" t="s">
        <v>4092</v>
      </c>
      <c r="AY98" s="57" t="s">
        <v>3747</v>
      </c>
      <c r="AZ98" s="57" t="s">
        <v>3476</v>
      </c>
      <c r="BA98" s="57" t="s">
        <v>3476</v>
      </c>
      <c r="BB98" s="57" t="s">
        <v>3476</v>
      </c>
      <c r="BC98" s="57" t="s">
        <v>3913</v>
      </c>
      <c r="BD98" s="57" t="s">
        <v>3659</v>
      </c>
      <c r="BE98" s="57" t="s">
        <v>3914</v>
      </c>
      <c r="BF98" s="57" t="s">
        <v>3749</v>
      </c>
      <c r="BG98" s="57" t="s">
        <v>3476</v>
      </c>
      <c r="BH98" s="57" t="s">
        <v>3476</v>
      </c>
      <c r="BI98" s="57" t="s">
        <v>2809</v>
      </c>
      <c r="BJ98" s="57" t="s">
        <v>3476</v>
      </c>
      <c r="BK98" s="57" t="s">
        <v>3476</v>
      </c>
      <c r="BL98" s="57">
        <v>3462400</v>
      </c>
      <c r="BM98" s="57" t="s">
        <v>4094</v>
      </c>
      <c r="BN98" s="57" t="s">
        <v>3476</v>
      </c>
      <c r="BO98" s="57">
        <v>79.1</v>
      </c>
      <c r="BP98" s="57" t="s">
        <v>3810</v>
      </c>
      <c r="BQ98" s="57" t="s">
        <v>3476</v>
      </c>
      <c r="BR98" s="57" t="s">
        <v>4095</v>
      </c>
      <c r="BS98" s="57" t="s">
        <v>1292</v>
      </c>
      <c r="BT98" s="57" t="s">
        <v>3476</v>
      </c>
      <c r="BU98" s="57" t="s">
        <v>3476</v>
      </c>
      <c r="BV98" s="57" t="s">
        <v>3753</v>
      </c>
      <c r="BW98" s="57" t="s">
        <v>3476</v>
      </c>
      <c r="BX98" s="57">
        <v>79.1</v>
      </c>
      <c r="BY98" s="57" t="s">
        <v>3476</v>
      </c>
      <c r="BZ98" s="57" t="s">
        <v>3476</v>
      </c>
      <c r="CA98" s="57" t="s">
        <v>3476</v>
      </c>
      <c r="CB98" s="57" t="s">
        <v>3476</v>
      </c>
      <c r="CC98" s="57" t="s">
        <v>3476</v>
      </c>
      <c r="CD98" s="57" t="s">
        <v>3476</v>
      </c>
    </row>
    <row r="99" spans="1:82">
      <c r="A99" s="57">
        <v>16509</v>
      </c>
      <c r="B99" s="57" t="s">
        <v>3476</v>
      </c>
      <c r="C99" s="57" t="s">
        <v>4096</v>
      </c>
      <c r="D99" s="57" t="s">
        <v>3476</v>
      </c>
      <c r="E99" s="57" t="s">
        <v>3730</v>
      </c>
      <c r="F99" s="57" t="s">
        <v>4097</v>
      </c>
      <c r="G99" s="57" t="s">
        <v>721</v>
      </c>
      <c r="H99" s="57" t="s">
        <v>2874</v>
      </c>
      <c r="I99" s="57">
        <v>56524.4</v>
      </c>
      <c r="J99" s="57" t="s">
        <v>3476</v>
      </c>
      <c r="K99" s="57" t="s">
        <v>3476</v>
      </c>
      <c r="L99" s="57" t="s">
        <v>3730</v>
      </c>
      <c r="M99" s="57" t="s">
        <v>4098</v>
      </c>
      <c r="N99" s="57" t="s">
        <v>4098</v>
      </c>
      <c r="O99" s="57" t="s">
        <v>3476</v>
      </c>
      <c r="P99" s="57" t="s">
        <v>3476</v>
      </c>
      <c r="Q99" s="57" t="s">
        <v>2874</v>
      </c>
      <c r="R99" s="57" t="s">
        <v>3781</v>
      </c>
      <c r="S99" s="57" t="s">
        <v>3782</v>
      </c>
      <c r="T99" s="57" t="s">
        <v>3736</v>
      </c>
      <c r="U99" s="57" t="s">
        <v>3476</v>
      </c>
      <c r="V99" s="57" t="s">
        <v>3469</v>
      </c>
      <c r="W99" s="57" t="s">
        <v>3476</v>
      </c>
      <c r="X99" s="57" t="s">
        <v>4099</v>
      </c>
      <c r="Y99" s="57" t="s">
        <v>3738</v>
      </c>
      <c r="Z99" s="57" t="s">
        <v>3632</v>
      </c>
      <c r="AA99" s="57" t="s">
        <v>3476</v>
      </c>
      <c r="AB99" s="57" t="s">
        <v>3476</v>
      </c>
      <c r="AC99" s="57" t="s">
        <v>3476</v>
      </c>
      <c r="AD99" s="57" t="s">
        <v>3476</v>
      </c>
      <c r="AE99" s="57" t="s">
        <v>3476</v>
      </c>
      <c r="AF99" s="57" t="s">
        <v>3476</v>
      </c>
      <c r="AG99" s="57" t="s">
        <v>3476</v>
      </c>
      <c r="AH99" s="57" t="s">
        <v>3476</v>
      </c>
      <c r="AI99" s="57" t="s">
        <v>3476</v>
      </c>
      <c r="AJ99" s="57" t="s">
        <v>3476</v>
      </c>
      <c r="AK99" s="57" t="s">
        <v>3476</v>
      </c>
      <c r="AL99" s="57" t="s">
        <v>3476</v>
      </c>
      <c r="AM99" s="57" t="s">
        <v>3476</v>
      </c>
      <c r="AN99" s="57" t="s">
        <v>3476</v>
      </c>
      <c r="AO99" s="57" t="s">
        <v>3476</v>
      </c>
      <c r="AP99" s="58">
        <v>45847.6150578704</v>
      </c>
      <c r="AQ99" s="57" t="s">
        <v>3476</v>
      </c>
      <c r="AR99" s="57" t="s">
        <v>3476</v>
      </c>
      <c r="AS99" s="57" t="s">
        <v>3502</v>
      </c>
      <c r="AT99" s="57" t="s">
        <v>3745</v>
      </c>
      <c r="AU99" s="57" t="s">
        <v>3476</v>
      </c>
      <c r="AV99" s="57" t="s">
        <v>3476</v>
      </c>
      <c r="AW99" s="58">
        <v>45847.6094907407</v>
      </c>
      <c r="AX99" s="57" t="s">
        <v>3476</v>
      </c>
      <c r="AY99" s="57" t="s">
        <v>3747</v>
      </c>
      <c r="AZ99" s="57" t="s">
        <v>3476</v>
      </c>
      <c r="BA99" s="57" t="s">
        <v>3476</v>
      </c>
      <c r="BB99" s="57" t="s">
        <v>3476</v>
      </c>
      <c r="BC99" s="57" t="s">
        <v>3791</v>
      </c>
      <c r="BD99" s="57" t="s">
        <v>3659</v>
      </c>
      <c r="BE99" s="57" t="s">
        <v>3787</v>
      </c>
      <c r="BF99" s="57" t="s">
        <v>3749</v>
      </c>
      <c r="BG99" s="57" t="s">
        <v>3476</v>
      </c>
      <c r="BH99" s="57" t="s">
        <v>3476</v>
      </c>
      <c r="BI99" s="57" t="s">
        <v>2809</v>
      </c>
      <c r="BJ99" s="57" t="s">
        <v>3476</v>
      </c>
      <c r="BK99" s="57" t="s">
        <v>3476</v>
      </c>
      <c r="BL99" s="57">
        <v>3557791</v>
      </c>
      <c r="BM99" s="57" t="s">
        <v>4100</v>
      </c>
      <c r="BN99" s="57">
        <v>5.1</v>
      </c>
      <c r="BO99" s="57" t="s">
        <v>3476</v>
      </c>
      <c r="BP99" s="57" t="s">
        <v>3476</v>
      </c>
      <c r="BQ99" s="57" t="s">
        <v>3476</v>
      </c>
      <c r="BR99" s="57" t="s">
        <v>4101</v>
      </c>
      <c r="BS99" s="57" t="s">
        <v>1292</v>
      </c>
      <c r="BT99" s="57" t="s">
        <v>3476</v>
      </c>
      <c r="BU99" s="57" t="s">
        <v>3476</v>
      </c>
      <c r="BV99" s="57" t="s">
        <v>3753</v>
      </c>
      <c r="BW99" s="57" t="s">
        <v>3476</v>
      </c>
      <c r="BX99" s="57">
        <v>5.1</v>
      </c>
      <c r="BY99" s="57" t="s">
        <v>3476</v>
      </c>
      <c r="BZ99" s="57" t="s">
        <v>3476</v>
      </c>
      <c r="CA99" s="57" t="s">
        <v>3476</v>
      </c>
      <c r="CB99" s="57" t="s">
        <v>3476</v>
      </c>
      <c r="CC99" s="57" t="s">
        <v>3476</v>
      </c>
      <c r="CD99" s="57" t="s">
        <v>3476</v>
      </c>
    </row>
    <row r="100" spans="1:82">
      <c r="A100" s="57">
        <v>16510</v>
      </c>
      <c r="B100" s="57" t="s">
        <v>3476</v>
      </c>
      <c r="C100" s="57" t="s">
        <v>4096</v>
      </c>
      <c r="D100" s="57" t="s">
        <v>3476</v>
      </c>
      <c r="E100" s="57" t="s">
        <v>3730</v>
      </c>
      <c r="F100" s="57" t="s">
        <v>4097</v>
      </c>
      <c r="G100" s="57" t="s">
        <v>721</v>
      </c>
      <c r="H100" s="57" t="s">
        <v>2874</v>
      </c>
      <c r="I100" s="57">
        <v>56524.4</v>
      </c>
      <c r="J100" s="57" t="s">
        <v>3476</v>
      </c>
      <c r="K100" s="57" t="s">
        <v>3476</v>
      </c>
      <c r="L100" s="57" t="s">
        <v>3730</v>
      </c>
      <c r="M100" s="57" t="s">
        <v>4098</v>
      </c>
      <c r="N100" s="57" t="s">
        <v>4098</v>
      </c>
      <c r="O100" s="57" t="s">
        <v>3476</v>
      </c>
      <c r="P100" s="57" t="s">
        <v>3476</v>
      </c>
      <c r="Q100" s="57" t="s">
        <v>2874</v>
      </c>
      <c r="R100" s="57" t="s">
        <v>3781</v>
      </c>
      <c r="S100" s="57" t="s">
        <v>3782</v>
      </c>
      <c r="T100" s="57" t="s">
        <v>3736</v>
      </c>
      <c r="U100" s="57" t="s">
        <v>3476</v>
      </c>
      <c r="V100" s="57" t="s">
        <v>3469</v>
      </c>
      <c r="W100" s="57" t="s">
        <v>3476</v>
      </c>
      <c r="X100" s="57" t="s">
        <v>4099</v>
      </c>
      <c r="Y100" s="57" t="s">
        <v>3738</v>
      </c>
      <c r="Z100" s="57" t="s">
        <v>3632</v>
      </c>
      <c r="AA100" s="57" t="s">
        <v>3476</v>
      </c>
      <c r="AB100" s="57" t="s">
        <v>3476</v>
      </c>
      <c r="AC100" s="57" t="s">
        <v>3476</v>
      </c>
      <c r="AD100" s="57" t="s">
        <v>3476</v>
      </c>
      <c r="AE100" s="57" t="s">
        <v>3476</v>
      </c>
      <c r="AF100" s="57" t="s">
        <v>3476</v>
      </c>
      <c r="AG100" s="57" t="s">
        <v>3476</v>
      </c>
      <c r="AH100" s="57" t="s">
        <v>3476</v>
      </c>
      <c r="AI100" s="57" t="s">
        <v>3476</v>
      </c>
      <c r="AJ100" s="57" t="s">
        <v>3476</v>
      </c>
      <c r="AK100" s="57" t="s">
        <v>3476</v>
      </c>
      <c r="AL100" s="57" t="s">
        <v>3476</v>
      </c>
      <c r="AM100" s="57" t="s">
        <v>3476</v>
      </c>
      <c r="AN100" s="57" t="s">
        <v>3476</v>
      </c>
      <c r="AO100" s="57" t="s">
        <v>3476</v>
      </c>
      <c r="AP100" s="58">
        <v>45847.6150578704</v>
      </c>
      <c r="AQ100" s="57" t="s">
        <v>3476</v>
      </c>
      <c r="AR100" s="57" t="s">
        <v>3476</v>
      </c>
      <c r="AS100" s="57" t="s">
        <v>3502</v>
      </c>
      <c r="AT100" s="57" t="s">
        <v>3745</v>
      </c>
      <c r="AU100" s="57" t="s">
        <v>3476</v>
      </c>
      <c r="AV100" s="57" t="s">
        <v>3476</v>
      </c>
      <c r="AW100" s="58">
        <v>45847.6094907407</v>
      </c>
      <c r="AX100" s="57" t="s">
        <v>3476</v>
      </c>
      <c r="AY100" s="57" t="s">
        <v>3747</v>
      </c>
      <c r="AZ100" s="57" t="s">
        <v>3476</v>
      </c>
      <c r="BA100" s="57" t="s">
        <v>3476</v>
      </c>
      <c r="BB100" s="57" t="s">
        <v>3476</v>
      </c>
      <c r="BC100" s="57" t="s">
        <v>3791</v>
      </c>
      <c r="BD100" s="57" t="s">
        <v>3659</v>
      </c>
      <c r="BE100" s="57" t="s">
        <v>3787</v>
      </c>
      <c r="BF100" s="57" t="s">
        <v>3749</v>
      </c>
      <c r="BG100" s="57" t="s">
        <v>3476</v>
      </c>
      <c r="BH100" s="57" t="s">
        <v>3476</v>
      </c>
      <c r="BI100" s="57" t="s">
        <v>2809</v>
      </c>
      <c r="BJ100" s="57" t="s">
        <v>3476</v>
      </c>
      <c r="BK100" s="57" t="s">
        <v>3476</v>
      </c>
      <c r="BL100" s="57">
        <v>3557790</v>
      </c>
      <c r="BM100" s="57" t="s">
        <v>4100</v>
      </c>
      <c r="BN100" s="57">
        <v>23</v>
      </c>
      <c r="BO100" s="57" t="s">
        <v>3476</v>
      </c>
      <c r="BP100" s="57" t="s">
        <v>3476</v>
      </c>
      <c r="BQ100" s="57" t="s">
        <v>3476</v>
      </c>
      <c r="BR100" s="57" t="s">
        <v>4101</v>
      </c>
      <c r="BS100" s="57" t="s">
        <v>1292</v>
      </c>
      <c r="BT100" s="57" t="s">
        <v>3476</v>
      </c>
      <c r="BU100" s="57" t="s">
        <v>3476</v>
      </c>
      <c r="BV100" s="57" t="s">
        <v>3753</v>
      </c>
      <c r="BW100" s="57" t="s">
        <v>3476</v>
      </c>
      <c r="BX100" s="57">
        <v>23</v>
      </c>
      <c r="BY100" s="57" t="s">
        <v>3476</v>
      </c>
      <c r="BZ100" s="57" t="s">
        <v>3476</v>
      </c>
      <c r="CA100" s="57" t="s">
        <v>3476</v>
      </c>
      <c r="CB100" s="57" t="s">
        <v>3476</v>
      </c>
      <c r="CC100" s="57" t="s">
        <v>3476</v>
      </c>
      <c r="CD100" s="57" t="s">
        <v>3476</v>
      </c>
    </row>
    <row r="101" spans="1:82">
      <c r="A101" s="57">
        <v>16511</v>
      </c>
      <c r="B101" s="57" t="s">
        <v>3476</v>
      </c>
      <c r="C101" s="57" t="s">
        <v>4096</v>
      </c>
      <c r="D101" s="57" t="s">
        <v>3476</v>
      </c>
      <c r="E101" s="57" t="s">
        <v>3730</v>
      </c>
      <c r="F101" s="57" t="s">
        <v>4097</v>
      </c>
      <c r="G101" s="57" t="s">
        <v>721</v>
      </c>
      <c r="H101" s="57" t="s">
        <v>2874</v>
      </c>
      <c r="I101" s="57">
        <v>56524.4</v>
      </c>
      <c r="J101" s="57" t="s">
        <v>3476</v>
      </c>
      <c r="K101" s="57" t="s">
        <v>3476</v>
      </c>
      <c r="L101" s="57" t="s">
        <v>3730</v>
      </c>
      <c r="M101" s="57" t="s">
        <v>4098</v>
      </c>
      <c r="N101" s="57" t="s">
        <v>4098</v>
      </c>
      <c r="O101" s="57" t="s">
        <v>3476</v>
      </c>
      <c r="P101" s="57" t="s">
        <v>3476</v>
      </c>
      <c r="Q101" s="57" t="s">
        <v>2874</v>
      </c>
      <c r="R101" s="57" t="s">
        <v>3781</v>
      </c>
      <c r="S101" s="57" t="s">
        <v>3782</v>
      </c>
      <c r="T101" s="57" t="s">
        <v>3736</v>
      </c>
      <c r="U101" s="57" t="s">
        <v>3476</v>
      </c>
      <c r="V101" s="57" t="s">
        <v>3469</v>
      </c>
      <c r="W101" s="57" t="s">
        <v>3476</v>
      </c>
      <c r="X101" s="57" t="s">
        <v>4099</v>
      </c>
      <c r="Y101" s="57" t="s">
        <v>3738</v>
      </c>
      <c r="Z101" s="57" t="s">
        <v>3632</v>
      </c>
      <c r="AA101" s="57" t="s">
        <v>3476</v>
      </c>
      <c r="AB101" s="57" t="s">
        <v>3476</v>
      </c>
      <c r="AC101" s="57" t="s">
        <v>3476</v>
      </c>
      <c r="AD101" s="57" t="s">
        <v>3476</v>
      </c>
      <c r="AE101" s="57" t="s">
        <v>3476</v>
      </c>
      <c r="AF101" s="57" t="s">
        <v>3476</v>
      </c>
      <c r="AG101" s="57" t="s">
        <v>3476</v>
      </c>
      <c r="AH101" s="57" t="s">
        <v>3476</v>
      </c>
      <c r="AI101" s="57" t="s">
        <v>3476</v>
      </c>
      <c r="AJ101" s="57" t="s">
        <v>3476</v>
      </c>
      <c r="AK101" s="57" t="s">
        <v>3476</v>
      </c>
      <c r="AL101" s="57" t="s">
        <v>3476</v>
      </c>
      <c r="AM101" s="57" t="s">
        <v>3476</v>
      </c>
      <c r="AN101" s="57" t="s">
        <v>3476</v>
      </c>
      <c r="AO101" s="57" t="s">
        <v>3476</v>
      </c>
      <c r="AP101" s="58">
        <v>45847.6150578704</v>
      </c>
      <c r="AQ101" s="57" t="s">
        <v>3476</v>
      </c>
      <c r="AR101" s="57" t="s">
        <v>3476</v>
      </c>
      <c r="AS101" s="57" t="s">
        <v>3502</v>
      </c>
      <c r="AT101" s="57" t="s">
        <v>3745</v>
      </c>
      <c r="AU101" s="57" t="s">
        <v>3476</v>
      </c>
      <c r="AV101" s="57" t="s">
        <v>3476</v>
      </c>
      <c r="AW101" s="58">
        <v>45847.6094907407</v>
      </c>
      <c r="AX101" s="57" t="s">
        <v>3476</v>
      </c>
      <c r="AY101" s="57" t="s">
        <v>3747</v>
      </c>
      <c r="AZ101" s="57" t="s">
        <v>3476</v>
      </c>
      <c r="BA101" s="57" t="s">
        <v>3476</v>
      </c>
      <c r="BB101" s="57" t="s">
        <v>3476</v>
      </c>
      <c r="BC101" s="57" t="s">
        <v>1787</v>
      </c>
      <c r="BD101" s="57" t="s">
        <v>3659</v>
      </c>
      <c r="BE101" s="57" t="s">
        <v>3787</v>
      </c>
      <c r="BF101" s="57" t="s">
        <v>3749</v>
      </c>
      <c r="BG101" s="57" t="s">
        <v>3476</v>
      </c>
      <c r="BH101" s="57" t="s">
        <v>3476</v>
      </c>
      <c r="BI101" s="57" t="s">
        <v>2809</v>
      </c>
      <c r="BJ101" s="57" t="s">
        <v>3476</v>
      </c>
      <c r="BK101" s="57" t="s">
        <v>3476</v>
      </c>
      <c r="BL101" s="57">
        <v>3557789</v>
      </c>
      <c r="BM101" s="57" t="s">
        <v>4100</v>
      </c>
      <c r="BN101" s="57">
        <v>324.3</v>
      </c>
      <c r="BO101" s="57" t="s">
        <v>3476</v>
      </c>
      <c r="BP101" s="57" t="s">
        <v>3476</v>
      </c>
      <c r="BQ101" s="57" t="s">
        <v>3476</v>
      </c>
      <c r="BR101" s="57" t="s">
        <v>4101</v>
      </c>
      <c r="BS101" s="57" t="s">
        <v>1292</v>
      </c>
      <c r="BT101" s="57" t="s">
        <v>3476</v>
      </c>
      <c r="BU101" s="57" t="s">
        <v>3476</v>
      </c>
      <c r="BV101" s="57" t="s">
        <v>3753</v>
      </c>
      <c r="BW101" s="57" t="s">
        <v>3476</v>
      </c>
      <c r="BX101" s="57">
        <v>324.3</v>
      </c>
      <c r="BY101" s="57" t="s">
        <v>3476</v>
      </c>
      <c r="BZ101" s="57" t="s">
        <v>3476</v>
      </c>
      <c r="CA101" s="57" t="s">
        <v>3476</v>
      </c>
      <c r="CB101" s="57" t="s">
        <v>3476</v>
      </c>
      <c r="CC101" s="57" t="s">
        <v>3476</v>
      </c>
      <c r="CD101" s="57" t="s">
        <v>3476</v>
      </c>
    </row>
    <row r="102" spans="1:82">
      <c r="A102" s="57">
        <v>16512</v>
      </c>
      <c r="B102" s="57" t="s">
        <v>3476</v>
      </c>
      <c r="C102" s="57" t="s">
        <v>4096</v>
      </c>
      <c r="D102" s="57" t="s">
        <v>3476</v>
      </c>
      <c r="E102" s="57" t="s">
        <v>3730</v>
      </c>
      <c r="F102" s="57" t="s">
        <v>4097</v>
      </c>
      <c r="G102" s="57" t="s">
        <v>721</v>
      </c>
      <c r="H102" s="57" t="s">
        <v>2874</v>
      </c>
      <c r="I102" s="57">
        <v>56524.4</v>
      </c>
      <c r="J102" s="57" t="s">
        <v>3476</v>
      </c>
      <c r="K102" s="57" t="s">
        <v>3476</v>
      </c>
      <c r="L102" s="57" t="s">
        <v>3730</v>
      </c>
      <c r="M102" s="57" t="s">
        <v>4098</v>
      </c>
      <c r="N102" s="57" t="s">
        <v>4098</v>
      </c>
      <c r="O102" s="57" t="s">
        <v>3476</v>
      </c>
      <c r="P102" s="57" t="s">
        <v>3476</v>
      </c>
      <c r="Q102" s="57" t="s">
        <v>2874</v>
      </c>
      <c r="R102" s="57" t="s">
        <v>3781</v>
      </c>
      <c r="S102" s="57" t="s">
        <v>3782</v>
      </c>
      <c r="T102" s="57" t="s">
        <v>3736</v>
      </c>
      <c r="U102" s="57" t="s">
        <v>3476</v>
      </c>
      <c r="V102" s="57" t="s">
        <v>3469</v>
      </c>
      <c r="W102" s="57" t="s">
        <v>3476</v>
      </c>
      <c r="X102" s="57" t="s">
        <v>4099</v>
      </c>
      <c r="Y102" s="57" t="s">
        <v>3738</v>
      </c>
      <c r="Z102" s="57" t="s">
        <v>3632</v>
      </c>
      <c r="AA102" s="57" t="s">
        <v>3476</v>
      </c>
      <c r="AB102" s="57" t="s">
        <v>3476</v>
      </c>
      <c r="AC102" s="57" t="s">
        <v>3476</v>
      </c>
      <c r="AD102" s="57" t="s">
        <v>3476</v>
      </c>
      <c r="AE102" s="57" t="s">
        <v>3476</v>
      </c>
      <c r="AF102" s="57" t="s">
        <v>3476</v>
      </c>
      <c r="AG102" s="57" t="s">
        <v>3476</v>
      </c>
      <c r="AH102" s="57" t="s">
        <v>3476</v>
      </c>
      <c r="AI102" s="57" t="s">
        <v>3476</v>
      </c>
      <c r="AJ102" s="57" t="s">
        <v>3476</v>
      </c>
      <c r="AK102" s="57" t="s">
        <v>3476</v>
      </c>
      <c r="AL102" s="57" t="s">
        <v>3476</v>
      </c>
      <c r="AM102" s="57" t="s">
        <v>3476</v>
      </c>
      <c r="AN102" s="57" t="s">
        <v>3476</v>
      </c>
      <c r="AO102" s="57" t="s">
        <v>3476</v>
      </c>
      <c r="AP102" s="58">
        <v>45847.6150578704</v>
      </c>
      <c r="AQ102" s="57" t="s">
        <v>3476</v>
      </c>
      <c r="AR102" s="57" t="s">
        <v>3476</v>
      </c>
      <c r="AS102" s="57" t="s">
        <v>3502</v>
      </c>
      <c r="AT102" s="57" t="s">
        <v>3745</v>
      </c>
      <c r="AU102" s="57" t="s">
        <v>3476</v>
      </c>
      <c r="AV102" s="57" t="s">
        <v>3476</v>
      </c>
      <c r="AW102" s="58">
        <v>45847.6094907407</v>
      </c>
      <c r="AX102" s="57" t="s">
        <v>3476</v>
      </c>
      <c r="AY102" s="57" t="s">
        <v>3747</v>
      </c>
      <c r="AZ102" s="57" t="s">
        <v>3476</v>
      </c>
      <c r="BA102" s="57" t="s">
        <v>3476</v>
      </c>
      <c r="BB102" s="57" t="s">
        <v>3476</v>
      </c>
      <c r="BC102" s="57" t="s">
        <v>1787</v>
      </c>
      <c r="BD102" s="57" t="s">
        <v>3659</v>
      </c>
      <c r="BE102" s="57" t="s">
        <v>3787</v>
      </c>
      <c r="BF102" s="57" t="s">
        <v>3749</v>
      </c>
      <c r="BG102" s="57" t="s">
        <v>3476</v>
      </c>
      <c r="BH102" s="57" t="s">
        <v>3476</v>
      </c>
      <c r="BI102" s="57" t="s">
        <v>2809</v>
      </c>
      <c r="BJ102" s="57" t="s">
        <v>3476</v>
      </c>
      <c r="BK102" s="57" t="s">
        <v>3476</v>
      </c>
      <c r="BL102" s="57">
        <v>3557788</v>
      </c>
      <c r="BM102" s="57" t="s">
        <v>4100</v>
      </c>
      <c r="BN102" s="57">
        <v>600</v>
      </c>
      <c r="BO102" s="57" t="s">
        <v>3476</v>
      </c>
      <c r="BP102" s="57" t="s">
        <v>3476</v>
      </c>
      <c r="BQ102" s="57" t="s">
        <v>3476</v>
      </c>
      <c r="BR102" s="57" t="s">
        <v>4101</v>
      </c>
      <c r="BS102" s="57" t="s">
        <v>1292</v>
      </c>
      <c r="BT102" s="57" t="s">
        <v>3476</v>
      </c>
      <c r="BU102" s="57" t="s">
        <v>3476</v>
      </c>
      <c r="BV102" s="57" t="s">
        <v>3753</v>
      </c>
      <c r="BW102" s="57" t="s">
        <v>3476</v>
      </c>
      <c r="BX102" s="57">
        <v>600</v>
      </c>
      <c r="BY102" s="57" t="s">
        <v>3476</v>
      </c>
      <c r="BZ102" s="57" t="s">
        <v>3476</v>
      </c>
      <c r="CA102" s="57" t="s">
        <v>3476</v>
      </c>
      <c r="CB102" s="57" t="s">
        <v>3476</v>
      </c>
      <c r="CC102" s="57" t="s">
        <v>3476</v>
      </c>
      <c r="CD102" s="57" t="s">
        <v>3476</v>
      </c>
    </row>
    <row r="103" spans="1:82">
      <c r="A103" s="57">
        <v>16513</v>
      </c>
      <c r="B103" s="57" t="s">
        <v>3476</v>
      </c>
      <c r="C103" s="57" t="s">
        <v>4096</v>
      </c>
      <c r="D103" s="57" t="s">
        <v>3476</v>
      </c>
      <c r="E103" s="57" t="s">
        <v>3730</v>
      </c>
      <c r="F103" s="57" t="s">
        <v>4097</v>
      </c>
      <c r="G103" s="57" t="s">
        <v>721</v>
      </c>
      <c r="H103" s="57" t="s">
        <v>2874</v>
      </c>
      <c r="I103" s="57">
        <v>56524.4</v>
      </c>
      <c r="J103" s="57" t="s">
        <v>3476</v>
      </c>
      <c r="K103" s="57" t="s">
        <v>3476</v>
      </c>
      <c r="L103" s="57" t="s">
        <v>3730</v>
      </c>
      <c r="M103" s="57" t="s">
        <v>4098</v>
      </c>
      <c r="N103" s="57" t="s">
        <v>4098</v>
      </c>
      <c r="O103" s="57" t="s">
        <v>3476</v>
      </c>
      <c r="P103" s="57" t="s">
        <v>3476</v>
      </c>
      <c r="Q103" s="57" t="s">
        <v>2874</v>
      </c>
      <c r="R103" s="57" t="s">
        <v>3781</v>
      </c>
      <c r="S103" s="57" t="s">
        <v>3782</v>
      </c>
      <c r="T103" s="57" t="s">
        <v>3736</v>
      </c>
      <c r="U103" s="57" t="s">
        <v>3476</v>
      </c>
      <c r="V103" s="57" t="s">
        <v>3469</v>
      </c>
      <c r="W103" s="57" t="s">
        <v>3476</v>
      </c>
      <c r="X103" s="57" t="s">
        <v>4099</v>
      </c>
      <c r="Y103" s="57" t="s">
        <v>3738</v>
      </c>
      <c r="Z103" s="57" t="s">
        <v>3632</v>
      </c>
      <c r="AA103" s="57" t="s">
        <v>3476</v>
      </c>
      <c r="AB103" s="57" t="s">
        <v>3476</v>
      </c>
      <c r="AC103" s="57" t="s">
        <v>3476</v>
      </c>
      <c r="AD103" s="57" t="s">
        <v>3476</v>
      </c>
      <c r="AE103" s="57" t="s">
        <v>3476</v>
      </c>
      <c r="AF103" s="57" t="s">
        <v>3476</v>
      </c>
      <c r="AG103" s="57" t="s">
        <v>3476</v>
      </c>
      <c r="AH103" s="57" t="s">
        <v>3476</v>
      </c>
      <c r="AI103" s="57" t="s">
        <v>3476</v>
      </c>
      <c r="AJ103" s="57" t="s">
        <v>3476</v>
      </c>
      <c r="AK103" s="57" t="s">
        <v>3476</v>
      </c>
      <c r="AL103" s="57" t="s">
        <v>3476</v>
      </c>
      <c r="AM103" s="57" t="s">
        <v>3476</v>
      </c>
      <c r="AN103" s="57" t="s">
        <v>3476</v>
      </c>
      <c r="AO103" s="57" t="s">
        <v>3476</v>
      </c>
      <c r="AP103" s="58">
        <v>45847.6150578704</v>
      </c>
      <c r="AQ103" s="57" t="s">
        <v>3476</v>
      </c>
      <c r="AR103" s="57" t="s">
        <v>3476</v>
      </c>
      <c r="AS103" s="57" t="s">
        <v>3502</v>
      </c>
      <c r="AT103" s="57" t="s">
        <v>3745</v>
      </c>
      <c r="AU103" s="57" t="s">
        <v>3476</v>
      </c>
      <c r="AV103" s="57" t="s">
        <v>3476</v>
      </c>
      <c r="AW103" s="58">
        <v>45847.6094907407</v>
      </c>
      <c r="AX103" s="57" t="s">
        <v>3476</v>
      </c>
      <c r="AY103" s="57" t="s">
        <v>3747</v>
      </c>
      <c r="AZ103" s="57" t="s">
        <v>3476</v>
      </c>
      <c r="BA103" s="57" t="s">
        <v>3476</v>
      </c>
      <c r="BB103" s="57" t="s">
        <v>3476</v>
      </c>
      <c r="BC103" s="57" t="s">
        <v>1787</v>
      </c>
      <c r="BD103" s="57" t="s">
        <v>3659</v>
      </c>
      <c r="BE103" s="57" t="s">
        <v>3787</v>
      </c>
      <c r="BF103" s="57" t="s">
        <v>3749</v>
      </c>
      <c r="BG103" s="57" t="s">
        <v>3476</v>
      </c>
      <c r="BH103" s="57" t="s">
        <v>3476</v>
      </c>
      <c r="BI103" s="57" t="s">
        <v>2809</v>
      </c>
      <c r="BJ103" s="57" t="s">
        <v>3476</v>
      </c>
      <c r="BK103" s="57" t="s">
        <v>3476</v>
      </c>
      <c r="BL103" s="57">
        <v>3557795</v>
      </c>
      <c r="BM103" s="57" t="s">
        <v>4100</v>
      </c>
      <c r="BN103" s="57">
        <v>220</v>
      </c>
      <c r="BO103" s="57" t="s">
        <v>3476</v>
      </c>
      <c r="BP103" s="57" t="s">
        <v>3476</v>
      </c>
      <c r="BQ103" s="57" t="s">
        <v>3476</v>
      </c>
      <c r="BR103" s="57" t="s">
        <v>4101</v>
      </c>
      <c r="BS103" s="57" t="s">
        <v>1292</v>
      </c>
      <c r="BT103" s="57" t="s">
        <v>3476</v>
      </c>
      <c r="BU103" s="57" t="s">
        <v>3476</v>
      </c>
      <c r="BV103" s="57" t="s">
        <v>3753</v>
      </c>
      <c r="BW103" s="57" t="s">
        <v>3476</v>
      </c>
      <c r="BX103" s="57">
        <v>220</v>
      </c>
      <c r="BY103" s="57" t="s">
        <v>3476</v>
      </c>
      <c r="BZ103" s="57" t="s">
        <v>3476</v>
      </c>
      <c r="CA103" s="57" t="s">
        <v>3476</v>
      </c>
      <c r="CB103" s="57" t="s">
        <v>3476</v>
      </c>
      <c r="CC103" s="57" t="s">
        <v>3476</v>
      </c>
      <c r="CD103" s="57" t="s">
        <v>3476</v>
      </c>
    </row>
    <row r="104" spans="1:82">
      <c r="A104" s="57">
        <v>16514</v>
      </c>
      <c r="B104" s="57" t="s">
        <v>3476</v>
      </c>
      <c r="C104" s="57" t="s">
        <v>4096</v>
      </c>
      <c r="D104" s="57" t="s">
        <v>3476</v>
      </c>
      <c r="E104" s="57" t="s">
        <v>3730</v>
      </c>
      <c r="F104" s="57" t="s">
        <v>4097</v>
      </c>
      <c r="G104" s="57" t="s">
        <v>721</v>
      </c>
      <c r="H104" s="57" t="s">
        <v>2874</v>
      </c>
      <c r="I104" s="57">
        <v>56524.4</v>
      </c>
      <c r="J104" s="57" t="s">
        <v>3476</v>
      </c>
      <c r="K104" s="57" t="s">
        <v>3476</v>
      </c>
      <c r="L104" s="57" t="s">
        <v>3730</v>
      </c>
      <c r="M104" s="57" t="s">
        <v>4098</v>
      </c>
      <c r="N104" s="57" t="s">
        <v>4098</v>
      </c>
      <c r="O104" s="57" t="s">
        <v>3476</v>
      </c>
      <c r="P104" s="57" t="s">
        <v>3476</v>
      </c>
      <c r="Q104" s="57" t="s">
        <v>2874</v>
      </c>
      <c r="R104" s="57" t="s">
        <v>3781</v>
      </c>
      <c r="S104" s="57" t="s">
        <v>3782</v>
      </c>
      <c r="T104" s="57" t="s">
        <v>3736</v>
      </c>
      <c r="U104" s="57" t="s">
        <v>3476</v>
      </c>
      <c r="V104" s="57" t="s">
        <v>3469</v>
      </c>
      <c r="W104" s="57" t="s">
        <v>3476</v>
      </c>
      <c r="X104" s="57" t="s">
        <v>4099</v>
      </c>
      <c r="Y104" s="57" t="s">
        <v>3738</v>
      </c>
      <c r="Z104" s="57" t="s">
        <v>3632</v>
      </c>
      <c r="AA104" s="57" t="s">
        <v>3476</v>
      </c>
      <c r="AB104" s="57" t="s">
        <v>3476</v>
      </c>
      <c r="AC104" s="57" t="s">
        <v>3476</v>
      </c>
      <c r="AD104" s="57" t="s">
        <v>3476</v>
      </c>
      <c r="AE104" s="57" t="s">
        <v>3476</v>
      </c>
      <c r="AF104" s="57" t="s">
        <v>3476</v>
      </c>
      <c r="AG104" s="57" t="s">
        <v>3476</v>
      </c>
      <c r="AH104" s="57" t="s">
        <v>3476</v>
      </c>
      <c r="AI104" s="57" t="s">
        <v>3476</v>
      </c>
      <c r="AJ104" s="57" t="s">
        <v>3476</v>
      </c>
      <c r="AK104" s="57" t="s">
        <v>3476</v>
      </c>
      <c r="AL104" s="57" t="s">
        <v>3476</v>
      </c>
      <c r="AM104" s="57" t="s">
        <v>3476</v>
      </c>
      <c r="AN104" s="57" t="s">
        <v>3476</v>
      </c>
      <c r="AO104" s="57" t="s">
        <v>3476</v>
      </c>
      <c r="AP104" s="58">
        <v>45847.6150578704</v>
      </c>
      <c r="AQ104" s="57" t="s">
        <v>3476</v>
      </c>
      <c r="AR104" s="57" t="s">
        <v>3476</v>
      </c>
      <c r="AS104" s="57" t="s">
        <v>3502</v>
      </c>
      <c r="AT104" s="57" t="s">
        <v>3745</v>
      </c>
      <c r="AU104" s="57" t="s">
        <v>3476</v>
      </c>
      <c r="AV104" s="57" t="s">
        <v>3476</v>
      </c>
      <c r="AW104" s="58">
        <v>45847.6094907407</v>
      </c>
      <c r="AX104" s="57" t="s">
        <v>3476</v>
      </c>
      <c r="AY104" s="57" t="s">
        <v>3747</v>
      </c>
      <c r="AZ104" s="57" t="s">
        <v>3476</v>
      </c>
      <c r="BA104" s="57" t="s">
        <v>3476</v>
      </c>
      <c r="BB104" s="57" t="s">
        <v>3476</v>
      </c>
      <c r="BC104" s="57" t="s">
        <v>1787</v>
      </c>
      <c r="BD104" s="57" t="s">
        <v>3659</v>
      </c>
      <c r="BE104" s="57" t="s">
        <v>3787</v>
      </c>
      <c r="BF104" s="57" t="s">
        <v>3749</v>
      </c>
      <c r="BG104" s="57" t="s">
        <v>3476</v>
      </c>
      <c r="BH104" s="57" t="s">
        <v>3476</v>
      </c>
      <c r="BI104" s="57" t="s">
        <v>2809</v>
      </c>
      <c r="BJ104" s="57" t="s">
        <v>3476</v>
      </c>
      <c r="BK104" s="57" t="s">
        <v>3476</v>
      </c>
      <c r="BL104" s="57">
        <v>3557794</v>
      </c>
      <c r="BM104" s="57" t="s">
        <v>4100</v>
      </c>
      <c r="BN104" s="57">
        <v>550.4</v>
      </c>
      <c r="BO104" s="57" t="s">
        <v>3476</v>
      </c>
      <c r="BP104" s="57" t="s">
        <v>3476</v>
      </c>
      <c r="BQ104" s="57" t="s">
        <v>3476</v>
      </c>
      <c r="BR104" s="57" t="s">
        <v>4101</v>
      </c>
      <c r="BS104" s="57" t="s">
        <v>1292</v>
      </c>
      <c r="BT104" s="57" t="s">
        <v>3476</v>
      </c>
      <c r="BU104" s="57" t="s">
        <v>3476</v>
      </c>
      <c r="BV104" s="57" t="s">
        <v>3753</v>
      </c>
      <c r="BW104" s="57" t="s">
        <v>3476</v>
      </c>
      <c r="BX104" s="57">
        <v>550.4</v>
      </c>
      <c r="BY104" s="57" t="s">
        <v>3476</v>
      </c>
      <c r="BZ104" s="57" t="s">
        <v>3476</v>
      </c>
      <c r="CA104" s="57" t="s">
        <v>3476</v>
      </c>
      <c r="CB104" s="57" t="s">
        <v>3476</v>
      </c>
      <c r="CC104" s="57" t="s">
        <v>3476</v>
      </c>
      <c r="CD104" s="57" t="s">
        <v>3476</v>
      </c>
    </row>
    <row r="105" spans="1:82">
      <c r="A105" s="57">
        <v>16515</v>
      </c>
      <c r="B105" s="57" t="s">
        <v>3476</v>
      </c>
      <c r="C105" s="57" t="s">
        <v>4096</v>
      </c>
      <c r="D105" s="57" t="s">
        <v>3476</v>
      </c>
      <c r="E105" s="57" t="s">
        <v>3730</v>
      </c>
      <c r="F105" s="57" t="s">
        <v>4097</v>
      </c>
      <c r="G105" s="57" t="s">
        <v>721</v>
      </c>
      <c r="H105" s="57" t="s">
        <v>2874</v>
      </c>
      <c r="I105" s="57">
        <v>56524.4</v>
      </c>
      <c r="J105" s="57" t="s">
        <v>3476</v>
      </c>
      <c r="K105" s="57" t="s">
        <v>3476</v>
      </c>
      <c r="L105" s="57" t="s">
        <v>3730</v>
      </c>
      <c r="M105" s="57" t="s">
        <v>4098</v>
      </c>
      <c r="N105" s="57" t="s">
        <v>4098</v>
      </c>
      <c r="O105" s="57" t="s">
        <v>3476</v>
      </c>
      <c r="P105" s="57" t="s">
        <v>3476</v>
      </c>
      <c r="Q105" s="57" t="s">
        <v>2874</v>
      </c>
      <c r="R105" s="57" t="s">
        <v>3781</v>
      </c>
      <c r="S105" s="57" t="s">
        <v>3782</v>
      </c>
      <c r="T105" s="57" t="s">
        <v>3736</v>
      </c>
      <c r="U105" s="57" t="s">
        <v>3476</v>
      </c>
      <c r="V105" s="57" t="s">
        <v>3469</v>
      </c>
      <c r="W105" s="57" t="s">
        <v>3476</v>
      </c>
      <c r="X105" s="57" t="s">
        <v>4099</v>
      </c>
      <c r="Y105" s="57" t="s">
        <v>3738</v>
      </c>
      <c r="Z105" s="57" t="s">
        <v>3632</v>
      </c>
      <c r="AA105" s="57" t="s">
        <v>3476</v>
      </c>
      <c r="AB105" s="57" t="s">
        <v>3476</v>
      </c>
      <c r="AC105" s="57" t="s">
        <v>3476</v>
      </c>
      <c r="AD105" s="57" t="s">
        <v>3476</v>
      </c>
      <c r="AE105" s="57" t="s">
        <v>3476</v>
      </c>
      <c r="AF105" s="57" t="s">
        <v>3476</v>
      </c>
      <c r="AG105" s="57" t="s">
        <v>3476</v>
      </c>
      <c r="AH105" s="57" t="s">
        <v>3476</v>
      </c>
      <c r="AI105" s="57" t="s">
        <v>3476</v>
      </c>
      <c r="AJ105" s="57" t="s">
        <v>3476</v>
      </c>
      <c r="AK105" s="57" t="s">
        <v>3476</v>
      </c>
      <c r="AL105" s="57" t="s">
        <v>3476</v>
      </c>
      <c r="AM105" s="57" t="s">
        <v>3476</v>
      </c>
      <c r="AN105" s="57" t="s">
        <v>3476</v>
      </c>
      <c r="AO105" s="57" t="s">
        <v>3476</v>
      </c>
      <c r="AP105" s="58">
        <v>45847.6150578704</v>
      </c>
      <c r="AQ105" s="57" t="s">
        <v>3476</v>
      </c>
      <c r="AR105" s="57" t="s">
        <v>3476</v>
      </c>
      <c r="AS105" s="57" t="s">
        <v>3502</v>
      </c>
      <c r="AT105" s="57" t="s">
        <v>3745</v>
      </c>
      <c r="AU105" s="57" t="s">
        <v>3476</v>
      </c>
      <c r="AV105" s="57" t="s">
        <v>3476</v>
      </c>
      <c r="AW105" s="58">
        <v>45847.6094907407</v>
      </c>
      <c r="AX105" s="57" t="s">
        <v>3476</v>
      </c>
      <c r="AY105" s="57" t="s">
        <v>3747</v>
      </c>
      <c r="AZ105" s="57" t="s">
        <v>3476</v>
      </c>
      <c r="BA105" s="57" t="s">
        <v>3476</v>
      </c>
      <c r="BB105" s="57" t="s">
        <v>3476</v>
      </c>
      <c r="BC105" s="57" t="s">
        <v>4102</v>
      </c>
      <c r="BD105" s="57" t="s">
        <v>3659</v>
      </c>
      <c r="BE105" s="57" t="s">
        <v>3787</v>
      </c>
      <c r="BF105" s="57" t="s">
        <v>3749</v>
      </c>
      <c r="BG105" s="57" t="s">
        <v>3476</v>
      </c>
      <c r="BH105" s="57" t="s">
        <v>3476</v>
      </c>
      <c r="BI105" s="57" t="s">
        <v>2809</v>
      </c>
      <c r="BJ105" s="57" t="s">
        <v>3476</v>
      </c>
      <c r="BK105" s="57" t="s">
        <v>3476</v>
      </c>
      <c r="BL105" s="57">
        <v>3557793</v>
      </c>
      <c r="BM105" s="57" t="s">
        <v>4100</v>
      </c>
      <c r="BN105" s="57">
        <v>80</v>
      </c>
      <c r="BO105" s="57" t="s">
        <v>3476</v>
      </c>
      <c r="BP105" s="57" t="s">
        <v>3476</v>
      </c>
      <c r="BQ105" s="57" t="s">
        <v>3476</v>
      </c>
      <c r="BR105" s="57" t="s">
        <v>4101</v>
      </c>
      <c r="BS105" s="57" t="s">
        <v>1292</v>
      </c>
      <c r="BT105" s="57" t="s">
        <v>3476</v>
      </c>
      <c r="BU105" s="57" t="s">
        <v>3476</v>
      </c>
      <c r="BV105" s="57" t="s">
        <v>3753</v>
      </c>
      <c r="BW105" s="57" t="s">
        <v>3476</v>
      </c>
      <c r="BX105" s="57">
        <v>80</v>
      </c>
      <c r="BY105" s="57" t="s">
        <v>3476</v>
      </c>
      <c r="BZ105" s="57" t="s">
        <v>3476</v>
      </c>
      <c r="CA105" s="57" t="s">
        <v>3476</v>
      </c>
      <c r="CB105" s="57" t="s">
        <v>3476</v>
      </c>
      <c r="CC105" s="57" t="s">
        <v>3476</v>
      </c>
      <c r="CD105" s="57" t="s">
        <v>3476</v>
      </c>
    </row>
    <row r="106" spans="1:82">
      <c r="A106" s="57">
        <v>16516</v>
      </c>
      <c r="B106" s="57" t="s">
        <v>3476</v>
      </c>
      <c r="C106" s="57" t="s">
        <v>4096</v>
      </c>
      <c r="D106" s="57" t="s">
        <v>3476</v>
      </c>
      <c r="E106" s="57" t="s">
        <v>3730</v>
      </c>
      <c r="F106" s="57" t="s">
        <v>4097</v>
      </c>
      <c r="G106" s="57" t="s">
        <v>721</v>
      </c>
      <c r="H106" s="57" t="s">
        <v>2874</v>
      </c>
      <c r="I106" s="57">
        <v>56524.4</v>
      </c>
      <c r="J106" s="57" t="s">
        <v>3476</v>
      </c>
      <c r="K106" s="57" t="s">
        <v>3476</v>
      </c>
      <c r="L106" s="57" t="s">
        <v>3730</v>
      </c>
      <c r="M106" s="57" t="s">
        <v>4098</v>
      </c>
      <c r="N106" s="57" t="s">
        <v>4098</v>
      </c>
      <c r="O106" s="57" t="s">
        <v>3476</v>
      </c>
      <c r="P106" s="57" t="s">
        <v>3476</v>
      </c>
      <c r="Q106" s="57" t="s">
        <v>2874</v>
      </c>
      <c r="R106" s="57" t="s">
        <v>3781</v>
      </c>
      <c r="S106" s="57" t="s">
        <v>3782</v>
      </c>
      <c r="T106" s="57" t="s">
        <v>3736</v>
      </c>
      <c r="U106" s="57" t="s">
        <v>3476</v>
      </c>
      <c r="V106" s="57" t="s">
        <v>3469</v>
      </c>
      <c r="W106" s="57" t="s">
        <v>3476</v>
      </c>
      <c r="X106" s="57" t="s">
        <v>4099</v>
      </c>
      <c r="Y106" s="57" t="s">
        <v>3738</v>
      </c>
      <c r="Z106" s="57" t="s">
        <v>3632</v>
      </c>
      <c r="AA106" s="57" t="s">
        <v>3476</v>
      </c>
      <c r="AB106" s="57" t="s">
        <v>3476</v>
      </c>
      <c r="AC106" s="57" t="s">
        <v>3476</v>
      </c>
      <c r="AD106" s="57" t="s">
        <v>3476</v>
      </c>
      <c r="AE106" s="57" t="s">
        <v>3476</v>
      </c>
      <c r="AF106" s="57" t="s">
        <v>3476</v>
      </c>
      <c r="AG106" s="57" t="s">
        <v>3476</v>
      </c>
      <c r="AH106" s="57" t="s">
        <v>3476</v>
      </c>
      <c r="AI106" s="57" t="s">
        <v>3476</v>
      </c>
      <c r="AJ106" s="57" t="s">
        <v>3476</v>
      </c>
      <c r="AK106" s="57" t="s">
        <v>3476</v>
      </c>
      <c r="AL106" s="57" t="s">
        <v>3476</v>
      </c>
      <c r="AM106" s="57" t="s">
        <v>3476</v>
      </c>
      <c r="AN106" s="57" t="s">
        <v>3476</v>
      </c>
      <c r="AO106" s="57" t="s">
        <v>3476</v>
      </c>
      <c r="AP106" s="58">
        <v>45847.6150578704</v>
      </c>
      <c r="AQ106" s="57" t="s">
        <v>3476</v>
      </c>
      <c r="AR106" s="57" t="s">
        <v>3476</v>
      </c>
      <c r="AS106" s="57" t="s">
        <v>3502</v>
      </c>
      <c r="AT106" s="57" t="s">
        <v>3745</v>
      </c>
      <c r="AU106" s="57" t="s">
        <v>3476</v>
      </c>
      <c r="AV106" s="57" t="s">
        <v>3476</v>
      </c>
      <c r="AW106" s="58">
        <v>45847.6094907407</v>
      </c>
      <c r="AX106" s="57" t="s">
        <v>3476</v>
      </c>
      <c r="AY106" s="57" t="s">
        <v>3747</v>
      </c>
      <c r="AZ106" s="57" t="s">
        <v>3476</v>
      </c>
      <c r="BA106" s="57" t="s">
        <v>3476</v>
      </c>
      <c r="BB106" s="57" t="s">
        <v>3476</v>
      </c>
      <c r="BC106" s="57" t="s">
        <v>1787</v>
      </c>
      <c r="BD106" s="57" t="s">
        <v>3659</v>
      </c>
      <c r="BE106" s="57" t="s">
        <v>3787</v>
      </c>
      <c r="BF106" s="57" t="s">
        <v>3749</v>
      </c>
      <c r="BG106" s="57" t="s">
        <v>3476</v>
      </c>
      <c r="BH106" s="57" t="s">
        <v>3476</v>
      </c>
      <c r="BI106" s="57" t="s">
        <v>2809</v>
      </c>
      <c r="BJ106" s="57" t="s">
        <v>3476</v>
      </c>
      <c r="BK106" s="57" t="s">
        <v>3476</v>
      </c>
      <c r="BL106" s="57">
        <v>3557792</v>
      </c>
      <c r="BM106" s="57" t="s">
        <v>4100</v>
      </c>
      <c r="BN106" s="57">
        <v>36</v>
      </c>
      <c r="BO106" s="57" t="s">
        <v>3476</v>
      </c>
      <c r="BP106" s="57" t="s">
        <v>3476</v>
      </c>
      <c r="BQ106" s="57" t="s">
        <v>3476</v>
      </c>
      <c r="BR106" s="57" t="s">
        <v>4101</v>
      </c>
      <c r="BS106" s="57" t="s">
        <v>1292</v>
      </c>
      <c r="BT106" s="57" t="s">
        <v>3476</v>
      </c>
      <c r="BU106" s="57" t="s">
        <v>3476</v>
      </c>
      <c r="BV106" s="57" t="s">
        <v>3753</v>
      </c>
      <c r="BW106" s="57" t="s">
        <v>3476</v>
      </c>
      <c r="BX106" s="57">
        <v>36</v>
      </c>
      <c r="BY106" s="57" t="s">
        <v>3476</v>
      </c>
      <c r="BZ106" s="57" t="s">
        <v>3476</v>
      </c>
      <c r="CA106" s="57" t="s">
        <v>3476</v>
      </c>
      <c r="CB106" s="57" t="s">
        <v>3476</v>
      </c>
      <c r="CC106" s="57" t="s">
        <v>3476</v>
      </c>
      <c r="CD106" s="57" t="s">
        <v>3476</v>
      </c>
    </row>
    <row r="107" spans="1:82">
      <c r="A107" s="57">
        <v>16517</v>
      </c>
      <c r="B107" s="57" t="s">
        <v>3476</v>
      </c>
      <c r="C107" s="57" t="s">
        <v>4096</v>
      </c>
      <c r="D107" s="57" t="s">
        <v>3476</v>
      </c>
      <c r="E107" s="57" t="s">
        <v>3730</v>
      </c>
      <c r="F107" s="57" t="s">
        <v>4097</v>
      </c>
      <c r="G107" s="57" t="s">
        <v>721</v>
      </c>
      <c r="H107" s="57" t="s">
        <v>2874</v>
      </c>
      <c r="I107" s="57">
        <v>56524.4</v>
      </c>
      <c r="J107" s="57" t="s">
        <v>3476</v>
      </c>
      <c r="K107" s="57" t="s">
        <v>3476</v>
      </c>
      <c r="L107" s="57" t="s">
        <v>3730</v>
      </c>
      <c r="M107" s="57" t="s">
        <v>4098</v>
      </c>
      <c r="N107" s="57" t="s">
        <v>4098</v>
      </c>
      <c r="O107" s="57" t="s">
        <v>3476</v>
      </c>
      <c r="P107" s="57" t="s">
        <v>3476</v>
      </c>
      <c r="Q107" s="57" t="s">
        <v>2874</v>
      </c>
      <c r="R107" s="57" t="s">
        <v>3781</v>
      </c>
      <c r="S107" s="57" t="s">
        <v>3782</v>
      </c>
      <c r="T107" s="57" t="s">
        <v>3736</v>
      </c>
      <c r="U107" s="57" t="s">
        <v>3476</v>
      </c>
      <c r="V107" s="57" t="s">
        <v>3469</v>
      </c>
      <c r="W107" s="57" t="s">
        <v>3476</v>
      </c>
      <c r="X107" s="57" t="s">
        <v>4099</v>
      </c>
      <c r="Y107" s="57" t="s">
        <v>3738</v>
      </c>
      <c r="Z107" s="57" t="s">
        <v>3632</v>
      </c>
      <c r="AA107" s="57" t="s">
        <v>3476</v>
      </c>
      <c r="AB107" s="57" t="s">
        <v>3476</v>
      </c>
      <c r="AC107" s="57" t="s">
        <v>3476</v>
      </c>
      <c r="AD107" s="57" t="s">
        <v>3476</v>
      </c>
      <c r="AE107" s="57" t="s">
        <v>3476</v>
      </c>
      <c r="AF107" s="57" t="s">
        <v>3476</v>
      </c>
      <c r="AG107" s="57" t="s">
        <v>3476</v>
      </c>
      <c r="AH107" s="57" t="s">
        <v>3476</v>
      </c>
      <c r="AI107" s="57" t="s">
        <v>3476</v>
      </c>
      <c r="AJ107" s="57" t="s">
        <v>3476</v>
      </c>
      <c r="AK107" s="57" t="s">
        <v>3476</v>
      </c>
      <c r="AL107" s="57" t="s">
        <v>3476</v>
      </c>
      <c r="AM107" s="57" t="s">
        <v>3476</v>
      </c>
      <c r="AN107" s="57" t="s">
        <v>3476</v>
      </c>
      <c r="AO107" s="57" t="s">
        <v>3476</v>
      </c>
      <c r="AP107" s="58">
        <v>45847.6150578704</v>
      </c>
      <c r="AQ107" s="57" t="s">
        <v>3476</v>
      </c>
      <c r="AR107" s="57" t="s">
        <v>3476</v>
      </c>
      <c r="AS107" s="57" t="s">
        <v>3502</v>
      </c>
      <c r="AT107" s="57" t="s">
        <v>3745</v>
      </c>
      <c r="AU107" s="57" t="s">
        <v>3476</v>
      </c>
      <c r="AV107" s="57" t="s">
        <v>3476</v>
      </c>
      <c r="AW107" s="58">
        <v>45847.6094907407</v>
      </c>
      <c r="AX107" s="57" t="s">
        <v>3476</v>
      </c>
      <c r="AY107" s="57" t="s">
        <v>3747</v>
      </c>
      <c r="AZ107" s="57" t="s">
        <v>3476</v>
      </c>
      <c r="BA107" s="57" t="s">
        <v>3476</v>
      </c>
      <c r="BB107" s="57" t="s">
        <v>3476</v>
      </c>
      <c r="BC107" s="57" t="s">
        <v>1787</v>
      </c>
      <c r="BD107" s="57" t="s">
        <v>3659</v>
      </c>
      <c r="BE107" s="57" t="s">
        <v>3787</v>
      </c>
      <c r="BF107" s="57" t="s">
        <v>3749</v>
      </c>
      <c r="BG107" s="57" t="s">
        <v>3476</v>
      </c>
      <c r="BH107" s="57" t="s">
        <v>3476</v>
      </c>
      <c r="BI107" s="57" t="s">
        <v>2809</v>
      </c>
      <c r="BJ107" s="57" t="s">
        <v>3476</v>
      </c>
      <c r="BK107" s="57" t="s">
        <v>3476</v>
      </c>
      <c r="BL107" s="57">
        <v>3557783</v>
      </c>
      <c r="BM107" s="57" t="s">
        <v>4100</v>
      </c>
      <c r="BN107" s="57">
        <v>400</v>
      </c>
      <c r="BO107" s="57" t="s">
        <v>3476</v>
      </c>
      <c r="BP107" s="57" t="s">
        <v>3476</v>
      </c>
      <c r="BQ107" s="57" t="s">
        <v>3476</v>
      </c>
      <c r="BR107" s="57" t="s">
        <v>4101</v>
      </c>
      <c r="BS107" s="57" t="s">
        <v>1292</v>
      </c>
      <c r="BT107" s="57" t="s">
        <v>3476</v>
      </c>
      <c r="BU107" s="57" t="s">
        <v>3476</v>
      </c>
      <c r="BV107" s="57" t="s">
        <v>3753</v>
      </c>
      <c r="BW107" s="57" t="s">
        <v>3476</v>
      </c>
      <c r="BX107" s="57">
        <v>400</v>
      </c>
      <c r="BY107" s="57" t="s">
        <v>3476</v>
      </c>
      <c r="BZ107" s="57" t="s">
        <v>3476</v>
      </c>
      <c r="CA107" s="57" t="s">
        <v>3476</v>
      </c>
      <c r="CB107" s="57" t="s">
        <v>3476</v>
      </c>
      <c r="CC107" s="57" t="s">
        <v>3476</v>
      </c>
      <c r="CD107" s="57" t="s">
        <v>3476</v>
      </c>
    </row>
    <row r="108" spans="1:82">
      <c r="A108" s="57">
        <v>16518</v>
      </c>
      <c r="B108" s="57" t="s">
        <v>3476</v>
      </c>
      <c r="C108" s="57" t="s">
        <v>4096</v>
      </c>
      <c r="D108" s="57" t="s">
        <v>3476</v>
      </c>
      <c r="E108" s="57" t="s">
        <v>3730</v>
      </c>
      <c r="F108" s="57" t="s">
        <v>4097</v>
      </c>
      <c r="G108" s="57" t="s">
        <v>721</v>
      </c>
      <c r="H108" s="57" t="s">
        <v>2874</v>
      </c>
      <c r="I108" s="57">
        <v>56524.4</v>
      </c>
      <c r="J108" s="57" t="s">
        <v>3476</v>
      </c>
      <c r="K108" s="57" t="s">
        <v>3476</v>
      </c>
      <c r="L108" s="57" t="s">
        <v>3730</v>
      </c>
      <c r="M108" s="57" t="s">
        <v>4098</v>
      </c>
      <c r="N108" s="57" t="s">
        <v>4098</v>
      </c>
      <c r="O108" s="57" t="s">
        <v>3476</v>
      </c>
      <c r="P108" s="57" t="s">
        <v>3476</v>
      </c>
      <c r="Q108" s="57" t="s">
        <v>2874</v>
      </c>
      <c r="R108" s="57" t="s">
        <v>3781</v>
      </c>
      <c r="S108" s="57" t="s">
        <v>3782</v>
      </c>
      <c r="T108" s="57" t="s">
        <v>3736</v>
      </c>
      <c r="U108" s="57" t="s">
        <v>3476</v>
      </c>
      <c r="V108" s="57" t="s">
        <v>3469</v>
      </c>
      <c r="W108" s="57" t="s">
        <v>3476</v>
      </c>
      <c r="X108" s="57" t="s">
        <v>4099</v>
      </c>
      <c r="Y108" s="57" t="s">
        <v>3738</v>
      </c>
      <c r="Z108" s="57" t="s">
        <v>3632</v>
      </c>
      <c r="AA108" s="57" t="s">
        <v>3476</v>
      </c>
      <c r="AB108" s="57" t="s">
        <v>3476</v>
      </c>
      <c r="AC108" s="57" t="s">
        <v>3476</v>
      </c>
      <c r="AD108" s="57" t="s">
        <v>3476</v>
      </c>
      <c r="AE108" s="57" t="s">
        <v>3476</v>
      </c>
      <c r="AF108" s="57" t="s">
        <v>3476</v>
      </c>
      <c r="AG108" s="57" t="s">
        <v>3476</v>
      </c>
      <c r="AH108" s="57" t="s">
        <v>3476</v>
      </c>
      <c r="AI108" s="57" t="s">
        <v>3476</v>
      </c>
      <c r="AJ108" s="57" t="s">
        <v>3476</v>
      </c>
      <c r="AK108" s="57" t="s">
        <v>3476</v>
      </c>
      <c r="AL108" s="57" t="s">
        <v>3476</v>
      </c>
      <c r="AM108" s="57" t="s">
        <v>3476</v>
      </c>
      <c r="AN108" s="57" t="s">
        <v>3476</v>
      </c>
      <c r="AO108" s="57" t="s">
        <v>3476</v>
      </c>
      <c r="AP108" s="58">
        <v>45847.6150578704</v>
      </c>
      <c r="AQ108" s="57" t="s">
        <v>3476</v>
      </c>
      <c r="AR108" s="57" t="s">
        <v>3476</v>
      </c>
      <c r="AS108" s="57" t="s">
        <v>3502</v>
      </c>
      <c r="AT108" s="57" t="s">
        <v>3745</v>
      </c>
      <c r="AU108" s="57" t="s">
        <v>3476</v>
      </c>
      <c r="AV108" s="57" t="s">
        <v>3476</v>
      </c>
      <c r="AW108" s="58">
        <v>45847.6094907407</v>
      </c>
      <c r="AX108" s="57" t="s">
        <v>3476</v>
      </c>
      <c r="AY108" s="57" t="s">
        <v>3747</v>
      </c>
      <c r="AZ108" s="57" t="s">
        <v>3476</v>
      </c>
      <c r="BA108" s="57" t="s">
        <v>3476</v>
      </c>
      <c r="BB108" s="57" t="s">
        <v>3476</v>
      </c>
      <c r="BC108" s="57" t="s">
        <v>1787</v>
      </c>
      <c r="BD108" s="57" t="s">
        <v>3659</v>
      </c>
      <c r="BE108" s="57" t="s">
        <v>3787</v>
      </c>
      <c r="BF108" s="57" t="s">
        <v>3749</v>
      </c>
      <c r="BG108" s="57" t="s">
        <v>3476</v>
      </c>
      <c r="BH108" s="57" t="s">
        <v>3476</v>
      </c>
      <c r="BI108" s="57" t="s">
        <v>2809</v>
      </c>
      <c r="BJ108" s="57" t="s">
        <v>3476</v>
      </c>
      <c r="BK108" s="57" t="s">
        <v>3476</v>
      </c>
      <c r="BL108" s="57">
        <v>3557782</v>
      </c>
      <c r="BM108" s="57" t="s">
        <v>4100</v>
      </c>
      <c r="BN108" s="57">
        <v>12</v>
      </c>
      <c r="BO108" s="57" t="s">
        <v>3476</v>
      </c>
      <c r="BP108" s="57" t="s">
        <v>3476</v>
      </c>
      <c r="BQ108" s="57" t="s">
        <v>3476</v>
      </c>
      <c r="BR108" s="57" t="s">
        <v>4101</v>
      </c>
      <c r="BS108" s="57" t="s">
        <v>1292</v>
      </c>
      <c r="BT108" s="57" t="s">
        <v>3476</v>
      </c>
      <c r="BU108" s="57" t="s">
        <v>3476</v>
      </c>
      <c r="BV108" s="57" t="s">
        <v>3753</v>
      </c>
      <c r="BW108" s="57" t="s">
        <v>3476</v>
      </c>
      <c r="BX108" s="57">
        <v>12</v>
      </c>
      <c r="BY108" s="57" t="s">
        <v>3476</v>
      </c>
      <c r="BZ108" s="57" t="s">
        <v>3476</v>
      </c>
      <c r="CA108" s="57" t="s">
        <v>3476</v>
      </c>
      <c r="CB108" s="57" t="s">
        <v>3476</v>
      </c>
      <c r="CC108" s="57" t="s">
        <v>3476</v>
      </c>
      <c r="CD108" s="57" t="s">
        <v>3476</v>
      </c>
    </row>
    <row r="109" spans="1:82">
      <c r="A109" s="57">
        <v>16519</v>
      </c>
      <c r="B109" s="57" t="s">
        <v>3476</v>
      </c>
      <c r="C109" s="57" t="s">
        <v>4096</v>
      </c>
      <c r="D109" s="57" t="s">
        <v>3476</v>
      </c>
      <c r="E109" s="57" t="s">
        <v>3730</v>
      </c>
      <c r="F109" s="57" t="s">
        <v>4097</v>
      </c>
      <c r="G109" s="57" t="s">
        <v>721</v>
      </c>
      <c r="H109" s="57" t="s">
        <v>2874</v>
      </c>
      <c r="I109" s="57">
        <v>56524.4</v>
      </c>
      <c r="J109" s="57" t="s">
        <v>3476</v>
      </c>
      <c r="K109" s="57" t="s">
        <v>3476</v>
      </c>
      <c r="L109" s="57" t="s">
        <v>3730</v>
      </c>
      <c r="M109" s="57" t="s">
        <v>4098</v>
      </c>
      <c r="N109" s="57" t="s">
        <v>4098</v>
      </c>
      <c r="O109" s="57" t="s">
        <v>3476</v>
      </c>
      <c r="P109" s="57" t="s">
        <v>3476</v>
      </c>
      <c r="Q109" s="57" t="s">
        <v>2874</v>
      </c>
      <c r="R109" s="57" t="s">
        <v>3781</v>
      </c>
      <c r="S109" s="57" t="s">
        <v>3782</v>
      </c>
      <c r="T109" s="57" t="s">
        <v>3736</v>
      </c>
      <c r="U109" s="57" t="s">
        <v>3476</v>
      </c>
      <c r="V109" s="57" t="s">
        <v>3469</v>
      </c>
      <c r="W109" s="57" t="s">
        <v>3476</v>
      </c>
      <c r="X109" s="57" t="s">
        <v>4099</v>
      </c>
      <c r="Y109" s="57" t="s">
        <v>3738</v>
      </c>
      <c r="Z109" s="57" t="s">
        <v>3632</v>
      </c>
      <c r="AA109" s="57" t="s">
        <v>3476</v>
      </c>
      <c r="AB109" s="57" t="s">
        <v>3476</v>
      </c>
      <c r="AC109" s="57" t="s">
        <v>3476</v>
      </c>
      <c r="AD109" s="57" t="s">
        <v>3476</v>
      </c>
      <c r="AE109" s="57" t="s">
        <v>3476</v>
      </c>
      <c r="AF109" s="57" t="s">
        <v>3476</v>
      </c>
      <c r="AG109" s="57" t="s">
        <v>3476</v>
      </c>
      <c r="AH109" s="57" t="s">
        <v>3476</v>
      </c>
      <c r="AI109" s="57" t="s">
        <v>3476</v>
      </c>
      <c r="AJ109" s="57" t="s">
        <v>3476</v>
      </c>
      <c r="AK109" s="57" t="s">
        <v>3476</v>
      </c>
      <c r="AL109" s="57" t="s">
        <v>3476</v>
      </c>
      <c r="AM109" s="57" t="s">
        <v>3476</v>
      </c>
      <c r="AN109" s="57" t="s">
        <v>3476</v>
      </c>
      <c r="AO109" s="57" t="s">
        <v>3476</v>
      </c>
      <c r="AP109" s="58">
        <v>45847.6150578704</v>
      </c>
      <c r="AQ109" s="57" t="s">
        <v>3476</v>
      </c>
      <c r="AR109" s="57" t="s">
        <v>3476</v>
      </c>
      <c r="AS109" s="57" t="s">
        <v>3502</v>
      </c>
      <c r="AT109" s="57" t="s">
        <v>3745</v>
      </c>
      <c r="AU109" s="57" t="s">
        <v>3476</v>
      </c>
      <c r="AV109" s="57" t="s">
        <v>3476</v>
      </c>
      <c r="AW109" s="58">
        <v>45847.6094907407</v>
      </c>
      <c r="AX109" s="57" t="s">
        <v>3476</v>
      </c>
      <c r="AY109" s="57" t="s">
        <v>3747</v>
      </c>
      <c r="AZ109" s="57" t="s">
        <v>3476</v>
      </c>
      <c r="BA109" s="57" t="s">
        <v>3476</v>
      </c>
      <c r="BB109" s="57" t="s">
        <v>3476</v>
      </c>
      <c r="BC109" s="57" t="s">
        <v>1787</v>
      </c>
      <c r="BD109" s="57" t="s">
        <v>3659</v>
      </c>
      <c r="BE109" s="57" t="s">
        <v>3787</v>
      </c>
      <c r="BF109" s="57" t="s">
        <v>3749</v>
      </c>
      <c r="BG109" s="57" t="s">
        <v>3476</v>
      </c>
      <c r="BH109" s="57" t="s">
        <v>3476</v>
      </c>
      <c r="BI109" s="57" t="s">
        <v>2809</v>
      </c>
      <c r="BJ109" s="57" t="s">
        <v>3476</v>
      </c>
      <c r="BK109" s="57" t="s">
        <v>3476</v>
      </c>
      <c r="BL109" s="57">
        <v>3557781</v>
      </c>
      <c r="BM109" s="57" t="s">
        <v>4100</v>
      </c>
      <c r="BN109" s="57">
        <v>10</v>
      </c>
      <c r="BO109" s="57" t="s">
        <v>3476</v>
      </c>
      <c r="BP109" s="57" t="s">
        <v>3476</v>
      </c>
      <c r="BQ109" s="57" t="s">
        <v>3476</v>
      </c>
      <c r="BR109" s="57" t="s">
        <v>4101</v>
      </c>
      <c r="BS109" s="57" t="s">
        <v>1292</v>
      </c>
      <c r="BT109" s="57" t="s">
        <v>3476</v>
      </c>
      <c r="BU109" s="57" t="s">
        <v>3476</v>
      </c>
      <c r="BV109" s="57" t="s">
        <v>3753</v>
      </c>
      <c r="BW109" s="57" t="s">
        <v>3476</v>
      </c>
      <c r="BX109" s="57">
        <v>10</v>
      </c>
      <c r="BY109" s="57" t="s">
        <v>3476</v>
      </c>
      <c r="BZ109" s="57" t="s">
        <v>3476</v>
      </c>
      <c r="CA109" s="57" t="s">
        <v>3476</v>
      </c>
      <c r="CB109" s="57" t="s">
        <v>3476</v>
      </c>
      <c r="CC109" s="57" t="s">
        <v>3476</v>
      </c>
      <c r="CD109" s="57" t="s">
        <v>3476</v>
      </c>
    </row>
    <row r="110" spans="1:82">
      <c r="A110" s="57">
        <v>16520</v>
      </c>
      <c r="B110" s="57" t="s">
        <v>3476</v>
      </c>
      <c r="C110" s="57" t="s">
        <v>4096</v>
      </c>
      <c r="D110" s="57" t="s">
        <v>3476</v>
      </c>
      <c r="E110" s="57" t="s">
        <v>3730</v>
      </c>
      <c r="F110" s="57" t="s">
        <v>4097</v>
      </c>
      <c r="G110" s="57" t="s">
        <v>721</v>
      </c>
      <c r="H110" s="57" t="s">
        <v>2874</v>
      </c>
      <c r="I110" s="57">
        <v>56524.4</v>
      </c>
      <c r="J110" s="57" t="s">
        <v>3476</v>
      </c>
      <c r="K110" s="57" t="s">
        <v>3476</v>
      </c>
      <c r="L110" s="57" t="s">
        <v>3730</v>
      </c>
      <c r="M110" s="57" t="s">
        <v>4098</v>
      </c>
      <c r="N110" s="57" t="s">
        <v>4098</v>
      </c>
      <c r="O110" s="57" t="s">
        <v>3476</v>
      </c>
      <c r="P110" s="57" t="s">
        <v>3476</v>
      </c>
      <c r="Q110" s="57" t="s">
        <v>2874</v>
      </c>
      <c r="R110" s="57" t="s">
        <v>3781</v>
      </c>
      <c r="S110" s="57" t="s">
        <v>3782</v>
      </c>
      <c r="T110" s="57" t="s">
        <v>3736</v>
      </c>
      <c r="U110" s="57" t="s">
        <v>3476</v>
      </c>
      <c r="V110" s="57" t="s">
        <v>3469</v>
      </c>
      <c r="W110" s="57" t="s">
        <v>3476</v>
      </c>
      <c r="X110" s="57" t="s">
        <v>4099</v>
      </c>
      <c r="Y110" s="57" t="s">
        <v>3738</v>
      </c>
      <c r="Z110" s="57" t="s">
        <v>3632</v>
      </c>
      <c r="AA110" s="57" t="s">
        <v>3476</v>
      </c>
      <c r="AB110" s="57" t="s">
        <v>3476</v>
      </c>
      <c r="AC110" s="57" t="s">
        <v>3476</v>
      </c>
      <c r="AD110" s="57" t="s">
        <v>3476</v>
      </c>
      <c r="AE110" s="57" t="s">
        <v>3476</v>
      </c>
      <c r="AF110" s="57" t="s">
        <v>3476</v>
      </c>
      <c r="AG110" s="57" t="s">
        <v>3476</v>
      </c>
      <c r="AH110" s="57" t="s">
        <v>3476</v>
      </c>
      <c r="AI110" s="57" t="s">
        <v>3476</v>
      </c>
      <c r="AJ110" s="57" t="s">
        <v>3476</v>
      </c>
      <c r="AK110" s="57" t="s">
        <v>3476</v>
      </c>
      <c r="AL110" s="57" t="s">
        <v>3476</v>
      </c>
      <c r="AM110" s="57" t="s">
        <v>3476</v>
      </c>
      <c r="AN110" s="57" t="s">
        <v>3476</v>
      </c>
      <c r="AO110" s="57" t="s">
        <v>3476</v>
      </c>
      <c r="AP110" s="58">
        <v>45847.6150578704</v>
      </c>
      <c r="AQ110" s="57" t="s">
        <v>3476</v>
      </c>
      <c r="AR110" s="57" t="s">
        <v>3476</v>
      </c>
      <c r="AS110" s="57" t="s">
        <v>3502</v>
      </c>
      <c r="AT110" s="57" t="s">
        <v>3745</v>
      </c>
      <c r="AU110" s="57" t="s">
        <v>3476</v>
      </c>
      <c r="AV110" s="57" t="s">
        <v>3476</v>
      </c>
      <c r="AW110" s="58">
        <v>45847.6094907407</v>
      </c>
      <c r="AX110" s="57" t="s">
        <v>3476</v>
      </c>
      <c r="AY110" s="57" t="s">
        <v>3747</v>
      </c>
      <c r="AZ110" s="57" t="s">
        <v>3476</v>
      </c>
      <c r="BA110" s="57" t="s">
        <v>3476</v>
      </c>
      <c r="BB110" s="57" t="s">
        <v>3476</v>
      </c>
      <c r="BC110" s="57" t="s">
        <v>1787</v>
      </c>
      <c r="BD110" s="57" t="s">
        <v>3659</v>
      </c>
      <c r="BE110" s="57" t="s">
        <v>3787</v>
      </c>
      <c r="BF110" s="57" t="s">
        <v>3749</v>
      </c>
      <c r="BG110" s="57" t="s">
        <v>3476</v>
      </c>
      <c r="BH110" s="57" t="s">
        <v>3476</v>
      </c>
      <c r="BI110" s="57" t="s">
        <v>2809</v>
      </c>
      <c r="BJ110" s="57" t="s">
        <v>3476</v>
      </c>
      <c r="BK110" s="57" t="s">
        <v>3476</v>
      </c>
      <c r="BL110" s="57">
        <v>3557780</v>
      </c>
      <c r="BM110" s="57" t="s">
        <v>4100</v>
      </c>
      <c r="BN110" s="57">
        <v>175</v>
      </c>
      <c r="BO110" s="57" t="s">
        <v>3476</v>
      </c>
      <c r="BP110" s="57" t="s">
        <v>3476</v>
      </c>
      <c r="BQ110" s="57" t="s">
        <v>3476</v>
      </c>
      <c r="BR110" s="57" t="s">
        <v>4101</v>
      </c>
      <c r="BS110" s="57" t="s">
        <v>1292</v>
      </c>
      <c r="BT110" s="57" t="s">
        <v>3476</v>
      </c>
      <c r="BU110" s="57" t="s">
        <v>3476</v>
      </c>
      <c r="BV110" s="57" t="s">
        <v>3753</v>
      </c>
      <c r="BW110" s="57" t="s">
        <v>3476</v>
      </c>
      <c r="BX110" s="57">
        <v>175</v>
      </c>
      <c r="BY110" s="57" t="s">
        <v>3476</v>
      </c>
      <c r="BZ110" s="57" t="s">
        <v>3476</v>
      </c>
      <c r="CA110" s="57" t="s">
        <v>3476</v>
      </c>
      <c r="CB110" s="57" t="s">
        <v>3476</v>
      </c>
      <c r="CC110" s="57" t="s">
        <v>3476</v>
      </c>
      <c r="CD110" s="57" t="s">
        <v>3476</v>
      </c>
    </row>
    <row r="111" spans="1:82">
      <c r="A111" s="57">
        <v>16521</v>
      </c>
      <c r="B111" s="57" t="s">
        <v>3476</v>
      </c>
      <c r="C111" s="57" t="s">
        <v>4096</v>
      </c>
      <c r="D111" s="57" t="s">
        <v>3476</v>
      </c>
      <c r="E111" s="57" t="s">
        <v>3730</v>
      </c>
      <c r="F111" s="57" t="s">
        <v>4097</v>
      </c>
      <c r="G111" s="57" t="s">
        <v>721</v>
      </c>
      <c r="H111" s="57" t="s">
        <v>2874</v>
      </c>
      <c r="I111" s="57">
        <v>56524.4</v>
      </c>
      <c r="J111" s="57" t="s">
        <v>3476</v>
      </c>
      <c r="K111" s="57" t="s">
        <v>3476</v>
      </c>
      <c r="L111" s="57" t="s">
        <v>3730</v>
      </c>
      <c r="M111" s="57" t="s">
        <v>4098</v>
      </c>
      <c r="N111" s="57" t="s">
        <v>4098</v>
      </c>
      <c r="O111" s="57" t="s">
        <v>3476</v>
      </c>
      <c r="P111" s="57" t="s">
        <v>3476</v>
      </c>
      <c r="Q111" s="57" t="s">
        <v>2874</v>
      </c>
      <c r="R111" s="57" t="s">
        <v>3781</v>
      </c>
      <c r="S111" s="57" t="s">
        <v>3782</v>
      </c>
      <c r="T111" s="57" t="s">
        <v>3736</v>
      </c>
      <c r="U111" s="57" t="s">
        <v>3476</v>
      </c>
      <c r="V111" s="57" t="s">
        <v>3469</v>
      </c>
      <c r="W111" s="57" t="s">
        <v>3476</v>
      </c>
      <c r="X111" s="57" t="s">
        <v>4099</v>
      </c>
      <c r="Y111" s="57" t="s">
        <v>3738</v>
      </c>
      <c r="Z111" s="57" t="s">
        <v>3632</v>
      </c>
      <c r="AA111" s="57" t="s">
        <v>3476</v>
      </c>
      <c r="AB111" s="57" t="s">
        <v>3476</v>
      </c>
      <c r="AC111" s="57" t="s">
        <v>3476</v>
      </c>
      <c r="AD111" s="57" t="s">
        <v>3476</v>
      </c>
      <c r="AE111" s="57" t="s">
        <v>3476</v>
      </c>
      <c r="AF111" s="57" t="s">
        <v>3476</v>
      </c>
      <c r="AG111" s="57" t="s">
        <v>3476</v>
      </c>
      <c r="AH111" s="57" t="s">
        <v>3476</v>
      </c>
      <c r="AI111" s="57" t="s">
        <v>3476</v>
      </c>
      <c r="AJ111" s="57" t="s">
        <v>3476</v>
      </c>
      <c r="AK111" s="57" t="s">
        <v>3476</v>
      </c>
      <c r="AL111" s="57" t="s">
        <v>3476</v>
      </c>
      <c r="AM111" s="57" t="s">
        <v>3476</v>
      </c>
      <c r="AN111" s="57" t="s">
        <v>3476</v>
      </c>
      <c r="AO111" s="57" t="s">
        <v>3476</v>
      </c>
      <c r="AP111" s="58">
        <v>45847.6150578704</v>
      </c>
      <c r="AQ111" s="57" t="s">
        <v>3476</v>
      </c>
      <c r="AR111" s="57" t="s">
        <v>3476</v>
      </c>
      <c r="AS111" s="57" t="s">
        <v>3502</v>
      </c>
      <c r="AT111" s="57" t="s">
        <v>3745</v>
      </c>
      <c r="AU111" s="57" t="s">
        <v>3476</v>
      </c>
      <c r="AV111" s="57" t="s">
        <v>3476</v>
      </c>
      <c r="AW111" s="58">
        <v>45847.6094907407</v>
      </c>
      <c r="AX111" s="57" t="s">
        <v>3476</v>
      </c>
      <c r="AY111" s="57" t="s">
        <v>3747</v>
      </c>
      <c r="AZ111" s="57" t="s">
        <v>3476</v>
      </c>
      <c r="BA111" s="57" t="s">
        <v>3476</v>
      </c>
      <c r="BB111" s="57" t="s">
        <v>3476</v>
      </c>
      <c r="BC111" s="57" t="s">
        <v>3793</v>
      </c>
      <c r="BD111" s="57" t="s">
        <v>3659</v>
      </c>
      <c r="BE111" s="57" t="s">
        <v>3787</v>
      </c>
      <c r="BF111" s="57" t="s">
        <v>3749</v>
      </c>
      <c r="BG111" s="57" t="s">
        <v>3476</v>
      </c>
      <c r="BH111" s="57" t="s">
        <v>3476</v>
      </c>
      <c r="BI111" s="57" t="s">
        <v>2809</v>
      </c>
      <c r="BJ111" s="57" t="s">
        <v>3476</v>
      </c>
      <c r="BK111" s="57" t="s">
        <v>3476</v>
      </c>
      <c r="BL111" s="57">
        <v>3557787</v>
      </c>
      <c r="BM111" s="57" t="s">
        <v>4100</v>
      </c>
      <c r="BN111" s="57">
        <v>105</v>
      </c>
      <c r="BO111" s="57" t="s">
        <v>3476</v>
      </c>
      <c r="BP111" s="57" t="s">
        <v>3476</v>
      </c>
      <c r="BQ111" s="57" t="s">
        <v>3476</v>
      </c>
      <c r="BR111" s="57" t="s">
        <v>4101</v>
      </c>
      <c r="BS111" s="57" t="s">
        <v>1292</v>
      </c>
      <c r="BT111" s="57" t="s">
        <v>3476</v>
      </c>
      <c r="BU111" s="57" t="s">
        <v>3476</v>
      </c>
      <c r="BV111" s="57" t="s">
        <v>3753</v>
      </c>
      <c r="BW111" s="57" t="s">
        <v>3476</v>
      </c>
      <c r="BX111" s="57">
        <v>105</v>
      </c>
      <c r="BY111" s="57" t="s">
        <v>3476</v>
      </c>
      <c r="BZ111" s="57" t="s">
        <v>3476</v>
      </c>
      <c r="CA111" s="57" t="s">
        <v>3476</v>
      </c>
      <c r="CB111" s="57" t="s">
        <v>3476</v>
      </c>
      <c r="CC111" s="57" t="s">
        <v>3476</v>
      </c>
      <c r="CD111" s="57" t="s">
        <v>3476</v>
      </c>
    </row>
    <row r="112" spans="1:82">
      <c r="A112" s="57">
        <v>16522</v>
      </c>
      <c r="B112" s="57" t="s">
        <v>3476</v>
      </c>
      <c r="C112" s="57" t="s">
        <v>4096</v>
      </c>
      <c r="D112" s="57" t="s">
        <v>3476</v>
      </c>
      <c r="E112" s="57" t="s">
        <v>3730</v>
      </c>
      <c r="F112" s="57" t="s">
        <v>4097</v>
      </c>
      <c r="G112" s="57" t="s">
        <v>721</v>
      </c>
      <c r="H112" s="57" t="s">
        <v>2874</v>
      </c>
      <c r="I112" s="57">
        <v>56524.4</v>
      </c>
      <c r="J112" s="57" t="s">
        <v>3476</v>
      </c>
      <c r="K112" s="57" t="s">
        <v>3476</v>
      </c>
      <c r="L112" s="57" t="s">
        <v>3730</v>
      </c>
      <c r="M112" s="57" t="s">
        <v>4098</v>
      </c>
      <c r="N112" s="57" t="s">
        <v>4098</v>
      </c>
      <c r="O112" s="57" t="s">
        <v>3476</v>
      </c>
      <c r="P112" s="57" t="s">
        <v>3476</v>
      </c>
      <c r="Q112" s="57" t="s">
        <v>2874</v>
      </c>
      <c r="R112" s="57" t="s">
        <v>3781</v>
      </c>
      <c r="S112" s="57" t="s">
        <v>3782</v>
      </c>
      <c r="T112" s="57" t="s">
        <v>3736</v>
      </c>
      <c r="U112" s="57" t="s">
        <v>3476</v>
      </c>
      <c r="V112" s="57" t="s">
        <v>3469</v>
      </c>
      <c r="W112" s="57" t="s">
        <v>3476</v>
      </c>
      <c r="X112" s="57" t="s">
        <v>4099</v>
      </c>
      <c r="Y112" s="57" t="s">
        <v>3738</v>
      </c>
      <c r="Z112" s="57" t="s">
        <v>3632</v>
      </c>
      <c r="AA112" s="57" t="s">
        <v>3476</v>
      </c>
      <c r="AB112" s="57" t="s">
        <v>3476</v>
      </c>
      <c r="AC112" s="57" t="s">
        <v>3476</v>
      </c>
      <c r="AD112" s="57" t="s">
        <v>3476</v>
      </c>
      <c r="AE112" s="57" t="s">
        <v>3476</v>
      </c>
      <c r="AF112" s="57" t="s">
        <v>3476</v>
      </c>
      <c r="AG112" s="57" t="s">
        <v>3476</v>
      </c>
      <c r="AH112" s="57" t="s">
        <v>3476</v>
      </c>
      <c r="AI112" s="57" t="s">
        <v>3476</v>
      </c>
      <c r="AJ112" s="57" t="s">
        <v>3476</v>
      </c>
      <c r="AK112" s="57" t="s">
        <v>3476</v>
      </c>
      <c r="AL112" s="57" t="s">
        <v>3476</v>
      </c>
      <c r="AM112" s="57" t="s">
        <v>3476</v>
      </c>
      <c r="AN112" s="57" t="s">
        <v>3476</v>
      </c>
      <c r="AO112" s="57" t="s">
        <v>3476</v>
      </c>
      <c r="AP112" s="58">
        <v>45847.6150578704</v>
      </c>
      <c r="AQ112" s="57" t="s">
        <v>3476</v>
      </c>
      <c r="AR112" s="57" t="s">
        <v>3476</v>
      </c>
      <c r="AS112" s="57" t="s">
        <v>3502</v>
      </c>
      <c r="AT112" s="57" t="s">
        <v>3745</v>
      </c>
      <c r="AU112" s="57" t="s">
        <v>3476</v>
      </c>
      <c r="AV112" s="57" t="s">
        <v>3476</v>
      </c>
      <c r="AW112" s="58">
        <v>45847.6094907407</v>
      </c>
      <c r="AX112" s="57" t="s">
        <v>3476</v>
      </c>
      <c r="AY112" s="57" t="s">
        <v>3747</v>
      </c>
      <c r="AZ112" s="57" t="s">
        <v>3476</v>
      </c>
      <c r="BA112" s="57" t="s">
        <v>3476</v>
      </c>
      <c r="BB112" s="57" t="s">
        <v>3476</v>
      </c>
      <c r="BC112" s="57" t="s">
        <v>3792</v>
      </c>
      <c r="BD112" s="57" t="s">
        <v>3659</v>
      </c>
      <c r="BE112" s="57" t="s">
        <v>3787</v>
      </c>
      <c r="BF112" s="57" t="s">
        <v>3749</v>
      </c>
      <c r="BG112" s="57" t="s">
        <v>3476</v>
      </c>
      <c r="BH112" s="57" t="s">
        <v>3476</v>
      </c>
      <c r="BI112" s="57" t="s">
        <v>2809</v>
      </c>
      <c r="BJ112" s="57" t="s">
        <v>3476</v>
      </c>
      <c r="BK112" s="57" t="s">
        <v>3476</v>
      </c>
      <c r="BL112" s="57">
        <v>3557786</v>
      </c>
      <c r="BM112" s="57" t="s">
        <v>4100</v>
      </c>
      <c r="BN112" s="57">
        <v>33.5</v>
      </c>
      <c r="BO112" s="57" t="s">
        <v>3476</v>
      </c>
      <c r="BP112" s="57" t="s">
        <v>3476</v>
      </c>
      <c r="BQ112" s="57" t="s">
        <v>3476</v>
      </c>
      <c r="BR112" s="57" t="s">
        <v>4101</v>
      </c>
      <c r="BS112" s="57" t="s">
        <v>1292</v>
      </c>
      <c r="BT112" s="57" t="s">
        <v>3476</v>
      </c>
      <c r="BU112" s="57" t="s">
        <v>3476</v>
      </c>
      <c r="BV112" s="57" t="s">
        <v>3753</v>
      </c>
      <c r="BW112" s="57" t="s">
        <v>3476</v>
      </c>
      <c r="BX112" s="57">
        <v>33.5</v>
      </c>
      <c r="BY112" s="57" t="s">
        <v>3476</v>
      </c>
      <c r="BZ112" s="57" t="s">
        <v>3476</v>
      </c>
      <c r="CA112" s="57" t="s">
        <v>3476</v>
      </c>
      <c r="CB112" s="57" t="s">
        <v>3476</v>
      </c>
      <c r="CC112" s="57" t="s">
        <v>3476</v>
      </c>
      <c r="CD112" s="57" t="s">
        <v>3476</v>
      </c>
    </row>
    <row r="113" spans="1:82">
      <c r="A113" s="57">
        <v>16523</v>
      </c>
      <c r="B113" s="57" t="s">
        <v>3476</v>
      </c>
      <c r="C113" s="57" t="s">
        <v>4096</v>
      </c>
      <c r="D113" s="57" t="s">
        <v>3476</v>
      </c>
      <c r="E113" s="57" t="s">
        <v>3730</v>
      </c>
      <c r="F113" s="57" t="s">
        <v>4097</v>
      </c>
      <c r="G113" s="57" t="s">
        <v>721</v>
      </c>
      <c r="H113" s="57" t="s">
        <v>2874</v>
      </c>
      <c r="I113" s="57">
        <v>56524.4</v>
      </c>
      <c r="J113" s="57" t="s">
        <v>3476</v>
      </c>
      <c r="K113" s="57" t="s">
        <v>3476</v>
      </c>
      <c r="L113" s="57" t="s">
        <v>3730</v>
      </c>
      <c r="M113" s="57" t="s">
        <v>4098</v>
      </c>
      <c r="N113" s="57" t="s">
        <v>4098</v>
      </c>
      <c r="O113" s="57" t="s">
        <v>3476</v>
      </c>
      <c r="P113" s="57" t="s">
        <v>3476</v>
      </c>
      <c r="Q113" s="57" t="s">
        <v>2874</v>
      </c>
      <c r="R113" s="57" t="s">
        <v>3781</v>
      </c>
      <c r="S113" s="57" t="s">
        <v>3782</v>
      </c>
      <c r="T113" s="57" t="s">
        <v>3736</v>
      </c>
      <c r="U113" s="57" t="s">
        <v>3476</v>
      </c>
      <c r="V113" s="57" t="s">
        <v>3469</v>
      </c>
      <c r="W113" s="57" t="s">
        <v>3476</v>
      </c>
      <c r="X113" s="57" t="s">
        <v>4099</v>
      </c>
      <c r="Y113" s="57" t="s">
        <v>3738</v>
      </c>
      <c r="Z113" s="57" t="s">
        <v>3632</v>
      </c>
      <c r="AA113" s="57" t="s">
        <v>3476</v>
      </c>
      <c r="AB113" s="57" t="s">
        <v>3476</v>
      </c>
      <c r="AC113" s="57" t="s">
        <v>3476</v>
      </c>
      <c r="AD113" s="57" t="s">
        <v>3476</v>
      </c>
      <c r="AE113" s="57" t="s">
        <v>3476</v>
      </c>
      <c r="AF113" s="57" t="s">
        <v>3476</v>
      </c>
      <c r="AG113" s="57" t="s">
        <v>3476</v>
      </c>
      <c r="AH113" s="57" t="s">
        <v>3476</v>
      </c>
      <c r="AI113" s="57" t="s">
        <v>3476</v>
      </c>
      <c r="AJ113" s="57" t="s">
        <v>3476</v>
      </c>
      <c r="AK113" s="57" t="s">
        <v>3476</v>
      </c>
      <c r="AL113" s="57" t="s">
        <v>3476</v>
      </c>
      <c r="AM113" s="57" t="s">
        <v>3476</v>
      </c>
      <c r="AN113" s="57" t="s">
        <v>3476</v>
      </c>
      <c r="AO113" s="57" t="s">
        <v>3476</v>
      </c>
      <c r="AP113" s="58">
        <v>45847.6150578704</v>
      </c>
      <c r="AQ113" s="57" t="s">
        <v>3476</v>
      </c>
      <c r="AR113" s="57" t="s">
        <v>3476</v>
      </c>
      <c r="AS113" s="57" t="s">
        <v>3502</v>
      </c>
      <c r="AT113" s="57" t="s">
        <v>3745</v>
      </c>
      <c r="AU113" s="57" t="s">
        <v>3476</v>
      </c>
      <c r="AV113" s="57" t="s">
        <v>3476</v>
      </c>
      <c r="AW113" s="58">
        <v>45847.6094907407</v>
      </c>
      <c r="AX113" s="57" t="s">
        <v>3476</v>
      </c>
      <c r="AY113" s="57" t="s">
        <v>3747</v>
      </c>
      <c r="AZ113" s="57" t="s">
        <v>3476</v>
      </c>
      <c r="BA113" s="57" t="s">
        <v>3476</v>
      </c>
      <c r="BB113" s="57" t="s">
        <v>3476</v>
      </c>
      <c r="BC113" s="57" t="s">
        <v>1787</v>
      </c>
      <c r="BD113" s="57" t="s">
        <v>3659</v>
      </c>
      <c r="BE113" s="57" t="s">
        <v>3787</v>
      </c>
      <c r="BF113" s="57" t="s">
        <v>3749</v>
      </c>
      <c r="BG113" s="57" t="s">
        <v>3476</v>
      </c>
      <c r="BH113" s="57" t="s">
        <v>3476</v>
      </c>
      <c r="BI113" s="57" t="s">
        <v>2809</v>
      </c>
      <c r="BJ113" s="57" t="s">
        <v>3476</v>
      </c>
      <c r="BK113" s="57" t="s">
        <v>3476</v>
      </c>
      <c r="BL113" s="57">
        <v>3557785</v>
      </c>
      <c r="BM113" s="57" t="s">
        <v>4100</v>
      </c>
      <c r="BN113" s="57">
        <v>20</v>
      </c>
      <c r="BO113" s="57" t="s">
        <v>3476</v>
      </c>
      <c r="BP113" s="57" t="s">
        <v>3476</v>
      </c>
      <c r="BQ113" s="57" t="s">
        <v>3476</v>
      </c>
      <c r="BR113" s="57" t="s">
        <v>4101</v>
      </c>
      <c r="BS113" s="57" t="s">
        <v>1292</v>
      </c>
      <c r="BT113" s="57" t="s">
        <v>3476</v>
      </c>
      <c r="BU113" s="57" t="s">
        <v>3476</v>
      </c>
      <c r="BV113" s="57" t="s">
        <v>3753</v>
      </c>
      <c r="BW113" s="57" t="s">
        <v>3476</v>
      </c>
      <c r="BX113" s="57">
        <v>20</v>
      </c>
      <c r="BY113" s="57" t="s">
        <v>3476</v>
      </c>
      <c r="BZ113" s="57" t="s">
        <v>3476</v>
      </c>
      <c r="CA113" s="57" t="s">
        <v>3476</v>
      </c>
      <c r="CB113" s="57" t="s">
        <v>3476</v>
      </c>
      <c r="CC113" s="57" t="s">
        <v>3476</v>
      </c>
      <c r="CD113" s="57" t="s">
        <v>3476</v>
      </c>
    </row>
    <row r="114" spans="1:82">
      <c r="A114" s="57">
        <v>16524</v>
      </c>
      <c r="B114" s="57" t="s">
        <v>3476</v>
      </c>
      <c r="C114" s="57" t="s">
        <v>4096</v>
      </c>
      <c r="D114" s="57" t="s">
        <v>3476</v>
      </c>
      <c r="E114" s="57" t="s">
        <v>3730</v>
      </c>
      <c r="F114" s="57" t="s">
        <v>4097</v>
      </c>
      <c r="G114" s="57" t="s">
        <v>721</v>
      </c>
      <c r="H114" s="57" t="s">
        <v>2874</v>
      </c>
      <c r="I114" s="57">
        <v>56524.4</v>
      </c>
      <c r="J114" s="57" t="s">
        <v>3476</v>
      </c>
      <c r="K114" s="57" t="s">
        <v>3476</v>
      </c>
      <c r="L114" s="57" t="s">
        <v>3730</v>
      </c>
      <c r="M114" s="57" t="s">
        <v>4098</v>
      </c>
      <c r="N114" s="57" t="s">
        <v>4098</v>
      </c>
      <c r="O114" s="57" t="s">
        <v>3476</v>
      </c>
      <c r="P114" s="57" t="s">
        <v>3476</v>
      </c>
      <c r="Q114" s="57" t="s">
        <v>2874</v>
      </c>
      <c r="R114" s="57" t="s">
        <v>3781</v>
      </c>
      <c r="S114" s="57" t="s">
        <v>3782</v>
      </c>
      <c r="T114" s="57" t="s">
        <v>3736</v>
      </c>
      <c r="U114" s="57" t="s">
        <v>3476</v>
      </c>
      <c r="V114" s="57" t="s">
        <v>3469</v>
      </c>
      <c r="W114" s="57" t="s">
        <v>3476</v>
      </c>
      <c r="X114" s="57" t="s">
        <v>4099</v>
      </c>
      <c r="Y114" s="57" t="s">
        <v>3738</v>
      </c>
      <c r="Z114" s="57" t="s">
        <v>3632</v>
      </c>
      <c r="AA114" s="57" t="s">
        <v>3476</v>
      </c>
      <c r="AB114" s="57" t="s">
        <v>3476</v>
      </c>
      <c r="AC114" s="57" t="s">
        <v>3476</v>
      </c>
      <c r="AD114" s="57" t="s">
        <v>3476</v>
      </c>
      <c r="AE114" s="57" t="s">
        <v>3476</v>
      </c>
      <c r="AF114" s="57" t="s">
        <v>3476</v>
      </c>
      <c r="AG114" s="57" t="s">
        <v>3476</v>
      </c>
      <c r="AH114" s="57" t="s">
        <v>3476</v>
      </c>
      <c r="AI114" s="57" t="s">
        <v>3476</v>
      </c>
      <c r="AJ114" s="57" t="s">
        <v>3476</v>
      </c>
      <c r="AK114" s="57" t="s">
        <v>3476</v>
      </c>
      <c r="AL114" s="57" t="s">
        <v>3476</v>
      </c>
      <c r="AM114" s="57" t="s">
        <v>3476</v>
      </c>
      <c r="AN114" s="57" t="s">
        <v>3476</v>
      </c>
      <c r="AO114" s="57" t="s">
        <v>3476</v>
      </c>
      <c r="AP114" s="58">
        <v>45847.6150578704</v>
      </c>
      <c r="AQ114" s="57" t="s">
        <v>3476</v>
      </c>
      <c r="AR114" s="57" t="s">
        <v>3476</v>
      </c>
      <c r="AS114" s="57" t="s">
        <v>3502</v>
      </c>
      <c r="AT114" s="57" t="s">
        <v>3745</v>
      </c>
      <c r="AU114" s="57" t="s">
        <v>3476</v>
      </c>
      <c r="AV114" s="57" t="s">
        <v>3476</v>
      </c>
      <c r="AW114" s="58">
        <v>45847.6094907407</v>
      </c>
      <c r="AX114" s="57" t="s">
        <v>3476</v>
      </c>
      <c r="AY114" s="57" t="s">
        <v>3747</v>
      </c>
      <c r="AZ114" s="57" t="s">
        <v>3476</v>
      </c>
      <c r="BA114" s="57" t="s">
        <v>3476</v>
      </c>
      <c r="BB114" s="57" t="s">
        <v>3476</v>
      </c>
      <c r="BC114" s="57" t="s">
        <v>3795</v>
      </c>
      <c r="BD114" s="57" t="s">
        <v>3659</v>
      </c>
      <c r="BE114" s="57" t="s">
        <v>3787</v>
      </c>
      <c r="BF114" s="57" t="s">
        <v>3749</v>
      </c>
      <c r="BG114" s="57" t="s">
        <v>3476</v>
      </c>
      <c r="BH114" s="57" t="s">
        <v>3476</v>
      </c>
      <c r="BI114" s="57" t="s">
        <v>2809</v>
      </c>
      <c r="BJ114" s="57" t="s">
        <v>3476</v>
      </c>
      <c r="BK114" s="57" t="s">
        <v>3476</v>
      </c>
      <c r="BL114" s="57">
        <v>3557784</v>
      </c>
      <c r="BM114" s="57" t="s">
        <v>4100</v>
      </c>
      <c r="BN114" s="57">
        <v>12</v>
      </c>
      <c r="BO114" s="57" t="s">
        <v>3476</v>
      </c>
      <c r="BP114" s="57" t="s">
        <v>3476</v>
      </c>
      <c r="BQ114" s="57" t="s">
        <v>3476</v>
      </c>
      <c r="BR114" s="57" t="s">
        <v>4101</v>
      </c>
      <c r="BS114" s="57" t="s">
        <v>1292</v>
      </c>
      <c r="BT114" s="57" t="s">
        <v>3476</v>
      </c>
      <c r="BU114" s="57" t="s">
        <v>3476</v>
      </c>
      <c r="BV114" s="57" t="s">
        <v>3753</v>
      </c>
      <c r="BW114" s="57" t="s">
        <v>3476</v>
      </c>
      <c r="BX114" s="57">
        <v>12</v>
      </c>
      <c r="BY114" s="57" t="s">
        <v>3476</v>
      </c>
      <c r="BZ114" s="57" t="s">
        <v>3476</v>
      </c>
      <c r="CA114" s="57" t="s">
        <v>3476</v>
      </c>
      <c r="CB114" s="57" t="s">
        <v>3476</v>
      </c>
      <c r="CC114" s="57" t="s">
        <v>3476</v>
      </c>
      <c r="CD114" s="57" t="s">
        <v>3476</v>
      </c>
    </row>
    <row r="115" spans="1:82">
      <c r="A115" s="57">
        <v>16525</v>
      </c>
      <c r="B115" s="57" t="s">
        <v>3476</v>
      </c>
      <c r="C115" s="57" t="s">
        <v>4096</v>
      </c>
      <c r="D115" s="57" t="s">
        <v>3476</v>
      </c>
      <c r="E115" s="57" t="s">
        <v>3730</v>
      </c>
      <c r="F115" s="57" t="s">
        <v>4097</v>
      </c>
      <c r="G115" s="57" t="s">
        <v>721</v>
      </c>
      <c r="H115" s="57" t="s">
        <v>2874</v>
      </c>
      <c r="I115" s="57">
        <v>56524.4</v>
      </c>
      <c r="J115" s="57" t="s">
        <v>3476</v>
      </c>
      <c r="K115" s="57" t="s">
        <v>3476</v>
      </c>
      <c r="L115" s="57" t="s">
        <v>3730</v>
      </c>
      <c r="M115" s="57" t="s">
        <v>4098</v>
      </c>
      <c r="N115" s="57" t="s">
        <v>4098</v>
      </c>
      <c r="O115" s="57" t="s">
        <v>3476</v>
      </c>
      <c r="P115" s="57" t="s">
        <v>3476</v>
      </c>
      <c r="Q115" s="57" t="s">
        <v>2874</v>
      </c>
      <c r="R115" s="57" t="s">
        <v>3781</v>
      </c>
      <c r="S115" s="57" t="s">
        <v>3782</v>
      </c>
      <c r="T115" s="57" t="s">
        <v>3736</v>
      </c>
      <c r="U115" s="57" t="s">
        <v>3476</v>
      </c>
      <c r="V115" s="57" t="s">
        <v>3469</v>
      </c>
      <c r="W115" s="57" t="s">
        <v>3476</v>
      </c>
      <c r="X115" s="57" t="s">
        <v>4099</v>
      </c>
      <c r="Y115" s="57" t="s">
        <v>3738</v>
      </c>
      <c r="Z115" s="57" t="s">
        <v>3632</v>
      </c>
      <c r="AA115" s="57" t="s">
        <v>3476</v>
      </c>
      <c r="AB115" s="57" t="s">
        <v>3476</v>
      </c>
      <c r="AC115" s="57" t="s">
        <v>3476</v>
      </c>
      <c r="AD115" s="57" t="s">
        <v>3476</v>
      </c>
      <c r="AE115" s="57" t="s">
        <v>3476</v>
      </c>
      <c r="AF115" s="57" t="s">
        <v>3476</v>
      </c>
      <c r="AG115" s="57" t="s">
        <v>3476</v>
      </c>
      <c r="AH115" s="57" t="s">
        <v>3476</v>
      </c>
      <c r="AI115" s="57" t="s">
        <v>3476</v>
      </c>
      <c r="AJ115" s="57" t="s">
        <v>3476</v>
      </c>
      <c r="AK115" s="57" t="s">
        <v>3476</v>
      </c>
      <c r="AL115" s="57" t="s">
        <v>3476</v>
      </c>
      <c r="AM115" s="57" t="s">
        <v>3476</v>
      </c>
      <c r="AN115" s="57" t="s">
        <v>3476</v>
      </c>
      <c r="AO115" s="57" t="s">
        <v>3476</v>
      </c>
      <c r="AP115" s="58">
        <v>45847.6150578704</v>
      </c>
      <c r="AQ115" s="57" t="s">
        <v>3476</v>
      </c>
      <c r="AR115" s="57" t="s">
        <v>3476</v>
      </c>
      <c r="AS115" s="57" t="s">
        <v>3502</v>
      </c>
      <c r="AT115" s="57" t="s">
        <v>3745</v>
      </c>
      <c r="AU115" s="57" t="s">
        <v>3476</v>
      </c>
      <c r="AV115" s="57" t="s">
        <v>3476</v>
      </c>
      <c r="AW115" s="58">
        <v>45847.6094907407</v>
      </c>
      <c r="AX115" s="57" t="s">
        <v>3476</v>
      </c>
      <c r="AY115" s="57" t="s">
        <v>3747</v>
      </c>
      <c r="AZ115" s="57" t="s">
        <v>3476</v>
      </c>
      <c r="BA115" s="57" t="s">
        <v>3476</v>
      </c>
      <c r="BB115" s="57" t="s">
        <v>3476</v>
      </c>
      <c r="BC115" s="57" t="s">
        <v>3791</v>
      </c>
      <c r="BD115" s="57" t="s">
        <v>3659</v>
      </c>
      <c r="BE115" s="57" t="s">
        <v>3787</v>
      </c>
      <c r="BF115" s="57" t="s">
        <v>3749</v>
      </c>
      <c r="BG115" s="57" t="s">
        <v>3476</v>
      </c>
      <c r="BH115" s="57" t="s">
        <v>3476</v>
      </c>
      <c r="BI115" s="57" t="s">
        <v>2809</v>
      </c>
      <c r="BJ115" s="57" t="s">
        <v>3476</v>
      </c>
      <c r="BK115" s="57" t="s">
        <v>3476</v>
      </c>
      <c r="BL115" s="57">
        <v>3557807</v>
      </c>
      <c r="BM115" s="57" t="s">
        <v>4100</v>
      </c>
      <c r="BN115" s="57">
        <v>253.66</v>
      </c>
      <c r="BO115" s="57" t="s">
        <v>3476</v>
      </c>
      <c r="BP115" s="57" t="s">
        <v>3476</v>
      </c>
      <c r="BQ115" s="57" t="s">
        <v>3476</v>
      </c>
      <c r="BR115" s="57" t="s">
        <v>4101</v>
      </c>
      <c r="BS115" s="57" t="s">
        <v>1292</v>
      </c>
      <c r="BT115" s="57" t="s">
        <v>3476</v>
      </c>
      <c r="BU115" s="57" t="s">
        <v>3476</v>
      </c>
      <c r="BV115" s="57" t="s">
        <v>3753</v>
      </c>
      <c r="BW115" s="57" t="s">
        <v>3476</v>
      </c>
      <c r="BX115" s="57">
        <v>253.66</v>
      </c>
      <c r="BY115" s="57" t="s">
        <v>3476</v>
      </c>
      <c r="BZ115" s="57" t="s">
        <v>3476</v>
      </c>
      <c r="CA115" s="57" t="s">
        <v>3476</v>
      </c>
      <c r="CB115" s="57" t="s">
        <v>3476</v>
      </c>
      <c r="CC115" s="57" t="s">
        <v>3476</v>
      </c>
      <c r="CD115" s="57" t="s">
        <v>3476</v>
      </c>
    </row>
    <row r="116" spans="1:82">
      <c r="A116" s="57">
        <v>16526</v>
      </c>
      <c r="B116" s="57" t="s">
        <v>3476</v>
      </c>
      <c r="C116" s="57" t="s">
        <v>4096</v>
      </c>
      <c r="D116" s="57" t="s">
        <v>3476</v>
      </c>
      <c r="E116" s="57" t="s">
        <v>3730</v>
      </c>
      <c r="F116" s="57" t="s">
        <v>4097</v>
      </c>
      <c r="G116" s="57" t="s">
        <v>721</v>
      </c>
      <c r="H116" s="57" t="s">
        <v>2874</v>
      </c>
      <c r="I116" s="57">
        <v>56524.4</v>
      </c>
      <c r="J116" s="57" t="s">
        <v>3476</v>
      </c>
      <c r="K116" s="57" t="s">
        <v>3476</v>
      </c>
      <c r="L116" s="57" t="s">
        <v>3730</v>
      </c>
      <c r="M116" s="57" t="s">
        <v>4098</v>
      </c>
      <c r="N116" s="57" t="s">
        <v>4098</v>
      </c>
      <c r="O116" s="57" t="s">
        <v>3476</v>
      </c>
      <c r="P116" s="57" t="s">
        <v>3476</v>
      </c>
      <c r="Q116" s="57" t="s">
        <v>2874</v>
      </c>
      <c r="R116" s="57" t="s">
        <v>3781</v>
      </c>
      <c r="S116" s="57" t="s">
        <v>3782</v>
      </c>
      <c r="T116" s="57" t="s">
        <v>3736</v>
      </c>
      <c r="U116" s="57" t="s">
        <v>3476</v>
      </c>
      <c r="V116" s="57" t="s">
        <v>3469</v>
      </c>
      <c r="W116" s="57" t="s">
        <v>3476</v>
      </c>
      <c r="X116" s="57" t="s">
        <v>4099</v>
      </c>
      <c r="Y116" s="57" t="s">
        <v>3738</v>
      </c>
      <c r="Z116" s="57" t="s">
        <v>3632</v>
      </c>
      <c r="AA116" s="57" t="s">
        <v>3476</v>
      </c>
      <c r="AB116" s="57" t="s">
        <v>3476</v>
      </c>
      <c r="AC116" s="57" t="s">
        <v>3476</v>
      </c>
      <c r="AD116" s="57" t="s">
        <v>3476</v>
      </c>
      <c r="AE116" s="57" t="s">
        <v>3476</v>
      </c>
      <c r="AF116" s="57" t="s">
        <v>3476</v>
      </c>
      <c r="AG116" s="57" t="s">
        <v>3476</v>
      </c>
      <c r="AH116" s="57" t="s">
        <v>3476</v>
      </c>
      <c r="AI116" s="57" t="s">
        <v>3476</v>
      </c>
      <c r="AJ116" s="57" t="s">
        <v>3476</v>
      </c>
      <c r="AK116" s="57" t="s">
        <v>3476</v>
      </c>
      <c r="AL116" s="57" t="s">
        <v>3476</v>
      </c>
      <c r="AM116" s="57" t="s">
        <v>3476</v>
      </c>
      <c r="AN116" s="57" t="s">
        <v>3476</v>
      </c>
      <c r="AO116" s="57" t="s">
        <v>3476</v>
      </c>
      <c r="AP116" s="58">
        <v>45847.6150578704</v>
      </c>
      <c r="AQ116" s="57" t="s">
        <v>3476</v>
      </c>
      <c r="AR116" s="57" t="s">
        <v>3476</v>
      </c>
      <c r="AS116" s="57" t="s">
        <v>3502</v>
      </c>
      <c r="AT116" s="57" t="s">
        <v>3745</v>
      </c>
      <c r="AU116" s="57" t="s">
        <v>3476</v>
      </c>
      <c r="AV116" s="57" t="s">
        <v>3476</v>
      </c>
      <c r="AW116" s="58">
        <v>45847.6094907407</v>
      </c>
      <c r="AX116" s="57" t="s">
        <v>3476</v>
      </c>
      <c r="AY116" s="57" t="s">
        <v>3747</v>
      </c>
      <c r="AZ116" s="57" t="s">
        <v>3476</v>
      </c>
      <c r="BA116" s="57" t="s">
        <v>3476</v>
      </c>
      <c r="BB116" s="57" t="s">
        <v>3476</v>
      </c>
      <c r="BC116" s="57" t="s">
        <v>1787</v>
      </c>
      <c r="BD116" s="57" t="s">
        <v>3659</v>
      </c>
      <c r="BE116" s="57" t="s">
        <v>3787</v>
      </c>
      <c r="BF116" s="57" t="s">
        <v>3749</v>
      </c>
      <c r="BG116" s="57" t="s">
        <v>3476</v>
      </c>
      <c r="BH116" s="57" t="s">
        <v>3476</v>
      </c>
      <c r="BI116" s="57" t="s">
        <v>2809</v>
      </c>
      <c r="BJ116" s="57" t="s">
        <v>3476</v>
      </c>
      <c r="BK116" s="57" t="s">
        <v>3476</v>
      </c>
      <c r="BL116" s="57">
        <v>3557806</v>
      </c>
      <c r="BM116" s="57" t="s">
        <v>4100</v>
      </c>
      <c r="BN116" s="57">
        <v>270</v>
      </c>
      <c r="BO116" s="57" t="s">
        <v>3476</v>
      </c>
      <c r="BP116" s="57" t="s">
        <v>3476</v>
      </c>
      <c r="BQ116" s="57" t="s">
        <v>3476</v>
      </c>
      <c r="BR116" s="57" t="s">
        <v>4101</v>
      </c>
      <c r="BS116" s="57" t="s">
        <v>1292</v>
      </c>
      <c r="BT116" s="57" t="s">
        <v>3476</v>
      </c>
      <c r="BU116" s="57" t="s">
        <v>3476</v>
      </c>
      <c r="BV116" s="57" t="s">
        <v>3753</v>
      </c>
      <c r="BW116" s="57" t="s">
        <v>3476</v>
      </c>
      <c r="BX116" s="57">
        <v>270</v>
      </c>
      <c r="BY116" s="57" t="s">
        <v>3476</v>
      </c>
      <c r="BZ116" s="57" t="s">
        <v>3476</v>
      </c>
      <c r="CA116" s="57" t="s">
        <v>3476</v>
      </c>
      <c r="CB116" s="57" t="s">
        <v>3476</v>
      </c>
      <c r="CC116" s="57" t="s">
        <v>3476</v>
      </c>
      <c r="CD116" s="57" t="s">
        <v>3476</v>
      </c>
    </row>
    <row r="117" spans="1:82">
      <c r="A117" s="57">
        <v>16527</v>
      </c>
      <c r="B117" s="57" t="s">
        <v>3476</v>
      </c>
      <c r="C117" s="57" t="s">
        <v>4096</v>
      </c>
      <c r="D117" s="57" t="s">
        <v>3476</v>
      </c>
      <c r="E117" s="57" t="s">
        <v>3730</v>
      </c>
      <c r="F117" s="57" t="s">
        <v>4097</v>
      </c>
      <c r="G117" s="57" t="s">
        <v>721</v>
      </c>
      <c r="H117" s="57" t="s">
        <v>2874</v>
      </c>
      <c r="I117" s="57">
        <v>56524.4</v>
      </c>
      <c r="J117" s="57" t="s">
        <v>3476</v>
      </c>
      <c r="K117" s="57" t="s">
        <v>3476</v>
      </c>
      <c r="L117" s="57" t="s">
        <v>3730</v>
      </c>
      <c r="M117" s="57" t="s">
        <v>4098</v>
      </c>
      <c r="N117" s="57" t="s">
        <v>4098</v>
      </c>
      <c r="O117" s="57" t="s">
        <v>3476</v>
      </c>
      <c r="P117" s="57" t="s">
        <v>3476</v>
      </c>
      <c r="Q117" s="57" t="s">
        <v>2874</v>
      </c>
      <c r="R117" s="57" t="s">
        <v>3781</v>
      </c>
      <c r="S117" s="57" t="s">
        <v>3782</v>
      </c>
      <c r="T117" s="57" t="s">
        <v>3736</v>
      </c>
      <c r="U117" s="57" t="s">
        <v>3476</v>
      </c>
      <c r="V117" s="57" t="s">
        <v>3469</v>
      </c>
      <c r="W117" s="57" t="s">
        <v>3476</v>
      </c>
      <c r="X117" s="57" t="s">
        <v>4099</v>
      </c>
      <c r="Y117" s="57" t="s">
        <v>3738</v>
      </c>
      <c r="Z117" s="57" t="s">
        <v>3632</v>
      </c>
      <c r="AA117" s="57" t="s">
        <v>3476</v>
      </c>
      <c r="AB117" s="57" t="s">
        <v>3476</v>
      </c>
      <c r="AC117" s="57" t="s">
        <v>3476</v>
      </c>
      <c r="AD117" s="57" t="s">
        <v>3476</v>
      </c>
      <c r="AE117" s="57" t="s">
        <v>3476</v>
      </c>
      <c r="AF117" s="57" t="s">
        <v>3476</v>
      </c>
      <c r="AG117" s="57" t="s">
        <v>3476</v>
      </c>
      <c r="AH117" s="57" t="s">
        <v>3476</v>
      </c>
      <c r="AI117" s="57" t="s">
        <v>3476</v>
      </c>
      <c r="AJ117" s="57" t="s">
        <v>3476</v>
      </c>
      <c r="AK117" s="57" t="s">
        <v>3476</v>
      </c>
      <c r="AL117" s="57" t="s">
        <v>3476</v>
      </c>
      <c r="AM117" s="57" t="s">
        <v>3476</v>
      </c>
      <c r="AN117" s="57" t="s">
        <v>3476</v>
      </c>
      <c r="AO117" s="57" t="s">
        <v>3476</v>
      </c>
      <c r="AP117" s="58">
        <v>45847.6150578704</v>
      </c>
      <c r="AQ117" s="57" t="s">
        <v>3476</v>
      </c>
      <c r="AR117" s="57" t="s">
        <v>3476</v>
      </c>
      <c r="AS117" s="57" t="s">
        <v>3502</v>
      </c>
      <c r="AT117" s="57" t="s">
        <v>3745</v>
      </c>
      <c r="AU117" s="57" t="s">
        <v>3476</v>
      </c>
      <c r="AV117" s="57" t="s">
        <v>3476</v>
      </c>
      <c r="AW117" s="58">
        <v>45847.6094907407</v>
      </c>
      <c r="AX117" s="57" t="s">
        <v>3476</v>
      </c>
      <c r="AY117" s="57" t="s">
        <v>3747</v>
      </c>
      <c r="AZ117" s="57" t="s">
        <v>3476</v>
      </c>
      <c r="BA117" s="57" t="s">
        <v>3476</v>
      </c>
      <c r="BB117" s="57" t="s">
        <v>3476</v>
      </c>
      <c r="BC117" s="57" t="s">
        <v>1787</v>
      </c>
      <c r="BD117" s="57" t="s">
        <v>3659</v>
      </c>
      <c r="BE117" s="57" t="s">
        <v>3787</v>
      </c>
      <c r="BF117" s="57" t="s">
        <v>3749</v>
      </c>
      <c r="BG117" s="57" t="s">
        <v>3476</v>
      </c>
      <c r="BH117" s="57" t="s">
        <v>3476</v>
      </c>
      <c r="BI117" s="57" t="s">
        <v>2809</v>
      </c>
      <c r="BJ117" s="57" t="s">
        <v>3476</v>
      </c>
      <c r="BK117" s="57" t="s">
        <v>3476</v>
      </c>
      <c r="BL117" s="57">
        <v>3557805</v>
      </c>
      <c r="BM117" s="57" t="s">
        <v>4100</v>
      </c>
      <c r="BN117" s="57">
        <v>210</v>
      </c>
      <c r="BO117" s="57" t="s">
        <v>3476</v>
      </c>
      <c r="BP117" s="57" t="s">
        <v>3476</v>
      </c>
      <c r="BQ117" s="57" t="s">
        <v>3476</v>
      </c>
      <c r="BR117" s="57" t="s">
        <v>4101</v>
      </c>
      <c r="BS117" s="57" t="s">
        <v>1292</v>
      </c>
      <c r="BT117" s="57" t="s">
        <v>3476</v>
      </c>
      <c r="BU117" s="57" t="s">
        <v>3476</v>
      </c>
      <c r="BV117" s="57" t="s">
        <v>3753</v>
      </c>
      <c r="BW117" s="57" t="s">
        <v>3476</v>
      </c>
      <c r="BX117" s="57">
        <v>210</v>
      </c>
      <c r="BY117" s="57" t="s">
        <v>3476</v>
      </c>
      <c r="BZ117" s="57" t="s">
        <v>3476</v>
      </c>
      <c r="CA117" s="57" t="s">
        <v>3476</v>
      </c>
      <c r="CB117" s="57" t="s">
        <v>3476</v>
      </c>
      <c r="CC117" s="57" t="s">
        <v>3476</v>
      </c>
      <c r="CD117" s="57" t="s">
        <v>3476</v>
      </c>
    </row>
    <row r="118" spans="1:82">
      <c r="A118" s="57">
        <v>16528</v>
      </c>
      <c r="B118" s="57" t="s">
        <v>3476</v>
      </c>
      <c r="C118" s="57" t="s">
        <v>4096</v>
      </c>
      <c r="D118" s="57" t="s">
        <v>3476</v>
      </c>
      <c r="E118" s="57" t="s">
        <v>3730</v>
      </c>
      <c r="F118" s="57" t="s">
        <v>4097</v>
      </c>
      <c r="G118" s="57" t="s">
        <v>721</v>
      </c>
      <c r="H118" s="57" t="s">
        <v>2874</v>
      </c>
      <c r="I118" s="57">
        <v>56524.4</v>
      </c>
      <c r="J118" s="57" t="s">
        <v>3476</v>
      </c>
      <c r="K118" s="57" t="s">
        <v>3476</v>
      </c>
      <c r="L118" s="57" t="s">
        <v>3730</v>
      </c>
      <c r="M118" s="57" t="s">
        <v>4098</v>
      </c>
      <c r="N118" s="57" t="s">
        <v>4098</v>
      </c>
      <c r="O118" s="57" t="s">
        <v>3476</v>
      </c>
      <c r="P118" s="57" t="s">
        <v>3476</v>
      </c>
      <c r="Q118" s="57" t="s">
        <v>2874</v>
      </c>
      <c r="R118" s="57" t="s">
        <v>3781</v>
      </c>
      <c r="S118" s="57" t="s">
        <v>3782</v>
      </c>
      <c r="T118" s="57" t="s">
        <v>3736</v>
      </c>
      <c r="U118" s="57" t="s">
        <v>3476</v>
      </c>
      <c r="V118" s="57" t="s">
        <v>3469</v>
      </c>
      <c r="W118" s="57" t="s">
        <v>3476</v>
      </c>
      <c r="X118" s="57" t="s">
        <v>4099</v>
      </c>
      <c r="Y118" s="57" t="s">
        <v>3738</v>
      </c>
      <c r="Z118" s="57" t="s">
        <v>3632</v>
      </c>
      <c r="AA118" s="57" t="s">
        <v>3476</v>
      </c>
      <c r="AB118" s="57" t="s">
        <v>3476</v>
      </c>
      <c r="AC118" s="57" t="s">
        <v>3476</v>
      </c>
      <c r="AD118" s="57" t="s">
        <v>3476</v>
      </c>
      <c r="AE118" s="57" t="s">
        <v>3476</v>
      </c>
      <c r="AF118" s="57" t="s">
        <v>3476</v>
      </c>
      <c r="AG118" s="57" t="s">
        <v>3476</v>
      </c>
      <c r="AH118" s="57" t="s">
        <v>3476</v>
      </c>
      <c r="AI118" s="57" t="s">
        <v>3476</v>
      </c>
      <c r="AJ118" s="57" t="s">
        <v>3476</v>
      </c>
      <c r="AK118" s="57" t="s">
        <v>3476</v>
      </c>
      <c r="AL118" s="57" t="s">
        <v>3476</v>
      </c>
      <c r="AM118" s="57" t="s">
        <v>3476</v>
      </c>
      <c r="AN118" s="57" t="s">
        <v>3476</v>
      </c>
      <c r="AO118" s="57" t="s">
        <v>3476</v>
      </c>
      <c r="AP118" s="58">
        <v>45847.6150578704</v>
      </c>
      <c r="AQ118" s="57" t="s">
        <v>3476</v>
      </c>
      <c r="AR118" s="57" t="s">
        <v>3476</v>
      </c>
      <c r="AS118" s="57" t="s">
        <v>3502</v>
      </c>
      <c r="AT118" s="57" t="s">
        <v>3745</v>
      </c>
      <c r="AU118" s="57" t="s">
        <v>3476</v>
      </c>
      <c r="AV118" s="57" t="s">
        <v>3476</v>
      </c>
      <c r="AW118" s="58">
        <v>45847.6094907407</v>
      </c>
      <c r="AX118" s="57" t="s">
        <v>3476</v>
      </c>
      <c r="AY118" s="57" t="s">
        <v>3747</v>
      </c>
      <c r="AZ118" s="57" t="s">
        <v>3476</v>
      </c>
      <c r="BA118" s="57" t="s">
        <v>3476</v>
      </c>
      <c r="BB118" s="57" t="s">
        <v>3476</v>
      </c>
      <c r="BC118" s="57" t="s">
        <v>1787</v>
      </c>
      <c r="BD118" s="57" t="s">
        <v>3659</v>
      </c>
      <c r="BE118" s="57" t="s">
        <v>3787</v>
      </c>
      <c r="BF118" s="57" t="s">
        <v>3749</v>
      </c>
      <c r="BG118" s="57" t="s">
        <v>3476</v>
      </c>
      <c r="BH118" s="57" t="s">
        <v>3476</v>
      </c>
      <c r="BI118" s="57" t="s">
        <v>2809</v>
      </c>
      <c r="BJ118" s="57" t="s">
        <v>3476</v>
      </c>
      <c r="BK118" s="57" t="s">
        <v>3476</v>
      </c>
      <c r="BL118" s="57">
        <v>3557804</v>
      </c>
      <c r="BM118" s="57" t="s">
        <v>4100</v>
      </c>
      <c r="BN118" s="57">
        <v>180</v>
      </c>
      <c r="BO118" s="57" t="s">
        <v>3476</v>
      </c>
      <c r="BP118" s="57" t="s">
        <v>3476</v>
      </c>
      <c r="BQ118" s="57" t="s">
        <v>3476</v>
      </c>
      <c r="BR118" s="57" t="s">
        <v>4101</v>
      </c>
      <c r="BS118" s="57" t="s">
        <v>1292</v>
      </c>
      <c r="BT118" s="57" t="s">
        <v>3476</v>
      </c>
      <c r="BU118" s="57" t="s">
        <v>3476</v>
      </c>
      <c r="BV118" s="57" t="s">
        <v>3753</v>
      </c>
      <c r="BW118" s="57" t="s">
        <v>3476</v>
      </c>
      <c r="BX118" s="57">
        <v>180</v>
      </c>
      <c r="BY118" s="57" t="s">
        <v>3476</v>
      </c>
      <c r="BZ118" s="57" t="s">
        <v>3476</v>
      </c>
      <c r="CA118" s="57" t="s">
        <v>3476</v>
      </c>
      <c r="CB118" s="57" t="s">
        <v>3476</v>
      </c>
      <c r="CC118" s="57" t="s">
        <v>3476</v>
      </c>
      <c r="CD118" s="57" t="s">
        <v>3476</v>
      </c>
    </row>
    <row r="119" spans="1:82">
      <c r="A119" s="57">
        <v>16529</v>
      </c>
      <c r="B119" s="57" t="s">
        <v>3476</v>
      </c>
      <c r="C119" s="57" t="s">
        <v>4096</v>
      </c>
      <c r="D119" s="57" t="s">
        <v>3476</v>
      </c>
      <c r="E119" s="57" t="s">
        <v>3730</v>
      </c>
      <c r="F119" s="57" t="s">
        <v>4097</v>
      </c>
      <c r="G119" s="57" t="s">
        <v>721</v>
      </c>
      <c r="H119" s="57" t="s">
        <v>2874</v>
      </c>
      <c r="I119" s="57">
        <v>56524.4</v>
      </c>
      <c r="J119" s="57" t="s">
        <v>3476</v>
      </c>
      <c r="K119" s="57" t="s">
        <v>3476</v>
      </c>
      <c r="L119" s="57" t="s">
        <v>3730</v>
      </c>
      <c r="M119" s="57" t="s">
        <v>4098</v>
      </c>
      <c r="N119" s="57" t="s">
        <v>4098</v>
      </c>
      <c r="O119" s="57" t="s">
        <v>3476</v>
      </c>
      <c r="P119" s="57" t="s">
        <v>3476</v>
      </c>
      <c r="Q119" s="57" t="s">
        <v>2874</v>
      </c>
      <c r="R119" s="57" t="s">
        <v>3781</v>
      </c>
      <c r="S119" s="57" t="s">
        <v>3782</v>
      </c>
      <c r="T119" s="57" t="s">
        <v>3736</v>
      </c>
      <c r="U119" s="57" t="s">
        <v>3476</v>
      </c>
      <c r="V119" s="57" t="s">
        <v>3469</v>
      </c>
      <c r="W119" s="57" t="s">
        <v>3476</v>
      </c>
      <c r="X119" s="57" t="s">
        <v>4099</v>
      </c>
      <c r="Y119" s="57" t="s">
        <v>3738</v>
      </c>
      <c r="Z119" s="57" t="s">
        <v>3632</v>
      </c>
      <c r="AA119" s="57" t="s">
        <v>3476</v>
      </c>
      <c r="AB119" s="57" t="s">
        <v>3476</v>
      </c>
      <c r="AC119" s="57" t="s">
        <v>3476</v>
      </c>
      <c r="AD119" s="57" t="s">
        <v>3476</v>
      </c>
      <c r="AE119" s="57" t="s">
        <v>3476</v>
      </c>
      <c r="AF119" s="57" t="s">
        <v>3476</v>
      </c>
      <c r="AG119" s="57" t="s">
        <v>3476</v>
      </c>
      <c r="AH119" s="57" t="s">
        <v>3476</v>
      </c>
      <c r="AI119" s="57" t="s">
        <v>3476</v>
      </c>
      <c r="AJ119" s="57" t="s">
        <v>3476</v>
      </c>
      <c r="AK119" s="57" t="s">
        <v>3476</v>
      </c>
      <c r="AL119" s="57" t="s">
        <v>3476</v>
      </c>
      <c r="AM119" s="57" t="s">
        <v>3476</v>
      </c>
      <c r="AN119" s="57" t="s">
        <v>3476</v>
      </c>
      <c r="AO119" s="57" t="s">
        <v>3476</v>
      </c>
      <c r="AP119" s="58">
        <v>45847.6150578704</v>
      </c>
      <c r="AQ119" s="57" t="s">
        <v>3476</v>
      </c>
      <c r="AR119" s="57" t="s">
        <v>3476</v>
      </c>
      <c r="AS119" s="57" t="s">
        <v>3502</v>
      </c>
      <c r="AT119" s="57" t="s">
        <v>3745</v>
      </c>
      <c r="AU119" s="57" t="s">
        <v>3476</v>
      </c>
      <c r="AV119" s="57" t="s">
        <v>3476</v>
      </c>
      <c r="AW119" s="58">
        <v>45847.6094907407</v>
      </c>
      <c r="AX119" s="57" t="s">
        <v>3476</v>
      </c>
      <c r="AY119" s="57" t="s">
        <v>3747</v>
      </c>
      <c r="AZ119" s="57" t="s">
        <v>3476</v>
      </c>
      <c r="BA119" s="57" t="s">
        <v>3476</v>
      </c>
      <c r="BB119" s="57" t="s">
        <v>3476</v>
      </c>
      <c r="BC119" s="57" t="s">
        <v>3791</v>
      </c>
      <c r="BD119" s="57" t="s">
        <v>3659</v>
      </c>
      <c r="BE119" s="57" t="s">
        <v>3787</v>
      </c>
      <c r="BF119" s="57" t="s">
        <v>3749</v>
      </c>
      <c r="BG119" s="57" t="s">
        <v>3476</v>
      </c>
      <c r="BH119" s="57" t="s">
        <v>3476</v>
      </c>
      <c r="BI119" s="57" t="s">
        <v>2809</v>
      </c>
      <c r="BJ119" s="57" t="s">
        <v>3476</v>
      </c>
      <c r="BK119" s="57" t="s">
        <v>3476</v>
      </c>
      <c r="BL119" s="57">
        <v>3557811</v>
      </c>
      <c r="BM119" s="57" t="s">
        <v>4100</v>
      </c>
      <c r="BN119" s="57">
        <v>90</v>
      </c>
      <c r="BO119" s="57" t="s">
        <v>3476</v>
      </c>
      <c r="BP119" s="57" t="s">
        <v>3476</v>
      </c>
      <c r="BQ119" s="57" t="s">
        <v>3476</v>
      </c>
      <c r="BR119" s="57" t="s">
        <v>4101</v>
      </c>
      <c r="BS119" s="57" t="s">
        <v>1292</v>
      </c>
      <c r="BT119" s="57" t="s">
        <v>3476</v>
      </c>
      <c r="BU119" s="57" t="s">
        <v>3476</v>
      </c>
      <c r="BV119" s="57" t="s">
        <v>3753</v>
      </c>
      <c r="BW119" s="57" t="s">
        <v>3476</v>
      </c>
      <c r="BX119" s="57">
        <v>90</v>
      </c>
      <c r="BY119" s="57" t="s">
        <v>3476</v>
      </c>
      <c r="BZ119" s="57" t="s">
        <v>3476</v>
      </c>
      <c r="CA119" s="57" t="s">
        <v>3476</v>
      </c>
      <c r="CB119" s="57" t="s">
        <v>3476</v>
      </c>
      <c r="CC119" s="57" t="s">
        <v>3476</v>
      </c>
      <c r="CD119" s="57" t="s">
        <v>3476</v>
      </c>
    </row>
    <row r="120" spans="1:82">
      <c r="A120" s="57">
        <v>16530</v>
      </c>
      <c r="B120" s="57" t="s">
        <v>3476</v>
      </c>
      <c r="C120" s="57" t="s">
        <v>4096</v>
      </c>
      <c r="D120" s="57" t="s">
        <v>3476</v>
      </c>
      <c r="E120" s="57" t="s">
        <v>3730</v>
      </c>
      <c r="F120" s="57" t="s">
        <v>4097</v>
      </c>
      <c r="G120" s="57" t="s">
        <v>721</v>
      </c>
      <c r="H120" s="57" t="s">
        <v>2874</v>
      </c>
      <c r="I120" s="57">
        <v>56524.4</v>
      </c>
      <c r="J120" s="57" t="s">
        <v>3476</v>
      </c>
      <c r="K120" s="57" t="s">
        <v>3476</v>
      </c>
      <c r="L120" s="57" t="s">
        <v>3730</v>
      </c>
      <c r="M120" s="57" t="s">
        <v>4098</v>
      </c>
      <c r="N120" s="57" t="s">
        <v>4098</v>
      </c>
      <c r="O120" s="57" t="s">
        <v>3476</v>
      </c>
      <c r="P120" s="57" t="s">
        <v>3476</v>
      </c>
      <c r="Q120" s="57" t="s">
        <v>2874</v>
      </c>
      <c r="R120" s="57" t="s">
        <v>3781</v>
      </c>
      <c r="S120" s="57" t="s">
        <v>3782</v>
      </c>
      <c r="T120" s="57" t="s">
        <v>3736</v>
      </c>
      <c r="U120" s="57" t="s">
        <v>3476</v>
      </c>
      <c r="V120" s="57" t="s">
        <v>3469</v>
      </c>
      <c r="W120" s="57" t="s">
        <v>3476</v>
      </c>
      <c r="X120" s="57" t="s">
        <v>4099</v>
      </c>
      <c r="Y120" s="57" t="s">
        <v>3738</v>
      </c>
      <c r="Z120" s="57" t="s">
        <v>3632</v>
      </c>
      <c r="AA120" s="57" t="s">
        <v>3476</v>
      </c>
      <c r="AB120" s="57" t="s">
        <v>3476</v>
      </c>
      <c r="AC120" s="57" t="s">
        <v>3476</v>
      </c>
      <c r="AD120" s="57" t="s">
        <v>3476</v>
      </c>
      <c r="AE120" s="57" t="s">
        <v>3476</v>
      </c>
      <c r="AF120" s="57" t="s">
        <v>3476</v>
      </c>
      <c r="AG120" s="57" t="s">
        <v>3476</v>
      </c>
      <c r="AH120" s="57" t="s">
        <v>3476</v>
      </c>
      <c r="AI120" s="57" t="s">
        <v>3476</v>
      </c>
      <c r="AJ120" s="57" t="s">
        <v>3476</v>
      </c>
      <c r="AK120" s="57" t="s">
        <v>3476</v>
      </c>
      <c r="AL120" s="57" t="s">
        <v>3476</v>
      </c>
      <c r="AM120" s="57" t="s">
        <v>3476</v>
      </c>
      <c r="AN120" s="57" t="s">
        <v>3476</v>
      </c>
      <c r="AO120" s="57" t="s">
        <v>3476</v>
      </c>
      <c r="AP120" s="58">
        <v>45847.6150578704</v>
      </c>
      <c r="AQ120" s="57" t="s">
        <v>3476</v>
      </c>
      <c r="AR120" s="57" t="s">
        <v>3476</v>
      </c>
      <c r="AS120" s="57" t="s">
        <v>3502</v>
      </c>
      <c r="AT120" s="57" t="s">
        <v>3745</v>
      </c>
      <c r="AU120" s="57" t="s">
        <v>3476</v>
      </c>
      <c r="AV120" s="57" t="s">
        <v>3476</v>
      </c>
      <c r="AW120" s="58">
        <v>45847.6094907407</v>
      </c>
      <c r="AX120" s="57" t="s">
        <v>3476</v>
      </c>
      <c r="AY120" s="57" t="s">
        <v>3747</v>
      </c>
      <c r="AZ120" s="57" t="s">
        <v>3476</v>
      </c>
      <c r="BA120" s="57" t="s">
        <v>3476</v>
      </c>
      <c r="BB120" s="57" t="s">
        <v>3476</v>
      </c>
      <c r="BC120" s="57" t="s">
        <v>3791</v>
      </c>
      <c r="BD120" s="57" t="s">
        <v>3659</v>
      </c>
      <c r="BE120" s="57" t="s">
        <v>3787</v>
      </c>
      <c r="BF120" s="57" t="s">
        <v>3749</v>
      </c>
      <c r="BG120" s="57" t="s">
        <v>3476</v>
      </c>
      <c r="BH120" s="57" t="s">
        <v>3476</v>
      </c>
      <c r="BI120" s="57" t="s">
        <v>2809</v>
      </c>
      <c r="BJ120" s="57" t="s">
        <v>3476</v>
      </c>
      <c r="BK120" s="57" t="s">
        <v>3476</v>
      </c>
      <c r="BL120" s="57">
        <v>3557810</v>
      </c>
      <c r="BM120" s="57" t="s">
        <v>4100</v>
      </c>
      <c r="BN120" s="57">
        <v>65</v>
      </c>
      <c r="BO120" s="57" t="s">
        <v>3476</v>
      </c>
      <c r="BP120" s="57" t="s">
        <v>3476</v>
      </c>
      <c r="BQ120" s="57" t="s">
        <v>3476</v>
      </c>
      <c r="BR120" s="57" t="s">
        <v>4101</v>
      </c>
      <c r="BS120" s="57" t="s">
        <v>1292</v>
      </c>
      <c r="BT120" s="57" t="s">
        <v>3476</v>
      </c>
      <c r="BU120" s="57" t="s">
        <v>3476</v>
      </c>
      <c r="BV120" s="57" t="s">
        <v>3753</v>
      </c>
      <c r="BW120" s="57" t="s">
        <v>3476</v>
      </c>
      <c r="BX120" s="57">
        <v>65</v>
      </c>
      <c r="BY120" s="57" t="s">
        <v>3476</v>
      </c>
      <c r="BZ120" s="57" t="s">
        <v>3476</v>
      </c>
      <c r="CA120" s="57" t="s">
        <v>3476</v>
      </c>
      <c r="CB120" s="57" t="s">
        <v>3476</v>
      </c>
      <c r="CC120" s="57" t="s">
        <v>3476</v>
      </c>
      <c r="CD120" s="57" t="s">
        <v>3476</v>
      </c>
    </row>
    <row r="121" spans="1:82">
      <c r="A121" s="57">
        <v>16531</v>
      </c>
      <c r="B121" s="57" t="s">
        <v>3476</v>
      </c>
      <c r="C121" s="57" t="s">
        <v>4096</v>
      </c>
      <c r="D121" s="57" t="s">
        <v>3476</v>
      </c>
      <c r="E121" s="57" t="s">
        <v>3730</v>
      </c>
      <c r="F121" s="57" t="s">
        <v>4097</v>
      </c>
      <c r="G121" s="57" t="s">
        <v>721</v>
      </c>
      <c r="H121" s="57" t="s">
        <v>2874</v>
      </c>
      <c r="I121" s="57">
        <v>56524.4</v>
      </c>
      <c r="J121" s="57" t="s">
        <v>3476</v>
      </c>
      <c r="K121" s="57" t="s">
        <v>3476</v>
      </c>
      <c r="L121" s="57" t="s">
        <v>3730</v>
      </c>
      <c r="M121" s="57" t="s">
        <v>4098</v>
      </c>
      <c r="N121" s="57" t="s">
        <v>4098</v>
      </c>
      <c r="O121" s="57" t="s">
        <v>3476</v>
      </c>
      <c r="P121" s="57" t="s">
        <v>3476</v>
      </c>
      <c r="Q121" s="57" t="s">
        <v>2874</v>
      </c>
      <c r="R121" s="57" t="s">
        <v>3781</v>
      </c>
      <c r="S121" s="57" t="s">
        <v>3782</v>
      </c>
      <c r="T121" s="57" t="s">
        <v>3736</v>
      </c>
      <c r="U121" s="57" t="s">
        <v>3476</v>
      </c>
      <c r="V121" s="57" t="s">
        <v>3469</v>
      </c>
      <c r="W121" s="57" t="s">
        <v>3476</v>
      </c>
      <c r="X121" s="57" t="s">
        <v>4099</v>
      </c>
      <c r="Y121" s="57" t="s">
        <v>3738</v>
      </c>
      <c r="Z121" s="57" t="s">
        <v>3632</v>
      </c>
      <c r="AA121" s="57" t="s">
        <v>3476</v>
      </c>
      <c r="AB121" s="57" t="s">
        <v>3476</v>
      </c>
      <c r="AC121" s="57" t="s">
        <v>3476</v>
      </c>
      <c r="AD121" s="57" t="s">
        <v>3476</v>
      </c>
      <c r="AE121" s="57" t="s">
        <v>3476</v>
      </c>
      <c r="AF121" s="57" t="s">
        <v>3476</v>
      </c>
      <c r="AG121" s="57" t="s">
        <v>3476</v>
      </c>
      <c r="AH121" s="57" t="s">
        <v>3476</v>
      </c>
      <c r="AI121" s="57" t="s">
        <v>3476</v>
      </c>
      <c r="AJ121" s="57" t="s">
        <v>3476</v>
      </c>
      <c r="AK121" s="57" t="s">
        <v>3476</v>
      </c>
      <c r="AL121" s="57" t="s">
        <v>3476</v>
      </c>
      <c r="AM121" s="57" t="s">
        <v>3476</v>
      </c>
      <c r="AN121" s="57" t="s">
        <v>3476</v>
      </c>
      <c r="AO121" s="57" t="s">
        <v>3476</v>
      </c>
      <c r="AP121" s="58">
        <v>45847.6150578704</v>
      </c>
      <c r="AQ121" s="57" t="s">
        <v>3476</v>
      </c>
      <c r="AR121" s="57" t="s">
        <v>3476</v>
      </c>
      <c r="AS121" s="57" t="s">
        <v>3502</v>
      </c>
      <c r="AT121" s="57" t="s">
        <v>3745</v>
      </c>
      <c r="AU121" s="57" t="s">
        <v>3476</v>
      </c>
      <c r="AV121" s="57" t="s">
        <v>3476</v>
      </c>
      <c r="AW121" s="58">
        <v>45847.6094907407</v>
      </c>
      <c r="AX121" s="57" t="s">
        <v>3476</v>
      </c>
      <c r="AY121" s="57" t="s">
        <v>3747</v>
      </c>
      <c r="AZ121" s="57" t="s">
        <v>3476</v>
      </c>
      <c r="BA121" s="57" t="s">
        <v>3476</v>
      </c>
      <c r="BB121" s="57" t="s">
        <v>3476</v>
      </c>
      <c r="BC121" s="57" t="s">
        <v>3791</v>
      </c>
      <c r="BD121" s="57" t="s">
        <v>3659</v>
      </c>
      <c r="BE121" s="57" t="s">
        <v>3787</v>
      </c>
      <c r="BF121" s="57" t="s">
        <v>3749</v>
      </c>
      <c r="BG121" s="57" t="s">
        <v>3476</v>
      </c>
      <c r="BH121" s="57" t="s">
        <v>3476</v>
      </c>
      <c r="BI121" s="57" t="s">
        <v>2809</v>
      </c>
      <c r="BJ121" s="57" t="s">
        <v>3476</v>
      </c>
      <c r="BK121" s="57" t="s">
        <v>3476</v>
      </c>
      <c r="BL121" s="57">
        <v>3557809</v>
      </c>
      <c r="BM121" s="57" t="s">
        <v>4100</v>
      </c>
      <c r="BN121" s="57">
        <v>80</v>
      </c>
      <c r="BO121" s="57" t="s">
        <v>3476</v>
      </c>
      <c r="BP121" s="57" t="s">
        <v>3476</v>
      </c>
      <c r="BQ121" s="57" t="s">
        <v>3476</v>
      </c>
      <c r="BR121" s="57" t="s">
        <v>4101</v>
      </c>
      <c r="BS121" s="57" t="s">
        <v>1292</v>
      </c>
      <c r="BT121" s="57" t="s">
        <v>3476</v>
      </c>
      <c r="BU121" s="57" t="s">
        <v>3476</v>
      </c>
      <c r="BV121" s="57" t="s">
        <v>3753</v>
      </c>
      <c r="BW121" s="57" t="s">
        <v>3476</v>
      </c>
      <c r="BX121" s="57">
        <v>80</v>
      </c>
      <c r="BY121" s="57" t="s">
        <v>3476</v>
      </c>
      <c r="BZ121" s="57" t="s">
        <v>3476</v>
      </c>
      <c r="CA121" s="57" t="s">
        <v>3476</v>
      </c>
      <c r="CB121" s="57" t="s">
        <v>3476</v>
      </c>
      <c r="CC121" s="57" t="s">
        <v>3476</v>
      </c>
      <c r="CD121" s="57" t="s">
        <v>3476</v>
      </c>
    </row>
    <row r="122" spans="1:82">
      <c r="A122" s="57">
        <v>16532</v>
      </c>
      <c r="B122" s="57" t="s">
        <v>3476</v>
      </c>
      <c r="C122" s="57" t="s">
        <v>4096</v>
      </c>
      <c r="D122" s="57" t="s">
        <v>3476</v>
      </c>
      <c r="E122" s="57" t="s">
        <v>3730</v>
      </c>
      <c r="F122" s="57" t="s">
        <v>4097</v>
      </c>
      <c r="G122" s="57" t="s">
        <v>721</v>
      </c>
      <c r="H122" s="57" t="s">
        <v>2874</v>
      </c>
      <c r="I122" s="57">
        <v>56524.4</v>
      </c>
      <c r="J122" s="57" t="s">
        <v>3476</v>
      </c>
      <c r="K122" s="57" t="s">
        <v>3476</v>
      </c>
      <c r="L122" s="57" t="s">
        <v>3730</v>
      </c>
      <c r="M122" s="57" t="s">
        <v>4098</v>
      </c>
      <c r="N122" s="57" t="s">
        <v>4098</v>
      </c>
      <c r="O122" s="57" t="s">
        <v>3476</v>
      </c>
      <c r="P122" s="57" t="s">
        <v>3476</v>
      </c>
      <c r="Q122" s="57" t="s">
        <v>2874</v>
      </c>
      <c r="R122" s="57" t="s">
        <v>3781</v>
      </c>
      <c r="S122" s="57" t="s">
        <v>3782</v>
      </c>
      <c r="T122" s="57" t="s">
        <v>3736</v>
      </c>
      <c r="U122" s="57" t="s">
        <v>3476</v>
      </c>
      <c r="V122" s="57" t="s">
        <v>3469</v>
      </c>
      <c r="W122" s="57" t="s">
        <v>3476</v>
      </c>
      <c r="X122" s="57" t="s">
        <v>4099</v>
      </c>
      <c r="Y122" s="57" t="s">
        <v>3738</v>
      </c>
      <c r="Z122" s="57" t="s">
        <v>3632</v>
      </c>
      <c r="AA122" s="57" t="s">
        <v>3476</v>
      </c>
      <c r="AB122" s="57" t="s">
        <v>3476</v>
      </c>
      <c r="AC122" s="57" t="s">
        <v>3476</v>
      </c>
      <c r="AD122" s="57" t="s">
        <v>3476</v>
      </c>
      <c r="AE122" s="57" t="s">
        <v>3476</v>
      </c>
      <c r="AF122" s="57" t="s">
        <v>3476</v>
      </c>
      <c r="AG122" s="57" t="s">
        <v>3476</v>
      </c>
      <c r="AH122" s="57" t="s">
        <v>3476</v>
      </c>
      <c r="AI122" s="57" t="s">
        <v>3476</v>
      </c>
      <c r="AJ122" s="57" t="s">
        <v>3476</v>
      </c>
      <c r="AK122" s="57" t="s">
        <v>3476</v>
      </c>
      <c r="AL122" s="57" t="s">
        <v>3476</v>
      </c>
      <c r="AM122" s="57" t="s">
        <v>3476</v>
      </c>
      <c r="AN122" s="57" t="s">
        <v>3476</v>
      </c>
      <c r="AO122" s="57" t="s">
        <v>3476</v>
      </c>
      <c r="AP122" s="58">
        <v>45847.6150578704</v>
      </c>
      <c r="AQ122" s="57" t="s">
        <v>3476</v>
      </c>
      <c r="AR122" s="57" t="s">
        <v>3476</v>
      </c>
      <c r="AS122" s="57" t="s">
        <v>3502</v>
      </c>
      <c r="AT122" s="57" t="s">
        <v>3745</v>
      </c>
      <c r="AU122" s="57" t="s">
        <v>3476</v>
      </c>
      <c r="AV122" s="57" t="s">
        <v>3476</v>
      </c>
      <c r="AW122" s="58">
        <v>45847.6094907407</v>
      </c>
      <c r="AX122" s="57" t="s">
        <v>3476</v>
      </c>
      <c r="AY122" s="57" t="s">
        <v>3747</v>
      </c>
      <c r="AZ122" s="57" t="s">
        <v>3476</v>
      </c>
      <c r="BA122" s="57" t="s">
        <v>3476</v>
      </c>
      <c r="BB122" s="57" t="s">
        <v>3476</v>
      </c>
      <c r="BC122" s="57" t="s">
        <v>3791</v>
      </c>
      <c r="BD122" s="57" t="s">
        <v>3659</v>
      </c>
      <c r="BE122" s="57" t="s">
        <v>3787</v>
      </c>
      <c r="BF122" s="57" t="s">
        <v>3749</v>
      </c>
      <c r="BG122" s="57" t="s">
        <v>3476</v>
      </c>
      <c r="BH122" s="57" t="s">
        <v>3476</v>
      </c>
      <c r="BI122" s="57" t="s">
        <v>2809</v>
      </c>
      <c r="BJ122" s="57" t="s">
        <v>3476</v>
      </c>
      <c r="BK122" s="57" t="s">
        <v>3476</v>
      </c>
      <c r="BL122" s="57">
        <v>3557808</v>
      </c>
      <c r="BM122" s="57" t="s">
        <v>4100</v>
      </c>
      <c r="BN122" s="57">
        <v>25.5</v>
      </c>
      <c r="BO122" s="57" t="s">
        <v>3476</v>
      </c>
      <c r="BP122" s="57" t="s">
        <v>3476</v>
      </c>
      <c r="BQ122" s="57" t="s">
        <v>3476</v>
      </c>
      <c r="BR122" s="57" t="s">
        <v>4101</v>
      </c>
      <c r="BS122" s="57" t="s">
        <v>1292</v>
      </c>
      <c r="BT122" s="57" t="s">
        <v>3476</v>
      </c>
      <c r="BU122" s="57" t="s">
        <v>3476</v>
      </c>
      <c r="BV122" s="57" t="s">
        <v>3753</v>
      </c>
      <c r="BW122" s="57" t="s">
        <v>3476</v>
      </c>
      <c r="BX122" s="57">
        <v>25.5</v>
      </c>
      <c r="BY122" s="57" t="s">
        <v>3476</v>
      </c>
      <c r="BZ122" s="57" t="s">
        <v>3476</v>
      </c>
      <c r="CA122" s="57" t="s">
        <v>3476</v>
      </c>
      <c r="CB122" s="57" t="s">
        <v>3476</v>
      </c>
      <c r="CC122" s="57" t="s">
        <v>3476</v>
      </c>
      <c r="CD122" s="57" t="s">
        <v>3476</v>
      </c>
    </row>
    <row r="123" spans="1:82">
      <c r="A123" s="57">
        <v>16533</v>
      </c>
      <c r="B123" s="57" t="s">
        <v>3476</v>
      </c>
      <c r="C123" s="57" t="s">
        <v>4096</v>
      </c>
      <c r="D123" s="57" t="s">
        <v>3476</v>
      </c>
      <c r="E123" s="57" t="s">
        <v>3730</v>
      </c>
      <c r="F123" s="57" t="s">
        <v>4097</v>
      </c>
      <c r="G123" s="57" t="s">
        <v>721</v>
      </c>
      <c r="H123" s="57" t="s">
        <v>2874</v>
      </c>
      <c r="I123" s="57">
        <v>56524.4</v>
      </c>
      <c r="J123" s="57" t="s">
        <v>3476</v>
      </c>
      <c r="K123" s="57" t="s">
        <v>3476</v>
      </c>
      <c r="L123" s="57" t="s">
        <v>3730</v>
      </c>
      <c r="M123" s="57" t="s">
        <v>4098</v>
      </c>
      <c r="N123" s="57" t="s">
        <v>4098</v>
      </c>
      <c r="O123" s="57" t="s">
        <v>3476</v>
      </c>
      <c r="P123" s="57" t="s">
        <v>3476</v>
      </c>
      <c r="Q123" s="57" t="s">
        <v>2874</v>
      </c>
      <c r="R123" s="57" t="s">
        <v>3781</v>
      </c>
      <c r="S123" s="57" t="s">
        <v>3782</v>
      </c>
      <c r="T123" s="57" t="s">
        <v>3736</v>
      </c>
      <c r="U123" s="57" t="s">
        <v>3476</v>
      </c>
      <c r="V123" s="57" t="s">
        <v>3469</v>
      </c>
      <c r="W123" s="57" t="s">
        <v>3476</v>
      </c>
      <c r="X123" s="57" t="s">
        <v>4099</v>
      </c>
      <c r="Y123" s="57" t="s">
        <v>3738</v>
      </c>
      <c r="Z123" s="57" t="s">
        <v>3632</v>
      </c>
      <c r="AA123" s="57" t="s">
        <v>3476</v>
      </c>
      <c r="AB123" s="57" t="s">
        <v>3476</v>
      </c>
      <c r="AC123" s="57" t="s">
        <v>3476</v>
      </c>
      <c r="AD123" s="57" t="s">
        <v>3476</v>
      </c>
      <c r="AE123" s="57" t="s">
        <v>3476</v>
      </c>
      <c r="AF123" s="57" t="s">
        <v>3476</v>
      </c>
      <c r="AG123" s="57" t="s">
        <v>3476</v>
      </c>
      <c r="AH123" s="57" t="s">
        <v>3476</v>
      </c>
      <c r="AI123" s="57" t="s">
        <v>3476</v>
      </c>
      <c r="AJ123" s="57" t="s">
        <v>3476</v>
      </c>
      <c r="AK123" s="57" t="s">
        <v>3476</v>
      </c>
      <c r="AL123" s="57" t="s">
        <v>3476</v>
      </c>
      <c r="AM123" s="57" t="s">
        <v>3476</v>
      </c>
      <c r="AN123" s="57" t="s">
        <v>3476</v>
      </c>
      <c r="AO123" s="57" t="s">
        <v>3476</v>
      </c>
      <c r="AP123" s="58">
        <v>45847.6150578704</v>
      </c>
      <c r="AQ123" s="57" t="s">
        <v>3476</v>
      </c>
      <c r="AR123" s="57" t="s">
        <v>3476</v>
      </c>
      <c r="AS123" s="57" t="s">
        <v>3502</v>
      </c>
      <c r="AT123" s="57" t="s">
        <v>3745</v>
      </c>
      <c r="AU123" s="57" t="s">
        <v>3476</v>
      </c>
      <c r="AV123" s="57" t="s">
        <v>3476</v>
      </c>
      <c r="AW123" s="58">
        <v>45847.6094907407</v>
      </c>
      <c r="AX123" s="57" t="s">
        <v>3476</v>
      </c>
      <c r="AY123" s="57" t="s">
        <v>3747</v>
      </c>
      <c r="AZ123" s="57" t="s">
        <v>3476</v>
      </c>
      <c r="BA123" s="57" t="s">
        <v>3476</v>
      </c>
      <c r="BB123" s="57" t="s">
        <v>3476</v>
      </c>
      <c r="BC123" s="57" t="s">
        <v>1787</v>
      </c>
      <c r="BD123" s="57" t="s">
        <v>3659</v>
      </c>
      <c r="BE123" s="57" t="s">
        <v>3787</v>
      </c>
      <c r="BF123" s="57" t="s">
        <v>3749</v>
      </c>
      <c r="BG123" s="57" t="s">
        <v>3476</v>
      </c>
      <c r="BH123" s="57" t="s">
        <v>3476</v>
      </c>
      <c r="BI123" s="57" t="s">
        <v>2809</v>
      </c>
      <c r="BJ123" s="57" t="s">
        <v>3476</v>
      </c>
      <c r="BK123" s="57" t="s">
        <v>3476</v>
      </c>
      <c r="BL123" s="57">
        <v>3557799</v>
      </c>
      <c r="BM123" s="57" t="s">
        <v>4100</v>
      </c>
      <c r="BN123" s="57">
        <v>91.14</v>
      </c>
      <c r="BO123" s="57" t="s">
        <v>3476</v>
      </c>
      <c r="BP123" s="57" t="s">
        <v>3476</v>
      </c>
      <c r="BQ123" s="57" t="s">
        <v>3476</v>
      </c>
      <c r="BR123" s="57" t="s">
        <v>4101</v>
      </c>
      <c r="BS123" s="57" t="s">
        <v>1292</v>
      </c>
      <c r="BT123" s="57" t="s">
        <v>3476</v>
      </c>
      <c r="BU123" s="57" t="s">
        <v>3476</v>
      </c>
      <c r="BV123" s="57" t="s">
        <v>3753</v>
      </c>
      <c r="BW123" s="57" t="s">
        <v>3476</v>
      </c>
      <c r="BX123" s="57">
        <v>91.14</v>
      </c>
      <c r="BY123" s="57" t="s">
        <v>3476</v>
      </c>
      <c r="BZ123" s="57" t="s">
        <v>3476</v>
      </c>
      <c r="CA123" s="57" t="s">
        <v>3476</v>
      </c>
      <c r="CB123" s="57" t="s">
        <v>3476</v>
      </c>
      <c r="CC123" s="57" t="s">
        <v>3476</v>
      </c>
      <c r="CD123" s="57" t="s">
        <v>3476</v>
      </c>
    </row>
    <row r="124" spans="1:82">
      <c r="A124" s="57">
        <v>16534</v>
      </c>
      <c r="B124" s="57" t="s">
        <v>3476</v>
      </c>
      <c r="C124" s="57" t="s">
        <v>4096</v>
      </c>
      <c r="D124" s="57" t="s">
        <v>3476</v>
      </c>
      <c r="E124" s="57" t="s">
        <v>3730</v>
      </c>
      <c r="F124" s="57" t="s">
        <v>4097</v>
      </c>
      <c r="G124" s="57" t="s">
        <v>721</v>
      </c>
      <c r="H124" s="57" t="s">
        <v>2874</v>
      </c>
      <c r="I124" s="57">
        <v>56524.4</v>
      </c>
      <c r="J124" s="57" t="s">
        <v>3476</v>
      </c>
      <c r="K124" s="57" t="s">
        <v>3476</v>
      </c>
      <c r="L124" s="57" t="s">
        <v>3730</v>
      </c>
      <c r="M124" s="57" t="s">
        <v>4098</v>
      </c>
      <c r="N124" s="57" t="s">
        <v>4098</v>
      </c>
      <c r="O124" s="57" t="s">
        <v>3476</v>
      </c>
      <c r="P124" s="57" t="s">
        <v>3476</v>
      </c>
      <c r="Q124" s="57" t="s">
        <v>2874</v>
      </c>
      <c r="R124" s="57" t="s">
        <v>3781</v>
      </c>
      <c r="S124" s="57" t="s">
        <v>3782</v>
      </c>
      <c r="T124" s="57" t="s">
        <v>3736</v>
      </c>
      <c r="U124" s="57" t="s">
        <v>3476</v>
      </c>
      <c r="V124" s="57" t="s">
        <v>3469</v>
      </c>
      <c r="W124" s="57" t="s">
        <v>3476</v>
      </c>
      <c r="X124" s="57" t="s">
        <v>4099</v>
      </c>
      <c r="Y124" s="57" t="s">
        <v>3738</v>
      </c>
      <c r="Z124" s="57" t="s">
        <v>3632</v>
      </c>
      <c r="AA124" s="57" t="s">
        <v>3476</v>
      </c>
      <c r="AB124" s="57" t="s">
        <v>3476</v>
      </c>
      <c r="AC124" s="57" t="s">
        <v>3476</v>
      </c>
      <c r="AD124" s="57" t="s">
        <v>3476</v>
      </c>
      <c r="AE124" s="57" t="s">
        <v>3476</v>
      </c>
      <c r="AF124" s="57" t="s">
        <v>3476</v>
      </c>
      <c r="AG124" s="57" t="s">
        <v>3476</v>
      </c>
      <c r="AH124" s="57" t="s">
        <v>3476</v>
      </c>
      <c r="AI124" s="57" t="s">
        <v>3476</v>
      </c>
      <c r="AJ124" s="57" t="s">
        <v>3476</v>
      </c>
      <c r="AK124" s="57" t="s">
        <v>3476</v>
      </c>
      <c r="AL124" s="57" t="s">
        <v>3476</v>
      </c>
      <c r="AM124" s="57" t="s">
        <v>3476</v>
      </c>
      <c r="AN124" s="57" t="s">
        <v>3476</v>
      </c>
      <c r="AO124" s="57" t="s">
        <v>3476</v>
      </c>
      <c r="AP124" s="58">
        <v>45847.6150578704</v>
      </c>
      <c r="AQ124" s="57" t="s">
        <v>3476</v>
      </c>
      <c r="AR124" s="57" t="s">
        <v>3476</v>
      </c>
      <c r="AS124" s="57" t="s">
        <v>3502</v>
      </c>
      <c r="AT124" s="57" t="s">
        <v>3745</v>
      </c>
      <c r="AU124" s="57" t="s">
        <v>3476</v>
      </c>
      <c r="AV124" s="57" t="s">
        <v>3476</v>
      </c>
      <c r="AW124" s="58">
        <v>45847.6094907407</v>
      </c>
      <c r="AX124" s="57" t="s">
        <v>3476</v>
      </c>
      <c r="AY124" s="57" t="s">
        <v>3747</v>
      </c>
      <c r="AZ124" s="57" t="s">
        <v>3476</v>
      </c>
      <c r="BA124" s="57" t="s">
        <v>3476</v>
      </c>
      <c r="BB124" s="57" t="s">
        <v>3476</v>
      </c>
      <c r="BC124" s="57" t="s">
        <v>1787</v>
      </c>
      <c r="BD124" s="57" t="s">
        <v>3659</v>
      </c>
      <c r="BE124" s="57" t="s">
        <v>3787</v>
      </c>
      <c r="BF124" s="57" t="s">
        <v>3749</v>
      </c>
      <c r="BG124" s="57" t="s">
        <v>3476</v>
      </c>
      <c r="BH124" s="57" t="s">
        <v>3476</v>
      </c>
      <c r="BI124" s="57" t="s">
        <v>2809</v>
      </c>
      <c r="BJ124" s="57" t="s">
        <v>3476</v>
      </c>
      <c r="BK124" s="57" t="s">
        <v>3476</v>
      </c>
      <c r="BL124" s="57">
        <v>3557798</v>
      </c>
      <c r="BM124" s="57" t="s">
        <v>4100</v>
      </c>
      <c r="BN124" s="57">
        <v>48</v>
      </c>
      <c r="BO124" s="57" t="s">
        <v>3476</v>
      </c>
      <c r="BP124" s="57" t="s">
        <v>3476</v>
      </c>
      <c r="BQ124" s="57" t="s">
        <v>3476</v>
      </c>
      <c r="BR124" s="57" t="s">
        <v>4101</v>
      </c>
      <c r="BS124" s="57" t="s">
        <v>1292</v>
      </c>
      <c r="BT124" s="57" t="s">
        <v>3476</v>
      </c>
      <c r="BU124" s="57" t="s">
        <v>3476</v>
      </c>
      <c r="BV124" s="57" t="s">
        <v>3753</v>
      </c>
      <c r="BW124" s="57" t="s">
        <v>3476</v>
      </c>
      <c r="BX124" s="57">
        <v>48</v>
      </c>
      <c r="BY124" s="57" t="s">
        <v>3476</v>
      </c>
      <c r="BZ124" s="57" t="s">
        <v>3476</v>
      </c>
      <c r="CA124" s="57" t="s">
        <v>3476</v>
      </c>
      <c r="CB124" s="57" t="s">
        <v>3476</v>
      </c>
      <c r="CC124" s="57" t="s">
        <v>3476</v>
      </c>
      <c r="CD124" s="57" t="s">
        <v>3476</v>
      </c>
    </row>
    <row r="125" spans="1:82">
      <c r="A125" s="57">
        <v>16535</v>
      </c>
      <c r="B125" s="57" t="s">
        <v>3476</v>
      </c>
      <c r="C125" s="57" t="s">
        <v>4096</v>
      </c>
      <c r="D125" s="57" t="s">
        <v>3476</v>
      </c>
      <c r="E125" s="57" t="s">
        <v>3730</v>
      </c>
      <c r="F125" s="57" t="s">
        <v>4097</v>
      </c>
      <c r="G125" s="57" t="s">
        <v>721</v>
      </c>
      <c r="H125" s="57" t="s">
        <v>2874</v>
      </c>
      <c r="I125" s="57">
        <v>56524.4</v>
      </c>
      <c r="J125" s="57" t="s">
        <v>3476</v>
      </c>
      <c r="K125" s="57" t="s">
        <v>3476</v>
      </c>
      <c r="L125" s="57" t="s">
        <v>3730</v>
      </c>
      <c r="M125" s="57" t="s">
        <v>4098</v>
      </c>
      <c r="N125" s="57" t="s">
        <v>4098</v>
      </c>
      <c r="O125" s="57" t="s">
        <v>3476</v>
      </c>
      <c r="P125" s="57" t="s">
        <v>3476</v>
      </c>
      <c r="Q125" s="57" t="s">
        <v>2874</v>
      </c>
      <c r="R125" s="57" t="s">
        <v>3781</v>
      </c>
      <c r="S125" s="57" t="s">
        <v>3782</v>
      </c>
      <c r="T125" s="57" t="s">
        <v>3736</v>
      </c>
      <c r="U125" s="57" t="s">
        <v>3476</v>
      </c>
      <c r="V125" s="57" t="s">
        <v>3469</v>
      </c>
      <c r="W125" s="57" t="s">
        <v>3476</v>
      </c>
      <c r="X125" s="57" t="s">
        <v>4099</v>
      </c>
      <c r="Y125" s="57" t="s">
        <v>3738</v>
      </c>
      <c r="Z125" s="57" t="s">
        <v>3632</v>
      </c>
      <c r="AA125" s="57" t="s">
        <v>3476</v>
      </c>
      <c r="AB125" s="57" t="s">
        <v>3476</v>
      </c>
      <c r="AC125" s="57" t="s">
        <v>3476</v>
      </c>
      <c r="AD125" s="57" t="s">
        <v>3476</v>
      </c>
      <c r="AE125" s="57" t="s">
        <v>3476</v>
      </c>
      <c r="AF125" s="57" t="s">
        <v>3476</v>
      </c>
      <c r="AG125" s="57" t="s">
        <v>3476</v>
      </c>
      <c r="AH125" s="57" t="s">
        <v>3476</v>
      </c>
      <c r="AI125" s="57" t="s">
        <v>3476</v>
      </c>
      <c r="AJ125" s="57" t="s">
        <v>3476</v>
      </c>
      <c r="AK125" s="57" t="s">
        <v>3476</v>
      </c>
      <c r="AL125" s="57" t="s">
        <v>3476</v>
      </c>
      <c r="AM125" s="57" t="s">
        <v>3476</v>
      </c>
      <c r="AN125" s="57" t="s">
        <v>3476</v>
      </c>
      <c r="AO125" s="57" t="s">
        <v>3476</v>
      </c>
      <c r="AP125" s="58">
        <v>45847.6150578704</v>
      </c>
      <c r="AQ125" s="57" t="s">
        <v>3476</v>
      </c>
      <c r="AR125" s="57" t="s">
        <v>3476</v>
      </c>
      <c r="AS125" s="57" t="s">
        <v>3502</v>
      </c>
      <c r="AT125" s="57" t="s">
        <v>3745</v>
      </c>
      <c r="AU125" s="57" t="s">
        <v>3476</v>
      </c>
      <c r="AV125" s="57" t="s">
        <v>3476</v>
      </c>
      <c r="AW125" s="58">
        <v>45847.6094907407</v>
      </c>
      <c r="AX125" s="57" t="s">
        <v>3476</v>
      </c>
      <c r="AY125" s="57" t="s">
        <v>3747</v>
      </c>
      <c r="AZ125" s="57" t="s">
        <v>3476</v>
      </c>
      <c r="BA125" s="57" t="s">
        <v>3476</v>
      </c>
      <c r="BB125" s="57" t="s">
        <v>3476</v>
      </c>
      <c r="BC125" s="57" t="s">
        <v>1787</v>
      </c>
      <c r="BD125" s="57" t="s">
        <v>3659</v>
      </c>
      <c r="BE125" s="57" t="s">
        <v>3787</v>
      </c>
      <c r="BF125" s="57" t="s">
        <v>3749</v>
      </c>
      <c r="BG125" s="57" t="s">
        <v>3476</v>
      </c>
      <c r="BH125" s="57" t="s">
        <v>3476</v>
      </c>
      <c r="BI125" s="57" t="s">
        <v>2809</v>
      </c>
      <c r="BJ125" s="57" t="s">
        <v>3476</v>
      </c>
      <c r="BK125" s="57" t="s">
        <v>3476</v>
      </c>
      <c r="BL125" s="57">
        <v>3557797</v>
      </c>
      <c r="BM125" s="57" t="s">
        <v>4100</v>
      </c>
      <c r="BN125" s="57">
        <v>129</v>
      </c>
      <c r="BO125" s="57" t="s">
        <v>3476</v>
      </c>
      <c r="BP125" s="57" t="s">
        <v>3476</v>
      </c>
      <c r="BQ125" s="57" t="s">
        <v>3476</v>
      </c>
      <c r="BR125" s="57" t="s">
        <v>4101</v>
      </c>
      <c r="BS125" s="57" t="s">
        <v>1292</v>
      </c>
      <c r="BT125" s="57" t="s">
        <v>3476</v>
      </c>
      <c r="BU125" s="57" t="s">
        <v>3476</v>
      </c>
      <c r="BV125" s="57" t="s">
        <v>3753</v>
      </c>
      <c r="BW125" s="57" t="s">
        <v>3476</v>
      </c>
      <c r="BX125" s="57">
        <v>129</v>
      </c>
      <c r="BY125" s="57" t="s">
        <v>3476</v>
      </c>
      <c r="BZ125" s="57" t="s">
        <v>3476</v>
      </c>
      <c r="CA125" s="57" t="s">
        <v>3476</v>
      </c>
      <c r="CB125" s="57" t="s">
        <v>3476</v>
      </c>
      <c r="CC125" s="57" t="s">
        <v>3476</v>
      </c>
      <c r="CD125" s="57" t="s">
        <v>3476</v>
      </c>
    </row>
    <row r="126" spans="1:82">
      <c r="A126" s="57">
        <v>16536</v>
      </c>
      <c r="B126" s="57" t="s">
        <v>3476</v>
      </c>
      <c r="C126" s="57" t="s">
        <v>4096</v>
      </c>
      <c r="D126" s="57" t="s">
        <v>3476</v>
      </c>
      <c r="E126" s="57" t="s">
        <v>3730</v>
      </c>
      <c r="F126" s="57" t="s">
        <v>4097</v>
      </c>
      <c r="G126" s="57" t="s">
        <v>721</v>
      </c>
      <c r="H126" s="57" t="s">
        <v>2874</v>
      </c>
      <c r="I126" s="57">
        <v>56524.4</v>
      </c>
      <c r="J126" s="57" t="s">
        <v>3476</v>
      </c>
      <c r="K126" s="57" t="s">
        <v>3476</v>
      </c>
      <c r="L126" s="57" t="s">
        <v>3730</v>
      </c>
      <c r="M126" s="57" t="s">
        <v>4098</v>
      </c>
      <c r="N126" s="57" t="s">
        <v>4098</v>
      </c>
      <c r="O126" s="57" t="s">
        <v>3476</v>
      </c>
      <c r="P126" s="57" t="s">
        <v>3476</v>
      </c>
      <c r="Q126" s="57" t="s">
        <v>2874</v>
      </c>
      <c r="R126" s="57" t="s">
        <v>3781</v>
      </c>
      <c r="S126" s="57" t="s">
        <v>3782</v>
      </c>
      <c r="T126" s="57" t="s">
        <v>3736</v>
      </c>
      <c r="U126" s="57" t="s">
        <v>3476</v>
      </c>
      <c r="V126" s="57" t="s">
        <v>3469</v>
      </c>
      <c r="W126" s="57" t="s">
        <v>3476</v>
      </c>
      <c r="X126" s="57" t="s">
        <v>4099</v>
      </c>
      <c r="Y126" s="57" t="s">
        <v>3738</v>
      </c>
      <c r="Z126" s="57" t="s">
        <v>3632</v>
      </c>
      <c r="AA126" s="57" t="s">
        <v>3476</v>
      </c>
      <c r="AB126" s="57" t="s">
        <v>3476</v>
      </c>
      <c r="AC126" s="57" t="s">
        <v>3476</v>
      </c>
      <c r="AD126" s="57" t="s">
        <v>3476</v>
      </c>
      <c r="AE126" s="57" t="s">
        <v>3476</v>
      </c>
      <c r="AF126" s="57" t="s">
        <v>3476</v>
      </c>
      <c r="AG126" s="57" t="s">
        <v>3476</v>
      </c>
      <c r="AH126" s="57" t="s">
        <v>3476</v>
      </c>
      <c r="AI126" s="57" t="s">
        <v>3476</v>
      </c>
      <c r="AJ126" s="57" t="s">
        <v>3476</v>
      </c>
      <c r="AK126" s="57" t="s">
        <v>3476</v>
      </c>
      <c r="AL126" s="57" t="s">
        <v>3476</v>
      </c>
      <c r="AM126" s="57" t="s">
        <v>3476</v>
      </c>
      <c r="AN126" s="57" t="s">
        <v>3476</v>
      </c>
      <c r="AO126" s="57" t="s">
        <v>3476</v>
      </c>
      <c r="AP126" s="58">
        <v>45847.6150578704</v>
      </c>
      <c r="AQ126" s="57" t="s">
        <v>3476</v>
      </c>
      <c r="AR126" s="57" t="s">
        <v>3476</v>
      </c>
      <c r="AS126" s="57" t="s">
        <v>3502</v>
      </c>
      <c r="AT126" s="57" t="s">
        <v>3745</v>
      </c>
      <c r="AU126" s="57" t="s">
        <v>3476</v>
      </c>
      <c r="AV126" s="57" t="s">
        <v>3476</v>
      </c>
      <c r="AW126" s="58">
        <v>45847.6094907407</v>
      </c>
      <c r="AX126" s="57" t="s">
        <v>3476</v>
      </c>
      <c r="AY126" s="57" t="s">
        <v>3747</v>
      </c>
      <c r="AZ126" s="57" t="s">
        <v>3476</v>
      </c>
      <c r="BA126" s="57" t="s">
        <v>3476</v>
      </c>
      <c r="BB126" s="57" t="s">
        <v>3476</v>
      </c>
      <c r="BC126" s="57" t="s">
        <v>1787</v>
      </c>
      <c r="BD126" s="57" t="s">
        <v>3659</v>
      </c>
      <c r="BE126" s="57" t="s">
        <v>3787</v>
      </c>
      <c r="BF126" s="57" t="s">
        <v>3749</v>
      </c>
      <c r="BG126" s="57" t="s">
        <v>3476</v>
      </c>
      <c r="BH126" s="57" t="s">
        <v>3476</v>
      </c>
      <c r="BI126" s="57" t="s">
        <v>2809</v>
      </c>
      <c r="BJ126" s="57" t="s">
        <v>3476</v>
      </c>
      <c r="BK126" s="57" t="s">
        <v>3476</v>
      </c>
      <c r="BL126" s="57">
        <v>3557796</v>
      </c>
      <c r="BM126" s="57" t="s">
        <v>4100</v>
      </c>
      <c r="BN126" s="57">
        <v>219.3</v>
      </c>
      <c r="BO126" s="57" t="s">
        <v>3476</v>
      </c>
      <c r="BP126" s="57" t="s">
        <v>3476</v>
      </c>
      <c r="BQ126" s="57" t="s">
        <v>3476</v>
      </c>
      <c r="BR126" s="57" t="s">
        <v>4101</v>
      </c>
      <c r="BS126" s="57" t="s">
        <v>1292</v>
      </c>
      <c r="BT126" s="57" t="s">
        <v>3476</v>
      </c>
      <c r="BU126" s="57" t="s">
        <v>3476</v>
      </c>
      <c r="BV126" s="57" t="s">
        <v>3753</v>
      </c>
      <c r="BW126" s="57" t="s">
        <v>3476</v>
      </c>
      <c r="BX126" s="57">
        <v>219.3</v>
      </c>
      <c r="BY126" s="57" t="s">
        <v>3476</v>
      </c>
      <c r="BZ126" s="57" t="s">
        <v>3476</v>
      </c>
      <c r="CA126" s="57" t="s">
        <v>3476</v>
      </c>
      <c r="CB126" s="57" t="s">
        <v>3476</v>
      </c>
      <c r="CC126" s="57" t="s">
        <v>3476</v>
      </c>
      <c r="CD126" s="57" t="s">
        <v>3476</v>
      </c>
    </row>
    <row r="127" spans="1:82">
      <c r="A127" s="57">
        <v>16537</v>
      </c>
      <c r="B127" s="57" t="s">
        <v>3476</v>
      </c>
      <c r="C127" s="57" t="s">
        <v>4096</v>
      </c>
      <c r="D127" s="57" t="s">
        <v>3476</v>
      </c>
      <c r="E127" s="57" t="s">
        <v>3730</v>
      </c>
      <c r="F127" s="57" t="s">
        <v>4097</v>
      </c>
      <c r="G127" s="57" t="s">
        <v>721</v>
      </c>
      <c r="H127" s="57" t="s">
        <v>2874</v>
      </c>
      <c r="I127" s="57">
        <v>56524.4</v>
      </c>
      <c r="J127" s="57" t="s">
        <v>3476</v>
      </c>
      <c r="K127" s="57" t="s">
        <v>3476</v>
      </c>
      <c r="L127" s="57" t="s">
        <v>3730</v>
      </c>
      <c r="M127" s="57" t="s">
        <v>4098</v>
      </c>
      <c r="N127" s="57" t="s">
        <v>4098</v>
      </c>
      <c r="O127" s="57" t="s">
        <v>3476</v>
      </c>
      <c r="P127" s="57" t="s">
        <v>3476</v>
      </c>
      <c r="Q127" s="57" t="s">
        <v>2874</v>
      </c>
      <c r="R127" s="57" t="s">
        <v>3781</v>
      </c>
      <c r="S127" s="57" t="s">
        <v>3782</v>
      </c>
      <c r="T127" s="57" t="s">
        <v>3736</v>
      </c>
      <c r="U127" s="57" t="s">
        <v>3476</v>
      </c>
      <c r="V127" s="57" t="s">
        <v>3469</v>
      </c>
      <c r="W127" s="57" t="s">
        <v>3476</v>
      </c>
      <c r="X127" s="57" t="s">
        <v>4099</v>
      </c>
      <c r="Y127" s="57" t="s">
        <v>3738</v>
      </c>
      <c r="Z127" s="57" t="s">
        <v>3632</v>
      </c>
      <c r="AA127" s="57" t="s">
        <v>3476</v>
      </c>
      <c r="AB127" s="57" t="s">
        <v>3476</v>
      </c>
      <c r="AC127" s="57" t="s">
        <v>3476</v>
      </c>
      <c r="AD127" s="57" t="s">
        <v>3476</v>
      </c>
      <c r="AE127" s="57" t="s">
        <v>3476</v>
      </c>
      <c r="AF127" s="57" t="s">
        <v>3476</v>
      </c>
      <c r="AG127" s="57" t="s">
        <v>3476</v>
      </c>
      <c r="AH127" s="57" t="s">
        <v>3476</v>
      </c>
      <c r="AI127" s="57" t="s">
        <v>3476</v>
      </c>
      <c r="AJ127" s="57" t="s">
        <v>3476</v>
      </c>
      <c r="AK127" s="57" t="s">
        <v>3476</v>
      </c>
      <c r="AL127" s="57" t="s">
        <v>3476</v>
      </c>
      <c r="AM127" s="57" t="s">
        <v>3476</v>
      </c>
      <c r="AN127" s="57" t="s">
        <v>3476</v>
      </c>
      <c r="AO127" s="57" t="s">
        <v>3476</v>
      </c>
      <c r="AP127" s="58">
        <v>45847.6150578704</v>
      </c>
      <c r="AQ127" s="57" t="s">
        <v>3476</v>
      </c>
      <c r="AR127" s="57" t="s">
        <v>3476</v>
      </c>
      <c r="AS127" s="57" t="s">
        <v>3502</v>
      </c>
      <c r="AT127" s="57" t="s">
        <v>3745</v>
      </c>
      <c r="AU127" s="57" t="s">
        <v>3476</v>
      </c>
      <c r="AV127" s="57" t="s">
        <v>3476</v>
      </c>
      <c r="AW127" s="58">
        <v>45847.6094907407</v>
      </c>
      <c r="AX127" s="57" t="s">
        <v>3476</v>
      </c>
      <c r="AY127" s="57" t="s">
        <v>3747</v>
      </c>
      <c r="AZ127" s="57" t="s">
        <v>3476</v>
      </c>
      <c r="BA127" s="57" t="s">
        <v>3476</v>
      </c>
      <c r="BB127" s="57" t="s">
        <v>3476</v>
      </c>
      <c r="BC127" s="57" t="s">
        <v>1787</v>
      </c>
      <c r="BD127" s="57" t="s">
        <v>3659</v>
      </c>
      <c r="BE127" s="57" t="s">
        <v>3787</v>
      </c>
      <c r="BF127" s="57" t="s">
        <v>3749</v>
      </c>
      <c r="BG127" s="57" t="s">
        <v>3476</v>
      </c>
      <c r="BH127" s="57" t="s">
        <v>3476</v>
      </c>
      <c r="BI127" s="57" t="s">
        <v>2809</v>
      </c>
      <c r="BJ127" s="57" t="s">
        <v>3476</v>
      </c>
      <c r="BK127" s="57" t="s">
        <v>3476</v>
      </c>
      <c r="BL127" s="57">
        <v>3557803</v>
      </c>
      <c r="BM127" s="57" t="s">
        <v>4100</v>
      </c>
      <c r="BN127" s="57">
        <v>320</v>
      </c>
      <c r="BO127" s="57" t="s">
        <v>3476</v>
      </c>
      <c r="BP127" s="57" t="s">
        <v>3476</v>
      </c>
      <c r="BQ127" s="57" t="s">
        <v>3476</v>
      </c>
      <c r="BR127" s="57" t="s">
        <v>4101</v>
      </c>
      <c r="BS127" s="57" t="s">
        <v>1292</v>
      </c>
      <c r="BT127" s="57" t="s">
        <v>3476</v>
      </c>
      <c r="BU127" s="57" t="s">
        <v>3476</v>
      </c>
      <c r="BV127" s="57" t="s">
        <v>3753</v>
      </c>
      <c r="BW127" s="57" t="s">
        <v>3476</v>
      </c>
      <c r="BX127" s="57">
        <v>320</v>
      </c>
      <c r="BY127" s="57" t="s">
        <v>3476</v>
      </c>
      <c r="BZ127" s="57" t="s">
        <v>3476</v>
      </c>
      <c r="CA127" s="57" t="s">
        <v>3476</v>
      </c>
      <c r="CB127" s="57" t="s">
        <v>3476</v>
      </c>
      <c r="CC127" s="57" t="s">
        <v>3476</v>
      </c>
      <c r="CD127" s="57" t="s">
        <v>3476</v>
      </c>
    </row>
    <row r="128" spans="1:82">
      <c r="A128" s="57">
        <v>16538</v>
      </c>
      <c r="B128" s="57" t="s">
        <v>3476</v>
      </c>
      <c r="C128" s="57" t="s">
        <v>4096</v>
      </c>
      <c r="D128" s="57" t="s">
        <v>3476</v>
      </c>
      <c r="E128" s="57" t="s">
        <v>3730</v>
      </c>
      <c r="F128" s="57" t="s">
        <v>4097</v>
      </c>
      <c r="G128" s="57" t="s">
        <v>721</v>
      </c>
      <c r="H128" s="57" t="s">
        <v>2874</v>
      </c>
      <c r="I128" s="57">
        <v>56524.4</v>
      </c>
      <c r="J128" s="57" t="s">
        <v>3476</v>
      </c>
      <c r="K128" s="57" t="s">
        <v>3476</v>
      </c>
      <c r="L128" s="57" t="s">
        <v>3730</v>
      </c>
      <c r="M128" s="57" t="s">
        <v>4098</v>
      </c>
      <c r="N128" s="57" t="s">
        <v>4098</v>
      </c>
      <c r="O128" s="57" t="s">
        <v>3476</v>
      </c>
      <c r="P128" s="57" t="s">
        <v>3476</v>
      </c>
      <c r="Q128" s="57" t="s">
        <v>2874</v>
      </c>
      <c r="R128" s="57" t="s">
        <v>3781</v>
      </c>
      <c r="S128" s="57" t="s">
        <v>3782</v>
      </c>
      <c r="T128" s="57" t="s">
        <v>3736</v>
      </c>
      <c r="U128" s="57" t="s">
        <v>3476</v>
      </c>
      <c r="V128" s="57" t="s">
        <v>3469</v>
      </c>
      <c r="W128" s="57" t="s">
        <v>3476</v>
      </c>
      <c r="X128" s="57" t="s">
        <v>4099</v>
      </c>
      <c r="Y128" s="57" t="s">
        <v>3738</v>
      </c>
      <c r="Z128" s="57" t="s">
        <v>3632</v>
      </c>
      <c r="AA128" s="57" t="s">
        <v>3476</v>
      </c>
      <c r="AB128" s="57" t="s">
        <v>3476</v>
      </c>
      <c r="AC128" s="57" t="s">
        <v>3476</v>
      </c>
      <c r="AD128" s="57" t="s">
        <v>3476</v>
      </c>
      <c r="AE128" s="57" t="s">
        <v>3476</v>
      </c>
      <c r="AF128" s="57" t="s">
        <v>3476</v>
      </c>
      <c r="AG128" s="57" t="s">
        <v>3476</v>
      </c>
      <c r="AH128" s="57" t="s">
        <v>3476</v>
      </c>
      <c r="AI128" s="57" t="s">
        <v>3476</v>
      </c>
      <c r="AJ128" s="57" t="s">
        <v>3476</v>
      </c>
      <c r="AK128" s="57" t="s">
        <v>3476</v>
      </c>
      <c r="AL128" s="57" t="s">
        <v>3476</v>
      </c>
      <c r="AM128" s="57" t="s">
        <v>3476</v>
      </c>
      <c r="AN128" s="57" t="s">
        <v>3476</v>
      </c>
      <c r="AO128" s="57" t="s">
        <v>3476</v>
      </c>
      <c r="AP128" s="58">
        <v>45847.6150578704</v>
      </c>
      <c r="AQ128" s="57" t="s">
        <v>3476</v>
      </c>
      <c r="AR128" s="57" t="s">
        <v>3476</v>
      </c>
      <c r="AS128" s="57" t="s">
        <v>3502</v>
      </c>
      <c r="AT128" s="57" t="s">
        <v>3745</v>
      </c>
      <c r="AU128" s="57" t="s">
        <v>3476</v>
      </c>
      <c r="AV128" s="57" t="s">
        <v>3476</v>
      </c>
      <c r="AW128" s="58">
        <v>45847.6094907407</v>
      </c>
      <c r="AX128" s="57" t="s">
        <v>3476</v>
      </c>
      <c r="AY128" s="57" t="s">
        <v>3747</v>
      </c>
      <c r="AZ128" s="57" t="s">
        <v>3476</v>
      </c>
      <c r="BA128" s="57" t="s">
        <v>3476</v>
      </c>
      <c r="BB128" s="57" t="s">
        <v>3476</v>
      </c>
      <c r="BC128" s="57" t="s">
        <v>1787</v>
      </c>
      <c r="BD128" s="57" t="s">
        <v>3659</v>
      </c>
      <c r="BE128" s="57" t="s">
        <v>3787</v>
      </c>
      <c r="BF128" s="57" t="s">
        <v>3749</v>
      </c>
      <c r="BG128" s="57" t="s">
        <v>3476</v>
      </c>
      <c r="BH128" s="57" t="s">
        <v>3476</v>
      </c>
      <c r="BI128" s="57" t="s">
        <v>2809</v>
      </c>
      <c r="BJ128" s="57" t="s">
        <v>3476</v>
      </c>
      <c r="BK128" s="57" t="s">
        <v>3476</v>
      </c>
      <c r="BL128" s="57">
        <v>3557802</v>
      </c>
      <c r="BM128" s="57" t="s">
        <v>4100</v>
      </c>
      <c r="BN128" s="57">
        <v>60</v>
      </c>
      <c r="BO128" s="57" t="s">
        <v>3476</v>
      </c>
      <c r="BP128" s="57" t="s">
        <v>3476</v>
      </c>
      <c r="BQ128" s="57" t="s">
        <v>3476</v>
      </c>
      <c r="BR128" s="57" t="s">
        <v>4101</v>
      </c>
      <c r="BS128" s="57" t="s">
        <v>1292</v>
      </c>
      <c r="BT128" s="57" t="s">
        <v>3476</v>
      </c>
      <c r="BU128" s="57" t="s">
        <v>3476</v>
      </c>
      <c r="BV128" s="57" t="s">
        <v>3753</v>
      </c>
      <c r="BW128" s="57" t="s">
        <v>3476</v>
      </c>
      <c r="BX128" s="57">
        <v>60</v>
      </c>
      <c r="BY128" s="57" t="s">
        <v>3476</v>
      </c>
      <c r="BZ128" s="57" t="s">
        <v>3476</v>
      </c>
      <c r="CA128" s="57" t="s">
        <v>3476</v>
      </c>
      <c r="CB128" s="57" t="s">
        <v>3476</v>
      </c>
      <c r="CC128" s="57" t="s">
        <v>3476</v>
      </c>
      <c r="CD128" s="57" t="s">
        <v>3476</v>
      </c>
    </row>
    <row r="129" spans="1:82">
      <c r="A129" s="57">
        <v>16539</v>
      </c>
      <c r="B129" s="57" t="s">
        <v>3476</v>
      </c>
      <c r="C129" s="57" t="s">
        <v>4096</v>
      </c>
      <c r="D129" s="57" t="s">
        <v>3476</v>
      </c>
      <c r="E129" s="57" t="s">
        <v>3730</v>
      </c>
      <c r="F129" s="57" t="s">
        <v>4097</v>
      </c>
      <c r="G129" s="57" t="s">
        <v>721</v>
      </c>
      <c r="H129" s="57" t="s">
        <v>2874</v>
      </c>
      <c r="I129" s="57">
        <v>56524.4</v>
      </c>
      <c r="J129" s="57" t="s">
        <v>3476</v>
      </c>
      <c r="K129" s="57" t="s">
        <v>3476</v>
      </c>
      <c r="L129" s="57" t="s">
        <v>3730</v>
      </c>
      <c r="M129" s="57" t="s">
        <v>4098</v>
      </c>
      <c r="N129" s="57" t="s">
        <v>4098</v>
      </c>
      <c r="O129" s="57" t="s">
        <v>3476</v>
      </c>
      <c r="P129" s="57" t="s">
        <v>3476</v>
      </c>
      <c r="Q129" s="57" t="s">
        <v>2874</v>
      </c>
      <c r="R129" s="57" t="s">
        <v>3781</v>
      </c>
      <c r="S129" s="57" t="s">
        <v>3782</v>
      </c>
      <c r="T129" s="57" t="s">
        <v>3736</v>
      </c>
      <c r="U129" s="57" t="s">
        <v>3476</v>
      </c>
      <c r="V129" s="57" t="s">
        <v>3469</v>
      </c>
      <c r="W129" s="57" t="s">
        <v>3476</v>
      </c>
      <c r="X129" s="57" t="s">
        <v>4099</v>
      </c>
      <c r="Y129" s="57" t="s">
        <v>3738</v>
      </c>
      <c r="Z129" s="57" t="s">
        <v>3632</v>
      </c>
      <c r="AA129" s="57" t="s">
        <v>3476</v>
      </c>
      <c r="AB129" s="57" t="s">
        <v>3476</v>
      </c>
      <c r="AC129" s="57" t="s">
        <v>3476</v>
      </c>
      <c r="AD129" s="57" t="s">
        <v>3476</v>
      </c>
      <c r="AE129" s="57" t="s">
        <v>3476</v>
      </c>
      <c r="AF129" s="57" t="s">
        <v>3476</v>
      </c>
      <c r="AG129" s="57" t="s">
        <v>3476</v>
      </c>
      <c r="AH129" s="57" t="s">
        <v>3476</v>
      </c>
      <c r="AI129" s="57" t="s">
        <v>3476</v>
      </c>
      <c r="AJ129" s="57" t="s">
        <v>3476</v>
      </c>
      <c r="AK129" s="57" t="s">
        <v>3476</v>
      </c>
      <c r="AL129" s="57" t="s">
        <v>3476</v>
      </c>
      <c r="AM129" s="57" t="s">
        <v>3476</v>
      </c>
      <c r="AN129" s="57" t="s">
        <v>3476</v>
      </c>
      <c r="AO129" s="57" t="s">
        <v>3476</v>
      </c>
      <c r="AP129" s="58">
        <v>45847.6150578704</v>
      </c>
      <c r="AQ129" s="57" t="s">
        <v>3476</v>
      </c>
      <c r="AR129" s="57" t="s">
        <v>3476</v>
      </c>
      <c r="AS129" s="57" t="s">
        <v>3502</v>
      </c>
      <c r="AT129" s="57" t="s">
        <v>3745</v>
      </c>
      <c r="AU129" s="57" t="s">
        <v>3476</v>
      </c>
      <c r="AV129" s="57" t="s">
        <v>3476</v>
      </c>
      <c r="AW129" s="58">
        <v>45847.6094907407</v>
      </c>
      <c r="AX129" s="57" t="s">
        <v>3476</v>
      </c>
      <c r="AY129" s="57" t="s">
        <v>3747</v>
      </c>
      <c r="AZ129" s="57" t="s">
        <v>3476</v>
      </c>
      <c r="BA129" s="57" t="s">
        <v>3476</v>
      </c>
      <c r="BB129" s="57" t="s">
        <v>3476</v>
      </c>
      <c r="BC129" s="57" t="s">
        <v>3790</v>
      </c>
      <c r="BD129" s="57" t="s">
        <v>3659</v>
      </c>
      <c r="BE129" s="57" t="s">
        <v>3787</v>
      </c>
      <c r="BF129" s="57" t="s">
        <v>3749</v>
      </c>
      <c r="BG129" s="57" t="s">
        <v>3476</v>
      </c>
      <c r="BH129" s="57" t="s">
        <v>3476</v>
      </c>
      <c r="BI129" s="57" t="s">
        <v>2809</v>
      </c>
      <c r="BJ129" s="57" t="s">
        <v>3476</v>
      </c>
      <c r="BK129" s="57" t="s">
        <v>3476</v>
      </c>
      <c r="BL129" s="57">
        <v>3557801</v>
      </c>
      <c r="BM129" s="57" t="s">
        <v>4100</v>
      </c>
      <c r="BN129" s="57">
        <v>196</v>
      </c>
      <c r="BO129" s="57" t="s">
        <v>3476</v>
      </c>
      <c r="BP129" s="57" t="s">
        <v>3476</v>
      </c>
      <c r="BQ129" s="57" t="s">
        <v>3476</v>
      </c>
      <c r="BR129" s="57" t="s">
        <v>4101</v>
      </c>
      <c r="BS129" s="57" t="s">
        <v>1292</v>
      </c>
      <c r="BT129" s="57" t="s">
        <v>3476</v>
      </c>
      <c r="BU129" s="57" t="s">
        <v>3476</v>
      </c>
      <c r="BV129" s="57" t="s">
        <v>3753</v>
      </c>
      <c r="BW129" s="57" t="s">
        <v>3476</v>
      </c>
      <c r="BX129" s="57">
        <v>196</v>
      </c>
      <c r="BY129" s="57" t="s">
        <v>3476</v>
      </c>
      <c r="BZ129" s="57" t="s">
        <v>3476</v>
      </c>
      <c r="CA129" s="57" t="s">
        <v>3476</v>
      </c>
      <c r="CB129" s="57" t="s">
        <v>3476</v>
      </c>
      <c r="CC129" s="57" t="s">
        <v>3476</v>
      </c>
      <c r="CD129" s="57" t="s">
        <v>3476</v>
      </c>
    </row>
    <row r="130" spans="1:82">
      <c r="A130" s="57">
        <v>16540</v>
      </c>
      <c r="B130" s="57" t="s">
        <v>3476</v>
      </c>
      <c r="C130" s="57" t="s">
        <v>4096</v>
      </c>
      <c r="D130" s="57" t="s">
        <v>3476</v>
      </c>
      <c r="E130" s="57" t="s">
        <v>3730</v>
      </c>
      <c r="F130" s="57" t="s">
        <v>4097</v>
      </c>
      <c r="G130" s="57" t="s">
        <v>721</v>
      </c>
      <c r="H130" s="57" t="s">
        <v>2874</v>
      </c>
      <c r="I130" s="57">
        <v>56524.4</v>
      </c>
      <c r="J130" s="57" t="s">
        <v>3476</v>
      </c>
      <c r="K130" s="57" t="s">
        <v>3476</v>
      </c>
      <c r="L130" s="57" t="s">
        <v>3730</v>
      </c>
      <c r="M130" s="57" t="s">
        <v>4098</v>
      </c>
      <c r="N130" s="57" t="s">
        <v>4098</v>
      </c>
      <c r="O130" s="57" t="s">
        <v>3476</v>
      </c>
      <c r="P130" s="57" t="s">
        <v>3476</v>
      </c>
      <c r="Q130" s="57" t="s">
        <v>2874</v>
      </c>
      <c r="R130" s="57" t="s">
        <v>3781</v>
      </c>
      <c r="S130" s="57" t="s">
        <v>3782</v>
      </c>
      <c r="T130" s="57" t="s">
        <v>3736</v>
      </c>
      <c r="U130" s="57" t="s">
        <v>3476</v>
      </c>
      <c r="V130" s="57" t="s">
        <v>3469</v>
      </c>
      <c r="W130" s="57" t="s">
        <v>3476</v>
      </c>
      <c r="X130" s="57" t="s">
        <v>4099</v>
      </c>
      <c r="Y130" s="57" t="s">
        <v>3738</v>
      </c>
      <c r="Z130" s="57" t="s">
        <v>3632</v>
      </c>
      <c r="AA130" s="57" t="s">
        <v>3476</v>
      </c>
      <c r="AB130" s="57" t="s">
        <v>3476</v>
      </c>
      <c r="AC130" s="57" t="s">
        <v>3476</v>
      </c>
      <c r="AD130" s="57" t="s">
        <v>3476</v>
      </c>
      <c r="AE130" s="57" t="s">
        <v>3476</v>
      </c>
      <c r="AF130" s="57" t="s">
        <v>3476</v>
      </c>
      <c r="AG130" s="57" t="s">
        <v>3476</v>
      </c>
      <c r="AH130" s="57" t="s">
        <v>3476</v>
      </c>
      <c r="AI130" s="57" t="s">
        <v>3476</v>
      </c>
      <c r="AJ130" s="57" t="s">
        <v>3476</v>
      </c>
      <c r="AK130" s="57" t="s">
        <v>3476</v>
      </c>
      <c r="AL130" s="57" t="s">
        <v>3476</v>
      </c>
      <c r="AM130" s="57" t="s">
        <v>3476</v>
      </c>
      <c r="AN130" s="57" t="s">
        <v>3476</v>
      </c>
      <c r="AO130" s="57" t="s">
        <v>3476</v>
      </c>
      <c r="AP130" s="58">
        <v>45847.6150578704</v>
      </c>
      <c r="AQ130" s="57" t="s">
        <v>3476</v>
      </c>
      <c r="AR130" s="57" t="s">
        <v>3476</v>
      </c>
      <c r="AS130" s="57" t="s">
        <v>3502</v>
      </c>
      <c r="AT130" s="57" t="s">
        <v>3745</v>
      </c>
      <c r="AU130" s="57" t="s">
        <v>3476</v>
      </c>
      <c r="AV130" s="57" t="s">
        <v>3476</v>
      </c>
      <c r="AW130" s="58">
        <v>45847.6094907407</v>
      </c>
      <c r="AX130" s="57" t="s">
        <v>3476</v>
      </c>
      <c r="AY130" s="57" t="s">
        <v>3747</v>
      </c>
      <c r="AZ130" s="57" t="s">
        <v>3476</v>
      </c>
      <c r="BA130" s="57" t="s">
        <v>3476</v>
      </c>
      <c r="BB130" s="57" t="s">
        <v>3476</v>
      </c>
      <c r="BC130" s="57" t="s">
        <v>1787</v>
      </c>
      <c r="BD130" s="57" t="s">
        <v>3659</v>
      </c>
      <c r="BE130" s="57" t="s">
        <v>3787</v>
      </c>
      <c r="BF130" s="57" t="s">
        <v>3749</v>
      </c>
      <c r="BG130" s="57" t="s">
        <v>3476</v>
      </c>
      <c r="BH130" s="57" t="s">
        <v>3476</v>
      </c>
      <c r="BI130" s="57" t="s">
        <v>2809</v>
      </c>
      <c r="BJ130" s="57" t="s">
        <v>3476</v>
      </c>
      <c r="BK130" s="57" t="s">
        <v>3476</v>
      </c>
      <c r="BL130" s="57">
        <v>3557800</v>
      </c>
      <c r="BM130" s="57" t="s">
        <v>4100</v>
      </c>
      <c r="BN130" s="57">
        <v>156</v>
      </c>
      <c r="BO130" s="57" t="s">
        <v>3476</v>
      </c>
      <c r="BP130" s="57" t="s">
        <v>3476</v>
      </c>
      <c r="BQ130" s="57" t="s">
        <v>3476</v>
      </c>
      <c r="BR130" s="57" t="s">
        <v>4101</v>
      </c>
      <c r="BS130" s="57" t="s">
        <v>1292</v>
      </c>
      <c r="BT130" s="57" t="s">
        <v>3476</v>
      </c>
      <c r="BU130" s="57" t="s">
        <v>3476</v>
      </c>
      <c r="BV130" s="57" t="s">
        <v>3753</v>
      </c>
      <c r="BW130" s="57" t="s">
        <v>3476</v>
      </c>
      <c r="BX130" s="57">
        <v>156</v>
      </c>
      <c r="BY130" s="57" t="s">
        <v>3476</v>
      </c>
      <c r="BZ130" s="57" t="s">
        <v>3476</v>
      </c>
      <c r="CA130" s="57" t="s">
        <v>3476</v>
      </c>
      <c r="CB130" s="57" t="s">
        <v>3476</v>
      </c>
      <c r="CC130" s="57" t="s">
        <v>3476</v>
      </c>
      <c r="CD130" s="57" t="s">
        <v>3476</v>
      </c>
    </row>
    <row r="131" spans="1:82">
      <c r="A131" s="57">
        <v>16541</v>
      </c>
      <c r="B131" s="57" t="s">
        <v>3476</v>
      </c>
      <c r="C131" s="57" t="s">
        <v>4096</v>
      </c>
      <c r="D131" s="57" t="s">
        <v>3476</v>
      </c>
      <c r="E131" s="57" t="s">
        <v>3730</v>
      </c>
      <c r="F131" s="57" t="s">
        <v>4097</v>
      </c>
      <c r="G131" s="57" t="s">
        <v>721</v>
      </c>
      <c r="H131" s="57" t="s">
        <v>2874</v>
      </c>
      <c r="I131" s="57">
        <v>56524.4</v>
      </c>
      <c r="J131" s="57" t="s">
        <v>3476</v>
      </c>
      <c r="K131" s="57" t="s">
        <v>3476</v>
      </c>
      <c r="L131" s="57" t="s">
        <v>3730</v>
      </c>
      <c r="M131" s="57" t="s">
        <v>4098</v>
      </c>
      <c r="N131" s="57" t="s">
        <v>4098</v>
      </c>
      <c r="O131" s="57" t="s">
        <v>3476</v>
      </c>
      <c r="P131" s="57" t="s">
        <v>3476</v>
      </c>
      <c r="Q131" s="57" t="s">
        <v>2874</v>
      </c>
      <c r="R131" s="57" t="s">
        <v>3781</v>
      </c>
      <c r="S131" s="57" t="s">
        <v>3782</v>
      </c>
      <c r="T131" s="57" t="s">
        <v>3736</v>
      </c>
      <c r="U131" s="57" t="s">
        <v>3476</v>
      </c>
      <c r="V131" s="57" t="s">
        <v>3469</v>
      </c>
      <c r="W131" s="57" t="s">
        <v>3476</v>
      </c>
      <c r="X131" s="57" t="s">
        <v>4099</v>
      </c>
      <c r="Y131" s="57" t="s">
        <v>3738</v>
      </c>
      <c r="Z131" s="57" t="s">
        <v>3632</v>
      </c>
      <c r="AA131" s="57" t="s">
        <v>3476</v>
      </c>
      <c r="AB131" s="57" t="s">
        <v>3476</v>
      </c>
      <c r="AC131" s="57" t="s">
        <v>3476</v>
      </c>
      <c r="AD131" s="57" t="s">
        <v>3476</v>
      </c>
      <c r="AE131" s="57" t="s">
        <v>3476</v>
      </c>
      <c r="AF131" s="57" t="s">
        <v>3476</v>
      </c>
      <c r="AG131" s="57" t="s">
        <v>3476</v>
      </c>
      <c r="AH131" s="57" t="s">
        <v>3476</v>
      </c>
      <c r="AI131" s="57" t="s">
        <v>3476</v>
      </c>
      <c r="AJ131" s="57" t="s">
        <v>3476</v>
      </c>
      <c r="AK131" s="57" t="s">
        <v>3476</v>
      </c>
      <c r="AL131" s="57" t="s">
        <v>3476</v>
      </c>
      <c r="AM131" s="57" t="s">
        <v>3476</v>
      </c>
      <c r="AN131" s="57" t="s">
        <v>3476</v>
      </c>
      <c r="AO131" s="57" t="s">
        <v>3476</v>
      </c>
      <c r="AP131" s="58">
        <v>45847.6150578704</v>
      </c>
      <c r="AQ131" s="57" t="s">
        <v>3476</v>
      </c>
      <c r="AR131" s="57" t="s">
        <v>3476</v>
      </c>
      <c r="AS131" s="57" t="s">
        <v>3502</v>
      </c>
      <c r="AT131" s="57" t="s">
        <v>3745</v>
      </c>
      <c r="AU131" s="57" t="s">
        <v>3476</v>
      </c>
      <c r="AV131" s="57" t="s">
        <v>3476</v>
      </c>
      <c r="AW131" s="58">
        <v>45847.6094907407</v>
      </c>
      <c r="AX131" s="57" t="s">
        <v>3476</v>
      </c>
      <c r="AY131" s="57" t="s">
        <v>3747</v>
      </c>
      <c r="AZ131" s="57" t="s">
        <v>3476</v>
      </c>
      <c r="BA131" s="57" t="s">
        <v>3476</v>
      </c>
      <c r="BB131" s="57" t="s">
        <v>3476</v>
      </c>
      <c r="BC131" s="57" t="s">
        <v>3791</v>
      </c>
      <c r="BD131" s="57" t="s">
        <v>3659</v>
      </c>
      <c r="BE131" s="57" t="s">
        <v>3787</v>
      </c>
      <c r="BF131" s="57" t="s">
        <v>3749</v>
      </c>
      <c r="BG131" s="57" t="s">
        <v>3476</v>
      </c>
      <c r="BH131" s="57" t="s">
        <v>3476</v>
      </c>
      <c r="BI131" s="57" t="s">
        <v>2809</v>
      </c>
      <c r="BJ131" s="57" t="s">
        <v>3476</v>
      </c>
      <c r="BK131" s="57" t="s">
        <v>3476</v>
      </c>
      <c r="BL131" s="57">
        <v>3557823</v>
      </c>
      <c r="BM131" s="57" t="s">
        <v>4100</v>
      </c>
      <c r="BN131" s="57">
        <v>1999.8</v>
      </c>
      <c r="BO131" s="57" t="s">
        <v>3476</v>
      </c>
      <c r="BP131" s="57" t="s">
        <v>3476</v>
      </c>
      <c r="BQ131" s="57" t="s">
        <v>3476</v>
      </c>
      <c r="BR131" s="57" t="s">
        <v>4101</v>
      </c>
      <c r="BS131" s="57" t="s">
        <v>1292</v>
      </c>
      <c r="BT131" s="57" t="s">
        <v>3476</v>
      </c>
      <c r="BU131" s="57" t="s">
        <v>3476</v>
      </c>
      <c r="BV131" s="57" t="s">
        <v>3753</v>
      </c>
      <c r="BW131" s="57" t="s">
        <v>3476</v>
      </c>
      <c r="BX131" s="57">
        <v>1999.8</v>
      </c>
      <c r="BY131" s="57" t="s">
        <v>3476</v>
      </c>
      <c r="BZ131" s="57" t="s">
        <v>3476</v>
      </c>
      <c r="CA131" s="57" t="s">
        <v>3476</v>
      </c>
      <c r="CB131" s="57" t="s">
        <v>3476</v>
      </c>
      <c r="CC131" s="57" t="s">
        <v>3476</v>
      </c>
      <c r="CD131" s="57" t="s">
        <v>3476</v>
      </c>
    </row>
    <row r="132" spans="1:82">
      <c r="A132" s="57">
        <v>16542</v>
      </c>
      <c r="B132" s="57" t="s">
        <v>3476</v>
      </c>
      <c r="C132" s="57" t="s">
        <v>4096</v>
      </c>
      <c r="D132" s="57" t="s">
        <v>3476</v>
      </c>
      <c r="E132" s="57" t="s">
        <v>3730</v>
      </c>
      <c r="F132" s="57" t="s">
        <v>4097</v>
      </c>
      <c r="G132" s="57" t="s">
        <v>721</v>
      </c>
      <c r="H132" s="57" t="s">
        <v>2874</v>
      </c>
      <c r="I132" s="57">
        <v>56524.4</v>
      </c>
      <c r="J132" s="57" t="s">
        <v>3476</v>
      </c>
      <c r="K132" s="57" t="s">
        <v>3476</v>
      </c>
      <c r="L132" s="57" t="s">
        <v>3730</v>
      </c>
      <c r="M132" s="57" t="s">
        <v>4098</v>
      </c>
      <c r="N132" s="57" t="s">
        <v>4098</v>
      </c>
      <c r="O132" s="57" t="s">
        <v>3476</v>
      </c>
      <c r="P132" s="57" t="s">
        <v>3476</v>
      </c>
      <c r="Q132" s="57" t="s">
        <v>2874</v>
      </c>
      <c r="R132" s="57" t="s">
        <v>3781</v>
      </c>
      <c r="S132" s="57" t="s">
        <v>3782</v>
      </c>
      <c r="T132" s="57" t="s">
        <v>3736</v>
      </c>
      <c r="U132" s="57" t="s">
        <v>3476</v>
      </c>
      <c r="V132" s="57" t="s">
        <v>3469</v>
      </c>
      <c r="W132" s="57" t="s">
        <v>3476</v>
      </c>
      <c r="X132" s="57" t="s">
        <v>4099</v>
      </c>
      <c r="Y132" s="57" t="s">
        <v>3738</v>
      </c>
      <c r="Z132" s="57" t="s">
        <v>3632</v>
      </c>
      <c r="AA132" s="57" t="s">
        <v>3476</v>
      </c>
      <c r="AB132" s="57" t="s">
        <v>3476</v>
      </c>
      <c r="AC132" s="57" t="s">
        <v>3476</v>
      </c>
      <c r="AD132" s="57" t="s">
        <v>3476</v>
      </c>
      <c r="AE132" s="57" t="s">
        <v>3476</v>
      </c>
      <c r="AF132" s="57" t="s">
        <v>3476</v>
      </c>
      <c r="AG132" s="57" t="s">
        <v>3476</v>
      </c>
      <c r="AH132" s="57" t="s">
        <v>3476</v>
      </c>
      <c r="AI132" s="57" t="s">
        <v>3476</v>
      </c>
      <c r="AJ132" s="57" t="s">
        <v>3476</v>
      </c>
      <c r="AK132" s="57" t="s">
        <v>3476</v>
      </c>
      <c r="AL132" s="57" t="s">
        <v>3476</v>
      </c>
      <c r="AM132" s="57" t="s">
        <v>3476</v>
      </c>
      <c r="AN132" s="57" t="s">
        <v>3476</v>
      </c>
      <c r="AO132" s="57" t="s">
        <v>3476</v>
      </c>
      <c r="AP132" s="58">
        <v>45847.6150578704</v>
      </c>
      <c r="AQ132" s="57" t="s">
        <v>3476</v>
      </c>
      <c r="AR132" s="57" t="s">
        <v>3476</v>
      </c>
      <c r="AS132" s="57" t="s">
        <v>3502</v>
      </c>
      <c r="AT132" s="57" t="s">
        <v>3745</v>
      </c>
      <c r="AU132" s="57" t="s">
        <v>3476</v>
      </c>
      <c r="AV132" s="57" t="s">
        <v>3476</v>
      </c>
      <c r="AW132" s="58">
        <v>45847.6094907407</v>
      </c>
      <c r="AX132" s="57" t="s">
        <v>3476</v>
      </c>
      <c r="AY132" s="57" t="s">
        <v>3747</v>
      </c>
      <c r="AZ132" s="57" t="s">
        <v>3476</v>
      </c>
      <c r="BA132" s="57" t="s">
        <v>3476</v>
      </c>
      <c r="BB132" s="57" t="s">
        <v>3476</v>
      </c>
      <c r="BC132" s="57" t="s">
        <v>3791</v>
      </c>
      <c r="BD132" s="57" t="s">
        <v>3659</v>
      </c>
      <c r="BE132" s="57" t="s">
        <v>3787</v>
      </c>
      <c r="BF132" s="57" t="s">
        <v>3749</v>
      </c>
      <c r="BG132" s="57" t="s">
        <v>3476</v>
      </c>
      <c r="BH132" s="57" t="s">
        <v>3476</v>
      </c>
      <c r="BI132" s="57" t="s">
        <v>2809</v>
      </c>
      <c r="BJ132" s="57" t="s">
        <v>3476</v>
      </c>
      <c r="BK132" s="57" t="s">
        <v>3476</v>
      </c>
      <c r="BL132" s="57">
        <v>3557822</v>
      </c>
      <c r="BM132" s="57" t="s">
        <v>4100</v>
      </c>
      <c r="BN132" s="57">
        <v>4022.5</v>
      </c>
      <c r="BO132" s="57" t="s">
        <v>3476</v>
      </c>
      <c r="BP132" s="57" t="s">
        <v>3476</v>
      </c>
      <c r="BQ132" s="57" t="s">
        <v>3476</v>
      </c>
      <c r="BR132" s="57" t="s">
        <v>4101</v>
      </c>
      <c r="BS132" s="57" t="s">
        <v>1292</v>
      </c>
      <c r="BT132" s="57" t="s">
        <v>3476</v>
      </c>
      <c r="BU132" s="57" t="s">
        <v>3476</v>
      </c>
      <c r="BV132" s="57" t="s">
        <v>3753</v>
      </c>
      <c r="BW132" s="57" t="s">
        <v>3476</v>
      </c>
      <c r="BX132" s="57">
        <v>4022.5</v>
      </c>
      <c r="BY132" s="57" t="s">
        <v>3476</v>
      </c>
      <c r="BZ132" s="57" t="s">
        <v>3476</v>
      </c>
      <c r="CA132" s="57" t="s">
        <v>3476</v>
      </c>
      <c r="CB132" s="57" t="s">
        <v>3476</v>
      </c>
      <c r="CC132" s="57" t="s">
        <v>3476</v>
      </c>
      <c r="CD132" s="57" t="s">
        <v>3476</v>
      </c>
    </row>
    <row r="133" spans="1:82">
      <c r="A133" s="57">
        <v>16543</v>
      </c>
      <c r="B133" s="57" t="s">
        <v>3476</v>
      </c>
      <c r="C133" s="57" t="s">
        <v>4096</v>
      </c>
      <c r="D133" s="57" t="s">
        <v>3476</v>
      </c>
      <c r="E133" s="57" t="s">
        <v>3730</v>
      </c>
      <c r="F133" s="57" t="s">
        <v>4097</v>
      </c>
      <c r="G133" s="57" t="s">
        <v>721</v>
      </c>
      <c r="H133" s="57" t="s">
        <v>2874</v>
      </c>
      <c r="I133" s="57">
        <v>56524.4</v>
      </c>
      <c r="J133" s="57" t="s">
        <v>3476</v>
      </c>
      <c r="K133" s="57" t="s">
        <v>3476</v>
      </c>
      <c r="L133" s="57" t="s">
        <v>3730</v>
      </c>
      <c r="M133" s="57" t="s">
        <v>4098</v>
      </c>
      <c r="N133" s="57" t="s">
        <v>4098</v>
      </c>
      <c r="O133" s="57" t="s">
        <v>3476</v>
      </c>
      <c r="P133" s="57" t="s">
        <v>3476</v>
      </c>
      <c r="Q133" s="57" t="s">
        <v>2874</v>
      </c>
      <c r="R133" s="57" t="s">
        <v>3781</v>
      </c>
      <c r="S133" s="57" t="s">
        <v>3782</v>
      </c>
      <c r="T133" s="57" t="s">
        <v>3736</v>
      </c>
      <c r="U133" s="57" t="s">
        <v>3476</v>
      </c>
      <c r="V133" s="57" t="s">
        <v>3469</v>
      </c>
      <c r="W133" s="57" t="s">
        <v>3476</v>
      </c>
      <c r="X133" s="57" t="s">
        <v>4099</v>
      </c>
      <c r="Y133" s="57" t="s">
        <v>3738</v>
      </c>
      <c r="Z133" s="57" t="s">
        <v>3632</v>
      </c>
      <c r="AA133" s="57" t="s">
        <v>3476</v>
      </c>
      <c r="AB133" s="57" t="s">
        <v>3476</v>
      </c>
      <c r="AC133" s="57" t="s">
        <v>3476</v>
      </c>
      <c r="AD133" s="57" t="s">
        <v>3476</v>
      </c>
      <c r="AE133" s="57" t="s">
        <v>3476</v>
      </c>
      <c r="AF133" s="57" t="s">
        <v>3476</v>
      </c>
      <c r="AG133" s="57" t="s">
        <v>3476</v>
      </c>
      <c r="AH133" s="57" t="s">
        <v>3476</v>
      </c>
      <c r="AI133" s="57" t="s">
        <v>3476</v>
      </c>
      <c r="AJ133" s="57" t="s">
        <v>3476</v>
      </c>
      <c r="AK133" s="57" t="s">
        <v>3476</v>
      </c>
      <c r="AL133" s="57" t="s">
        <v>3476</v>
      </c>
      <c r="AM133" s="57" t="s">
        <v>3476</v>
      </c>
      <c r="AN133" s="57" t="s">
        <v>3476</v>
      </c>
      <c r="AO133" s="57" t="s">
        <v>3476</v>
      </c>
      <c r="AP133" s="58">
        <v>45847.6150578704</v>
      </c>
      <c r="AQ133" s="57" t="s">
        <v>3476</v>
      </c>
      <c r="AR133" s="57" t="s">
        <v>3476</v>
      </c>
      <c r="AS133" s="57" t="s">
        <v>3502</v>
      </c>
      <c r="AT133" s="57" t="s">
        <v>3745</v>
      </c>
      <c r="AU133" s="57" t="s">
        <v>3476</v>
      </c>
      <c r="AV133" s="57" t="s">
        <v>3476</v>
      </c>
      <c r="AW133" s="58">
        <v>45847.6094907407</v>
      </c>
      <c r="AX133" s="57" t="s">
        <v>3476</v>
      </c>
      <c r="AY133" s="57" t="s">
        <v>3747</v>
      </c>
      <c r="AZ133" s="57" t="s">
        <v>3476</v>
      </c>
      <c r="BA133" s="57" t="s">
        <v>3476</v>
      </c>
      <c r="BB133" s="57" t="s">
        <v>3476</v>
      </c>
      <c r="BC133" s="57" t="s">
        <v>3791</v>
      </c>
      <c r="BD133" s="57" t="s">
        <v>3659</v>
      </c>
      <c r="BE133" s="57" t="s">
        <v>3787</v>
      </c>
      <c r="BF133" s="57" t="s">
        <v>3749</v>
      </c>
      <c r="BG133" s="57" t="s">
        <v>3476</v>
      </c>
      <c r="BH133" s="57" t="s">
        <v>3476</v>
      </c>
      <c r="BI133" s="57" t="s">
        <v>2809</v>
      </c>
      <c r="BJ133" s="57" t="s">
        <v>3476</v>
      </c>
      <c r="BK133" s="57" t="s">
        <v>3476</v>
      </c>
      <c r="BL133" s="57">
        <v>3557821</v>
      </c>
      <c r="BM133" s="57" t="s">
        <v>4100</v>
      </c>
      <c r="BN133" s="57">
        <v>2097.5</v>
      </c>
      <c r="BO133" s="57" t="s">
        <v>3476</v>
      </c>
      <c r="BP133" s="57" t="s">
        <v>3476</v>
      </c>
      <c r="BQ133" s="57" t="s">
        <v>3476</v>
      </c>
      <c r="BR133" s="57" t="s">
        <v>4101</v>
      </c>
      <c r="BS133" s="57" t="s">
        <v>1292</v>
      </c>
      <c r="BT133" s="57" t="s">
        <v>3476</v>
      </c>
      <c r="BU133" s="57" t="s">
        <v>3476</v>
      </c>
      <c r="BV133" s="57" t="s">
        <v>3753</v>
      </c>
      <c r="BW133" s="57" t="s">
        <v>3476</v>
      </c>
      <c r="BX133" s="57">
        <v>2097.5</v>
      </c>
      <c r="BY133" s="57" t="s">
        <v>3476</v>
      </c>
      <c r="BZ133" s="57" t="s">
        <v>3476</v>
      </c>
      <c r="CA133" s="57" t="s">
        <v>3476</v>
      </c>
      <c r="CB133" s="57" t="s">
        <v>3476</v>
      </c>
      <c r="CC133" s="57" t="s">
        <v>3476</v>
      </c>
      <c r="CD133" s="57" t="s">
        <v>3476</v>
      </c>
    </row>
    <row r="134" spans="1:82">
      <c r="A134" s="57">
        <v>16544</v>
      </c>
      <c r="B134" s="57" t="s">
        <v>3476</v>
      </c>
      <c r="C134" s="57" t="s">
        <v>4096</v>
      </c>
      <c r="D134" s="57" t="s">
        <v>3476</v>
      </c>
      <c r="E134" s="57" t="s">
        <v>3730</v>
      </c>
      <c r="F134" s="57" t="s">
        <v>4097</v>
      </c>
      <c r="G134" s="57" t="s">
        <v>721</v>
      </c>
      <c r="H134" s="57" t="s">
        <v>2874</v>
      </c>
      <c r="I134" s="57">
        <v>56524.4</v>
      </c>
      <c r="J134" s="57" t="s">
        <v>3476</v>
      </c>
      <c r="K134" s="57" t="s">
        <v>3476</v>
      </c>
      <c r="L134" s="57" t="s">
        <v>3730</v>
      </c>
      <c r="M134" s="57" t="s">
        <v>4098</v>
      </c>
      <c r="N134" s="57" t="s">
        <v>4098</v>
      </c>
      <c r="O134" s="57" t="s">
        <v>3476</v>
      </c>
      <c r="P134" s="57" t="s">
        <v>3476</v>
      </c>
      <c r="Q134" s="57" t="s">
        <v>2874</v>
      </c>
      <c r="R134" s="57" t="s">
        <v>3781</v>
      </c>
      <c r="S134" s="57" t="s">
        <v>3782</v>
      </c>
      <c r="T134" s="57" t="s">
        <v>3736</v>
      </c>
      <c r="U134" s="57" t="s">
        <v>3476</v>
      </c>
      <c r="V134" s="57" t="s">
        <v>3469</v>
      </c>
      <c r="W134" s="57" t="s">
        <v>3476</v>
      </c>
      <c r="X134" s="57" t="s">
        <v>4099</v>
      </c>
      <c r="Y134" s="57" t="s">
        <v>3738</v>
      </c>
      <c r="Z134" s="57" t="s">
        <v>3632</v>
      </c>
      <c r="AA134" s="57" t="s">
        <v>3476</v>
      </c>
      <c r="AB134" s="57" t="s">
        <v>3476</v>
      </c>
      <c r="AC134" s="57" t="s">
        <v>3476</v>
      </c>
      <c r="AD134" s="57" t="s">
        <v>3476</v>
      </c>
      <c r="AE134" s="57" t="s">
        <v>3476</v>
      </c>
      <c r="AF134" s="57" t="s">
        <v>3476</v>
      </c>
      <c r="AG134" s="57" t="s">
        <v>3476</v>
      </c>
      <c r="AH134" s="57" t="s">
        <v>3476</v>
      </c>
      <c r="AI134" s="57" t="s">
        <v>3476</v>
      </c>
      <c r="AJ134" s="57" t="s">
        <v>3476</v>
      </c>
      <c r="AK134" s="57" t="s">
        <v>3476</v>
      </c>
      <c r="AL134" s="57" t="s">
        <v>3476</v>
      </c>
      <c r="AM134" s="57" t="s">
        <v>3476</v>
      </c>
      <c r="AN134" s="57" t="s">
        <v>3476</v>
      </c>
      <c r="AO134" s="57" t="s">
        <v>3476</v>
      </c>
      <c r="AP134" s="58">
        <v>45847.6150578704</v>
      </c>
      <c r="AQ134" s="57" t="s">
        <v>3476</v>
      </c>
      <c r="AR134" s="57" t="s">
        <v>3476</v>
      </c>
      <c r="AS134" s="57" t="s">
        <v>3502</v>
      </c>
      <c r="AT134" s="57" t="s">
        <v>3745</v>
      </c>
      <c r="AU134" s="57" t="s">
        <v>3476</v>
      </c>
      <c r="AV134" s="57" t="s">
        <v>3476</v>
      </c>
      <c r="AW134" s="58">
        <v>45847.6094907407</v>
      </c>
      <c r="AX134" s="57" t="s">
        <v>3476</v>
      </c>
      <c r="AY134" s="57" t="s">
        <v>3747</v>
      </c>
      <c r="AZ134" s="57" t="s">
        <v>3476</v>
      </c>
      <c r="BA134" s="57" t="s">
        <v>3476</v>
      </c>
      <c r="BB134" s="57" t="s">
        <v>3476</v>
      </c>
      <c r="BC134" s="57" t="s">
        <v>3791</v>
      </c>
      <c r="BD134" s="57" t="s">
        <v>3659</v>
      </c>
      <c r="BE134" s="57" t="s">
        <v>3787</v>
      </c>
      <c r="BF134" s="57" t="s">
        <v>3749</v>
      </c>
      <c r="BG134" s="57" t="s">
        <v>3476</v>
      </c>
      <c r="BH134" s="57" t="s">
        <v>3476</v>
      </c>
      <c r="BI134" s="57" t="s">
        <v>2809</v>
      </c>
      <c r="BJ134" s="57" t="s">
        <v>3476</v>
      </c>
      <c r="BK134" s="57" t="s">
        <v>3476</v>
      </c>
      <c r="BL134" s="57">
        <v>3557820</v>
      </c>
      <c r="BM134" s="57" t="s">
        <v>4100</v>
      </c>
      <c r="BN134" s="57">
        <v>960</v>
      </c>
      <c r="BO134" s="57" t="s">
        <v>3476</v>
      </c>
      <c r="BP134" s="57" t="s">
        <v>3476</v>
      </c>
      <c r="BQ134" s="57" t="s">
        <v>3476</v>
      </c>
      <c r="BR134" s="57" t="s">
        <v>4101</v>
      </c>
      <c r="BS134" s="57" t="s">
        <v>1292</v>
      </c>
      <c r="BT134" s="57" t="s">
        <v>3476</v>
      </c>
      <c r="BU134" s="57" t="s">
        <v>3476</v>
      </c>
      <c r="BV134" s="57" t="s">
        <v>3753</v>
      </c>
      <c r="BW134" s="57" t="s">
        <v>3476</v>
      </c>
      <c r="BX134" s="57">
        <v>960</v>
      </c>
      <c r="BY134" s="57" t="s">
        <v>3476</v>
      </c>
      <c r="BZ134" s="57" t="s">
        <v>3476</v>
      </c>
      <c r="CA134" s="57" t="s">
        <v>3476</v>
      </c>
      <c r="CB134" s="57" t="s">
        <v>3476</v>
      </c>
      <c r="CC134" s="57" t="s">
        <v>3476</v>
      </c>
      <c r="CD134" s="57" t="s">
        <v>3476</v>
      </c>
    </row>
    <row r="135" spans="1:82">
      <c r="A135" s="57">
        <v>16545</v>
      </c>
      <c r="B135" s="57" t="s">
        <v>3476</v>
      </c>
      <c r="C135" s="57" t="s">
        <v>4096</v>
      </c>
      <c r="D135" s="57" t="s">
        <v>3476</v>
      </c>
      <c r="E135" s="57" t="s">
        <v>3730</v>
      </c>
      <c r="F135" s="57" t="s">
        <v>4097</v>
      </c>
      <c r="G135" s="57" t="s">
        <v>721</v>
      </c>
      <c r="H135" s="57" t="s">
        <v>2874</v>
      </c>
      <c r="I135" s="57">
        <v>56524.4</v>
      </c>
      <c r="J135" s="57" t="s">
        <v>3476</v>
      </c>
      <c r="K135" s="57" t="s">
        <v>3476</v>
      </c>
      <c r="L135" s="57" t="s">
        <v>3730</v>
      </c>
      <c r="M135" s="57" t="s">
        <v>4098</v>
      </c>
      <c r="N135" s="57" t="s">
        <v>4098</v>
      </c>
      <c r="O135" s="57" t="s">
        <v>3476</v>
      </c>
      <c r="P135" s="57" t="s">
        <v>3476</v>
      </c>
      <c r="Q135" s="57" t="s">
        <v>2874</v>
      </c>
      <c r="R135" s="57" t="s">
        <v>3781</v>
      </c>
      <c r="S135" s="57" t="s">
        <v>3782</v>
      </c>
      <c r="T135" s="57" t="s">
        <v>3736</v>
      </c>
      <c r="U135" s="57" t="s">
        <v>3476</v>
      </c>
      <c r="V135" s="57" t="s">
        <v>3469</v>
      </c>
      <c r="W135" s="57" t="s">
        <v>3476</v>
      </c>
      <c r="X135" s="57" t="s">
        <v>4099</v>
      </c>
      <c r="Y135" s="57" t="s">
        <v>3738</v>
      </c>
      <c r="Z135" s="57" t="s">
        <v>3632</v>
      </c>
      <c r="AA135" s="57" t="s">
        <v>3476</v>
      </c>
      <c r="AB135" s="57" t="s">
        <v>3476</v>
      </c>
      <c r="AC135" s="57" t="s">
        <v>3476</v>
      </c>
      <c r="AD135" s="57" t="s">
        <v>3476</v>
      </c>
      <c r="AE135" s="57" t="s">
        <v>3476</v>
      </c>
      <c r="AF135" s="57" t="s">
        <v>3476</v>
      </c>
      <c r="AG135" s="57" t="s">
        <v>3476</v>
      </c>
      <c r="AH135" s="57" t="s">
        <v>3476</v>
      </c>
      <c r="AI135" s="57" t="s">
        <v>3476</v>
      </c>
      <c r="AJ135" s="57" t="s">
        <v>3476</v>
      </c>
      <c r="AK135" s="57" t="s">
        <v>3476</v>
      </c>
      <c r="AL135" s="57" t="s">
        <v>3476</v>
      </c>
      <c r="AM135" s="57" t="s">
        <v>3476</v>
      </c>
      <c r="AN135" s="57" t="s">
        <v>3476</v>
      </c>
      <c r="AO135" s="57" t="s">
        <v>3476</v>
      </c>
      <c r="AP135" s="58">
        <v>45847.6150578704</v>
      </c>
      <c r="AQ135" s="57" t="s">
        <v>3476</v>
      </c>
      <c r="AR135" s="57" t="s">
        <v>3476</v>
      </c>
      <c r="AS135" s="57" t="s">
        <v>3502</v>
      </c>
      <c r="AT135" s="57" t="s">
        <v>3745</v>
      </c>
      <c r="AU135" s="57" t="s">
        <v>3476</v>
      </c>
      <c r="AV135" s="57" t="s">
        <v>3476</v>
      </c>
      <c r="AW135" s="58">
        <v>45847.6094907407</v>
      </c>
      <c r="AX135" s="57" t="s">
        <v>3476</v>
      </c>
      <c r="AY135" s="57" t="s">
        <v>3747</v>
      </c>
      <c r="AZ135" s="57" t="s">
        <v>3476</v>
      </c>
      <c r="BA135" s="57" t="s">
        <v>3476</v>
      </c>
      <c r="BB135" s="57" t="s">
        <v>3476</v>
      </c>
      <c r="BC135" s="57" t="s">
        <v>3794</v>
      </c>
      <c r="BD135" s="57" t="s">
        <v>3659</v>
      </c>
      <c r="BE135" s="57" t="s">
        <v>3787</v>
      </c>
      <c r="BF135" s="57" t="s">
        <v>3749</v>
      </c>
      <c r="BG135" s="57" t="s">
        <v>3476</v>
      </c>
      <c r="BH135" s="57" t="s">
        <v>3476</v>
      </c>
      <c r="BI135" s="57" t="s">
        <v>2809</v>
      </c>
      <c r="BJ135" s="57" t="s">
        <v>3476</v>
      </c>
      <c r="BK135" s="57" t="s">
        <v>3476</v>
      </c>
      <c r="BL135" s="57">
        <v>3557827</v>
      </c>
      <c r="BM135" s="57" t="s">
        <v>4100</v>
      </c>
      <c r="BN135" s="57">
        <v>14040</v>
      </c>
      <c r="BO135" s="57" t="s">
        <v>3476</v>
      </c>
      <c r="BP135" s="57" t="s">
        <v>3476</v>
      </c>
      <c r="BQ135" s="57" t="s">
        <v>3476</v>
      </c>
      <c r="BR135" s="57" t="s">
        <v>4101</v>
      </c>
      <c r="BS135" s="57" t="s">
        <v>1292</v>
      </c>
      <c r="BT135" s="57" t="s">
        <v>3476</v>
      </c>
      <c r="BU135" s="57" t="s">
        <v>3476</v>
      </c>
      <c r="BV135" s="57" t="s">
        <v>3753</v>
      </c>
      <c r="BW135" s="57" t="s">
        <v>3476</v>
      </c>
      <c r="BX135" s="57">
        <v>14040</v>
      </c>
      <c r="BY135" s="57" t="s">
        <v>3476</v>
      </c>
      <c r="BZ135" s="57" t="s">
        <v>3476</v>
      </c>
      <c r="CA135" s="57" t="s">
        <v>3476</v>
      </c>
      <c r="CB135" s="57" t="s">
        <v>3476</v>
      </c>
      <c r="CC135" s="57" t="s">
        <v>3476</v>
      </c>
      <c r="CD135" s="57" t="s">
        <v>3476</v>
      </c>
    </row>
    <row r="136" spans="1:82">
      <c r="A136" s="57">
        <v>16546</v>
      </c>
      <c r="B136" s="57" t="s">
        <v>3476</v>
      </c>
      <c r="C136" s="57" t="s">
        <v>4096</v>
      </c>
      <c r="D136" s="57" t="s">
        <v>3476</v>
      </c>
      <c r="E136" s="57" t="s">
        <v>3730</v>
      </c>
      <c r="F136" s="57" t="s">
        <v>4097</v>
      </c>
      <c r="G136" s="57" t="s">
        <v>721</v>
      </c>
      <c r="H136" s="57" t="s">
        <v>2874</v>
      </c>
      <c r="I136" s="57">
        <v>56524.4</v>
      </c>
      <c r="J136" s="57" t="s">
        <v>3476</v>
      </c>
      <c r="K136" s="57" t="s">
        <v>3476</v>
      </c>
      <c r="L136" s="57" t="s">
        <v>3730</v>
      </c>
      <c r="M136" s="57" t="s">
        <v>4098</v>
      </c>
      <c r="N136" s="57" t="s">
        <v>4098</v>
      </c>
      <c r="O136" s="57" t="s">
        <v>3476</v>
      </c>
      <c r="P136" s="57" t="s">
        <v>3476</v>
      </c>
      <c r="Q136" s="57" t="s">
        <v>2874</v>
      </c>
      <c r="R136" s="57" t="s">
        <v>3781</v>
      </c>
      <c r="S136" s="57" t="s">
        <v>3782</v>
      </c>
      <c r="T136" s="57" t="s">
        <v>3736</v>
      </c>
      <c r="U136" s="57" t="s">
        <v>3476</v>
      </c>
      <c r="V136" s="57" t="s">
        <v>3469</v>
      </c>
      <c r="W136" s="57" t="s">
        <v>3476</v>
      </c>
      <c r="X136" s="57" t="s">
        <v>4099</v>
      </c>
      <c r="Y136" s="57" t="s">
        <v>3738</v>
      </c>
      <c r="Z136" s="57" t="s">
        <v>3632</v>
      </c>
      <c r="AA136" s="57" t="s">
        <v>3476</v>
      </c>
      <c r="AB136" s="57" t="s">
        <v>3476</v>
      </c>
      <c r="AC136" s="57" t="s">
        <v>3476</v>
      </c>
      <c r="AD136" s="57" t="s">
        <v>3476</v>
      </c>
      <c r="AE136" s="57" t="s">
        <v>3476</v>
      </c>
      <c r="AF136" s="57" t="s">
        <v>3476</v>
      </c>
      <c r="AG136" s="57" t="s">
        <v>3476</v>
      </c>
      <c r="AH136" s="57" t="s">
        <v>3476</v>
      </c>
      <c r="AI136" s="57" t="s">
        <v>3476</v>
      </c>
      <c r="AJ136" s="57" t="s">
        <v>3476</v>
      </c>
      <c r="AK136" s="57" t="s">
        <v>3476</v>
      </c>
      <c r="AL136" s="57" t="s">
        <v>3476</v>
      </c>
      <c r="AM136" s="57" t="s">
        <v>3476</v>
      </c>
      <c r="AN136" s="57" t="s">
        <v>3476</v>
      </c>
      <c r="AO136" s="57" t="s">
        <v>3476</v>
      </c>
      <c r="AP136" s="58">
        <v>45847.6150578704</v>
      </c>
      <c r="AQ136" s="57" t="s">
        <v>3476</v>
      </c>
      <c r="AR136" s="57" t="s">
        <v>3476</v>
      </c>
      <c r="AS136" s="57" t="s">
        <v>3502</v>
      </c>
      <c r="AT136" s="57" t="s">
        <v>3745</v>
      </c>
      <c r="AU136" s="57" t="s">
        <v>3476</v>
      </c>
      <c r="AV136" s="57" t="s">
        <v>3476</v>
      </c>
      <c r="AW136" s="58">
        <v>45847.6094907407</v>
      </c>
      <c r="AX136" s="57" t="s">
        <v>3476</v>
      </c>
      <c r="AY136" s="57" t="s">
        <v>3747</v>
      </c>
      <c r="AZ136" s="57" t="s">
        <v>3476</v>
      </c>
      <c r="BA136" s="57" t="s">
        <v>3476</v>
      </c>
      <c r="BB136" s="57" t="s">
        <v>3476</v>
      </c>
      <c r="BC136" s="57" t="s">
        <v>3794</v>
      </c>
      <c r="BD136" s="57" t="s">
        <v>3659</v>
      </c>
      <c r="BE136" s="57" t="s">
        <v>3787</v>
      </c>
      <c r="BF136" s="57" t="s">
        <v>3749</v>
      </c>
      <c r="BG136" s="57" t="s">
        <v>3476</v>
      </c>
      <c r="BH136" s="57" t="s">
        <v>3476</v>
      </c>
      <c r="BI136" s="57" t="s">
        <v>2809</v>
      </c>
      <c r="BJ136" s="57" t="s">
        <v>3476</v>
      </c>
      <c r="BK136" s="57" t="s">
        <v>3476</v>
      </c>
      <c r="BL136" s="57">
        <v>3557826</v>
      </c>
      <c r="BM136" s="57" t="s">
        <v>4100</v>
      </c>
      <c r="BN136" s="57">
        <v>13200</v>
      </c>
      <c r="BO136" s="57" t="s">
        <v>3476</v>
      </c>
      <c r="BP136" s="57" t="s">
        <v>3476</v>
      </c>
      <c r="BQ136" s="57" t="s">
        <v>3476</v>
      </c>
      <c r="BR136" s="57" t="s">
        <v>4101</v>
      </c>
      <c r="BS136" s="57" t="s">
        <v>1292</v>
      </c>
      <c r="BT136" s="57" t="s">
        <v>3476</v>
      </c>
      <c r="BU136" s="57" t="s">
        <v>3476</v>
      </c>
      <c r="BV136" s="57" t="s">
        <v>3753</v>
      </c>
      <c r="BW136" s="57" t="s">
        <v>3476</v>
      </c>
      <c r="BX136" s="57">
        <v>13200</v>
      </c>
      <c r="BY136" s="57" t="s">
        <v>3476</v>
      </c>
      <c r="BZ136" s="57" t="s">
        <v>3476</v>
      </c>
      <c r="CA136" s="57" t="s">
        <v>3476</v>
      </c>
      <c r="CB136" s="57" t="s">
        <v>3476</v>
      </c>
      <c r="CC136" s="57" t="s">
        <v>3476</v>
      </c>
      <c r="CD136" s="57" t="s">
        <v>3476</v>
      </c>
    </row>
    <row r="137" spans="1:82">
      <c r="A137" s="57">
        <v>16547</v>
      </c>
      <c r="B137" s="57" t="s">
        <v>3476</v>
      </c>
      <c r="C137" s="57" t="s">
        <v>4096</v>
      </c>
      <c r="D137" s="57" t="s">
        <v>3476</v>
      </c>
      <c r="E137" s="57" t="s">
        <v>3730</v>
      </c>
      <c r="F137" s="57" t="s">
        <v>4097</v>
      </c>
      <c r="G137" s="57" t="s">
        <v>721</v>
      </c>
      <c r="H137" s="57" t="s">
        <v>2874</v>
      </c>
      <c r="I137" s="57">
        <v>56524.4</v>
      </c>
      <c r="J137" s="57" t="s">
        <v>3476</v>
      </c>
      <c r="K137" s="57" t="s">
        <v>3476</v>
      </c>
      <c r="L137" s="57" t="s">
        <v>3730</v>
      </c>
      <c r="M137" s="57" t="s">
        <v>4098</v>
      </c>
      <c r="N137" s="57" t="s">
        <v>4098</v>
      </c>
      <c r="O137" s="57" t="s">
        <v>3476</v>
      </c>
      <c r="P137" s="57" t="s">
        <v>3476</v>
      </c>
      <c r="Q137" s="57" t="s">
        <v>2874</v>
      </c>
      <c r="R137" s="57" t="s">
        <v>3781</v>
      </c>
      <c r="S137" s="57" t="s">
        <v>3782</v>
      </c>
      <c r="T137" s="57" t="s">
        <v>3736</v>
      </c>
      <c r="U137" s="57" t="s">
        <v>3476</v>
      </c>
      <c r="V137" s="57" t="s">
        <v>3469</v>
      </c>
      <c r="W137" s="57" t="s">
        <v>3476</v>
      </c>
      <c r="X137" s="57" t="s">
        <v>4099</v>
      </c>
      <c r="Y137" s="57" t="s">
        <v>3738</v>
      </c>
      <c r="Z137" s="57" t="s">
        <v>3632</v>
      </c>
      <c r="AA137" s="57" t="s">
        <v>3476</v>
      </c>
      <c r="AB137" s="57" t="s">
        <v>3476</v>
      </c>
      <c r="AC137" s="57" t="s">
        <v>3476</v>
      </c>
      <c r="AD137" s="57" t="s">
        <v>3476</v>
      </c>
      <c r="AE137" s="57" t="s">
        <v>3476</v>
      </c>
      <c r="AF137" s="57" t="s">
        <v>3476</v>
      </c>
      <c r="AG137" s="57" t="s">
        <v>3476</v>
      </c>
      <c r="AH137" s="57" t="s">
        <v>3476</v>
      </c>
      <c r="AI137" s="57" t="s">
        <v>3476</v>
      </c>
      <c r="AJ137" s="57" t="s">
        <v>3476</v>
      </c>
      <c r="AK137" s="57" t="s">
        <v>3476</v>
      </c>
      <c r="AL137" s="57" t="s">
        <v>3476</v>
      </c>
      <c r="AM137" s="57" t="s">
        <v>3476</v>
      </c>
      <c r="AN137" s="57" t="s">
        <v>3476</v>
      </c>
      <c r="AO137" s="57" t="s">
        <v>3476</v>
      </c>
      <c r="AP137" s="58">
        <v>45847.6150578704</v>
      </c>
      <c r="AQ137" s="57" t="s">
        <v>3476</v>
      </c>
      <c r="AR137" s="57" t="s">
        <v>3476</v>
      </c>
      <c r="AS137" s="57" t="s">
        <v>3502</v>
      </c>
      <c r="AT137" s="57" t="s">
        <v>3745</v>
      </c>
      <c r="AU137" s="57" t="s">
        <v>3476</v>
      </c>
      <c r="AV137" s="57" t="s">
        <v>3476</v>
      </c>
      <c r="AW137" s="58">
        <v>45847.6094907407</v>
      </c>
      <c r="AX137" s="57" t="s">
        <v>3476</v>
      </c>
      <c r="AY137" s="57" t="s">
        <v>3747</v>
      </c>
      <c r="AZ137" s="57" t="s">
        <v>3476</v>
      </c>
      <c r="BA137" s="57" t="s">
        <v>3476</v>
      </c>
      <c r="BB137" s="57" t="s">
        <v>3476</v>
      </c>
      <c r="BC137" s="57" t="s">
        <v>3791</v>
      </c>
      <c r="BD137" s="57" t="s">
        <v>3659</v>
      </c>
      <c r="BE137" s="57" t="s">
        <v>3787</v>
      </c>
      <c r="BF137" s="57" t="s">
        <v>3749</v>
      </c>
      <c r="BG137" s="57" t="s">
        <v>3476</v>
      </c>
      <c r="BH137" s="57" t="s">
        <v>3476</v>
      </c>
      <c r="BI137" s="57" t="s">
        <v>2809</v>
      </c>
      <c r="BJ137" s="57" t="s">
        <v>3476</v>
      </c>
      <c r="BK137" s="57" t="s">
        <v>3476</v>
      </c>
      <c r="BL137" s="57">
        <v>3557825</v>
      </c>
      <c r="BM137" s="57" t="s">
        <v>4100</v>
      </c>
      <c r="BN137" s="57">
        <v>114</v>
      </c>
      <c r="BO137" s="57" t="s">
        <v>3476</v>
      </c>
      <c r="BP137" s="57" t="s">
        <v>3476</v>
      </c>
      <c r="BQ137" s="57" t="s">
        <v>3476</v>
      </c>
      <c r="BR137" s="57" t="s">
        <v>4101</v>
      </c>
      <c r="BS137" s="57" t="s">
        <v>1292</v>
      </c>
      <c r="BT137" s="57" t="s">
        <v>3476</v>
      </c>
      <c r="BU137" s="57" t="s">
        <v>3476</v>
      </c>
      <c r="BV137" s="57" t="s">
        <v>3753</v>
      </c>
      <c r="BW137" s="57" t="s">
        <v>3476</v>
      </c>
      <c r="BX137" s="57">
        <v>114</v>
      </c>
      <c r="BY137" s="57" t="s">
        <v>3476</v>
      </c>
      <c r="BZ137" s="57" t="s">
        <v>3476</v>
      </c>
      <c r="CA137" s="57" t="s">
        <v>3476</v>
      </c>
      <c r="CB137" s="57" t="s">
        <v>3476</v>
      </c>
      <c r="CC137" s="57" t="s">
        <v>3476</v>
      </c>
      <c r="CD137" s="57" t="s">
        <v>3476</v>
      </c>
    </row>
    <row r="138" spans="1:82">
      <c r="A138" s="57">
        <v>16548</v>
      </c>
      <c r="B138" s="57" t="s">
        <v>3476</v>
      </c>
      <c r="C138" s="57" t="s">
        <v>4096</v>
      </c>
      <c r="D138" s="57" t="s">
        <v>3476</v>
      </c>
      <c r="E138" s="57" t="s">
        <v>3730</v>
      </c>
      <c r="F138" s="57" t="s">
        <v>4097</v>
      </c>
      <c r="G138" s="57" t="s">
        <v>721</v>
      </c>
      <c r="H138" s="57" t="s">
        <v>2874</v>
      </c>
      <c r="I138" s="57">
        <v>56524.4</v>
      </c>
      <c r="J138" s="57" t="s">
        <v>3476</v>
      </c>
      <c r="K138" s="57" t="s">
        <v>3476</v>
      </c>
      <c r="L138" s="57" t="s">
        <v>3730</v>
      </c>
      <c r="M138" s="57" t="s">
        <v>4098</v>
      </c>
      <c r="N138" s="57" t="s">
        <v>4098</v>
      </c>
      <c r="O138" s="57" t="s">
        <v>3476</v>
      </c>
      <c r="P138" s="57" t="s">
        <v>3476</v>
      </c>
      <c r="Q138" s="57" t="s">
        <v>2874</v>
      </c>
      <c r="R138" s="57" t="s">
        <v>3781</v>
      </c>
      <c r="S138" s="57" t="s">
        <v>3782</v>
      </c>
      <c r="T138" s="57" t="s">
        <v>3736</v>
      </c>
      <c r="U138" s="57" t="s">
        <v>3476</v>
      </c>
      <c r="V138" s="57" t="s">
        <v>3469</v>
      </c>
      <c r="W138" s="57" t="s">
        <v>3476</v>
      </c>
      <c r="X138" s="57" t="s">
        <v>4099</v>
      </c>
      <c r="Y138" s="57" t="s">
        <v>3738</v>
      </c>
      <c r="Z138" s="57" t="s">
        <v>3632</v>
      </c>
      <c r="AA138" s="57" t="s">
        <v>3476</v>
      </c>
      <c r="AB138" s="57" t="s">
        <v>3476</v>
      </c>
      <c r="AC138" s="57" t="s">
        <v>3476</v>
      </c>
      <c r="AD138" s="57" t="s">
        <v>3476</v>
      </c>
      <c r="AE138" s="57" t="s">
        <v>3476</v>
      </c>
      <c r="AF138" s="57" t="s">
        <v>3476</v>
      </c>
      <c r="AG138" s="57" t="s">
        <v>3476</v>
      </c>
      <c r="AH138" s="57" t="s">
        <v>3476</v>
      </c>
      <c r="AI138" s="57" t="s">
        <v>3476</v>
      </c>
      <c r="AJ138" s="57" t="s">
        <v>3476</v>
      </c>
      <c r="AK138" s="57" t="s">
        <v>3476</v>
      </c>
      <c r="AL138" s="57" t="s">
        <v>3476</v>
      </c>
      <c r="AM138" s="57" t="s">
        <v>3476</v>
      </c>
      <c r="AN138" s="57" t="s">
        <v>3476</v>
      </c>
      <c r="AO138" s="57" t="s">
        <v>3476</v>
      </c>
      <c r="AP138" s="58">
        <v>45847.6150578704</v>
      </c>
      <c r="AQ138" s="57" t="s">
        <v>3476</v>
      </c>
      <c r="AR138" s="57" t="s">
        <v>3476</v>
      </c>
      <c r="AS138" s="57" t="s">
        <v>3502</v>
      </c>
      <c r="AT138" s="57" t="s">
        <v>3745</v>
      </c>
      <c r="AU138" s="57" t="s">
        <v>3476</v>
      </c>
      <c r="AV138" s="57" t="s">
        <v>3476</v>
      </c>
      <c r="AW138" s="58">
        <v>45847.6094907407</v>
      </c>
      <c r="AX138" s="57" t="s">
        <v>3476</v>
      </c>
      <c r="AY138" s="57" t="s">
        <v>3747</v>
      </c>
      <c r="AZ138" s="57" t="s">
        <v>3476</v>
      </c>
      <c r="BA138" s="57" t="s">
        <v>3476</v>
      </c>
      <c r="BB138" s="57" t="s">
        <v>3476</v>
      </c>
      <c r="BC138" s="57" t="s">
        <v>3791</v>
      </c>
      <c r="BD138" s="57" t="s">
        <v>3659</v>
      </c>
      <c r="BE138" s="57" t="s">
        <v>3787</v>
      </c>
      <c r="BF138" s="57" t="s">
        <v>3749</v>
      </c>
      <c r="BG138" s="57" t="s">
        <v>3476</v>
      </c>
      <c r="BH138" s="57" t="s">
        <v>3476</v>
      </c>
      <c r="BI138" s="57" t="s">
        <v>2809</v>
      </c>
      <c r="BJ138" s="57" t="s">
        <v>3476</v>
      </c>
      <c r="BK138" s="57" t="s">
        <v>3476</v>
      </c>
      <c r="BL138" s="57">
        <v>3557824</v>
      </c>
      <c r="BM138" s="57" t="s">
        <v>4100</v>
      </c>
      <c r="BN138" s="57">
        <v>3336.8</v>
      </c>
      <c r="BO138" s="57" t="s">
        <v>3476</v>
      </c>
      <c r="BP138" s="57" t="s">
        <v>3476</v>
      </c>
      <c r="BQ138" s="57" t="s">
        <v>3476</v>
      </c>
      <c r="BR138" s="57" t="s">
        <v>4101</v>
      </c>
      <c r="BS138" s="57" t="s">
        <v>1292</v>
      </c>
      <c r="BT138" s="57" t="s">
        <v>3476</v>
      </c>
      <c r="BU138" s="57" t="s">
        <v>3476</v>
      </c>
      <c r="BV138" s="57" t="s">
        <v>3753</v>
      </c>
      <c r="BW138" s="57" t="s">
        <v>3476</v>
      </c>
      <c r="BX138" s="57">
        <v>3336.8</v>
      </c>
      <c r="BY138" s="57" t="s">
        <v>3476</v>
      </c>
      <c r="BZ138" s="57" t="s">
        <v>3476</v>
      </c>
      <c r="CA138" s="57" t="s">
        <v>3476</v>
      </c>
      <c r="CB138" s="57" t="s">
        <v>3476</v>
      </c>
      <c r="CC138" s="57" t="s">
        <v>3476</v>
      </c>
      <c r="CD138" s="57" t="s">
        <v>3476</v>
      </c>
    </row>
    <row r="139" spans="1:82">
      <c r="A139" s="57">
        <v>16549</v>
      </c>
      <c r="B139" s="57" t="s">
        <v>3476</v>
      </c>
      <c r="C139" s="57" t="s">
        <v>4096</v>
      </c>
      <c r="D139" s="57" t="s">
        <v>3476</v>
      </c>
      <c r="E139" s="57" t="s">
        <v>3730</v>
      </c>
      <c r="F139" s="57" t="s">
        <v>4097</v>
      </c>
      <c r="G139" s="57" t="s">
        <v>721</v>
      </c>
      <c r="H139" s="57" t="s">
        <v>2874</v>
      </c>
      <c r="I139" s="57">
        <v>56524.4</v>
      </c>
      <c r="J139" s="57" t="s">
        <v>3476</v>
      </c>
      <c r="K139" s="57" t="s">
        <v>3476</v>
      </c>
      <c r="L139" s="57" t="s">
        <v>3730</v>
      </c>
      <c r="M139" s="57" t="s">
        <v>4098</v>
      </c>
      <c r="N139" s="57" t="s">
        <v>4098</v>
      </c>
      <c r="O139" s="57" t="s">
        <v>3476</v>
      </c>
      <c r="P139" s="57" t="s">
        <v>3476</v>
      </c>
      <c r="Q139" s="57" t="s">
        <v>2874</v>
      </c>
      <c r="R139" s="57" t="s">
        <v>3781</v>
      </c>
      <c r="S139" s="57" t="s">
        <v>3782</v>
      </c>
      <c r="T139" s="57" t="s">
        <v>3736</v>
      </c>
      <c r="U139" s="57" t="s">
        <v>3476</v>
      </c>
      <c r="V139" s="57" t="s">
        <v>3469</v>
      </c>
      <c r="W139" s="57" t="s">
        <v>3476</v>
      </c>
      <c r="X139" s="57" t="s">
        <v>4099</v>
      </c>
      <c r="Y139" s="57" t="s">
        <v>3738</v>
      </c>
      <c r="Z139" s="57" t="s">
        <v>3632</v>
      </c>
      <c r="AA139" s="57" t="s">
        <v>3476</v>
      </c>
      <c r="AB139" s="57" t="s">
        <v>3476</v>
      </c>
      <c r="AC139" s="57" t="s">
        <v>3476</v>
      </c>
      <c r="AD139" s="57" t="s">
        <v>3476</v>
      </c>
      <c r="AE139" s="57" t="s">
        <v>3476</v>
      </c>
      <c r="AF139" s="57" t="s">
        <v>3476</v>
      </c>
      <c r="AG139" s="57" t="s">
        <v>3476</v>
      </c>
      <c r="AH139" s="57" t="s">
        <v>3476</v>
      </c>
      <c r="AI139" s="57" t="s">
        <v>3476</v>
      </c>
      <c r="AJ139" s="57" t="s">
        <v>3476</v>
      </c>
      <c r="AK139" s="57" t="s">
        <v>3476</v>
      </c>
      <c r="AL139" s="57" t="s">
        <v>3476</v>
      </c>
      <c r="AM139" s="57" t="s">
        <v>3476</v>
      </c>
      <c r="AN139" s="57" t="s">
        <v>3476</v>
      </c>
      <c r="AO139" s="57" t="s">
        <v>3476</v>
      </c>
      <c r="AP139" s="58">
        <v>45847.6150578704</v>
      </c>
      <c r="AQ139" s="57" t="s">
        <v>3476</v>
      </c>
      <c r="AR139" s="57" t="s">
        <v>3476</v>
      </c>
      <c r="AS139" s="57" t="s">
        <v>3502</v>
      </c>
      <c r="AT139" s="57" t="s">
        <v>3745</v>
      </c>
      <c r="AU139" s="57" t="s">
        <v>3476</v>
      </c>
      <c r="AV139" s="57" t="s">
        <v>3476</v>
      </c>
      <c r="AW139" s="58">
        <v>45847.6094907407</v>
      </c>
      <c r="AX139" s="57" t="s">
        <v>3476</v>
      </c>
      <c r="AY139" s="57" t="s">
        <v>3747</v>
      </c>
      <c r="AZ139" s="57" t="s">
        <v>3476</v>
      </c>
      <c r="BA139" s="57" t="s">
        <v>3476</v>
      </c>
      <c r="BB139" s="57" t="s">
        <v>3476</v>
      </c>
      <c r="BC139" s="57" t="s">
        <v>3791</v>
      </c>
      <c r="BD139" s="57" t="s">
        <v>3659</v>
      </c>
      <c r="BE139" s="57" t="s">
        <v>3787</v>
      </c>
      <c r="BF139" s="57" t="s">
        <v>3749</v>
      </c>
      <c r="BG139" s="57" t="s">
        <v>3476</v>
      </c>
      <c r="BH139" s="57" t="s">
        <v>3476</v>
      </c>
      <c r="BI139" s="57" t="s">
        <v>2809</v>
      </c>
      <c r="BJ139" s="57" t="s">
        <v>3476</v>
      </c>
      <c r="BK139" s="57" t="s">
        <v>3476</v>
      </c>
      <c r="BL139" s="57">
        <v>3557815</v>
      </c>
      <c r="BM139" s="57" t="s">
        <v>4100</v>
      </c>
      <c r="BN139" s="57">
        <v>68</v>
      </c>
      <c r="BO139" s="57" t="s">
        <v>3476</v>
      </c>
      <c r="BP139" s="57" t="s">
        <v>3476</v>
      </c>
      <c r="BQ139" s="57" t="s">
        <v>3476</v>
      </c>
      <c r="BR139" s="57" t="s">
        <v>4101</v>
      </c>
      <c r="BS139" s="57" t="s">
        <v>1292</v>
      </c>
      <c r="BT139" s="57" t="s">
        <v>3476</v>
      </c>
      <c r="BU139" s="57" t="s">
        <v>3476</v>
      </c>
      <c r="BV139" s="57" t="s">
        <v>3753</v>
      </c>
      <c r="BW139" s="57" t="s">
        <v>3476</v>
      </c>
      <c r="BX139" s="57">
        <v>68</v>
      </c>
      <c r="BY139" s="57" t="s">
        <v>3476</v>
      </c>
      <c r="BZ139" s="57" t="s">
        <v>3476</v>
      </c>
      <c r="CA139" s="57" t="s">
        <v>3476</v>
      </c>
      <c r="CB139" s="57" t="s">
        <v>3476</v>
      </c>
      <c r="CC139" s="57" t="s">
        <v>3476</v>
      </c>
      <c r="CD139" s="57" t="s">
        <v>3476</v>
      </c>
    </row>
    <row r="140" spans="1:82">
      <c r="A140" s="57">
        <v>16550</v>
      </c>
      <c r="B140" s="57" t="s">
        <v>3476</v>
      </c>
      <c r="C140" s="57" t="s">
        <v>4096</v>
      </c>
      <c r="D140" s="57" t="s">
        <v>3476</v>
      </c>
      <c r="E140" s="57" t="s">
        <v>3730</v>
      </c>
      <c r="F140" s="57" t="s">
        <v>4097</v>
      </c>
      <c r="G140" s="57" t="s">
        <v>721</v>
      </c>
      <c r="H140" s="57" t="s">
        <v>2874</v>
      </c>
      <c r="I140" s="57">
        <v>56524.4</v>
      </c>
      <c r="J140" s="57" t="s">
        <v>3476</v>
      </c>
      <c r="K140" s="57" t="s">
        <v>3476</v>
      </c>
      <c r="L140" s="57" t="s">
        <v>3730</v>
      </c>
      <c r="M140" s="57" t="s">
        <v>4098</v>
      </c>
      <c r="N140" s="57" t="s">
        <v>4098</v>
      </c>
      <c r="O140" s="57" t="s">
        <v>3476</v>
      </c>
      <c r="P140" s="57" t="s">
        <v>3476</v>
      </c>
      <c r="Q140" s="57" t="s">
        <v>2874</v>
      </c>
      <c r="R140" s="57" t="s">
        <v>3781</v>
      </c>
      <c r="S140" s="57" t="s">
        <v>3782</v>
      </c>
      <c r="T140" s="57" t="s">
        <v>3736</v>
      </c>
      <c r="U140" s="57" t="s">
        <v>3476</v>
      </c>
      <c r="V140" s="57" t="s">
        <v>3469</v>
      </c>
      <c r="W140" s="57" t="s">
        <v>3476</v>
      </c>
      <c r="X140" s="57" t="s">
        <v>4099</v>
      </c>
      <c r="Y140" s="57" t="s">
        <v>3738</v>
      </c>
      <c r="Z140" s="57" t="s">
        <v>3632</v>
      </c>
      <c r="AA140" s="57" t="s">
        <v>3476</v>
      </c>
      <c r="AB140" s="57" t="s">
        <v>3476</v>
      </c>
      <c r="AC140" s="57" t="s">
        <v>3476</v>
      </c>
      <c r="AD140" s="57" t="s">
        <v>3476</v>
      </c>
      <c r="AE140" s="57" t="s">
        <v>3476</v>
      </c>
      <c r="AF140" s="57" t="s">
        <v>3476</v>
      </c>
      <c r="AG140" s="57" t="s">
        <v>3476</v>
      </c>
      <c r="AH140" s="57" t="s">
        <v>3476</v>
      </c>
      <c r="AI140" s="57" t="s">
        <v>3476</v>
      </c>
      <c r="AJ140" s="57" t="s">
        <v>3476</v>
      </c>
      <c r="AK140" s="57" t="s">
        <v>3476</v>
      </c>
      <c r="AL140" s="57" t="s">
        <v>3476</v>
      </c>
      <c r="AM140" s="57" t="s">
        <v>3476</v>
      </c>
      <c r="AN140" s="57" t="s">
        <v>3476</v>
      </c>
      <c r="AO140" s="57" t="s">
        <v>3476</v>
      </c>
      <c r="AP140" s="58">
        <v>45847.6150578704</v>
      </c>
      <c r="AQ140" s="57" t="s">
        <v>3476</v>
      </c>
      <c r="AR140" s="57" t="s">
        <v>3476</v>
      </c>
      <c r="AS140" s="57" t="s">
        <v>3502</v>
      </c>
      <c r="AT140" s="57" t="s">
        <v>3745</v>
      </c>
      <c r="AU140" s="57" t="s">
        <v>3476</v>
      </c>
      <c r="AV140" s="57" t="s">
        <v>3476</v>
      </c>
      <c r="AW140" s="58">
        <v>45847.6094907407</v>
      </c>
      <c r="AX140" s="57" t="s">
        <v>3476</v>
      </c>
      <c r="AY140" s="57" t="s">
        <v>3747</v>
      </c>
      <c r="AZ140" s="57" t="s">
        <v>3476</v>
      </c>
      <c r="BA140" s="57" t="s">
        <v>3476</v>
      </c>
      <c r="BB140" s="57" t="s">
        <v>3476</v>
      </c>
      <c r="BC140" s="57" t="s">
        <v>3791</v>
      </c>
      <c r="BD140" s="57" t="s">
        <v>3659</v>
      </c>
      <c r="BE140" s="57" t="s">
        <v>3787</v>
      </c>
      <c r="BF140" s="57" t="s">
        <v>3749</v>
      </c>
      <c r="BG140" s="57" t="s">
        <v>3476</v>
      </c>
      <c r="BH140" s="57" t="s">
        <v>3476</v>
      </c>
      <c r="BI140" s="57" t="s">
        <v>2809</v>
      </c>
      <c r="BJ140" s="57" t="s">
        <v>3476</v>
      </c>
      <c r="BK140" s="57" t="s">
        <v>3476</v>
      </c>
      <c r="BL140" s="57">
        <v>3557814</v>
      </c>
      <c r="BM140" s="57" t="s">
        <v>4100</v>
      </c>
      <c r="BN140" s="57">
        <v>945</v>
      </c>
      <c r="BO140" s="57" t="s">
        <v>3476</v>
      </c>
      <c r="BP140" s="57" t="s">
        <v>3476</v>
      </c>
      <c r="BQ140" s="57" t="s">
        <v>3476</v>
      </c>
      <c r="BR140" s="57" t="s">
        <v>4101</v>
      </c>
      <c r="BS140" s="57" t="s">
        <v>1292</v>
      </c>
      <c r="BT140" s="57" t="s">
        <v>3476</v>
      </c>
      <c r="BU140" s="57" t="s">
        <v>3476</v>
      </c>
      <c r="BV140" s="57" t="s">
        <v>3753</v>
      </c>
      <c r="BW140" s="57" t="s">
        <v>3476</v>
      </c>
      <c r="BX140" s="57">
        <v>945</v>
      </c>
      <c r="BY140" s="57" t="s">
        <v>3476</v>
      </c>
      <c r="BZ140" s="57" t="s">
        <v>3476</v>
      </c>
      <c r="CA140" s="57" t="s">
        <v>3476</v>
      </c>
      <c r="CB140" s="57" t="s">
        <v>3476</v>
      </c>
      <c r="CC140" s="57" t="s">
        <v>3476</v>
      </c>
      <c r="CD140" s="57" t="s">
        <v>3476</v>
      </c>
    </row>
    <row r="141" spans="1:82">
      <c r="A141" s="57">
        <v>16551</v>
      </c>
      <c r="B141" s="57" t="s">
        <v>3476</v>
      </c>
      <c r="C141" s="57" t="s">
        <v>4096</v>
      </c>
      <c r="D141" s="57" t="s">
        <v>3476</v>
      </c>
      <c r="E141" s="57" t="s">
        <v>3730</v>
      </c>
      <c r="F141" s="57" t="s">
        <v>4097</v>
      </c>
      <c r="G141" s="57" t="s">
        <v>721</v>
      </c>
      <c r="H141" s="57" t="s">
        <v>2874</v>
      </c>
      <c r="I141" s="57">
        <v>56524.4</v>
      </c>
      <c r="J141" s="57" t="s">
        <v>3476</v>
      </c>
      <c r="K141" s="57" t="s">
        <v>3476</v>
      </c>
      <c r="L141" s="57" t="s">
        <v>3730</v>
      </c>
      <c r="M141" s="57" t="s">
        <v>4098</v>
      </c>
      <c r="N141" s="57" t="s">
        <v>4098</v>
      </c>
      <c r="O141" s="57" t="s">
        <v>3476</v>
      </c>
      <c r="P141" s="57" t="s">
        <v>3476</v>
      </c>
      <c r="Q141" s="57" t="s">
        <v>2874</v>
      </c>
      <c r="R141" s="57" t="s">
        <v>3781</v>
      </c>
      <c r="S141" s="57" t="s">
        <v>3782</v>
      </c>
      <c r="T141" s="57" t="s">
        <v>3736</v>
      </c>
      <c r="U141" s="57" t="s">
        <v>3476</v>
      </c>
      <c r="V141" s="57" t="s">
        <v>3469</v>
      </c>
      <c r="W141" s="57" t="s">
        <v>3476</v>
      </c>
      <c r="X141" s="57" t="s">
        <v>4099</v>
      </c>
      <c r="Y141" s="57" t="s">
        <v>3738</v>
      </c>
      <c r="Z141" s="57" t="s">
        <v>3632</v>
      </c>
      <c r="AA141" s="57" t="s">
        <v>3476</v>
      </c>
      <c r="AB141" s="57" t="s">
        <v>3476</v>
      </c>
      <c r="AC141" s="57" t="s">
        <v>3476</v>
      </c>
      <c r="AD141" s="57" t="s">
        <v>3476</v>
      </c>
      <c r="AE141" s="57" t="s">
        <v>3476</v>
      </c>
      <c r="AF141" s="57" t="s">
        <v>3476</v>
      </c>
      <c r="AG141" s="57" t="s">
        <v>3476</v>
      </c>
      <c r="AH141" s="57" t="s">
        <v>3476</v>
      </c>
      <c r="AI141" s="57" t="s">
        <v>3476</v>
      </c>
      <c r="AJ141" s="57" t="s">
        <v>3476</v>
      </c>
      <c r="AK141" s="57" t="s">
        <v>3476</v>
      </c>
      <c r="AL141" s="57" t="s">
        <v>3476</v>
      </c>
      <c r="AM141" s="57" t="s">
        <v>3476</v>
      </c>
      <c r="AN141" s="57" t="s">
        <v>3476</v>
      </c>
      <c r="AO141" s="57" t="s">
        <v>3476</v>
      </c>
      <c r="AP141" s="58">
        <v>45847.6150578704</v>
      </c>
      <c r="AQ141" s="57" t="s">
        <v>3476</v>
      </c>
      <c r="AR141" s="57" t="s">
        <v>3476</v>
      </c>
      <c r="AS141" s="57" t="s">
        <v>3502</v>
      </c>
      <c r="AT141" s="57" t="s">
        <v>3745</v>
      </c>
      <c r="AU141" s="57" t="s">
        <v>3476</v>
      </c>
      <c r="AV141" s="57" t="s">
        <v>3476</v>
      </c>
      <c r="AW141" s="58">
        <v>45847.6094907407</v>
      </c>
      <c r="AX141" s="57" t="s">
        <v>3476</v>
      </c>
      <c r="AY141" s="57" t="s">
        <v>3747</v>
      </c>
      <c r="AZ141" s="57" t="s">
        <v>3476</v>
      </c>
      <c r="BA141" s="57" t="s">
        <v>3476</v>
      </c>
      <c r="BB141" s="57" t="s">
        <v>3476</v>
      </c>
      <c r="BC141" s="57" t="s">
        <v>3791</v>
      </c>
      <c r="BD141" s="57" t="s">
        <v>3659</v>
      </c>
      <c r="BE141" s="57" t="s">
        <v>3787</v>
      </c>
      <c r="BF141" s="57" t="s">
        <v>3749</v>
      </c>
      <c r="BG141" s="57" t="s">
        <v>3476</v>
      </c>
      <c r="BH141" s="57" t="s">
        <v>3476</v>
      </c>
      <c r="BI141" s="57" t="s">
        <v>2809</v>
      </c>
      <c r="BJ141" s="57" t="s">
        <v>3476</v>
      </c>
      <c r="BK141" s="57" t="s">
        <v>3476</v>
      </c>
      <c r="BL141" s="57">
        <v>3557813</v>
      </c>
      <c r="BM141" s="57" t="s">
        <v>4100</v>
      </c>
      <c r="BN141" s="57">
        <v>71.4</v>
      </c>
      <c r="BO141" s="57" t="s">
        <v>3476</v>
      </c>
      <c r="BP141" s="57" t="s">
        <v>3476</v>
      </c>
      <c r="BQ141" s="57" t="s">
        <v>3476</v>
      </c>
      <c r="BR141" s="57" t="s">
        <v>4101</v>
      </c>
      <c r="BS141" s="57" t="s">
        <v>1292</v>
      </c>
      <c r="BT141" s="57" t="s">
        <v>3476</v>
      </c>
      <c r="BU141" s="57" t="s">
        <v>3476</v>
      </c>
      <c r="BV141" s="57" t="s">
        <v>3753</v>
      </c>
      <c r="BW141" s="57" t="s">
        <v>3476</v>
      </c>
      <c r="BX141" s="57">
        <v>71.4</v>
      </c>
      <c r="BY141" s="57" t="s">
        <v>3476</v>
      </c>
      <c r="BZ141" s="57" t="s">
        <v>3476</v>
      </c>
      <c r="CA141" s="57" t="s">
        <v>3476</v>
      </c>
      <c r="CB141" s="57" t="s">
        <v>3476</v>
      </c>
      <c r="CC141" s="57" t="s">
        <v>3476</v>
      </c>
      <c r="CD141" s="57" t="s">
        <v>3476</v>
      </c>
    </row>
    <row r="142" spans="1:82">
      <c r="A142" s="57">
        <v>16552</v>
      </c>
      <c r="B142" s="57" t="s">
        <v>3476</v>
      </c>
      <c r="C142" s="57" t="s">
        <v>4096</v>
      </c>
      <c r="D142" s="57" t="s">
        <v>3476</v>
      </c>
      <c r="E142" s="57" t="s">
        <v>3730</v>
      </c>
      <c r="F142" s="57" t="s">
        <v>4097</v>
      </c>
      <c r="G142" s="57" t="s">
        <v>721</v>
      </c>
      <c r="H142" s="57" t="s">
        <v>2874</v>
      </c>
      <c r="I142" s="57">
        <v>56524.4</v>
      </c>
      <c r="J142" s="57" t="s">
        <v>3476</v>
      </c>
      <c r="K142" s="57" t="s">
        <v>3476</v>
      </c>
      <c r="L142" s="57" t="s">
        <v>3730</v>
      </c>
      <c r="M142" s="57" t="s">
        <v>4098</v>
      </c>
      <c r="N142" s="57" t="s">
        <v>4098</v>
      </c>
      <c r="O142" s="57" t="s">
        <v>3476</v>
      </c>
      <c r="P142" s="57" t="s">
        <v>3476</v>
      </c>
      <c r="Q142" s="57" t="s">
        <v>2874</v>
      </c>
      <c r="R142" s="57" t="s">
        <v>3781</v>
      </c>
      <c r="S142" s="57" t="s">
        <v>3782</v>
      </c>
      <c r="T142" s="57" t="s">
        <v>3736</v>
      </c>
      <c r="U142" s="57" t="s">
        <v>3476</v>
      </c>
      <c r="V142" s="57" t="s">
        <v>3469</v>
      </c>
      <c r="W142" s="57" t="s">
        <v>3476</v>
      </c>
      <c r="X142" s="57" t="s">
        <v>4099</v>
      </c>
      <c r="Y142" s="57" t="s">
        <v>3738</v>
      </c>
      <c r="Z142" s="57" t="s">
        <v>3632</v>
      </c>
      <c r="AA142" s="57" t="s">
        <v>3476</v>
      </c>
      <c r="AB142" s="57" t="s">
        <v>3476</v>
      </c>
      <c r="AC142" s="57" t="s">
        <v>3476</v>
      </c>
      <c r="AD142" s="57" t="s">
        <v>3476</v>
      </c>
      <c r="AE142" s="57" t="s">
        <v>3476</v>
      </c>
      <c r="AF142" s="57" t="s">
        <v>3476</v>
      </c>
      <c r="AG142" s="57" t="s">
        <v>3476</v>
      </c>
      <c r="AH142" s="57" t="s">
        <v>3476</v>
      </c>
      <c r="AI142" s="57" t="s">
        <v>3476</v>
      </c>
      <c r="AJ142" s="57" t="s">
        <v>3476</v>
      </c>
      <c r="AK142" s="57" t="s">
        <v>3476</v>
      </c>
      <c r="AL142" s="57" t="s">
        <v>3476</v>
      </c>
      <c r="AM142" s="57" t="s">
        <v>3476</v>
      </c>
      <c r="AN142" s="57" t="s">
        <v>3476</v>
      </c>
      <c r="AO142" s="57" t="s">
        <v>3476</v>
      </c>
      <c r="AP142" s="58">
        <v>45847.6150578704</v>
      </c>
      <c r="AQ142" s="57" t="s">
        <v>3476</v>
      </c>
      <c r="AR142" s="57" t="s">
        <v>3476</v>
      </c>
      <c r="AS142" s="57" t="s">
        <v>3502</v>
      </c>
      <c r="AT142" s="57" t="s">
        <v>3745</v>
      </c>
      <c r="AU142" s="57" t="s">
        <v>3476</v>
      </c>
      <c r="AV142" s="57" t="s">
        <v>3476</v>
      </c>
      <c r="AW142" s="58">
        <v>45847.6094907407</v>
      </c>
      <c r="AX142" s="57" t="s">
        <v>3476</v>
      </c>
      <c r="AY142" s="57" t="s">
        <v>3747</v>
      </c>
      <c r="AZ142" s="57" t="s">
        <v>3476</v>
      </c>
      <c r="BA142" s="57" t="s">
        <v>3476</v>
      </c>
      <c r="BB142" s="57" t="s">
        <v>3476</v>
      </c>
      <c r="BC142" s="57" t="s">
        <v>3791</v>
      </c>
      <c r="BD142" s="57" t="s">
        <v>3659</v>
      </c>
      <c r="BE142" s="57" t="s">
        <v>3787</v>
      </c>
      <c r="BF142" s="57" t="s">
        <v>3749</v>
      </c>
      <c r="BG142" s="57" t="s">
        <v>3476</v>
      </c>
      <c r="BH142" s="57" t="s">
        <v>3476</v>
      </c>
      <c r="BI142" s="57" t="s">
        <v>2809</v>
      </c>
      <c r="BJ142" s="57" t="s">
        <v>3476</v>
      </c>
      <c r="BK142" s="57" t="s">
        <v>3476</v>
      </c>
      <c r="BL142" s="57">
        <v>3557812</v>
      </c>
      <c r="BM142" s="57" t="s">
        <v>4100</v>
      </c>
      <c r="BN142" s="57">
        <v>56</v>
      </c>
      <c r="BO142" s="57" t="s">
        <v>3476</v>
      </c>
      <c r="BP142" s="57" t="s">
        <v>3476</v>
      </c>
      <c r="BQ142" s="57" t="s">
        <v>3476</v>
      </c>
      <c r="BR142" s="57" t="s">
        <v>4101</v>
      </c>
      <c r="BS142" s="57" t="s">
        <v>1292</v>
      </c>
      <c r="BT142" s="57" t="s">
        <v>3476</v>
      </c>
      <c r="BU142" s="57" t="s">
        <v>3476</v>
      </c>
      <c r="BV142" s="57" t="s">
        <v>3753</v>
      </c>
      <c r="BW142" s="57" t="s">
        <v>3476</v>
      </c>
      <c r="BX142" s="57">
        <v>56</v>
      </c>
      <c r="BY142" s="57" t="s">
        <v>3476</v>
      </c>
      <c r="BZ142" s="57" t="s">
        <v>3476</v>
      </c>
      <c r="CA142" s="57" t="s">
        <v>3476</v>
      </c>
      <c r="CB142" s="57" t="s">
        <v>3476</v>
      </c>
      <c r="CC142" s="57" t="s">
        <v>3476</v>
      </c>
      <c r="CD142" s="57" t="s">
        <v>3476</v>
      </c>
    </row>
    <row r="143" spans="1:82">
      <c r="A143" s="57">
        <v>16553</v>
      </c>
      <c r="B143" s="57" t="s">
        <v>3476</v>
      </c>
      <c r="C143" s="57" t="s">
        <v>4096</v>
      </c>
      <c r="D143" s="57" t="s">
        <v>3476</v>
      </c>
      <c r="E143" s="57" t="s">
        <v>3730</v>
      </c>
      <c r="F143" s="57" t="s">
        <v>4097</v>
      </c>
      <c r="G143" s="57" t="s">
        <v>721</v>
      </c>
      <c r="H143" s="57" t="s">
        <v>2874</v>
      </c>
      <c r="I143" s="57">
        <v>56524.4</v>
      </c>
      <c r="J143" s="57" t="s">
        <v>3476</v>
      </c>
      <c r="K143" s="57" t="s">
        <v>3476</v>
      </c>
      <c r="L143" s="57" t="s">
        <v>3730</v>
      </c>
      <c r="M143" s="57" t="s">
        <v>4098</v>
      </c>
      <c r="N143" s="57" t="s">
        <v>4098</v>
      </c>
      <c r="O143" s="57" t="s">
        <v>3476</v>
      </c>
      <c r="P143" s="57" t="s">
        <v>3476</v>
      </c>
      <c r="Q143" s="57" t="s">
        <v>2874</v>
      </c>
      <c r="R143" s="57" t="s">
        <v>3781</v>
      </c>
      <c r="S143" s="57" t="s">
        <v>3782</v>
      </c>
      <c r="T143" s="57" t="s">
        <v>3736</v>
      </c>
      <c r="U143" s="57" t="s">
        <v>3476</v>
      </c>
      <c r="V143" s="57" t="s">
        <v>3469</v>
      </c>
      <c r="W143" s="57" t="s">
        <v>3476</v>
      </c>
      <c r="X143" s="57" t="s">
        <v>4099</v>
      </c>
      <c r="Y143" s="57" t="s">
        <v>3738</v>
      </c>
      <c r="Z143" s="57" t="s">
        <v>3632</v>
      </c>
      <c r="AA143" s="57" t="s">
        <v>3476</v>
      </c>
      <c r="AB143" s="57" t="s">
        <v>3476</v>
      </c>
      <c r="AC143" s="57" t="s">
        <v>3476</v>
      </c>
      <c r="AD143" s="57" t="s">
        <v>3476</v>
      </c>
      <c r="AE143" s="57" t="s">
        <v>3476</v>
      </c>
      <c r="AF143" s="57" t="s">
        <v>3476</v>
      </c>
      <c r="AG143" s="57" t="s">
        <v>3476</v>
      </c>
      <c r="AH143" s="57" t="s">
        <v>3476</v>
      </c>
      <c r="AI143" s="57" t="s">
        <v>3476</v>
      </c>
      <c r="AJ143" s="57" t="s">
        <v>3476</v>
      </c>
      <c r="AK143" s="57" t="s">
        <v>3476</v>
      </c>
      <c r="AL143" s="57" t="s">
        <v>3476</v>
      </c>
      <c r="AM143" s="57" t="s">
        <v>3476</v>
      </c>
      <c r="AN143" s="57" t="s">
        <v>3476</v>
      </c>
      <c r="AO143" s="57" t="s">
        <v>3476</v>
      </c>
      <c r="AP143" s="58">
        <v>45847.6150578704</v>
      </c>
      <c r="AQ143" s="57" t="s">
        <v>3476</v>
      </c>
      <c r="AR143" s="57" t="s">
        <v>3476</v>
      </c>
      <c r="AS143" s="57" t="s">
        <v>3502</v>
      </c>
      <c r="AT143" s="57" t="s">
        <v>3745</v>
      </c>
      <c r="AU143" s="57" t="s">
        <v>3476</v>
      </c>
      <c r="AV143" s="57" t="s">
        <v>3476</v>
      </c>
      <c r="AW143" s="58">
        <v>45847.6094907407</v>
      </c>
      <c r="AX143" s="57" t="s">
        <v>3476</v>
      </c>
      <c r="AY143" s="57" t="s">
        <v>3747</v>
      </c>
      <c r="AZ143" s="57" t="s">
        <v>3476</v>
      </c>
      <c r="BA143" s="57" t="s">
        <v>3476</v>
      </c>
      <c r="BB143" s="57" t="s">
        <v>3476</v>
      </c>
      <c r="BC143" s="57" t="s">
        <v>3791</v>
      </c>
      <c r="BD143" s="57" t="s">
        <v>3659</v>
      </c>
      <c r="BE143" s="57" t="s">
        <v>3787</v>
      </c>
      <c r="BF143" s="57" t="s">
        <v>3749</v>
      </c>
      <c r="BG143" s="57" t="s">
        <v>3476</v>
      </c>
      <c r="BH143" s="57" t="s">
        <v>3476</v>
      </c>
      <c r="BI143" s="57" t="s">
        <v>2809</v>
      </c>
      <c r="BJ143" s="57" t="s">
        <v>3476</v>
      </c>
      <c r="BK143" s="57" t="s">
        <v>3476</v>
      </c>
      <c r="BL143" s="57">
        <v>3557819</v>
      </c>
      <c r="BM143" s="57" t="s">
        <v>4100</v>
      </c>
      <c r="BN143" s="57">
        <v>1140</v>
      </c>
      <c r="BO143" s="57" t="s">
        <v>3476</v>
      </c>
      <c r="BP143" s="57" t="s">
        <v>3476</v>
      </c>
      <c r="BQ143" s="57" t="s">
        <v>3476</v>
      </c>
      <c r="BR143" s="57" t="s">
        <v>4101</v>
      </c>
      <c r="BS143" s="57" t="s">
        <v>1292</v>
      </c>
      <c r="BT143" s="57" t="s">
        <v>3476</v>
      </c>
      <c r="BU143" s="57" t="s">
        <v>3476</v>
      </c>
      <c r="BV143" s="57" t="s">
        <v>3753</v>
      </c>
      <c r="BW143" s="57" t="s">
        <v>3476</v>
      </c>
      <c r="BX143" s="57">
        <v>1140</v>
      </c>
      <c r="BY143" s="57" t="s">
        <v>3476</v>
      </c>
      <c r="BZ143" s="57" t="s">
        <v>3476</v>
      </c>
      <c r="CA143" s="57" t="s">
        <v>3476</v>
      </c>
      <c r="CB143" s="57" t="s">
        <v>3476</v>
      </c>
      <c r="CC143" s="57" t="s">
        <v>3476</v>
      </c>
      <c r="CD143" s="57" t="s">
        <v>3476</v>
      </c>
    </row>
    <row r="144" spans="1:82">
      <c r="A144" s="57">
        <v>16554</v>
      </c>
      <c r="B144" s="57" t="s">
        <v>3476</v>
      </c>
      <c r="C144" s="57" t="s">
        <v>4096</v>
      </c>
      <c r="D144" s="57" t="s">
        <v>3476</v>
      </c>
      <c r="E144" s="57" t="s">
        <v>3730</v>
      </c>
      <c r="F144" s="57" t="s">
        <v>4097</v>
      </c>
      <c r="G144" s="57" t="s">
        <v>721</v>
      </c>
      <c r="H144" s="57" t="s">
        <v>2874</v>
      </c>
      <c r="I144" s="57">
        <v>56524.4</v>
      </c>
      <c r="J144" s="57" t="s">
        <v>3476</v>
      </c>
      <c r="K144" s="57" t="s">
        <v>3476</v>
      </c>
      <c r="L144" s="57" t="s">
        <v>3730</v>
      </c>
      <c r="M144" s="57" t="s">
        <v>4098</v>
      </c>
      <c r="N144" s="57" t="s">
        <v>4098</v>
      </c>
      <c r="O144" s="57" t="s">
        <v>3476</v>
      </c>
      <c r="P144" s="57" t="s">
        <v>3476</v>
      </c>
      <c r="Q144" s="57" t="s">
        <v>2874</v>
      </c>
      <c r="R144" s="57" t="s">
        <v>3781</v>
      </c>
      <c r="S144" s="57" t="s">
        <v>3782</v>
      </c>
      <c r="T144" s="57" t="s">
        <v>3736</v>
      </c>
      <c r="U144" s="57" t="s">
        <v>3476</v>
      </c>
      <c r="V144" s="57" t="s">
        <v>3469</v>
      </c>
      <c r="W144" s="57" t="s">
        <v>3476</v>
      </c>
      <c r="X144" s="57" t="s">
        <v>4099</v>
      </c>
      <c r="Y144" s="57" t="s">
        <v>3738</v>
      </c>
      <c r="Z144" s="57" t="s">
        <v>3632</v>
      </c>
      <c r="AA144" s="57" t="s">
        <v>3476</v>
      </c>
      <c r="AB144" s="57" t="s">
        <v>3476</v>
      </c>
      <c r="AC144" s="57" t="s">
        <v>3476</v>
      </c>
      <c r="AD144" s="57" t="s">
        <v>3476</v>
      </c>
      <c r="AE144" s="57" t="s">
        <v>3476</v>
      </c>
      <c r="AF144" s="57" t="s">
        <v>3476</v>
      </c>
      <c r="AG144" s="57" t="s">
        <v>3476</v>
      </c>
      <c r="AH144" s="57" t="s">
        <v>3476</v>
      </c>
      <c r="AI144" s="57" t="s">
        <v>3476</v>
      </c>
      <c r="AJ144" s="57" t="s">
        <v>3476</v>
      </c>
      <c r="AK144" s="57" t="s">
        <v>3476</v>
      </c>
      <c r="AL144" s="57" t="s">
        <v>3476</v>
      </c>
      <c r="AM144" s="57" t="s">
        <v>3476</v>
      </c>
      <c r="AN144" s="57" t="s">
        <v>3476</v>
      </c>
      <c r="AO144" s="57" t="s">
        <v>3476</v>
      </c>
      <c r="AP144" s="58">
        <v>45847.6150578704</v>
      </c>
      <c r="AQ144" s="57" t="s">
        <v>3476</v>
      </c>
      <c r="AR144" s="57" t="s">
        <v>3476</v>
      </c>
      <c r="AS144" s="57" t="s">
        <v>3502</v>
      </c>
      <c r="AT144" s="57" t="s">
        <v>3745</v>
      </c>
      <c r="AU144" s="57" t="s">
        <v>3476</v>
      </c>
      <c r="AV144" s="57" t="s">
        <v>3476</v>
      </c>
      <c r="AW144" s="58">
        <v>45847.6094907407</v>
      </c>
      <c r="AX144" s="57" t="s">
        <v>3476</v>
      </c>
      <c r="AY144" s="57" t="s">
        <v>3747</v>
      </c>
      <c r="AZ144" s="57" t="s">
        <v>3476</v>
      </c>
      <c r="BA144" s="57" t="s">
        <v>3476</v>
      </c>
      <c r="BB144" s="57" t="s">
        <v>3476</v>
      </c>
      <c r="BC144" s="57" t="s">
        <v>3791</v>
      </c>
      <c r="BD144" s="57" t="s">
        <v>3659</v>
      </c>
      <c r="BE144" s="57" t="s">
        <v>3787</v>
      </c>
      <c r="BF144" s="57" t="s">
        <v>3749</v>
      </c>
      <c r="BG144" s="57" t="s">
        <v>3476</v>
      </c>
      <c r="BH144" s="57" t="s">
        <v>3476</v>
      </c>
      <c r="BI144" s="57" t="s">
        <v>2809</v>
      </c>
      <c r="BJ144" s="57" t="s">
        <v>3476</v>
      </c>
      <c r="BK144" s="57" t="s">
        <v>3476</v>
      </c>
      <c r="BL144" s="57">
        <v>3557818</v>
      </c>
      <c r="BM144" s="57" t="s">
        <v>4100</v>
      </c>
      <c r="BN144" s="57">
        <v>140</v>
      </c>
      <c r="BO144" s="57" t="s">
        <v>3476</v>
      </c>
      <c r="BP144" s="57" t="s">
        <v>3476</v>
      </c>
      <c r="BQ144" s="57" t="s">
        <v>3476</v>
      </c>
      <c r="BR144" s="57" t="s">
        <v>4101</v>
      </c>
      <c r="BS144" s="57" t="s">
        <v>1292</v>
      </c>
      <c r="BT144" s="57" t="s">
        <v>3476</v>
      </c>
      <c r="BU144" s="57" t="s">
        <v>3476</v>
      </c>
      <c r="BV144" s="57" t="s">
        <v>3753</v>
      </c>
      <c r="BW144" s="57" t="s">
        <v>3476</v>
      </c>
      <c r="BX144" s="57">
        <v>140</v>
      </c>
      <c r="BY144" s="57" t="s">
        <v>3476</v>
      </c>
      <c r="BZ144" s="57" t="s">
        <v>3476</v>
      </c>
      <c r="CA144" s="57" t="s">
        <v>3476</v>
      </c>
      <c r="CB144" s="57" t="s">
        <v>3476</v>
      </c>
      <c r="CC144" s="57" t="s">
        <v>3476</v>
      </c>
      <c r="CD144" s="57" t="s">
        <v>3476</v>
      </c>
    </row>
    <row r="145" spans="1:82">
      <c r="A145" s="57">
        <v>16555</v>
      </c>
      <c r="B145" s="57" t="s">
        <v>3476</v>
      </c>
      <c r="C145" s="57" t="s">
        <v>4096</v>
      </c>
      <c r="D145" s="57" t="s">
        <v>3476</v>
      </c>
      <c r="E145" s="57" t="s">
        <v>3730</v>
      </c>
      <c r="F145" s="57" t="s">
        <v>4097</v>
      </c>
      <c r="G145" s="57" t="s">
        <v>721</v>
      </c>
      <c r="H145" s="57" t="s">
        <v>2874</v>
      </c>
      <c r="I145" s="57">
        <v>56524.4</v>
      </c>
      <c r="J145" s="57" t="s">
        <v>3476</v>
      </c>
      <c r="K145" s="57" t="s">
        <v>3476</v>
      </c>
      <c r="L145" s="57" t="s">
        <v>3730</v>
      </c>
      <c r="M145" s="57" t="s">
        <v>4098</v>
      </c>
      <c r="N145" s="57" t="s">
        <v>4098</v>
      </c>
      <c r="O145" s="57" t="s">
        <v>3476</v>
      </c>
      <c r="P145" s="57" t="s">
        <v>3476</v>
      </c>
      <c r="Q145" s="57" t="s">
        <v>2874</v>
      </c>
      <c r="R145" s="57" t="s">
        <v>3781</v>
      </c>
      <c r="S145" s="57" t="s">
        <v>3782</v>
      </c>
      <c r="T145" s="57" t="s">
        <v>3736</v>
      </c>
      <c r="U145" s="57" t="s">
        <v>3476</v>
      </c>
      <c r="V145" s="57" t="s">
        <v>3469</v>
      </c>
      <c r="W145" s="57" t="s">
        <v>3476</v>
      </c>
      <c r="X145" s="57" t="s">
        <v>4099</v>
      </c>
      <c r="Y145" s="57" t="s">
        <v>3738</v>
      </c>
      <c r="Z145" s="57" t="s">
        <v>3632</v>
      </c>
      <c r="AA145" s="57" t="s">
        <v>3476</v>
      </c>
      <c r="AB145" s="57" t="s">
        <v>3476</v>
      </c>
      <c r="AC145" s="57" t="s">
        <v>3476</v>
      </c>
      <c r="AD145" s="57" t="s">
        <v>3476</v>
      </c>
      <c r="AE145" s="57" t="s">
        <v>3476</v>
      </c>
      <c r="AF145" s="57" t="s">
        <v>3476</v>
      </c>
      <c r="AG145" s="57" t="s">
        <v>3476</v>
      </c>
      <c r="AH145" s="57" t="s">
        <v>3476</v>
      </c>
      <c r="AI145" s="57" t="s">
        <v>3476</v>
      </c>
      <c r="AJ145" s="57" t="s">
        <v>3476</v>
      </c>
      <c r="AK145" s="57" t="s">
        <v>3476</v>
      </c>
      <c r="AL145" s="57" t="s">
        <v>3476</v>
      </c>
      <c r="AM145" s="57" t="s">
        <v>3476</v>
      </c>
      <c r="AN145" s="57" t="s">
        <v>3476</v>
      </c>
      <c r="AO145" s="57" t="s">
        <v>3476</v>
      </c>
      <c r="AP145" s="58">
        <v>45847.6150578704</v>
      </c>
      <c r="AQ145" s="57" t="s">
        <v>3476</v>
      </c>
      <c r="AR145" s="57" t="s">
        <v>3476</v>
      </c>
      <c r="AS145" s="57" t="s">
        <v>3502</v>
      </c>
      <c r="AT145" s="57" t="s">
        <v>3745</v>
      </c>
      <c r="AU145" s="57" t="s">
        <v>3476</v>
      </c>
      <c r="AV145" s="57" t="s">
        <v>3476</v>
      </c>
      <c r="AW145" s="58">
        <v>45847.6094907407</v>
      </c>
      <c r="AX145" s="57" t="s">
        <v>3476</v>
      </c>
      <c r="AY145" s="57" t="s">
        <v>3747</v>
      </c>
      <c r="AZ145" s="57" t="s">
        <v>3476</v>
      </c>
      <c r="BA145" s="57" t="s">
        <v>3476</v>
      </c>
      <c r="BB145" s="57" t="s">
        <v>3476</v>
      </c>
      <c r="BC145" s="57" t="s">
        <v>3791</v>
      </c>
      <c r="BD145" s="57" t="s">
        <v>3659</v>
      </c>
      <c r="BE145" s="57" t="s">
        <v>3787</v>
      </c>
      <c r="BF145" s="57" t="s">
        <v>3749</v>
      </c>
      <c r="BG145" s="57" t="s">
        <v>3476</v>
      </c>
      <c r="BH145" s="57" t="s">
        <v>3476</v>
      </c>
      <c r="BI145" s="57" t="s">
        <v>2809</v>
      </c>
      <c r="BJ145" s="57" t="s">
        <v>3476</v>
      </c>
      <c r="BK145" s="57" t="s">
        <v>3476</v>
      </c>
      <c r="BL145" s="57">
        <v>3557817</v>
      </c>
      <c r="BM145" s="57" t="s">
        <v>4100</v>
      </c>
      <c r="BN145" s="57">
        <v>1840</v>
      </c>
      <c r="BO145" s="57" t="s">
        <v>3476</v>
      </c>
      <c r="BP145" s="57" t="s">
        <v>3476</v>
      </c>
      <c r="BQ145" s="57" t="s">
        <v>3476</v>
      </c>
      <c r="BR145" s="57" t="s">
        <v>4101</v>
      </c>
      <c r="BS145" s="57" t="s">
        <v>1292</v>
      </c>
      <c r="BT145" s="57" t="s">
        <v>3476</v>
      </c>
      <c r="BU145" s="57" t="s">
        <v>3476</v>
      </c>
      <c r="BV145" s="57" t="s">
        <v>3753</v>
      </c>
      <c r="BW145" s="57" t="s">
        <v>3476</v>
      </c>
      <c r="BX145" s="57">
        <v>1840</v>
      </c>
      <c r="BY145" s="57" t="s">
        <v>3476</v>
      </c>
      <c r="BZ145" s="57" t="s">
        <v>3476</v>
      </c>
      <c r="CA145" s="57" t="s">
        <v>3476</v>
      </c>
      <c r="CB145" s="57" t="s">
        <v>3476</v>
      </c>
      <c r="CC145" s="57" t="s">
        <v>3476</v>
      </c>
      <c r="CD145" s="57" t="s">
        <v>3476</v>
      </c>
    </row>
    <row r="146" spans="1:82">
      <c r="A146" s="57">
        <v>16556</v>
      </c>
      <c r="B146" s="57" t="s">
        <v>3476</v>
      </c>
      <c r="C146" s="57" t="s">
        <v>4096</v>
      </c>
      <c r="D146" s="57" t="s">
        <v>3476</v>
      </c>
      <c r="E146" s="57" t="s">
        <v>3730</v>
      </c>
      <c r="F146" s="57" t="s">
        <v>4097</v>
      </c>
      <c r="G146" s="57" t="s">
        <v>721</v>
      </c>
      <c r="H146" s="57" t="s">
        <v>2874</v>
      </c>
      <c r="I146" s="57">
        <v>56524.4</v>
      </c>
      <c r="J146" s="57" t="s">
        <v>3476</v>
      </c>
      <c r="K146" s="57" t="s">
        <v>3476</v>
      </c>
      <c r="L146" s="57" t="s">
        <v>3730</v>
      </c>
      <c r="M146" s="57" t="s">
        <v>4098</v>
      </c>
      <c r="N146" s="57" t="s">
        <v>4098</v>
      </c>
      <c r="O146" s="57" t="s">
        <v>3476</v>
      </c>
      <c r="P146" s="57" t="s">
        <v>3476</v>
      </c>
      <c r="Q146" s="57" t="s">
        <v>2874</v>
      </c>
      <c r="R146" s="57" t="s">
        <v>3781</v>
      </c>
      <c r="S146" s="57" t="s">
        <v>3782</v>
      </c>
      <c r="T146" s="57" t="s">
        <v>3736</v>
      </c>
      <c r="U146" s="57" t="s">
        <v>3476</v>
      </c>
      <c r="V146" s="57" t="s">
        <v>3469</v>
      </c>
      <c r="W146" s="57" t="s">
        <v>3476</v>
      </c>
      <c r="X146" s="57" t="s">
        <v>4099</v>
      </c>
      <c r="Y146" s="57" t="s">
        <v>3738</v>
      </c>
      <c r="Z146" s="57" t="s">
        <v>3632</v>
      </c>
      <c r="AA146" s="57" t="s">
        <v>3476</v>
      </c>
      <c r="AB146" s="57" t="s">
        <v>3476</v>
      </c>
      <c r="AC146" s="57" t="s">
        <v>3476</v>
      </c>
      <c r="AD146" s="57" t="s">
        <v>3476</v>
      </c>
      <c r="AE146" s="57" t="s">
        <v>3476</v>
      </c>
      <c r="AF146" s="57" t="s">
        <v>3476</v>
      </c>
      <c r="AG146" s="57" t="s">
        <v>3476</v>
      </c>
      <c r="AH146" s="57" t="s">
        <v>3476</v>
      </c>
      <c r="AI146" s="57" t="s">
        <v>3476</v>
      </c>
      <c r="AJ146" s="57" t="s">
        <v>3476</v>
      </c>
      <c r="AK146" s="57" t="s">
        <v>3476</v>
      </c>
      <c r="AL146" s="57" t="s">
        <v>3476</v>
      </c>
      <c r="AM146" s="57" t="s">
        <v>3476</v>
      </c>
      <c r="AN146" s="57" t="s">
        <v>3476</v>
      </c>
      <c r="AO146" s="57" t="s">
        <v>3476</v>
      </c>
      <c r="AP146" s="58">
        <v>45847.6150578704</v>
      </c>
      <c r="AQ146" s="57" t="s">
        <v>3476</v>
      </c>
      <c r="AR146" s="57" t="s">
        <v>3476</v>
      </c>
      <c r="AS146" s="57" t="s">
        <v>3502</v>
      </c>
      <c r="AT146" s="57" t="s">
        <v>3745</v>
      </c>
      <c r="AU146" s="57" t="s">
        <v>3476</v>
      </c>
      <c r="AV146" s="57" t="s">
        <v>3476</v>
      </c>
      <c r="AW146" s="58">
        <v>45847.6094907407</v>
      </c>
      <c r="AX146" s="57" t="s">
        <v>3476</v>
      </c>
      <c r="AY146" s="57" t="s">
        <v>3747</v>
      </c>
      <c r="AZ146" s="57" t="s">
        <v>3476</v>
      </c>
      <c r="BA146" s="57" t="s">
        <v>3476</v>
      </c>
      <c r="BB146" s="57" t="s">
        <v>3476</v>
      </c>
      <c r="BC146" s="57" t="s">
        <v>3791</v>
      </c>
      <c r="BD146" s="57" t="s">
        <v>3659</v>
      </c>
      <c r="BE146" s="57" t="s">
        <v>3787</v>
      </c>
      <c r="BF146" s="57" t="s">
        <v>3749</v>
      </c>
      <c r="BG146" s="57" t="s">
        <v>3476</v>
      </c>
      <c r="BH146" s="57" t="s">
        <v>3476</v>
      </c>
      <c r="BI146" s="57" t="s">
        <v>2809</v>
      </c>
      <c r="BJ146" s="57" t="s">
        <v>3476</v>
      </c>
      <c r="BK146" s="57" t="s">
        <v>3476</v>
      </c>
      <c r="BL146" s="57">
        <v>3557816</v>
      </c>
      <c r="BM146" s="57" t="s">
        <v>4100</v>
      </c>
      <c r="BN146" s="57">
        <v>93.5</v>
      </c>
      <c r="BO146" s="57" t="s">
        <v>3476</v>
      </c>
      <c r="BP146" s="57" t="s">
        <v>3476</v>
      </c>
      <c r="BQ146" s="57" t="s">
        <v>3476</v>
      </c>
      <c r="BR146" s="57" t="s">
        <v>4101</v>
      </c>
      <c r="BS146" s="57" t="s">
        <v>1292</v>
      </c>
      <c r="BT146" s="57" t="s">
        <v>3476</v>
      </c>
      <c r="BU146" s="57" t="s">
        <v>3476</v>
      </c>
      <c r="BV146" s="57" t="s">
        <v>3753</v>
      </c>
      <c r="BW146" s="57" t="s">
        <v>3476</v>
      </c>
      <c r="BX146" s="57">
        <v>93.5</v>
      </c>
      <c r="BY146" s="57" t="s">
        <v>3476</v>
      </c>
      <c r="BZ146" s="57" t="s">
        <v>3476</v>
      </c>
      <c r="CA146" s="57" t="s">
        <v>3476</v>
      </c>
      <c r="CB146" s="57" t="s">
        <v>3476</v>
      </c>
      <c r="CC146" s="57" t="s">
        <v>3476</v>
      </c>
      <c r="CD146" s="57" t="s">
        <v>3476</v>
      </c>
    </row>
    <row r="147" spans="1:82">
      <c r="A147" s="57">
        <v>16557</v>
      </c>
      <c r="B147" s="57" t="s">
        <v>3476</v>
      </c>
      <c r="C147" s="57" t="s">
        <v>4096</v>
      </c>
      <c r="D147" s="57" t="s">
        <v>3476</v>
      </c>
      <c r="E147" s="57" t="s">
        <v>3730</v>
      </c>
      <c r="F147" s="57" t="s">
        <v>4097</v>
      </c>
      <c r="G147" s="57" t="s">
        <v>721</v>
      </c>
      <c r="H147" s="57" t="s">
        <v>2874</v>
      </c>
      <c r="I147" s="57">
        <v>56524.4</v>
      </c>
      <c r="J147" s="57" t="s">
        <v>3476</v>
      </c>
      <c r="K147" s="57" t="s">
        <v>3476</v>
      </c>
      <c r="L147" s="57" t="s">
        <v>3730</v>
      </c>
      <c r="M147" s="57" t="s">
        <v>4098</v>
      </c>
      <c r="N147" s="57" t="s">
        <v>4098</v>
      </c>
      <c r="O147" s="57" t="s">
        <v>3476</v>
      </c>
      <c r="P147" s="57" t="s">
        <v>3476</v>
      </c>
      <c r="Q147" s="57" t="s">
        <v>2874</v>
      </c>
      <c r="R147" s="57" t="s">
        <v>3781</v>
      </c>
      <c r="S147" s="57" t="s">
        <v>3782</v>
      </c>
      <c r="T147" s="57" t="s">
        <v>3736</v>
      </c>
      <c r="U147" s="57" t="s">
        <v>3476</v>
      </c>
      <c r="V147" s="57" t="s">
        <v>3469</v>
      </c>
      <c r="W147" s="57" t="s">
        <v>3476</v>
      </c>
      <c r="X147" s="57" t="s">
        <v>4099</v>
      </c>
      <c r="Y147" s="57" t="s">
        <v>3738</v>
      </c>
      <c r="Z147" s="57" t="s">
        <v>3632</v>
      </c>
      <c r="AA147" s="57" t="s">
        <v>3476</v>
      </c>
      <c r="AB147" s="57" t="s">
        <v>3476</v>
      </c>
      <c r="AC147" s="57" t="s">
        <v>3476</v>
      </c>
      <c r="AD147" s="57" t="s">
        <v>3476</v>
      </c>
      <c r="AE147" s="57" t="s">
        <v>3476</v>
      </c>
      <c r="AF147" s="57" t="s">
        <v>3476</v>
      </c>
      <c r="AG147" s="57" t="s">
        <v>3476</v>
      </c>
      <c r="AH147" s="57" t="s">
        <v>3476</v>
      </c>
      <c r="AI147" s="57" t="s">
        <v>3476</v>
      </c>
      <c r="AJ147" s="57" t="s">
        <v>3476</v>
      </c>
      <c r="AK147" s="57" t="s">
        <v>3476</v>
      </c>
      <c r="AL147" s="57" t="s">
        <v>3476</v>
      </c>
      <c r="AM147" s="57" t="s">
        <v>3476</v>
      </c>
      <c r="AN147" s="57" t="s">
        <v>3476</v>
      </c>
      <c r="AO147" s="57" t="s">
        <v>3476</v>
      </c>
      <c r="AP147" s="58">
        <v>45847.6150578704</v>
      </c>
      <c r="AQ147" s="57" t="s">
        <v>3476</v>
      </c>
      <c r="AR147" s="57" t="s">
        <v>3476</v>
      </c>
      <c r="AS147" s="57" t="s">
        <v>3502</v>
      </c>
      <c r="AT147" s="57" t="s">
        <v>3745</v>
      </c>
      <c r="AU147" s="57" t="s">
        <v>3476</v>
      </c>
      <c r="AV147" s="57" t="s">
        <v>3476</v>
      </c>
      <c r="AW147" s="58">
        <v>45847.6094907407</v>
      </c>
      <c r="AX147" s="57" t="s">
        <v>3476</v>
      </c>
      <c r="AY147" s="57" t="s">
        <v>3747</v>
      </c>
      <c r="AZ147" s="57" t="s">
        <v>3476</v>
      </c>
      <c r="BA147" s="57" t="s">
        <v>3476</v>
      </c>
      <c r="BB147" s="57" t="s">
        <v>3476</v>
      </c>
      <c r="BC147" s="57" t="s">
        <v>3794</v>
      </c>
      <c r="BD147" s="57" t="s">
        <v>3659</v>
      </c>
      <c r="BE147" s="57" t="s">
        <v>3787</v>
      </c>
      <c r="BF147" s="57" t="s">
        <v>3749</v>
      </c>
      <c r="BG147" s="57" t="s">
        <v>3476</v>
      </c>
      <c r="BH147" s="57" t="s">
        <v>3476</v>
      </c>
      <c r="BI147" s="57" t="s">
        <v>2809</v>
      </c>
      <c r="BJ147" s="57" t="s">
        <v>3476</v>
      </c>
      <c r="BK147" s="57" t="s">
        <v>3476</v>
      </c>
      <c r="BL147" s="57">
        <v>3557828</v>
      </c>
      <c r="BM147" s="57" t="s">
        <v>4100</v>
      </c>
      <c r="BN147" s="57">
        <v>7400</v>
      </c>
      <c r="BO147" s="57" t="s">
        <v>3476</v>
      </c>
      <c r="BP147" s="57" t="s">
        <v>3476</v>
      </c>
      <c r="BQ147" s="57" t="s">
        <v>3476</v>
      </c>
      <c r="BR147" s="57" t="s">
        <v>4101</v>
      </c>
      <c r="BS147" s="57" t="s">
        <v>1292</v>
      </c>
      <c r="BT147" s="57" t="s">
        <v>3476</v>
      </c>
      <c r="BU147" s="57" t="s">
        <v>3476</v>
      </c>
      <c r="BV147" s="57" t="s">
        <v>3753</v>
      </c>
      <c r="BW147" s="57" t="s">
        <v>3476</v>
      </c>
      <c r="BX147" s="57">
        <v>7400</v>
      </c>
      <c r="BY147" s="57" t="s">
        <v>3476</v>
      </c>
      <c r="BZ147" s="57" t="s">
        <v>3476</v>
      </c>
      <c r="CA147" s="57" t="s">
        <v>3476</v>
      </c>
      <c r="CB147" s="57" t="s">
        <v>3476</v>
      </c>
      <c r="CC147" s="57" t="s">
        <v>3476</v>
      </c>
      <c r="CD147" s="57" t="s">
        <v>3476</v>
      </c>
    </row>
    <row r="148" spans="1:82">
      <c r="A148" s="57">
        <v>16558</v>
      </c>
      <c r="B148" s="57" t="s">
        <v>3476</v>
      </c>
      <c r="C148" s="57" t="s">
        <v>4103</v>
      </c>
      <c r="D148" s="57" t="s">
        <v>3476</v>
      </c>
      <c r="E148" s="57" t="s">
        <v>3730</v>
      </c>
      <c r="F148" s="57" t="s">
        <v>4104</v>
      </c>
      <c r="G148" s="57" t="s">
        <v>721</v>
      </c>
      <c r="H148" s="57" t="s">
        <v>3480</v>
      </c>
      <c r="I148" s="57">
        <v>12098.5</v>
      </c>
      <c r="J148" s="57" t="s">
        <v>3476</v>
      </c>
      <c r="K148" s="57" t="s">
        <v>3476</v>
      </c>
      <c r="L148" s="57" t="s">
        <v>3732</v>
      </c>
      <c r="M148" s="57" t="s">
        <v>4098</v>
      </c>
      <c r="N148" s="57" t="s">
        <v>4098</v>
      </c>
      <c r="O148" s="57" t="s">
        <v>3476</v>
      </c>
      <c r="P148" s="57" t="s">
        <v>3476</v>
      </c>
      <c r="Q148" s="57" t="s">
        <v>3078</v>
      </c>
      <c r="R148" s="57" t="s">
        <v>3799</v>
      </c>
      <c r="S148" s="57" t="s">
        <v>3800</v>
      </c>
      <c r="T148" s="57" t="s">
        <v>3736</v>
      </c>
      <c r="U148" s="57" t="s">
        <v>3476</v>
      </c>
      <c r="V148" s="57" t="s">
        <v>3469</v>
      </c>
      <c r="W148" s="57" t="s">
        <v>3476</v>
      </c>
      <c r="X148" s="57" t="s">
        <v>4105</v>
      </c>
      <c r="Y148" s="57" t="s">
        <v>3738</v>
      </c>
      <c r="Z148" s="57" t="s">
        <v>4106</v>
      </c>
      <c r="AA148" s="57" t="s">
        <v>4107</v>
      </c>
      <c r="AB148" s="57" t="s">
        <v>3476</v>
      </c>
      <c r="AC148" s="57" t="s">
        <v>3768</v>
      </c>
      <c r="AD148" s="57" t="s">
        <v>3476</v>
      </c>
      <c r="AE148" s="57" t="s">
        <v>3476</v>
      </c>
      <c r="AF148" s="57" t="s">
        <v>3476</v>
      </c>
      <c r="AG148" s="57" t="s">
        <v>3476</v>
      </c>
      <c r="AH148" s="57" t="s">
        <v>3476</v>
      </c>
      <c r="AI148" s="57" t="s">
        <v>3476</v>
      </c>
      <c r="AJ148" s="57" t="s">
        <v>3476</v>
      </c>
      <c r="AK148" s="57" t="s">
        <v>1292</v>
      </c>
      <c r="AL148" s="57" t="s">
        <v>4108</v>
      </c>
      <c r="AM148" s="57" t="s">
        <v>3476</v>
      </c>
      <c r="AN148" s="57" t="s">
        <v>3843</v>
      </c>
      <c r="AO148" s="57" t="s">
        <v>3476</v>
      </c>
      <c r="AP148" s="58">
        <v>45863.6806828704</v>
      </c>
      <c r="AQ148" s="57" t="s">
        <v>3476</v>
      </c>
      <c r="AR148" s="57" t="s">
        <v>3771</v>
      </c>
      <c r="AS148" s="57" t="s">
        <v>3502</v>
      </c>
      <c r="AT148" s="57" t="s">
        <v>3745</v>
      </c>
      <c r="AU148" s="57" t="s">
        <v>4109</v>
      </c>
      <c r="AV148" s="57" t="s">
        <v>3476</v>
      </c>
      <c r="AW148" s="58">
        <v>45846.6122106481</v>
      </c>
      <c r="AX148" s="57" t="s">
        <v>4108</v>
      </c>
      <c r="AY148" s="57" t="s">
        <v>3747</v>
      </c>
      <c r="AZ148" s="57" t="s">
        <v>3476</v>
      </c>
      <c r="BA148" s="57" t="s">
        <v>3476</v>
      </c>
      <c r="BB148" s="57" t="s">
        <v>3476</v>
      </c>
      <c r="BC148" s="57" t="s">
        <v>3857</v>
      </c>
      <c r="BD148" s="57" t="s">
        <v>3659</v>
      </c>
      <c r="BE148" s="57" t="s">
        <v>3476</v>
      </c>
      <c r="BF148" s="57" t="s">
        <v>3749</v>
      </c>
      <c r="BG148" s="57" t="s">
        <v>3476</v>
      </c>
      <c r="BH148" s="57" t="s">
        <v>3476</v>
      </c>
      <c r="BI148" s="57" t="s">
        <v>2809</v>
      </c>
      <c r="BJ148" s="57" t="s">
        <v>3476</v>
      </c>
      <c r="BK148" s="57" t="s">
        <v>3476</v>
      </c>
      <c r="BL148" s="57">
        <v>3581574</v>
      </c>
      <c r="BM148" s="57" t="s">
        <v>4110</v>
      </c>
      <c r="BN148" s="57" t="s">
        <v>3476</v>
      </c>
      <c r="BO148" s="57">
        <v>12098.5</v>
      </c>
      <c r="BP148" s="57" t="s">
        <v>3776</v>
      </c>
      <c r="BQ148" s="57" t="s">
        <v>3476</v>
      </c>
      <c r="BR148" s="57" t="s">
        <v>4111</v>
      </c>
      <c r="BS148" s="57" t="s">
        <v>1292</v>
      </c>
      <c r="BT148" s="57" t="s">
        <v>1292</v>
      </c>
      <c r="BU148" s="57" t="s">
        <v>3476</v>
      </c>
      <c r="BV148" s="57" t="s">
        <v>3753</v>
      </c>
      <c r="BW148" s="57" t="s">
        <v>3476</v>
      </c>
      <c r="BX148" s="57">
        <v>12098.5</v>
      </c>
      <c r="BY148" s="57" t="s">
        <v>3476</v>
      </c>
      <c r="BZ148" s="57" t="s">
        <v>3476</v>
      </c>
      <c r="CA148" s="57" t="s">
        <v>3476</v>
      </c>
      <c r="CB148" s="57" t="s">
        <v>3476</v>
      </c>
      <c r="CC148" s="57" t="s">
        <v>3476</v>
      </c>
      <c r="CD148" s="57" t="s">
        <v>3476</v>
      </c>
    </row>
    <row r="149" spans="1:82">
      <c r="A149" s="57">
        <v>16559</v>
      </c>
      <c r="B149" s="57" t="s">
        <v>3476</v>
      </c>
      <c r="C149" s="57" t="s">
        <v>4112</v>
      </c>
      <c r="D149" s="57" t="s">
        <v>3476</v>
      </c>
      <c r="E149" s="57" t="s">
        <v>3730</v>
      </c>
      <c r="F149" s="57" t="s">
        <v>4113</v>
      </c>
      <c r="G149" s="57" t="s">
        <v>721</v>
      </c>
      <c r="H149" s="57" t="s">
        <v>3598</v>
      </c>
      <c r="I149" s="57">
        <v>7900</v>
      </c>
      <c r="J149" s="57" t="s">
        <v>3476</v>
      </c>
      <c r="K149" s="57" t="s">
        <v>3476</v>
      </c>
      <c r="L149" s="57" t="s">
        <v>3730</v>
      </c>
      <c r="M149" s="57" t="s">
        <v>4098</v>
      </c>
      <c r="N149" s="57" t="s">
        <v>4098</v>
      </c>
      <c r="O149" s="57" t="s">
        <v>3476</v>
      </c>
      <c r="P149" s="57" t="s">
        <v>3476</v>
      </c>
      <c r="Q149" s="57" t="s">
        <v>3598</v>
      </c>
      <c r="R149" s="57" t="s">
        <v>3839</v>
      </c>
      <c r="S149" s="57" t="s">
        <v>3840</v>
      </c>
      <c r="T149" s="57" t="s">
        <v>3736</v>
      </c>
      <c r="U149" s="57" t="s">
        <v>3476</v>
      </c>
      <c r="V149" s="57" t="s">
        <v>3469</v>
      </c>
      <c r="W149" s="57" t="s">
        <v>3476</v>
      </c>
      <c r="X149" s="57" t="s">
        <v>4114</v>
      </c>
      <c r="Y149" s="57" t="s">
        <v>3738</v>
      </c>
      <c r="Z149" s="57" t="s">
        <v>4115</v>
      </c>
      <c r="AA149" s="57" t="s">
        <v>3476</v>
      </c>
      <c r="AB149" s="57" t="s">
        <v>3476</v>
      </c>
      <c r="AC149" s="57" t="s">
        <v>3476</v>
      </c>
      <c r="AD149" s="57" t="s">
        <v>3476</v>
      </c>
      <c r="AE149" s="57" t="s">
        <v>3476</v>
      </c>
      <c r="AF149" s="57" t="s">
        <v>3476</v>
      </c>
      <c r="AG149" s="57" t="s">
        <v>3476</v>
      </c>
      <c r="AH149" s="57" t="s">
        <v>3476</v>
      </c>
      <c r="AI149" s="57" t="s">
        <v>3476</v>
      </c>
      <c r="AJ149" s="57" t="s">
        <v>3476</v>
      </c>
      <c r="AK149" s="57" t="s">
        <v>3476</v>
      </c>
      <c r="AL149" s="57" t="s">
        <v>3476</v>
      </c>
      <c r="AM149" s="57" t="s">
        <v>3476</v>
      </c>
      <c r="AN149" s="57" t="s">
        <v>3476</v>
      </c>
      <c r="AO149" s="57" t="s">
        <v>3476</v>
      </c>
      <c r="AP149" s="58">
        <v>45827.4481944444</v>
      </c>
      <c r="AQ149" s="57" t="s">
        <v>3476</v>
      </c>
      <c r="AR149" s="57" t="s">
        <v>3476</v>
      </c>
      <c r="AS149" s="57" t="s">
        <v>3502</v>
      </c>
      <c r="AT149" s="57" t="s">
        <v>3745</v>
      </c>
      <c r="AU149" s="57" t="s">
        <v>3476</v>
      </c>
      <c r="AV149" s="57" t="s">
        <v>3476</v>
      </c>
      <c r="AW149" s="58">
        <v>45826.8411458333</v>
      </c>
      <c r="AX149" s="57" t="s">
        <v>3476</v>
      </c>
      <c r="AY149" s="57" t="s">
        <v>3747</v>
      </c>
      <c r="AZ149" s="57" t="s">
        <v>3476</v>
      </c>
      <c r="BA149" s="57" t="s">
        <v>3476</v>
      </c>
      <c r="BB149" s="57" t="s">
        <v>3476</v>
      </c>
      <c r="BC149" s="57" t="s">
        <v>3845</v>
      </c>
      <c r="BD149" s="57" t="s">
        <v>3846</v>
      </c>
      <c r="BE149" s="57" t="s">
        <v>2828</v>
      </c>
      <c r="BF149" s="57" t="s">
        <v>3749</v>
      </c>
      <c r="BG149" s="57" t="s">
        <v>3476</v>
      </c>
      <c r="BH149" s="57" t="s">
        <v>3476</v>
      </c>
      <c r="BI149" s="57" t="s">
        <v>2809</v>
      </c>
      <c r="BJ149" s="57" t="s">
        <v>3476</v>
      </c>
      <c r="BK149" s="57" t="s">
        <v>3476</v>
      </c>
      <c r="BL149" s="57">
        <v>3316660</v>
      </c>
      <c r="BM149" s="57" t="s">
        <v>4116</v>
      </c>
      <c r="BN149" s="57">
        <v>7900</v>
      </c>
      <c r="BO149" s="57" t="s">
        <v>3476</v>
      </c>
      <c r="BP149" s="57" t="s">
        <v>3476</v>
      </c>
      <c r="BQ149" s="57" t="s">
        <v>3476</v>
      </c>
      <c r="BR149" s="57" t="s">
        <v>4117</v>
      </c>
      <c r="BS149" s="57" t="s">
        <v>1292</v>
      </c>
      <c r="BT149" s="57" t="s">
        <v>3476</v>
      </c>
      <c r="BU149" s="57" t="s">
        <v>3476</v>
      </c>
      <c r="BV149" s="57" t="s">
        <v>3753</v>
      </c>
      <c r="BW149" s="57" t="s">
        <v>3476</v>
      </c>
      <c r="BX149" s="57">
        <v>7900</v>
      </c>
      <c r="BY149" s="57" t="s">
        <v>3476</v>
      </c>
      <c r="BZ149" s="57" t="s">
        <v>3476</v>
      </c>
      <c r="CA149" s="57" t="s">
        <v>3476</v>
      </c>
      <c r="CB149" s="57" t="s">
        <v>3476</v>
      </c>
      <c r="CC149" s="57" t="s">
        <v>3476</v>
      </c>
      <c r="CD149" s="57" t="s">
        <v>3476</v>
      </c>
    </row>
    <row r="150" spans="1:82">
      <c r="A150" s="57">
        <v>16794</v>
      </c>
      <c r="B150" s="57" t="s">
        <v>3476</v>
      </c>
      <c r="C150" s="57" t="s">
        <v>4118</v>
      </c>
      <c r="D150" s="57" t="s">
        <v>3476</v>
      </c>
      <c r="E150" s="57" t="s">
        <v>3730</v>
      </c>
      <c r="F150" s="57" t="s">
        <v>4119</v>
      </c>
      <c r="G150" s="57" t="s">
        <v>721</v>
      </c>
      <c r="H150" s="57" t="s">
        <v>2874</v>
      </c>
      <c r="I150" s="57">
        <v>47837.64</v>
      </c>
      <c r="J150" s="57" t="s">
        <v>3476</v>
      </c>
      <c r="K150" s="57" t="s">
        <v>3476</v>
      </c>
      <c r="L150" s="57" t="s">
        <v>3730</v>
      </c>
      <c r="M150" s="57" t="s">
        <v>4120</v>
      </c>
      <c r="N150" s="57" t="s">
        <v>4120</v>
      </c>
      <c r="O150" s="57" t="s">
        <v>3476</v>
      </c>
      <c r="P150" s="57" t="s">
        <v>3476</v>
      </c>
      <c r="Q150" s="57" t="s">
        <v>2874</v>
      </c>
      <c r="R150" s="57" t="s">
        <v>3781</v>
      </c>
      <c r="S150" s="57" t="s">
        <v>3782</v>
      </c>
      <c r="T150" s="57" t="s">
        <v>3736</v>
      </c>
      <c r="U150" s="57" t="s">
        <v>3476</v>
      </c>
      <c r="V150" s="57" t="s">
        <v>3469</v>
      </c>
      <c r="W150" s="57" t="s">
        <v>3476</v>
      </c>
      <c r="X150" s="57" t="s">
        <v>4121</v>
      </c>
      <c r="Y150" s="57" t="s">
        <v>3738</v>
      </c>
      <c r="Z150" s="57" t="s">
        <v>4122</v>
      </c>
      <c r="AA150" s="57" t="s">
        <v>3476</v>
      </c>
      <c r="AB150" s="57" t="s">
        <v>3476</v>
      </c>
      <c r="AC150" s="57" t="s">
        <v>3476</v>
      </c>
      <c r="AD150" s="57" t="s">
        <v>3476</v>
      </c>
      <c r="AE150" s="57" t="s">
        <v>3476</v>
      </c>
      <c r="AF150" s="57" t="s">
        <v>3476</v>
      </c>
      <c r="AG150" s="57" t="s">
        <v>3476</v>
      </c>
      <c r="AH150" s="57" t="s">
        <v>3476</v>
      </c>
      <c r="AI150" s="57" t="s">
        <v>3476</v>
      </c>
      <c r="AJ150" s="57" t="s">
        <v>3476</v>
      </c>
      <c r="AK150" s="57" t="s">
        <v>3476</v>
      </c>
      <c r="AL150" s="57" t="s">
        <v>3476</v>
      </c>
      <c r="AM150" s="57" t="s">
        <v>3476</v>
      </c>
      <c r="AN150" s="57" t="s">
        <v>3476</v>
      </c>
      <c r="AO150" s="57" t="s">
        <v>3476</v>
      </c>
      <c r="AP150" s="58">
        <v>45853.0316087963</v>
      </c>
      <c r="AQ150" s="57" t="s">
        <v>3476</v>
      </c>
      <c r="AR150" s="57" t="s">
        <v>3476</v>
      </c>
      <c r="AS150" s="57" t="s">
        <v>3502</v>
      </c>
      <c r="AT150" s="57" t="s">
        <v>3745</v>
      </c>
      <c r="AU150" s="57" t="s">
        <v>3476</v>
      </c>
      <c r="AV150" s="57" t="s">
        <v>3476</v>
      </c>
      <c r="AW150" s="58">
        <v>45852.9884953704</v>
      </c>
      <c r="AX150" s="57" t="s">
        <v>3476</v>
      </c>
      <c r="AY150" s="57" t="s">
        <v>3747</v>
      </c>
      <c r="AZ150" s="57" t="s">
        <v>3476</v>
      </c>
      <c r="BA150" s="57" t="s">
        <v>3476</v>
      </c>
      <c r="BB150" s="57" t="s">
        <v>3476</v>
      </c>
      <c r="BC150" s="57" t="s">
        <v>3794</v>
      </c>
      <c r="BD150" s="57" t="s">
        <v>3659</v>
      </c>
      <c r="BE150" s="57" t="s">
        <v>3787</v>
      </c>
      <c r="BF150" s="57" t="s">
        <v>3749</v>
      </c>
      <c r="BG150" s="57" t="s">
        <v>3476</v>
      </c>
      <c r="BH150" s="57" t="s">
        <v>3476</v>
      </c>
      <c r="BI150" s="57" t="s">
        <v>2809</v>
      </c>
      <c r="BJ150" s="57" t="s">
        <v>3476</v>
      </c>
      <c r="BK150" s="57" t="s">
        <v>3476</v>
      </c>
      <c r="BL150" s="57">
        <v>3591671</v>
      </c>
      <c r="BM150" s="57" t="s">
        <v>4123</v>
      </c>
      <c r="BN150" s="57">
        <v>16770</v>
      </c>
      <c r="BO150" s="57" t="s">
        <v>3476</v>
      </c>
      <c r="BP150" s="57" t="s">
        <v>3476</v>
      </c>
      <c r="BQ150" s="57" t="s">
        <v>3476</v>
      </c>
      <c r="BR150" s="57" t="s">
        <v>4124</v>
      </c>
      <c r="BS150" s="57" t="s">
        <v>1292</v>
      </c>
      <c r="BT150" s="57" t="s">
        <v>3476</v>
      </c>
      <c r="BU150" s="57" t="s">
        <v>3476</v>
      </c>
      <c r="BV150" s="57" t="s">
        <v>3753</v>
      </c>
      <c r="BW150" s="57" t="s">
        <v>3476</v>
      </c>
      <c r="BX150" s="57">
        <v>16770</v>
      </c>
      <c r="BY150" s="57" t="s">
        <v>3476</v>
      </c>
      <c r="BZ150" s="57" t="s">
        <v>3476</v>
      </c>
      <c r="CA150" s="57" t="s">
        <v>3476</v>
      </c>
      <c r="CB150" s="57" t="s">
        <v>3476</v>
      </c>
      <c r="CC150" s="57" t="s">
        <v>3476</v>
      </c>
      <c r="CD150" s="57" t="s">
        <v>3476</v>
      </c>
    </row>
    <row r="151" spans="1:82">
      <c r="A151" s="57">
        <v>16795</v>
      </c>
      <c r="B151" s="57" t="s">
        <v>3476</v>
      </c>
      <c r="C151" s="57" t="s">
        <v>4118</v>
      </c>
      <c r="D151" s="57" t="s">
        <v>3476</v>
      </c>
      <c r="E151" s="57" t="s">
        <v>3730</v>
      </c>
      <c r="F151" s="57" t="s">
        <v>4119</v>
      </c>
      <c r="G151" s="57" t="s">
        <v>721</v>
      </c>
      <c r="H151" s="57" t="s">
        <v>2874</v>
      </c>
      <c r="I151" s="57">
        <v>47837.64</v>
      </c>
      <c r="J151" s="57" t="s">
        <v>3476</v>
      </c>
      <c r="K151" s="57" t="s">
        <v>3476</v>
      </c>
      <c r="L151" s="57" t="s">
        <v>3730</v>
      </c>
      <c r="M151" s="57" t="s">
        <v>4120</v>
      </c>
      <c r="N151" s="57" t="s">
        <v>4120</v>
      </c>
      <c r="O151" s="57" t="s">
        <v>3476</v>
      </c>
      <c r="P151" s="57" t="s">
        <v>3476</v>
      </c>
      <c r="Q151" s="57" t="s">
        <v>2874</v>
      </c>
      <c r="R151" s="57" t="s">
        <v>3781</v>
      </c>
      <c r="S151" s="57" t="s">
        <v>3782</v>
      </c>
      <c r="T151" s="57" t="s">
        <v>3736</v>
      </c>
      <c r="U151" s="57" t="s">
        <v>3476</v>
      </c>
      <c r="V151" s="57" t="s">
        <v>3469</v>
      </c>
      <c r="W151" s="57" t="s">
        <v>3476</v>
      </c>
      <c r="X151" s="57" t="s">
        <v>4121</v>
      </c>
      <c r="Y151" s="57" t="s">
        <v>3738</v>
      </c>
      <c r="Z151" s="57" t="s">
        <v>4122</v>
      </c>
      <c r="AA151" s="57" t="s">
        <v>3476</v>
      </c>
      <c r="AB151" s="57" t="s">
        <v>3476</v>
      </c>
      <c r="AC151" s="57" t="s">
        <v>3476</v>
      </c>
      <c r="AD151" s="57" t="s">
        <v>3476</v>
      </c>
      <c r="AE151" s="57" t="s">
        <v>3476</v>
      </c>
      <c r="AF151" s="57" t="s">
        <v>3476</v>
      </c>
      <c r="AG151" s="57" t="s">
        <v>3476</v>
      </c>
      <c r="AH151" s="57" t="s">
        <v>3476</v>
      </c>
      <c r="AI151" s="57" t="s">
        <v>3476</v>
      </c>
      <c r="AJ151" s="57" t="s">
        <v>3476</v>
      </c>
      <c r="AK151" s="57" t="s">
        <v>3476</v>
      </c>
      <c r="AL151" s="57" t="s">
        <v>3476</v>
      </c>
      <c r="AM151" s="57" t="s">
        <v>3476</v>
      </c>
      <c r="AN151" s="57" t="s">
        <v>3476</v>
      </c>
      <c r="AO151" s="57" t="s">
        <v>3476</v>
      </c>
      <c r="AP151" s="58">
        <v>45853.0316087963</v>
      </c>
      <c r="AQ151" s="57" t="s">
        <v>3476</v>
      </c>
      <c r="AR151" s="57" t="s">
        <v>3476</v>
      </c>
      <c r="AS151" s="57" t="s">
        <v>3502</v>
      </c>
      <c r="AT151" s="57" t="s">
        <v>3745</v>
      </c>
      <c r="AU151" s="57" t="s">
        <v>3476</v>
      </c>
      <c r="AV151" s="57" t="s">
        <v>3476</v>
      </c>
      <c r="AW151" s="58">
        <v>45852.9884953704</v>
      </c>
      <c r="AX151" s="57" t="s">
        <v>3476</v>
      </c>
      <c r="AY151" s="57" t="s">
        <v>3747</v>
      </c>
      <c r="AZ151" s="57" t="s">
        <v>3476</v>
      </c>
      <c r="BA151" s="57" t="s">
        <v>3476</v>
      </c>
      <c r="BB151" s="57" t="s">
        <v>3476</v>
      </c>
      <c r="BC151" s="57" t="s">
        <v>3794</v>
      </c>
      <c r="BD151" s="57" t="s">
        <v>3659</v>
      </c>
      <c r="BE151" s="57" t="s">
        <v>3787</v>
      </c>
      <c r="BF151" s="57" t="s">
        <v>3749</v>
      </c>
      <c r="BG151" s="57" t="s">
        <v>3476</v>
      </c>
      <c r="BH151" s="57" t="s">
        <v>3476</v>
      </c>
      <c r="BI151" s="57" t="s">
        <v>2809</v>
      </c>
      <c r="BJ151" s="57" t="s">
        <v>3476</v>
      </c>
      <c r="BK151" s="57" t="s">
        <v>3476</v>
      </c>
      <c r="BL151" s="57">
        <v>3591670</v>
      </c>
      <c r="BM151" s="57" t="s">
        <v>4123</v>
      </c>
      <c r="BN151" s="57">
        <v>1480</v>
      </c>
      <c r="BO151" s="57" t="s">
        <v>3476</v>
      </c>
      <c r="BP151" s="57" t="s">
        <v>3476</v>
      </c>
      <c r="BQ151" s="57" t="s">
        <v>3476</v>
      </c>
      <c r="BR151" s="57" t="s">
        <v>4124</v>
      </c>
      <c r="BS151" s="57" t="s">
        <v>1292</v>
      </c>
      <c r="BT151" s="57" t="s">
        <v>3476</v>
      </c>
      <c r="BU151" s="57" t="s">
        <v>3476</v>
      </c>
      <c r="BV151" s="57" t="s">
        <v>3753</v>
      </c>
      <c r="BW151" s="57" t="s">
        <v>3476</v>
      </c>
      <c r="BX151" s="57">
        <v>1480</v>
      </c>
      <c r="BY151" s="57" t="s">
        <v>3476</v>
      </c>
      <c r="BZ151" s="57" t="s">
        <v>3476</v>
      </c>
      <c r="CA151" s="57" t="s">
        <v>3476</v>
      </c>
      <c r="CB151" s="57" t="s">
        <v>3476</v>
      </c>
      <c r="CC151" s="57" t="s">
        <v>3476</v>
      </c>
      <c r="CD151" s="57" t="s">
        <v>3476</v>
      </c>
    </row>
    <row r="152" spans="1:82">
      <c r="A152" s="57">
        <v>16796</v>
      </c>
      <c r="B152" s="57" t="s">
        <v>3476</v>
      </c>
      <c r="C152" s="57" t="s">
        <v>4118</v>
      </c>
      <c r="D152" s="57" t="s">
        <v>3476</v>
      </c>
      <c r="E152" s="57" t="s">
        <v>3730</v>
      </c>
      <c r="F152" s="57" t="s">
        <v>4119</v>
      </c>
      <c r="G152" s="57" t="s">
        <v>721</v>
      </c>
      <c r="H152" s="57" t="s">
        <v>2874</v>
      </c>
      <c r="I152" s="57">
        <v>47837.64</v>
      </c>
      <c r="J152" s="57" t="s">
        <v>3476</v>
      </c>
      <c r="K152" s="57" t="s">
        <v>3476</v>
      </c>
      <c r="L152" s="57" t="s">
        <v>3730</v>
      </c>
      <c r="M152" s="57" t="s">
        <v>4120</v>
      </c>
      <c r="N152" s="57" t="s">
        <v>4120</v>
      </c>
      <c r="O152" s="57" t="s">
        <v>3476</v>
      </c>
      <c r="P152" s="57" t="s">
        <v>3476</v>
      </c>
      <c r="Q152" s="57" t="s">
        <v>2874</v>
      </c>
      <c r="R152" s="57" t="s">
        <v>3781</v>
      </c>
      <c r="S152" s="57" t="s">
        <v>3782</v>
      </c>
      <c r="T152" s="57" t="s">
        <v>3736</v>
      </c>
      <c r="U152" s="57" t="s">
        <v>3476</v>
      </c>
      <c r="V152" s="57" t="s">
        <v>3469</v>
      </c>
      <c r="W152" s="57" t="s">
        <v>3476</v>
      </c>
      <c r="X152" s="57" t="s">
        <v>4121</v>
      </c>
      <c r="Y152" s="57" t="s">
        <v>3738</v>
      </c>
      <c r="Z152" s="57" t="s">
        <v>4122</v>
      </c>
      <c r="AA152" s="57" t="s">
        <v>3476</v>
      </c>
      <c r="AB152" s="57" t="s">
        <v>3476</v>
      </c>
      <c r="AC152" s="57" t="s">
        <v>3476</v>
      </c>
      <c r="AD152" s="57" t="s">
        <v>3476</v>
      </c>
      <c r="AE152" s="57" t="s">
        <v>3476</v>
      </c>
      <c r="AF152" s="57" t="s">
        <v>3476</v>
      </c>
      <c r="AG152" s="57" t="s">
        <v>3476</v>
      </c>
      <c r="AH152" s="57" t="s">
        <v>3476</v>
      </c>
      <c r="AI152" s="57" t="s">
        <v>3476</v>
      </c>
      <c r="AJ152" s="57" t="s">
        <v>3476</v>
      </c>
      <c r="AK152" s="57" t="s">
        <v>3476</v>
      </c>
      <c r="AL152" s="57" t="s">
        <v>3476</v>
      </c>
      <c r="AM152" s="57" t="s">
        <v>3476</v>
      </c>
      <c r="AN152" s="57" t="s">
        <v>3476</v>
      </c>
      <c r="AO152" s="57" t="s">
        <v>3476</v>
      </c>
      <c r="AP152" s="58">
        <v>45853.0316087963</v>
      </c>
      <c r="AQ152" s="57" t="s">
        <v>3476</v>
      </c>
      <c r="AR152" s="57" t="s">
        <v>3476</v>
      </c>
      <c r="AS152" s="57" t="s">
        <v>3502</v>
      </c>
      <c r="AT152" s="57" t="s">
        <v>3745</v>
      </c>
      <c r="AU152" s="57" t="s">
        <v>3476</v>
      </c>
      <c r="AV152" s="57" t="s">
        <v>3476</v>
      </c>
      <c r="AW152" s="58">
        <v>45852.9884953704</v>
      </c>
      <c r="AX152" s="57" t="s">
        <v>3476</v>
      </c>
      <c r="AY152" s="57" t="s">
        <v>3747</v>
      </c>
      <c r="AZ152" s="57" t="s">
        <v>3476</v>
      </c>
      <c r="BA152" s="57" t="s">
        <v>3476</v>
      </c>
      <c r="BB152" s="57" t="s">
        <v>3476</v>
      </c>
      <c r="BC152" s="57" t="s">
        <v>3794</v>
      </c>
      <c r="BD152" s="57" t="s">
        <v>3659</v>
      </c>
      <c r="BE152" s="57" t="s">
        <v>3787</v>
      </c>
      <c r="BF152" s="57" t="s">
        <v>3749</v>
      </c>
      <c r="BG152" s="57" t="s">
        <v>3476</v>
      </c>
      <c r="BH152" s="57" t="s">
        <v>3476</v>
      </c>
      <c r="BI152" s="57" t="s">
        <v>2809</v>
      </c>
      <c r="BJ152" s="57" t="s">
        <v>3476</v>
      </c>
      <c r="BK152" s="57" t="s">
        <v>3476</v>
      </c>
      <c r="BL152" s="57">
        <v>3591669</v>
      </c>
      <c r="BM152" s="57" t="s">
        <v>4123</v>
      </c>
      <c r="BN152" s="57">
        <v>12760</v>
      </c>
      <c r="BO152" s="57" t="s">
        <v>3476</v>
      </c>
      <c r="BP152" s="57" t="s">
        <v>3476</v>
      </c>
      <c r="BQ152" s="57" t="s">
        <v>3476</v>
      </c>
      <c r="BR152" s="57" t="s">
        <v>4124</v>
      </c>
      <c r="BS152" s="57" t="s">
        <v>1292</v>
      </c>
      <c r="BT152" s="57" t="s">
        <v>3476</v>
      </c>
      <c r="BU152" s="57" t="s">
        <v>3476</v>
      </c>
      <c r="BV152" s="57" t="s">
        <v>3753</v>
      </c>
      <c r="BW152" s="57" t="s">
        <v>3476</v>
      </c>
      <c r="BX152" s="57">
        <v>12760</v>
      </c>
      <c r="BY152" s="57" t="s">
        <v>3476</v>
      </c>
      <c r="BZ152" s="57" t="s">
        <v>3476</v>
      </c>
      <c r="CA152" s="57" t="s">
        <v>3476</v>
      </c>
      <c r="CB152" s="57" t="s">
        <v>3476</v>
      </c>
      <c r="CC152" s="57" t="s">
        <v>3476</v>
      </c>
      <c r="CD152" s="57" t="s">
        <v>3476</v>
      </c>
    </row>
    <row r="153" spans="1:82">
      <c r="A153" s="57">
        <v>16797</v>
      </c>
      <c r="B153" s="57" t="s">
        <v>3476</v>
      </c>
      <c r="C153" s="57" t="s">
        <v>4118</v>
      </c>
      <c r="D153" s="57" t="s">
        <v>3476</v>
      </c>
      <c r="E153" s="57" t="s">
        <v>3730</v>
      </c>
      <c r="F153" s="57" t="s">
        <v>4119</v>
      </c>
      <c r="G153" s="57" t="s">
        <v>721</v>
      </c>
      <c r="H153" s="57" t="s">
        <v>2874</v>
      </c>
      <c r="I153" s="57">
        <v>47837.64</v>
      </c>
      <c r="J153" s="57" t="s">
        <v>3476</v>
      </c>
      <c r="K153" s="57" t="s">
        <v>3476</v>
      </c>
      <c r="L153" s="57" t="s">
        <v>3730</v>
      </c>
      <c r="M153" s="57" t="s">
        <v>4120</v>
      </c>
      <c r="N153" s="57" t="s">
        <v>4120</v>
      </c>
      <c r="O153" s="57" t="s">
        <v>3476</v>
      </c>
      <c r="P153" s="57" t="s">
        <v>3476</v>
      </c>
      <c r="Q153" s="57" t="s">
        <v>2874</v>
      </c>
      <c r="R153" s="57" t="s">
        <v>3781</v>
      </c>
      <c r="S153" s="57" t="s">
        <v>3782</v>
      </c>
      <c r="T153" s="57" t="s">
        <v>3736</v>
      </c>
      <c r="U153" s="57" t="s">
        <v>3476</v>
      </c>
      <c r="V153" s="57" t="s">
        <v>3469</v>
      </c>
      <c r="W153" s="57" t="s">
        <v>3476</v>
      </c>
      <c r="X153" s="57" t="s">
        <v>4121</v>
      </c>
      <c r="Y153" s="57" t="s">
        <v>3738</v>
      </c>
      <c r="Z153" s="57" t="s">
        <v>4122</v>
      </c>
      <c r="AA153" s="57" t="s">
        <v>3476</v>
      </c>
      <c r="AB153" s="57" t="s">
        <v>3476</v>
      </c>
      <c r="AC153" s="57" t="s">
        <v>3476</v>
      </c>
      <c r="AD153" s="57" t="s">
        <v>3476</v>
      </c>
      <c r="AE153" s="57" t="s">
        <v>3476</v>
      </c>
      <c r="AF153" s="57" t="s">
        <v>3476</v>
      </c>
      <c r="AG153" s="57" t="s">
        <v>3476</v>
      </c>
      <c r="AH153" s="57" t="s">
        <v>3476</v>
      </c>
      <c r="AI153" s="57" t="s">
        <v>3476</v>
      </c>
      <c r="AJ153" s="57" t="s">
        <v>3476</v>
      </c>
      <c r="AK153" s="57" t="s">
        <v>3476</v>
      </c>
      <c r="AL153" s="57" t="s">
        <v>3476</v>
      </c>
      <c r="AM153" s="57" t="s">
        <v>3476</v>
      </c>
      <c r="AN153" s="57" t="s">
        <v>3476</v>
      </c>
      <c r="AO153" s="57" t="s">
        <v>3476</v>
      </c>
      <c r="AP153" s="58">
        <v>45853.0316087963</v>
      </c>
      <c r="AQ153" s="57" t="s">
        <v>3476</v>
      </c>
      <c r="AR153" s="57" t="s">
        <v>3476</v>
      </c>
      <c r="AS153" s="57" t="s">
        <v>3502</v>
      </c>
      <c r="AT153" s="57" t="s">
        <v>3745</v>
      </c>
      <c r="AU153" s="57" t="s">
        <v>3476</v>
      </c>
      <c r="AV153" s="57" t="s">
        <v>3476</v>
      </c>
      <c r="AW153" s="58">
        <v>45852.9884953704</v>
      </c>
      <c r="AX153" s="57" t="s">
        <v>3476</v>
      </c>
      <c r="AY153" s="57" t="s">
        <v>3747</v>
      </c>
      <c r="AZ153" s="57" t="s">
        <v>3476</v>
      </c>
      <c r="BA153" s="57" t="s">
        <v>3476</v>
      </c>
      <c r="BB153" s="57" t="s">
        <v>3476</v>
      </c>
      <c r="BC153" s="57" t="s">
        <v>3791</v>
      </c>
      <c r="BD153" s="57" t="s">
        <v>3659</v>
      </c>
      <c r="BE153" s="57" t="s">
        <v>3787</v>
      </c>
      <c r="BF153" s="57" t="s">
        <v>3749</v>
      </c>
      <c r="BG153" s="57" t="s">
        <v>3476</v>
      </c>
      <c r="BH153" s="57" t="s">
        <v>3476</v>
      </c>
      <c r="BI153" s="57" t="s">
        <v>2809</v>
      </c>
      <c r="BJ153" s="57" t="s">
        <v>3476</v>
      </c>
      <c r="BK153" s="57" t="s">
        <v>3476</v>
      </c>
      <c r="BL153" s="57">
        <v>3591668</v>
      </c>
      <c r="BM153" s="57" t="s">
        <v>4123</v>
      </c>
      <c r="BN153" s="57">
        <v>600</v>
      </c>
      <c r="BO153" s="57" t="s">
        <v>3476</v>
      </c>
      <c r="BP153" s="57" t="s">
        <v>3476</v>
      </c>
      <c r="BQ153" s="57" t="s">
        <v>3476</v>
      </c>
      <c r="BR153" s="57" t="s">
        <v>4124</v>
      </c>
      <c r="BS153" s="57" t="s">
        <v>1292</v>
      </c>
      <c r="BT153" s="57" t="s">
        <v>3476</v>
      </c>
      <c r="BU153" s="57" t="s">
        <v>3476</v>
      </c>
      <c r="BV153" s="57" t="s">
        <v>3753</v>
      </c>
      <c r="BW153" s="57" t="s">
        <v>3476</v>
      </c>
      <c r="BX153" s="57">
        <v>600</v>
      </c>
      <c r="BY153" s="57" t="s">
        <v>3476</v>
      </c>
      <c r="BZ153" s="57" t="s">
        <v>3476</v>
      </c>
      <c r="CA153" s="57" t="s">
        <v>3476</v>
      </c>
      <c r="CB153" s="57" t="s">
        <v>3476</v>
      </c>
      <c r="CC153" s="57" t="s">
        <v>3476</v>
      </c>
      <c r="CD153" s="57" t="s">
        <v>3476</v>
      </c>
    </row>
    <row r="154" spans="1:82">
      <c r="A154" s="57">
        <v>16798</v>
      </c>
      <c r="B154" s="57" t="s">
        <v>3476</v>
      </c>
      <c r="C154" s="57" t="s">
        <v>4118</v>
      </c>
      <c r="D154" s="57" t="s">
        <v>3476</v>
      </c>
      <c r="E154" s="57" t="s">
        <v>3730</v>
      </c>
      <c r="F154" s="57" t="s">
        <v>4119</v>
      </c>
      <c r="G154" s="57" t="s">
        <v>721</v>
      </c>
      <c r="H154" s="57" t="s">
        <v>2874</v>
      </c>
      <c r="I154" s="57">
        <v>47837.64</v>
      </c>
      <c r="J154" s="57" t="s">
        <v>3476</v>
      </c>
      <c r="K154" s="57" t="s">
        <v>3476</v>
      </c>
      <c r="L154" s="57" t="s">
        <v>3730</v>
      </c>
      <c r="M154" s="57" t="s">
        <v>4120</v>
      </c>
      <c r="N154" s="57" t="s">
        <v>4120</v>
      </c>
      <c r="O154" s="57" t="s">
        <v>3476</v>
      </c>
      <c r="P154" s="57" t="s">
        <v>3476</v>
      </c>
      <c r="Q154" s="57" t="s">
        <v>2874</v>
      </c>
      <c r="R154" s="57" t="s">
        <v>3781</v>
      </c>
      <c r="S154" s="57" t="s">
        <v>3782</v>
      </c>
      <c r="T154" s="57" t="s">
        <v>3736</v>
      </c>
      <c r="U154" s="57" t="s">
        <v>3476</v>
      </c>
      <c r="V154" s="57" t="s">
        <v>3469</v>
      </c>
      <c r="W154" s="57" t="s">
        <v>3476</v>
      </c>
      <c r="X154" s="57" t="s">
        <v>4121</v>
      </c>
      <c r="Y154" s="57" t="s">
        <v>3738</v>
      </c>
      <c r="Z154" s="57" t="s">
        <v>4122</v>
      </c>
      <c r="AA154" s="57" t="s">
        <v>3476</v>
      </c>
      <c r="AB154" s="57" t="s">
        <v>3476</v>
      </c>
      <c r="AC154" s="57" t="s">
        <v>3476</v>
      </c>
      <c r="AD154" s="57" t="s">
        <v>3476</v>
      </c>
      <c r="AE154" s="57" t="s">
        <v>3476</v>
      </c>
      <c r="AF154" s="57" t="s">
        <v>3476</v>
      </c>
      <c r="AG154" s="57" t="s">
        <v>3476</v>
      </c>
      <c r="AH154" s="57" t="s">
        <v>3476</v>
      </c>
      <c r="AI154" s="57" t="s">
        <v>3476</v>
      </c>
      <c r="AJ154" s="57" t="s">
        <v>3476</v>
      </c>
      <c r="AK154" s="57" t="s">
        <v>3476</v>
      </c>
      <c r="AL154" s="57" t="s">
        <v>3476</v>
      </c>
      <c r="AM154" s="57" t="s">
        <v>3476</v>
      </c>
      <c r="AN154" s="57" t="s">
        <v>3476</v>
      </c>
      <c r="AO154" s="57" t="s">
        <v>3476</v>
      </c>
      <c r="AP154" s="58">
        <v>45853.0316087963</v>
      </c>
      <c r="AQ154" s="57" t="s">
        <v>3476</v>
      </c>
      <c r="AR154" s="57" t="s">
        <v>3476</v>
      </c>
      <c r="AS154" s="57" t="s">
        <v>3502</v>
      </c>
      <c r="AT154" s="57" t="s">
        <v>3745</v>
      </c>
      <c r="AU154" s="57" t="s">
        <v>3476</v>
      </c>
      <c r="AV154" s="57" t="s">
        <v>3476</v>
      </c>
      <c r="AW154" s="58">
        <v>45852.9884953704</v>
      </c>
      <c r="AX154" s="57" t="s">
        <v>3476</v>
      </c>
      <c r="AY154" s="57" t="s">
        <v>3747</v>
      </c>
      <c r="AZ154" s="57" t="s">
        <v>3476</v>
      </c>
      <c r="BA154" s="57" t="s">
        <v>3476</v>
      </c>
      <c r="BB154" s="57" t="s">
        <v>3476</v>
      </c>
      <c r="BC154" s="57" t="s">
        <v>3791</v>
      </c>
      <c r="BD154" s="57" t="s">
        <v>3659</v>
      </c>
      <c r="BE154" s="57" t="s">
        <v>3787</v>
      </c>
      <c r="BF154" s="57" t="s">
        <v>3749</v>
      </c>
      <c r="BG154" s="57" t="s">
        <v>3476</v>
      </c>
      <c r="BH154" s="57" t="s">
        <v>3476</v>
      </c>
      <c r="BI154" s="57" t="s">
        <v>2809</v>
      </c>
      <c r="BJ154" s="57" t="s">
        <v>3476</v>
      </c>
      <c r="BK154" s="57" t="s">
        <v>3476</v>
      </c>
      <c r="BL154" s="57">
        <v>3591675</v>
      </c>
      <c r="BM154" s="57" t="s">
        <v>4123</v>
      </c>
      <c r="BN154" s="57">
        <v>2087.5</v>
      </c>
      <c r="BO154" s="57" t="s">
        <v>3476</v>
      </c>
      <c r="BP154" s="57" t="s">
        <v>3476</v>
      </c>
      <c r="BQ154" s="57" t="s">
        <v>3476</v>
      </c>
      <c r="BR154" s="57" t="s">
        <v>4124</v>
      </c>
      <c r="BS154" s="57" t="s">
        <v>1292</v>
      </c>
      <c r="BT154" s="57" t="s">
        <v>3476</v>
      </c>
      <c r="BU154" s="57" t="s">
        <v>3476</v>
      </c>
      <c r="BV154" s="57" t="s">
        <v>3753</v>
      </c>
      <c r="BW154" s="57" t="s">
        <v>3476</v>
      </c>
      <c r="BX154" s="57">
        <v>2087.5</v>
      </c>
      <c r="BY154" s="57" t="s">
        <v>3476</v>
      </c>
      <c r="BZ154" s="57" t="s">
        <v>3476</v>
      </c>
      <c r="CA154" s="57" t="s">
        <v>3476</v>
      </c>
      <c r="CB154" s="57" t="s">
        <v>3476</v>
      </c>
      <c r="CC154" s="57" t="s">
        <v>3476</v>
      </c>
      <c r="CD154" s="57" t="s">
        <v>3476</v>
      </c>
    </row>
    <row r="155" spans="1:82">
      <c r="A155" s="57">
        <v>16799</v>
      </c>
      <c r="B155" s="57" t="s">
        <v>3476</v>
      </c>
      <c r="C155" s="57" t="s">
        <v>4118</v>
      </c>
      <c r="D155" s="57" t="s">
        <v>3476</v>
      </c>
      <c r="E155" s="57" t="s">
        <v>3730</v>
      </c>
      <c r="F155" s="57" t="s">
        <v>4119</v>
      </c>
      <c r="G155" s="57" t="s">
        <v>721</v>
      </c>
      <c r="H155" s="57" t="s">
        <v>2874</v>
      </c>
      <c r="I155" s="57">
        <v>47837.64</v>
      </c>
      <c r="J155" s="57" t="s">
        <v>3476</v>
      </c>
      <c r="K155" s="57" t="s">
        <v>3476</v>
      </c>
      <c r="L155" s="57" t="s">
        <v>3730</v>
      </c>
      <c r="M155" s="57" t="s">
        <v>4120</v>
      </c>
      <c r="N155" s="57" t="s">
        <v>4120</v>
      </c>
      <c r="O155" s="57" t="s">
        <v>3476</v>
      </c>
      <c r="P155" s="57" t="s">
        <v>3476</v>
      </c>
      <c r="Q155" s="57" t="s">
        <v>2874</v>
      </c>
      <c r="R155" s="57" t="s">
        <v>3781</v>
      </c>
      <c r="S155" s="57" t="s">
        <v>3782</v>
      </c>
      <c r="T155" s="57" t="s">
        <v>3736</v>
      </c>
      <c r="U155" s="57" t="s">
        <v>3476</v>
      </c>
      <c r="V155" s="57" t="s">
        <v>3469</v>
      </c>
      <c r="W155" s="57" t="s">
        <v>3476</v>
      </c>
      <c r="X155" s="57" t="s">
        <v>4121</v>
      </c>
      <c r="Y155" s="57" t="s">
        <v>3738</v>
      </c>
      <c r="Z155" s="57" t="s">
        <v>4122</v>
      </c>
      <c r="AA155" s="57" t="s">
        <v>3476</v>
      </c>
      <c r="AB155" s="57" t="s">
        <v>3476</v>
      </c>
      <c r="AC155" s="57" t="s">
        <v>3476</v>
      </c>
      <c r="AD155" s="57" t="s">
        <v>3476</v>
      </c>
      <c r="AE155" s="57" t="s">
        <v>3476</v>
      </c>
      <c r="AF155" s="57" t="s">
        <v>3476</v>
      </c>
      <c r="AG155" s="57" t="s">
        <v>3476</v>
      </c>
      <c r="AH155" s="57" t="s">
        <v>3476</v>
      </c>
      <c r="AI155" s="57" t="s">
        <v>3476</v>
      </c>
      <c r="AJ155" s="57" t="s">
        <v>3476</v>
      </c>
      <c r="AK155" s="57" t="s">
        <v>3476</v>
      </c>
      <c r="AL155" s="57" t="s">
        <v>3476</v>
      </c>
      <c r="AM155" s="57" t="s">
        <v>3476</v>
      </c>
      <c r="AN155" s="57" t="s">
        <v>3476</v>
      </c>
      <c r="AO155" s="57" t="s">
        <v>3476</v>
      </c>
      <c r="AP155" s="58">
        <v>45853.0316087963</v>
      </c>
      <c r="AQ155" s="57" t="s">
        <v>3476</v>
      </c>
      <c r="AR155" s="57" t="s">
        <v>3476</v>
      </c>
      <c r="AS155" s="57" t="s">
        <v>3502</v>
      </c>
      <c r="AT155" s="57" t="s">
        <v>3745</v>
      </c>
      <c r="AU155" s="57" t="s">
        <v>3476</v>
      </c>
      <c r="AV155" s="57" t="s">
        <v>3476</v>
      </c>
      <c r="AW155" s="58">
        <v>45852.9884953704</v>
      </c>
      <c r="AX155" s="57" t="s">
        <v>3476</v>
      </c>
      <c r="AY155" s="57" t="s">
        <v>3747</v>
      </c>
      <c r="AZ155" s="57" t="s">
        <v>3476</v>
      </c>
      <c r="BA155" s="57" t="s">
        <v>3476</v>
      </c>
      <c r="BB155" s="57" t="s">
        <v>3476</v>
      </c>
      <c r="BC155" s="57" t="s">
        <v>3791</v>
      </c>
      <c r="BD155" s="57" t="s">
        <v>3659</v>
      </c>
      <c r="BE155" s="57" t="s">
        <v>3787</v>
      </c>
      <c r="BF155" s="57" t="s">
        <v>3749</v>
      </c>
      <c r="BG155" s="57" t="s">
        <v>3476</v>
      </c>
      <c r="BH155" s="57" t="s">
        <v>3476</v>
      </c>
      <c r="BI155" s="57" t="s">
        <v>2809</v>
      </c>
      <c r="BJ155" s="57" t="s">
        <v>3476</v>
      </c>
      <c r="BK155" s="57" t="s">
        <v>3476</v>
      </c>
      <c r="BL155" s="57">
        <v>3591674</v>
      </c>
      <c r="BM155" s="57" t="s">
        <v>4123</v>
      </c>
      <c r="BN155" s="57">
        <v>3909.87</v>
      </c>
      <c r="BO155" s="57" t="s">
        <v>3476</v>
      </c>
      <c r="BP155" s="57" t="s">
        <v>3476</v>
      </c>
      <c r="BQ155" s="57" t="s">
        <v>3476</v>
      </c>
      <c r="BR155" s="57" t="s">
        <v>4124</v>
      </c>
      <c r="BS155" s="57" t="s">
        <v>1292</v>
      </c>
      <c r="BT155" s="57" t="s">
        <v>3476</v>
      </c>
      <c r="BU155" s="57" t="s">
        <v>3476</v>
      </c>
      <c r="BV155" s="57" t="s">
        <v>3753</v>
      </c>
      <c r="BW155" s="57" t="s">
        <v>3476</v>
      </c>
      <c r="BX155" s="57">
        <v>3909.87</v>
      </c>
      <c r="BY155" s="57" t="s">
        <v>3476</v>
      </c>
      <c r="BZ155" s="57" t="s">
        <v>3476</v>
      </c>
      <c r="CA155" s="57" t="s">
        <v>3476</v>
      </c>
      <c r="CB155" s="57" t="s">
        <v>3476</v>
      </c>
      <c r="CC155" s="57" t="s">
        <v>3476</v>
      </c>
      <c r="CD155" s="57" t="s">
        <v>3476</v>
      </c>
    </row>
    <row r="156" spans="1:82">
      <c r="A156" s="57">
        <v>16800</v>
      </c>
      <c r="B156" s="57" t="s">
        <v>3476</v>
      </c>
      <c r="C156" s="57" t="s">
        <v>4118</v>
      </c>
      <c r="D156" s="57" t="s">
        <v>3476</v>
      </c>
      <c r="E156" s="57" t="s">
        <v>3730</v>
      </c>
      <c r="F156" s="57" t="s">
        <v>4119</v>
      </c>
      <c r="G156" s="57" t="s">
        <v>721</v>
      </c>
      <c r="H156" s="57" t="s">
        <v>2874</v>
      </c>
      <c r="I156" s="57">
        <v>47837.64</v>
      </c>
      <c r="J156" s="57" t="s">
        <v>3476</v>
      </c>
      <c r="K156" s="57" t="s">
        <v>3476</v>
      </c>
      <c r="L156" s="57" t="s">
        <v>3730</v>
      </c>
      <c r="M156" s="57" t="s">
        <v>4120</v>
      </c>
      <c r="N156" s="57" t="s">
        <v>4120</v>
      </c>
      <c r="O156" s="57" t="s">
        <v>3476</v>
      </c>
      <c r="P156" s="57" t="s">
        <v>3476</v>
      </c>
      <c r="Q156" s="57" t="s">
        <v>2874</v>
      </c>
      <c r="R156" s="57" t="s">
        <v>3781</v>
      </c>
      <c r="S156" s="57" t="s">
        <v>3782</v>
      </c>
      <c r="T156" s="57" t="s">
        <v>3736</v>
      </c>
      <c r="U156" s="57" t="s">
        <v>3476</v>
      </c>
      <c r="V156" s="57" t="s">
        <v>3469</v>
      </c>
      <c r="W156" s="57" t="s">
        <v>3476</v>
      </c>
      <c r="X156" s="57" t="s">
        <v>4121</v>
      </c>
      <c r="Y156" s="57" t="s">
        <v>3738</v>
      </c>
      <c r="Z156" s="57" t="s">
        <v>4122</v>
      </c>
      <c r="AA156" s="57" t="s">
        <v>3476</v>
      </c>
      <c r="AB156" s="57" t="s">
        <v>3476</v>
      </c>
      <c r="AC156" s="57" t="s">
        <v>3476</v>
      </c>
      <c r="AD156" s="57" t="s">
        <v>3476</v>
      </c>
      <c r="AE156" s="57" t="s">
        <v>3476</v>
      </c>
      <c r="AF156" s="57" t="s">
        <v>3476</v>
      </c>
      <c r="AG156" s="57" t="s">
        <v>3476</v>
      </c>
      <c r="AH156" s="57" t="s">
        <v>3476</v>
      </c>
      <c r="AI156" s="57" t="s">
        <v>3476</v>
      </c>
      <c r="AJ156" s="57" t="s">
        <v>3476</v>
      </c>
      <c r="AK156" s="57" t="s">
        <v>3476</v>
      </c>
      <c r="AL156" s="57" t="s">
        <v>3476</v>
      </c>
      <c r="AM156" s="57" t="s">
        <v>3476</v>
      </c>
      <c r="AN156" s="57" t="s">
        <v>3476</v>
      </c>
      <c r="AO156" s="57" t="s">
        <v>3476</v>
      </c>
      <c r="AP156" s="58">
        <v>45853.0316087963</v>
      </c>
      <c r="AQ156" s="57" t="s">
        <v>3476</v>
      </c>
      <c r="AR156" s="57" t="s">
        <v>3476</v>
      </c>
      <c r="AS156" s="57" t="s">
        <v>3502</v>
      </c>
      <c r="AT156" s="57" t="s">
        <v>3745</v>
      </c>
      <c r="AU156" s="57" t="s">
        <v>3476</v>
      </c>
      <c r="AV156" s="57" t="s">
        <v>3476</v>
      </c>
      <c r="AW156" s="58">
        <v>45852.9884953704</v>
      </c>
      <c r="AX156" s="57" t="s">
        <v>3476</v>
      </c>
      <c r="AY156" s="57" t="s">
        <v>3747</v>
      </c>
      <c r="AZ156" s="57" t="s">
        <v>3476</v>
      </c>
      <c r="BA156" s="57" t="s">
        <v>3476</v>
      </c>
      <c r="BB156" s="57" t="s">
        <v>3476</v>
      </c>
      <c r="BC156" s="57" t="s">
        <v>3791</v>
      </c>
      <c r="BD156" s="57" t="s">
        <v>3659</v>
      </c>
      <c r="BE156" s="57" t="s">
        <v>3787</v>
      </c>
      <c r="BF156" s="57" t="s">
        <v>3749</v>
      </c>
      <c r="BG156" s="57" t="s">
        <v>3476</v>
      </c>
      <c r="BH156" s="57" t="s">
        <v>3476</v>
      </c>
      <c r="BI156" s="57" t="s">
        <v>2809</v>
      </c>
      <c r="BJ156" s="57" t="s">
        <v>3476</v>
      </c>
      <c r="BK156" s="57" t="s">
        <v>3476</v>
      </c>
      <c r="BL156" s="57">
        <v>3591673</v>
      </c>
      <c r="BM156" s="57" t="s">
        <v>4123</v>
      </c>
      <c r="BN156" s="57">
        <v>1399.86</v>
      </c>
      <c r="BO156" s="57" t="s">
        <v>3476</v>
      </c>
      <c r="BP156" s="57" t="s">
        <v>3476</v>
      </c>
      <c r="BQ156" s="57" t="s">
        <v>3476</v>
      </c>
      <c r="BR156" s="57" t="s">
        <v>4124</v>
      </c>
      <c r="BS156" s="57" t="s">
        <v>1292</v>
      </c>
      <c r="BT156" s="57" t="s">
        <v>3476</v>
      </c>
      <c r="BU156" s="57" t="s">
        <v>3476</v>
      </c>
      <c r="BV156" s="57" t="s">
        <v>3753</v>
      </c>
      <c r="BW156" s="57" t="s">
        <v>3476</v>
      </c>
      <c r="BX156" s="57">
        <v>1399.86</v>
      </c>
      <c r="BY156" s="57" t="s">
        <v>3476</v>
      </c>
      <c r="BZ156" s="57" t="s">
        <v>3476</v>
      </c>
      <c r="CA156" s="57" t="s">
        <v>3476</v>
      </c>
      <c r="CB156" s="57" t="s">
        <v>3476</v>
      </c>
      <c r="CC156" s="57" t="s">
        <v>3476</v>
      </c>
      <c r="CD156" s="57" t="s">
        <v>3476</v>
      </c>
    </row>
    <row r="157" spans="1:82">
      <c r="A157" s="57">
        <v>16801</v>
      </c>
      <c r="B157" s="57" t="s">
        <v>3476</v>
      </c>
      <c r="C157" s="57" t="s">
        <v>4118</v>
      </c>
      <c r="D157" s="57" t="s">
        <v>3476</v>
      </c>
      <c r="E157" s="57" t="s">
        <v>3730</v>
      </c>
      <c r="F157" s="57" t="s">
        <v>4119</v>
      </c>
      <c r="G157" s="57" t="s">
        <v>721</v>
      </c>
      <c r="H157" s="57" t="s">
        <v>2874</v>
      </c>
      <c r="I157" s="57">
        <v>47837.64</v>
      </c>
      <c r="J157" s="57" t="s">
        <v>3476</v>
      </c>
      <c r="K157" s="57" t="s">
        <v>3476</v>
      </c>
      <c r="L157" s="57" t="s">
        <v>3730</v>
      </c>
      <c r="M157" s="57" t="s">
        <v>4120</v>
      </c>
      <c r="N157" s="57" t="s">
        <v>4120</v>
      </c>
      <c r="O157" s="57" t="s">
        <v>3476</v>
      </c>
      <c r="P157" s="57" t="s">
        <v>3476</v>
      </c>
      <c r="Q157" s="57" t="s">
        <v>2874</v>
      </c>
      <c r="R157" s="57" t="s">
        <v>3781</v>
      </c>
      <c r="S157" s="57" t="s">
        <v>3782</v>
      </c>
      <c r="T157" s="57" t="s">
        <v>3736</v>
      </c>
      <c r="U157" s="57" t="s">
        <v>3476</v>
      </c>
      <c r="V157" s="57" t="s">
        <v>3469</v>
      </c>
      <c r="W157" s="57" t="s">
        <v>3476</v>
      </c>
      <c r="X157" s="57" t="s">
        <v>4121</v>
      </c>
      <c r="Y157" s="57" t="s">
        <v>3738</v>
      </c>
      <c r="Z157" s="57" t="s">
        <v>4122</v>
      </c>
      <c r="AA157" s="57" t="s">
        <v>3476</v>
      </c>
      <c r="AB157" s="57" t="s">
        <v>3476</v>
      </c>
      <c r="AC157" s="57" t="s">
        <v>3476</v>
      </c>
      <c r="AD157" s="57" t="s">
        <v>3476</v>
      </c>
      <c r="AE157" s="57" t="s">
        <v>3476</v>
      </c>
      <c r="AF157" s="57" t="s">
        <v>3476</v>
      </c>
      <c r="AG157" s="57" t="s">
        <v>3476</v>
      </c>
      <c r="AH157" s="57" t="s">
        <v>3476</v>
      </c>
      <c r="AI157" s="57" t="s">
        <v>3476</v>
      </c>
      <c r="AJ157" s="57" t="s">
        <v>3476</v>
      </c>
      <c r="AK157" s="57" t="s">
        <v>3476</v>
      </c>
      <c r="AL157" s="57" t="s">
        <v>3476</v>
      </c>
      <c r="AM157" s="57" t="s">
        <v>3476</v>
      </c>
      <c r="AN157" s="57" t="s">
        <v>3476</v>
      </c>
      <c r="AO157" s="57" t="s">
        <v>3476</v>
      </c>
      <c r="AP157" s="58">
        <v>45853.0316087963</v>
      </c>
      <c r="AQ157" s="57" t="s">
        <v>3476</v>
      </c>
      <c r="AR157" s="57" t="s">
        <v>3476</v>
      </c>
      <c r="AS157" s="57" t="s">
        <v>3502</v>
      </c>
      <c r="AT157" s="57" t="s">
        <v>3745</v>
      </c>
      <c r="AU157" s="57" t="s">
        <v>3476</v>
      </c>
      <c r="AV157" s="57" t="s">
        <v>3476</v>
      </c>
      <c r="AW157" s="58">
        <v>45852.9884953704</v>
      </c>
      <c r="AX157" s="57" t="s">
        <v>3476</v>
      </c>
      <c r="AY157" s="57" t="s">
        <v>3747</v>
      </c>
      <c r="AZ157" s="57" t="s">
        <v>3476</v>
      </c>
      <c r="BA157" s="57" t="s">
        <v>3476</v>
      </c>
      <c r="BB157" s="57" t="s">
        <v>3476</v>
      </c>
      <c r="BC157" s="57" t="s">
        <v>3791</v>
      </c>
      <c r="BD157" s="57" t="s">
        <v>3659</v>
      </c>
      <c r="BE157" s="57" t="s">
        <v>3787</v>
      </c>
      <c r="BF157" s="57" t="s">
        <v>3749</v>
      </c>
      <c r="BG157" s="57" t="s">
        <v>3476</v>
      </c>
      <c r="BH157" s="57" t="s">
        <v>3476</v>
      </c>
      <c r="BI157" s="57" t="s">
        <v>2809</v>
      </c>
      <c r="BJ157" s="57" t="s">
        <v>3476</v>
      </c>
      <c r="BK157" s="57" t="s">
        <v>3476</v>
      </c>
      <c r="BL157" s="57">
        <v>3591672</v>
      </c>
      <c r="BM157" s="57" t="s">
        <v>4123</v>
      </c>
      <c r="BN157" s="57">
        <v>209</v>
      </c>
      <c r="BO157" s="57" t="s">
        <v>3476</v>
      </c>
      <c r="BP157" s="57" t="s">
        <v>3476</v>
      </c>
      <c r="BQ157" s="57" t="s">
        <v>3476</v>
      </c>
      <c r="BR157" s="57" t="s">
        <v>4124</v>
      </c>
      <c r="BS157" s="57" t="s">
        <v>1292</v>
      </c>
      <c r="BT157" s="57" t="s">
        <v>3476</v>
      </c>
      <c r="BU157" s="57" t="s">
        <v>3476</v>
      </c>
      <c r="BV157" s="57" t="s">
        <v>3753</v>
      </c>
      <c r="BW157" s="57" t="s">
        <v>3476</v>
      </c>
      <c r="BX157" s="57">
        <v>209</v>
      </c>
      <c r="BY157" s="57" t="s">
        <v>3476</v>
      </c>
      <c r="BZ157" s="57" t="s">
        <v>3476</v>
      </c>
      <c r="CA157" s="57" t="s">
        <v>3476</v>
      </c>
      <c r="CB157" s="57" t="s">
        <v>3476</v>
      </c>
      <c r="CC157" s="57" t="s">
        <v>3476</v>
      </c>
      <c r="CD157" s="57" t="s">
        <v>3476</v>
      </c>
    </row>
    <row r="158" spans="1:82">
      <c r="A158" s="57">
        <v>16802</v>
      </c>
      <c r="B158" s="57" t="s">
        <v>3476</v>
      </c>
      <c r="C158" s="57" t="s">
        <v>4118</v>
      </c>
      <c r="D158" s="57" t="s">
        <v>3476</v>
      </c>
      <c r="E158" s="57" t="s">
        <v>3730</v>
      </c>
      <c r="F158" s="57" t="s">
        <v>4119</v>
      </c>
      <c r="G158" s="57" t="s">
        <v>721</v>
      </c>
      <c r="H158" s="57" t="s">
        <v>2874</v>
      </c>
      <c r="I158" s="57">
        <v>47837.64</v>
      </c>
      <c r="J158" s="57" t="s">
        <v>3476</v>
      </c>
      <c r="K158" s="57" t="s">
        <v>3476</v>
      </c>
      <c r="L158" s="57" t="s">
        <v>3730</v>
      </c>
      <c r="M158" s="57" t="s">
        <v>4120</v>
      </c>
      <c r="N158" s="57" t="s">
        <v>4120</v>
      </c>
      <c r="O158" s="57" t="s">
        <v>3476</v>
      </c>
      <c r="P158" s="57" t="s">
        <v>3476</v>
      </c>
      <c r="Q158" s="57" t="s">
        <v>2874</v>
      </c>
      <c r="R158" s="57" t="s">
        <v>3781</v>
      </c>
      <c r="S158" s="57" t="s">
        <v>3782</v>
      </c>
      <c r="T158" s="57" t="s">
        <v>3736</v>
      </c>
      <c r="U158" s="57" t="s">
        <v>3476</v>
      </c>
      <c r="V158" s="57" t="s">
        <v>3469</v>
      </c>
      <c r="W158" s="57" t="s">
        <v>3476</v>
      </c>
      <c r="X158" s="57" t="s">
        <v>4121</v>
      </c>
      <c r="Y158" s="57" t="s">
        <v>3738</v>
      </c>
      <c r="Z158" s="57" t="s">
        <v>4122</v>
      </c>
      <c r="AA158" s="57" t="s">
        <v>3476</v>
      </c>
      <c r="AB158" s="57" t="s">
        <v>3476</v>
      </c>
      <c r="AC158" s="57" t="s">
        <v>3476</v>
      </c>
      <c r="AD158" s="57" t="s">
        <v>3476</v>
      </c>
      <c r="AE158" s="57" t="s">
        <v>3476</v>
      </c>
      <c r="AF158" s="57" t="s">
        <v>3476</v>
      </c>
      <c r="AG158" s="57" t="s">
        <v>3476</v>
      </c>
      <c r="AH158" s="57" t="s">
        <v>3476</v>
      </c>
      <c r="AI158" s="57" t="s">
        <v>3476</v>
      </c>
      <c r="AJ158" s="57" t="s">
        <v>3476</v>
      </c>
      <c r="AK158" s="57" t="s">
        <v>3476</v>
      </c>
      <c r="AL158" s="57" t="s">
        <v>3476</v>
      </c>
      <c r="AM158" s="57" t="s">
        <v>3476</v>
      </c>
      <c r="AN158" s="57" t="s">
        <v>3476</v>
      </c>
      <c r="AO158" s="57" t="s">
        <v>3476</v>
      </c>
      <c r="AP158" s="58">
        <v>45853.0316087963</v>
      </c>
      <c r="AQ158" s="57" t="s">
        <v>3476</v>
      </c>
      <c r="AR158" s="57" t="s">
        <v>3476</v>
      </c>
      <c r="AS158" s="57" t="s">
        <v>3502</v>
      </c>
      <c r="AT158" s="57" t="s">
        <v>3745</v>
      </c>
      <c r="AU158" s="57" t="s">
        <v>3476</v>
      </c>
      <c r="AV158" s="57" t="s">
        <v>3476</v>
      </c>
      <c r="AW158" s="58">
        <v>45852.9884953704</v>
      </c>
      <c r="AX158" s="57" t="s">
        <v>3476</v>
      </c>
      <c r="AY158" s="57" t="s">
        <v>3747</v>
      </c>
      <c r="AZ158" s="57" t="s">
        <v>3476</v>
      </c>
      <c r="BA158" s="57" t="s">
        <v>3476</v>
      </c>
      <c r="BB158" s="57" t="s">
        <v>3476</v>
      </c>
      <c r="BC158" s="57" t="s">
        <v>3791</v>
      </c>
      <c r="BD158" s="57" t="s">
        <v>3659</v>
      </c>
      <c r="BE158" s="57" t="s">
        <v>3787</v>
      </c>
      <c r="BF158" s="57" t="s">
        <v>3749</v>
      </c>
      <c r="BG158" s="57" t="s">
        <v>3476</v>
      </c>
      <c r="BH158" s="57" t="s">
        <v>3476</v>
      </c>
      <c r="BI158" s="57" t="s">
        <v>2809</v>
      </c>
      <c r="BJ158" s="57" t="s">
        <v>3476</v>
      </c>
      <c r="BK158" s="57" t="s">
        <v>3476</v>
      </c>
      <c r="BL158" s="57">
        <v>3591663</v>
      </c>
      <c r="BM158" s="57" t="s">
        <v>4123</v>
      </c>
      <c r="BN158" s="57">
        <v>36</v>
      </c>
      <c r="BO158" s="57" t="s">
        <v>3476</v>
      </c>
      <c r="BP158" s="57" t="s">
        <v>3476</v>
      </c>
      <c r="BQ158" s="57" t="s">
        <v>3476</v>
      </c>
      <c r="BR158" s="57" t="s">
        <v>4124</v>
      </c>
      <c r="BS158" s="57" t="s">
        <v>1292</v>
      </c>
      <c r="BT158" s="57" t="s">
        <v>3476</v>
      </c>
      <c r="BU158" s="57" t="s">
        <v>3476</v>
      </c>
      <c r="BV158" s="57" t="s">
        <v>3753</v>
      </c>
      <c r="BW158" s="57" t="s">
        <v>3476</v>
      </c>
      <c r="BX158" s="57">
        <v>36</v>
      </c>
      <c r="BY158" s="57" t="s">
        <v>3476</v>
      </c>
      <c r="BZ158" s="57" t="s">
        <v>3476</v>
      </c>
      <c r="CA158" s="57" t="s">
        <v>3476</v>
      </c>
      <c r="CB158" s="57" t="s">
        <v>3476</v>
      </c>
      <c r="CC158" s="57" t="s">
        <v>3476</v>
      </c>
      <c r="CD158" s="57" t="s">
        <v>3476</v>
      </c>
    </row>
    <row r="159" spans="1:82">
      <c r="A159" s="57">
        <v>16803</v>
      </c>
      <c r="B159" s="57" t="s">
        <v>3476</v>
      </c>
      <c r="C159" s="57" t="s">
        <v>4118</v>
      </c>
      <c r="D159" s="57" t="s">
        <v>3476</v>
      </c>
      <c r="E159" s="57" t="s">
        <v>3730</v>
      </c>
      <c r="F159" s="57" t="s">
        <v>4119</v>
      </c>
      <c r="G159" s="57" t="s">
        <v>721</v>
      </c>
      <c r="H159" s="57" t="s">
        <v>2874</v>
      </c>
      <c r="I159" s="57">
        <v>47837.64</v>
      </c>
      <c r="J159" s="57" t="s">
        <v>3476</v>
      </c>
      <c r="K159" s="57" t="s">
        <v>3476</v>
      </c>
      <c r="L159" s="57" t="s">
        <v>3730</v>
      </c>
      <c r="M159" s="57" t="s">
        <v>4120</v>
      </c>
      <c r="N159" s="57" t="s">
        <v>4120</v>
      </c>
      <c r="O159" s="57" t="s">
        <v>3476</v>
      </c>
      <c r="P159" s="57" t="s">
        <v>3476</v>
      </c>
      <c r="Q159" s="57" t="s">
        <v>2874</v>
      </c>
      <c r="R159" s="57" t="s">
        <v>3781</v>
      </c>
      <c r="S159" s="57" t="s">
        <v>3782</v>
      </c>
      <c r="T159" s="57" t="s">
        <v>3736</v>
      </c>
      <c r="U159" s="57" t="s">
        <v>3476</v>
      </c>
      <c r="V159" s="57" t="s">
        <v>3469</v>
      </c>
      <c r="W159" s="57" t="s">
        <v>3476</v>
      </c>
      <c r="X159" s="57" t="s">
        <v>4121</v>
      </c>
      <c r="Y159" s="57" t="s">
        <v>3738</v>
      </c>
      <c r="Z159" s="57" t="s">
        <v>4122</v>
      </c>
      <c r="AA159" s="57" t="s">
        <v>3476</v>
      </c>
      <c r="AB159" s="57" t="s">
        <v>3476</v>
      </c>
      <c r="AC159" s="57" t="s">
        <v>3476</v>
      </c>
      <c r="AD159" s="57" t="s">
        <v>3476</v>
      </c>
      <c r="AE159" s="57" t="s">
        <v>3476</v>
      </c>
      <c r="AF159" s="57" t="s">
        <v>3476</v>
      </c>
      <c r="AG159" s="57" t="s">
        <v>3476</v>
      </c>
      <c r="AH159" s="57" t="s">
        <v>3476</v>
      </c>
      <c r="AI159" s="57" t="s">
        <v>3476</v>
      </c>
      <c r="AJ159" s="57" t="s">
        <v>3476</v>
      </c>
      <c r="AK159" s="57" t="s">
        <v>3476</v>
      </c>
      <c r="AL159" s="57" t="s">
        <v>3476</v>
      </c>
      <c r="AM159" s="57" t="s">
        <v>3476</v>
      </c>
      <c r="AN159" s="57" t="s">
        <v>3476</v>
      </c>
      <c r="AO159" s="57" t="s">
        <v>3476</v>
      </c>
      <c r="AP159" s="58">
        <v>45853.0316087963</v>
      </c>
      <c r="AQ159" s="57" t="s">
        <v>3476</v>
      </c>
      <c r="AR159" s="57" t="s">
        <v>3476</v>
      </c>
      <c r="AS159" s="57" t="s">
        <v>3502</v>
      </c>
      <c r="AT159" s="57" t="s">
        <v>3745</v>
      </c>
      <c r="AU159" s="57" t="s">
        <v>3476</v>
      </c>
      <c r="AV159" s="57" t="s">
        <v>3476</v>
      </c>
      <c r="AW159" s="58">
        <v>45852.9884953704</v>
      </c>
      <c r="AX159" s="57" t="s">
        <v>3476</v>
      </c>
      <c r="AY159" s="57" t="s">
        <v>3747</v>
      </c>
      <c r="AZ159" s="57" t="s">
        <v>3476</v>
      </c>
      <c r="BA159" s="57" t="s">
        <v>3476</v>
      </c>
      <c r="BB159" s="57" t="s">
        <v>3476</v>
      </c>
      <c r="BC159" s="57" t="s">
        <v>3791</v>
      </c>
      <c r="BD159" s="57" t="s">
        <v>3659</v>
      </c>
      <c r="BE159" s="57" t="s">
        <v>3787</v>
      </c>
      <c r="BF159" s="57" t="s">
        <v>3749</v>
      </c>
      <c r="BG159" s="57" t="s">
        <v>3476</v>
      </c>
      <c r="BH159" s="57" t="s">
        <v>3476</v>
      </c>
      <c r="BI159" s="57" t="s">
        <v>2809</v>
      </c>
      <c r="BJ159" s="57" t="s">
        <v>3476</v>
      </c>
      <c r="BK159" s="57" t="s">
        <v>3476</v>
      </c>
      <c r="BL159" s="57">
        <v>3591662</v>
      </c>
      <c r="BM159" s="57" t="s">
        <v>4123</v>
      </c>
      <c r="BN159" s="57">
        <v>36.72</v>
      </c>
      <c r="BO159" s="57" t="s">
        <v>3476</v>
      </c>
      <c r="BP159" s="57" t="s">
        <v>3476</v>
      </c>
      <c r="BQ159" s="57" t="s">
        <v>3476</v>
      </c>
      <c r="BR159" s="57" t="s">
        <v>4124</v>
      </c>
      <c r="BS159" s="57" t="s">
        <v>1292</v>
      </c>
      <c r="BT159" s="57" t="s">
        <v>3476</v>
      </c>
      <c r="BU159" s="57" t="s">
        <v>3476</v>
      </c>
      <c r="BV159" s="57" t="s">
        <v>3753</v>
      </c>
      <c r="BW159" s="57" t="s">
        <v>3476</v>
      </c>
      <c r="BX159" s="57">
        <v>36.72</v>
      </c>
      <c r="BY159" s="57" t="s">
        <v>3476</v>
      </c>
      <c r="BZ159" s="57" t="s">
        <v>3476</v>
      </c>
      <c r="CA159" s="57" t="s">
        <v>3476</v>
      </c>
      <c r="CB159" s="57" t="s">
        <v>3476</v>
      </c>
      <c r="CC159" s="57" t="s">
        <v>3476</v>
      </c>
      <c r="CD159" s="57" t="s">
        <v>3476</v>
      </c>
    </row>
    <row r="160" spans="1:82">
      <c r="A160" s="57">
        <v>16804</v>
      </c>
      <c r="B160" s="57" t="s">
        <v>3476</v>
      </c>
      <c r="C160" s="57" t="s">
        <v>4118</v>
      </c>
      <c r="D160" s="57" t="s">
        <v>3476</v>
      </c>
      <c r="E160" s="57" t="s">
        <v>3730</v>
      </c>
      <c r="F160" s="57" t="s">
        <v>4119</v>
      </c>
      <c r="G160" s="57" t="s">
        <v>721</v>
      </c>
      <c r="H160" s="57" t="s">
        <v>2874</v>
      </c>
      <c r="I160" s="57">
        <v>47837.64</v>
      </c>
      <c r="J160" s="57" t="s">
        <v>3476</v>
      </c>
      <c r="K160" s="57" t="s">
        <v>3476</v>
      </c>
      <c r="L160" s="57" t="s">
        <v>3730</v>
      </c>
      <c r="M160" s="57" t="s">
        <v>4120</v>
      </c>
      <c r="N160" s="57" t="s">
        <v>4120</v>
      </c>
      <c r="O160" s="57" t="s">
        <v>3476</v>
      </c>
      <c r="P160" s="57" t="s">
        <v>3476</v>
      </c>
      <c r="Q160" s="57" t="s">
        <v>2874</v>
      </c>
      <c r="R160" s="57" t="s">
        <v>3781</v>
      </c>
      <c r="S160" s="57" t="s">
        <v>3782</v>
      </c>
      <c r="T160" s="57" t="s">
        <v>3736</v>
      </c>
      <c r="U160" s="57" t="s">
        <v>3476</v>
      </c>
      <c r="V160" s="57" t="s">
        <v>3469</v>
      </c>
      <c r="W160" s="57" t="s">
        <v>3476</v>
      </c>
      <c r="X160" s="57" t="s">
        <v>4121</v>
      </c>
      <c r="Y160" s="57" t="s">
        <v>3738</v>
      </c>
      <c r="Z160" s="57" t="s">
        <v>4122</v>
      </c>
      <c r="AA160" s="57" t="s">
        <v>3476</v>
      </c>
      <c r="AB160" s="57" t="s">
        <v>3476</v>
      </c>
      <c r="AC160" s="57" t="s">
        <v>3476</v>
      </c>
      <c r="AD160" s="57" t="s">
        <v>3476</v>
      </c>
      <c r="AE160" s="57" t="s">
        <v>3476</v>
      </c>
      <c r="AF160" s="57" t="s">
        <v>3476</v>
      </c>
      <c r="AG160" s="57" t="s">
        <v>3476</v>
      </c>
      <c r="AH160" s="57" t="s">
        <v>3476</v>
      </c>
      <c r="AI160" s="57" t="s">
        <v>3476</v>
      </c>
      <c r="AJ160" s="57" t="s">
        <v>3476</v>
      </c>
      <c r="AK160" s="57" t="s">
        <v>3476</v>
      </c>
      <c r="AL160" s="57" t="s">
        <v>3476</v>
      </c>
      <c r="AM160" s="57" t="s">
        <v>3476</v>
      </c>
      <c r="AN160" s="57" t="s">
        <v>3476</v>
      </c>
      <c r="AO160" s="57" t="s">
        <v>3476</v>
      </c>
      <c r="AP160" s="58">
        <v>45853.0316087963</v>
      </c>
      <c r="AQ160" s="57" t="s">
        <v>3476</v>
      </c>
      <c r="AR160" s="57" t="s">
        <v>3476</v>
      </c>
      <c r="AS160" s="57" t="s">
        <v>3502</v>
      </c>
      <c r="AT160" s="57" t="s">
        <v>3745</v>
      </c>
      <c r="AU160" s="57" t="s">
        <v>3476</v>
      </c>
      <c r="AV160" s="57" t="s">
        <v>3476</v>
      </c>
      <c r="AW160" s="58">
        <v>45852.9884953704</v>
      </c>
      <c r="AX160" s="57" t="s">
        <v>3476</v>
      </c>
      <c r="AY160" s="57" t="s">
        <v>3747</v>
      </c>
      <c r="AZ160" s="57" t="s">
        <v>3476</v>
      </c>
      <c r="BA160" s="57" t="s">
        <v>3476</v>
      </c>
      <c r="BB160" s="57" t="s">
        <v>3476</v>
      </c>
      <c r="BC160" s="57" t="s">
        <v>1787</v>
      </c>
      <c r="BD160" s="57" t="s">
        <v>3659</v>
      </c>
      <c r="BE160" s="57" t="s">
        <v>3787</v>
      </c>
      <c r="BF160" s="57" t="s">
        <v>3749</v>
      </c>
      <c r="BG160" s="57" t="s">
        <v>3476</v>
      </c>
      <c r="BH160" s="57" t="s">
        <v>3476</v>
      </c>
      <c r="BI160" s="57" t="s">
        <v>2809</v>
      </c>
      <c r="BJ160" s="57" t="s">
        <v>3476</v>
      </c>
      <c r="BK160" s="57" t="s">
        <v>3476</v>
      </c>
      <c r="BL160" s="57">
        <v>3591661</v>
      </c>
      <c r="BM160" s="57" t="s">
        <v>4123</v>
      </c>
      <c r="BN160" s="57">
        <v>180</v>
      </c>
      <c r="BO160" s="57" t="s">
        <v>3476</v>
      </c>
      <c r="BP160" s="57" t="s">
        <v>3476</v>
      </c>
      <c r="BQ160" s="57" t="s">
        <v>3476</v>
      </c>
      <c r="BR160" s="57" t="s">
        <v>4124</v>
      </c>
      <c r="BS160" s="57" t="s">
        <v>1292</v>
      </c>
      <c r="BT160" s="57" t="s">
        <v>3476</v>
      </c>
      <c r="BU160" s="57" t="s">
        <v>3476</v>
      </c>
      <c r="BV160" s="57" t="s">
        <v>3753</v>
      </c>
      <c r="BW160" s="57" t="s">
        <v>3476</v>
      </c>
      <c r="BX160" s="57">
        <v>180</v>
      </c>
      <c r="BY160" s="57" t="s">
        <v>3476</v>
      </c>
      <c r="BZ160" s="57" t="s">
        <v>3476</v>
      </c>
      <c r="CA160" s="57" t="s">
        <v>3476</v>
      </c>
      <c r="CB160" s="57" t="s">
        <v>3476</v>
      </c>
      <c r="CC160" s="57" t="s">
        <v>3476</v>
      </c>
      <c r="CD160" s="57" t="s">
        <v>3476</v>
      </c>
    </row>
    <row r="161" spans="1:82">
      <c r="A161" s="57">
        <v>16805</v>
      </c>
      <c r="B161" s="57" t="s">
        <v>3476</v>
      </c>
      <c r="C161" s="57" t="s">
        <v>4118</v>
      </c>
      <c r="D161" s="57" t="s">
        <v>3476</v>
      </c>
      <c r="E161" s="57" t="s">
        <v>3730</v>
      </c>
      <c r="F161" s="57" t="s">
        <v>4119</v>
      </c>
      <c r="G161" s="57" t="s">
        <v>721</v>
      </c>
      <c r="H161" s="57" t="s">
        <v>2874</v>
      </c>
      <c r="I161" s="57">
        <v>47837.64</v>
      </c>
      <c r="J161" s="57" t="s">
        <v>3476</v>
      </c>
      <c r="K161" s="57" t="s">
        <v>3476</v>
      </c>
      <c r="L161" s="57" t="s">
        <v>3730</v>
      </c>
      <c r="M161" s="57" t="s">
        <v>4120</v>
      </c>
      <c r="N161" s="57" t="s">
        <v>4120</v>
      </c>
      <c r="O161" s="57" t="s">
        <v>3476</v>
      </c>
      <c r="P161" s="57" t="s">
        <v>3476</v>
      </c>
      <c r="Q161" s="57" t="s">
        <v>2874</v>
      </c>
      <c r="R161" s="57" t="s">
        <v>3781</v>
      </c>
      <c r="S161" s="57" t="s">
        <v>3782</v>
      </c>
      <c r="T161" s="57" t="s">
        <v>3736</v>
      </c>
      <c r="U161" s="57" t="s">
        <v>3476</v>
      </c>
      <c r="V161" s="57" t="s">
        <v>3469</v>
      </c>
      <c r="W161" s="57" t="s">
        <v>3476</v>
      </c>
      <c r="X161" s="57" t="s">
        <v>4121</v>
      </c>
      <c r="Y161" s="57" t="s">
        <v>3738</v>
      </c>
      <c r="Z161" s="57" t="s">
        <v>4122</v>
      </c>
      <c r="AA161" s="57" t="s">
        <v>3476</v>
      </c>
      <c r="AB161" s="57" t="s">
        <v>3476</v>
      </c>
      <c r="AC161" s="57" t="s">
        <v>3476</v>
      </c>
      <c r="AD161" s="57" t="s">
        <v>3476</v>
      </c>
      <c r="AE161" s="57" t="s">
        <v>3476</v>
      </c>
      <c r="AF161" s="57" t="s">
        <v>3476</v>
      </c>
      <c r="AG161" s="57" t="s">
        <v>3476</v>
      </c>
      <c r="AH161" s="57" t="s">
        <v>3476</v>
      </c>
      <c r="AI161" s="57" t="s">
        <v>3476</v>
      </c>
      <c r="AJ161" s="57" t="s">
        <v>3476</v>
      </c>
      <c r="AK161" s="57" t="s">
        <v>3476</v>
      </c>
      <c r="AL161" s="57" t="s">
        <v>3476</v>
      </c>
      <c r="AM161" s="57" t="s">
        <v>3476</v>
      </c>
      <c r="AN161" s="57" t="s">
        <v>3476</v>
      </c>
      <c r="AO161" s="57" t="s">
        <v>3476</v>
      </c>
      <c r="AP161" s="58">
        <v>45853.0316087963</v>
      </c>
      <c r="AQ161" s="57" t="s">
        <v>3476</v>
      </c>
      <c r="AR161" s="57" t="s">
        <v>3476</v>
      </c>
      <c r="AS161" s="57" t="s">
        <v>3502</v>
      </c>
      <c r="AT161" s="57" t="s">
        <v>3745</v>
      </c>
      <c r="AU161" s="57" t="s">
        <v>3476</v>
      </c>
      <c r="AV161" s="57" t="s">
        <v>3476</v>
      </c>
      <c r="AW161" s="58">
        <v>45852.9884953704</v>
      </c>
      <c r="AX161" s="57" t="s">
        <v>3476</v>
      </c>
      <c r="AY161" s="57" t="s">
        <v>3747</v>
      </c>
      <c r="AZ161" s="57" t="s">
        <v>3476</v>
      </c>
      <c r="BA161" s="57" t="s">
        <v>3476</v>
      </c>
      <c r="BB161" s="57" t="s">
        <v>3476</v>
      </c>
      <c r="BC161" s="57" t="s">
        <v>1787</v>
      </c>
      <c r="BD161" s="57" t="s">
        <v>3659</v>
      </c>
      <c r="BE161" s="57" t="s">
        <v>3787</v>
      </c>
      <c r="BF161" s="57" t="s">
        <v>3749</v>
      </c>
      <c r="BG161" s="57" t="s">
        <v>3476</v>
      </c>
      <c r="BH161" s="57" t="s">
        <v>3476</v>
      </c>
      <c r="BI161" s="57" t="s">
        <v>2809</v>
      </c>
      <c r="BJ161" s="57" t="s">
        <v>3476</v>
      </c>
      <c r="BK161" s="57" t="s">
        <v>3476</v>
      </c>
      <c r="BL161" s="57">
        <v>3591660</v>
      </c>
      <c r="BM161" s="57" t="s">
        <v>4123</v>
      </c>
      <c r="BN161" s="57">
        <v>252</v>
      </c>
      <c r="BO161" s="57" t="s">
        <v>3476</v>
      </c>
      <c r="BP161" s="57" t="s">
        <v>3476</v>
      </c>
      <c r="BQ161" s="57" t="s">
        <v>3476</v>
      </c>
      <c r="BR161" s="57" t="s">
        <v>4124</v>
      </c>
      <c r="BS161" s="57" t="s">
        <v>1292</v>
      </c>
      <c r="BT161" s="57" t="s">
        <v>3476</v>
      </c>
      <c r="BU161" s="57" t="s">
        <v>3476</v>
      </c>
      <c r="BV161" s="57" t="s">
        <v>3753</v>
      </c>
      <c r="BW161" s="57" t="s">
        <v>3476</v>
      </c>
      <c r="BX161" s="57">
        <v>252</v>
      </c>
      <c r="BY161" s="57" t="s">
        <v>3476</v>
      </c>
      <c r="BZ161" s="57" t="s">
        <v>3476</v>
      </c>
      <c r="CA161" s="57" t="s">
        <v>3476</v>
      </c>
      <c r="CB161" s="57" t="s">
        <v>3476</v>
      </c>
      <c r="CC161" s="57" t="s">
        <v>3476</v>
      </c>
      <c r="CD161" s="57" t="s">
        <v>3476</v>
      </c>
    </row>
    <row r="162" spans="1:82">
      <c r="A162" s="57">
        <v>16806</v>
      </c>
      <c r="B162" s="57" t="s">
        <v>3476</v>
      </c>
      <c r="C162" s="57" t="s">
        <v>4118</v>
      </c>
      <c r="D162" s="57" t="s">
        <v>3476</v>
      </c>
      <c r="E162" s="57" t="s">
        <v>3730</v>
      </c>
      <c r="F162" s="57" t="s">
        <v>4119</v>
      </c>
      <c r="G162" s="57" t="s">
        <v>721</v>
      </c>
      <c r="H162" s="57" t="s">
        <v>2874</v>
      </c>
      <c r="I162" s="57">
        <v>47837.64</v>
      </c>
      <c r="J162" s="57" t="s">
        <v>3476</v>
      </c>
      <c r="K162" s="57" t="s">
        <v>3476</v>
      </c>
      <c r="L162" s="57" t="s">
        <v>3730</v>
      </c>
      <c r="M162" s="57" t="s">
        <v>4120</v>
      </c>
      <c r="N162" s="57" t="s">
        <v>4120</v>
      </c>
      <c r="O162" s="57" t="s">
        <v>3476</v>
      </c>
      <c r="P162" s="57" t="s">
        <v>3476</v>
      </c>
      <c r="Q162" s="57" t="s">
        <v>2874</v>
      </c>
      <c r="R162" s="57" t="s">
        <v>3781</v>
      </c>
      <c r="S162" s="57" t="s">
        <v>3782</v>
      </c>
      <c r="T162" s="57" t="s">
        <v>3736</v>
      </c>
      <c r="U162" s="57" t="s">
        <v>3476</v>
      </c>
      <c r="V162" s="57" t="s">
        <v>3469</v>
      </c>
      <c r="W162" s="57" t="s">
        <v>3476</v>
      </c>
      <c r="X162" s="57" t="s">
        <v>4121</v>
      </c>
      <c r="Y162" s="57" t="s">
        <v>3738</v>
      </c>
      <c r="Z162" s="57" t="s">
        <v>4122</v>
      </c>
      <c r="AA162" s="57" t="s">
        <v>3476</v>
      </c>
      <c r="AB162" s="57" t="s">
        <v>3476</v>
      </c>
      <c r="AC162" s="57" t="s">
        <v>3476</v>
      </c>
      <c r="AD162" s="57" t="s">
        <v>3476</v>
      </c>
      <c r="AE162" s="57" t="s">
        <v>3476</v>
      </c>
      <c r="AF162" s="57" t="s">
        <v>3476</v>
      </c>
      <c r="AG162" s="57" t="s">
        <v>3476</v>
      </c>
      <c r="AH162" s="57" t="s">
        <v>3476</v>
      </c>
      <c r="AI162" s="57" t="s">
        <v>3476</v>
      </c>
      <c r="AJ162" s="57" t="s">
        <v>3476</v>
      </c>
      <c r="AK162" s="57" t="s">
        <v>3476</v>
      </c>
      <c r="AL162" s="57" t="s">
        <v>3476</v>
      </c>
      <c r="AM162" s="57" t="s">
        <v>3476</v>
      </c>
      <c r="AN162" s="57" t="s">
        <v>3476</v>
      </c>
      <c r="AO162" s="57" t="s">
        <v>3476</v>
      </c>
      <c r="AP162" s="58">
        <v>45853.0316087963</v>
      </c>
      <c r="AQ162" s="57" t="s">
        <v>3476</v>
      </c>
      <c r="AR162" s="57" t="s">
        <v>3476</v>
      </c>
      <c r="AS162" s="57" t="s">
        <v>3502</v>
      </c>
      <c r="AT162" s="57" t="s">
        <v>3745</v>
      </c>
      <c r="AU162" s="57" t="s">
        <v>3476</v>
      </c>
      <c r="AV162" s="57" t="s">
        <v>3476</v>
      </c>
      <c r="AW162" s="58">
        <v>45852.9884953704</v>
      </c>
      <c r="AX162" s="57" t="s">
        <v>3476</v>
      </c>
      <c r="AY162" s="57" t="s">
        <v>3747</v>
      </c>
      <c r="AZ162" s="57" t="s">
        <v>3476</v>
      </c>
      <c r="BA162" s="57" t="s">
        <v>3476</v>
      </c>
      <c r="BB162" s="57" t="s">
        <v>3476</v>
      </c>
      <c r="BC162" s="57" t="s">
        <v>3791</v>
      </c>
      <c r="BD162" s="57" t="s">
        <v>3659</v>
      </c>
      <c r="BE162" s="57" t="s">
        <v>3787</v>
      </c>
      <c r="BF162" s="57" t="s">
        <v>3749</v>
      </c>
      <c r="BG162" s="57" t="s">
        <v>3476</v>
      </c>
      <c r="BH162" s="57" t="s">
        <v>3476</v>
      </c>
      <c r="BI162" s="57" t="s">
        <v>2809</v>
      </c>
      <c r="BJ162" s="57" t="s">
        <v>3476</v>
      </c>
      <c r="BK162" s="57" t="s">
        <v>3476</v>
      </c>
      <c r="BL162" s="57">
        <v>3591667</v>
      </c>
      <c r="BM162" s="57" t="s">
        <v>4123</v>
      </c>
      <c r="BN162" s="57">
        <v>600</v>
      </c>
      <c r="BO162" s="57" t="s">
        <v>3476</v>
      </c>
      <c r="BP162" s="57" t="s">
        <v>3476</v>
      </c>
      <c r="BQ162" s="57" t="s">
        <v>3476</v>
      </c>
      <c r="BR162" s="57" t="s">
        <v>4124</v>
      </c>
      <c r="BS162" s="57" t="s">
        <v>1292</v>
      </c>
      <c r="BT162" s="57" t="s">
        <v>3476</v>
      </c>
      <c r="BU162" s="57" t="s">
        <v>3476</v>
      </c>
      <c r="BV162" s="57" t="s">
        <v>3753</v>
      </c>
      <c r="BW162" s="57" t="s">
        <v>3476</v>
      </c>
      <c r="BX162" s="57">
        <v>600</v>
      </c>
      <c r="BY162" s="57" t="s">
        <v>3476</v>
      </c>
      <c r="BZ162" s="57" t="s">
        <v>3476</v>
      </c>
      <c r="CA162" s="57" t="s">
        <v>3476</v>
      </c>
      <c r="CB162" s="57" t="s">
        <v>3476</v>
      </c>
      <c r="CC162" s="57" t="s">
        <v>3476</v>
      </c>
      <c r="CD162" s="57" t="s">
        <v>3476</v>
      </c>
    </row>
    <row r="163" spans="1:82">
      <c r="A163" s="57">
        <v>16807</v>
      </c>
      <c r="B163" s="57" t="s">
        <v>3476</v>
      </c>
      <c r="C163" s="57" t="s">
        <v>4118</v>
      </c>
      <c r="D163" s="57" t="s">
        <v>3476</v>
      </c>
      <c r="E163" s="57" t="s">
        <v>3730</v>
      </c>
      <c r="F163" s="57" t="s">
        <v>4119</v>
      </c>
      <c r="G163" s="57" t="s">
        <v>721</v>
      </c>
      <c r="H163" s="57" t="s">
        <v>2874</v>
      </c>
      <c r="I163" s="57">
        <v>47837.64</v>
      </c>
      <c r="J163" s="57" t="s">
        <v>3476</v>
      </c>
      <c r="K163" s="57" t="s">
        <v>3476</v>
      </c>
      <c r="L163" s="57" t="s">
        <v>3730</v>
      </c>
      <c r="M163" s="57" t="s">
        <v>4120</v>
      </c>
      <c r="N163" s="57" t="s">
        <v>4120</v>
      </c>
      <c r="O163" s="57" t="s">
        <v>3476</v>
      </c>
      <c r="P163" s="57" t="s">
        <v>3476</v>
      </c>
      <c r="Q163" s="57" t="s">
        <v>2874</v>
      </c>
      <c r="R163" s="57" t="s">
        <v>3781</v>
      </c>
      <c r="S163" s="57" t="s">
        <v>3782</v>
      </c>
      <c r="T163" s="57" t="s">
        <v>3736</v>
      </c>
      <c r="U163" s="57" t="s">
        <v>3476</v>
      </c>
      <c r="V163" s="57" t="s">
        <v>3469</v>
      </c>
      <c r="W163" s="57" t="s">
        <v>3476</v>
      </c>
      <c r="X163" s="57" t="s">
        <v>4121</v>
      </c>
      <c r="Y163" s="57" t="s">
        <v>3738</v>
      </c>
      <c r="Z163" s="57" t="s">
        <v>4122</v>
      </c>
      <c r="AA163" s="57" t="s">
        <v>3476</v>
      </c>
      <c r="AB163" s="57" t="s">
        <v>3476</v>
      </c>
      <c r="AC163" s="57" t="s">
        <v>3476</v>
      </c>
      <c r="AD163" s="57" t="s">
        <v>3476</v>
      </c>
      <c r="AE163" s="57" t="s">
        <v>3476</v>
      </c>
      <c r="AF163" s="57" t="s">
        <v>3476</v>
      </c>
      <c r="AG163" s="57" t="s">
        <v>3476</v>
      </c>
      <c r="AH163" s="57" t="s">
        <v>3476</v>
      </c>
      <c r="AI163" s="57" t="s">
        <v>3476</v>
      </c>
      <c r="AJ163" s="57" t="s">
        <v>3476</v>
      </c>
      <c r="AK163" s="57" t="s">
        <v>3476</v>
      </c>
      <c r="AL163" s="57" t="s">
        <v>3476</v>
      </c>
      <c r="AM163" s="57" t="s">
        <v>3476</v>
      </c>
      <c r="AN163" s="57" t="s">
        <v>3476</v>
      </c>
      <c r="AO163" s="57" t="s">
        <v>3476</v>
      </c>
      <c r="AP163" s="58">
        <v>45853.0316087963</v>
      </c>
      <c r="AQ163" s="57" t="s">
        <v>3476</v>
      </c>
      <c r="AR163" s="57" t="s">
        <v>3476</v>
      </c>
      <c r="AS163" s="57" t="s">
        <v>3502</v>
      </c>
      <c r="AT163" s="57" t="s">
        <v>3745</v>
      </c>
      <c r="AU163" s="57" t="s">
        <v>3476</v>
      </c>
      <c r="AV163" s="57" t="s">
        <v>3476</v>
      </c>
      <c r="AW163" s="58">
        <v>45852.9884953704</v>
      </c>
      <c r="AX163" s="57" t="s">
        <v>3476</v>
      </c>
      <c r="AY163" s="57" t="s">
        <v>3747</v>
      </c>
      <c r="AZ163" s="57" t="s">
        <v>3476</v>
      </c>
      <c r="BA163" s="57" t="s">
        <v>3476</v>
      </c>
      <c r="BB163" s="57" t="s">
        <v>3476</v>
      </c>
      <c r="BC163" s="57" t="s">
        <v>3791</v>
      </c>
      <c r="BD163" s="57" t="s">
        <v>3659</v>
      </c>
      <c r="BE163" s="57" t="s">
        <v>3787</v>
      </c>
      <c r="BF163" s="57" t="s">
        <v>3749</v>
      </c>
      <c r="BG163" s="57" t="s">
        <v>3476</v>
      </c>
      <c r="BH163" s="57" t="s">
        <v>3476</v>
      </c>
      <c r="BI163" s="57" t="s">
        <v>2809</v>
      </c>
      <c r="BJ163" s="57" t="s">
        <v>3476</v>
      </c>
      <c r="BK163" s="57" t="s">
        <v>3476</v>
      </c>
      <c r="BL163" s="57">
        <v>3591666</v>
      </c>
      <c r="BM163" s="57" t="s">
        <v>4123</v>
      </c>
      <c r="BN163" s="57">
        <v>28</v>
      </c>
      <c r="BO163" s="57" t="s">
        <v>3476</v>
      </c>
      <c r="BP163" s="57" t="s">
        <v>3476</v>
      </c>
      <c r="BQ163" s="57" t="s">
        <v>3476</v>
      </c>
      <c r="BR163" s="57" t="s">
        <v>4124</v>
      </c>
      <c r="BS163" s="57" t="s">
        <v>1292</v>
      </c>
      <c r="BT163" s="57" t="s">
        <v>3476</v>
      </c>
      <c r="BU163" s="57" t="s">
        <v>3476</v>
      </c>
      <c r="BV163" s="57" t="s">
        <v>3753</v>
      </c>
      <c r="BW163" s="57" t="s">
        <v>3476</v>
      </c>
      <c r="BX163" s="57">
        <v>28</v>
      </c>
      <c r="BY163" s="57" t="s">
        <v>3476</v>
      </c>
      <c r="BZ163" s="57" t="s">
        <v>3476</v>
      </c>
      <c r="CA163" s="57" t="s">
        <v>3476</v>
      </c>
      <c r="CB163" s="57" t="s">
        <v>3476</v>
      </c>
      <c r="CC163" s="57" t="s">
        <v>3476</v>
      </c>
      <c r="CD163" s="57" t="s">
        <v>3476</v>
      </c>
    </row>
    <row r="164" spans="1:82">
      <c r="A164" s="57">
        <v>16808</v>
      </c>
      <c r="B164" s="57" t="s">
        <v>3476</v>
      </c>
      <c r="C164" s="57" t="s">
        <v>4118</v>
      </c>
      <c r="D164" s="57" t="s">
        <v>3476</v>
      </c>
      <c r="E164" s="57" t="s">
        <v>3730</v>
      </c>
      <c r="F164" s="57" t="s">
        <v>4119</v>
      </c>
      <c r="G164" s="57" t="s">
        <v>721</v>
      </c>
      <c r="H164" s="57" t="s">
        <v>2874</v>
      </c>
      <c r="I164" s="57">
        <v>47837.64</v>
      </c>
      <c r="J164" s="57" t="s">
        <v>3476</v>
      </c>
      <c r="K164" s="57" t="s">
        <v>3476</v>
      </c>
      <c r="L164" s="57" t="s">
        <v>3730</v>
      </c>
      <c r="M164" s="57" t="s">
        <v>4120</v>
      </c>
      <c r="N164" s="57" t="s">
        <v>4120</v>
      </c>
      <c r="O164" s="57" t="s">
        <v>3476</v>
      </c>
      <c r="P164" s="57" t="s">
        <v>3476</v>
      </c>
      <c r="Q164" s="57" t="s">
        <v>2874</v>
      </c>
      <c r="R164" s="57" t="s">
        <v>3781</v>
      </c>
      <c r="S164" s="57" t="s">
        <v>3782</v>
      </c>
      <c r="T164" s="57" t="s">
        <v>3736</v>
      </c>
      <c r="U164" s="57" t="s">
        <v>3476</v>
      </c>
      <c r="V164" s="57" t="s">
        <v>3469</v>
      </c>
      <c r="W164" s="57" t="s">
        <v>3476</v>
      </c>
      <c r="X164" s="57" t="s">
        <v>4121</v>
      </c>
      <c r="Y164" s="57" t="s">
        <v>3738</v>
      </c>
      <c r="Z164" s="57" t="s">
        <v>4122</v>
      </c>
      <c r="AA164" s="57" t="s">
        <v>3476</v>
      </c>
      <c r="AB164" s="57" t="s">
        <v>3476</v>
      </c>
      <c r="AC164" s="57" t="s">
        <v>3476</v>
      </c>
      <c r="AD164" s="57" t="s">
        <v>3476</v>
      </c>
      <c r="AE164" s="57" t="s">
        <v>3476</v>
      </c>
      <c r="AF164" s="57" t="s">
        <v>3476</v>
      </c>
      <c r="AG164" s="57" t="s">
        <v>3476</v>
      </c>
      <c r="AH164" s="57" t="s">
        <v>3476</v>
      </c>
      <c r="AI164" s="57" t="s">
        <v>3476</v>
      </c>
      <c r="AJ164" s="57" t="s">
        <v>3476</v>
      </c>
      <c r="AK164" s="57" t="s">
        <v>3476</v>
      </c>
      <c r="AL164" s="57" t="s">
        <v>3476</v>
      </c>
      <c r="AM164" s="57" t="s">
        <v>3476</v>
      </c>
      <c r="AN164" s="57" t="s">
        <v>3476</v>
      </c>
      <c r="AO164" s="57" t="s">
        <v>3476</v>
      </c>
      <c r="AP164" s="58">
        <v>45853.0316087963</v>
      </c>
      <c r="AQ164" s="57" t="s">
        <v>3476</v>
      </c>
      <c r="AR164" s="57" t="s">
        <v>3476</v>
      </c>
      <c r="AS164" s="57" t="s">
        <v>3502</v>
      </c>
      <c r="AT164" s="57" t="s">
        <v>3745</v>
      </c>
      <c r="AU164" s="57" t="s">
        <v>3476</v>
      </c>
      <c r="AV164" s="57" t="s">
        <v>3476</v>
      </c>
      <c r="AW164" s="58">
        <v>45852.9884953704</v>
      </c>
      <c r="AX164" s="57" t="s">
        <v>3476</v>
      </c>
      <c r="AY164" s="57" t="s">
        <v>3747</v>
      </c>
      <c r="AZ164" s="57" t="s">
        <v>3476</v>
      </c>
      <c r="BA164" s="57" t="s">
        <v>3476</v>
      </c>
      <c r="BB164" s="57" t="s">
        <v>3476</v>
      </c>
      <c r="BC164" s="57" t="s">
        <v>3791</v>
      </c>
      <c r="BD164" s="57" t="s">
        <v>3659</v>
      </c>
      <c r="BE164" s="57" t="s">
        <v>3787</v>
      </c>
      <c r="BF164" s="57" t="s">
        <v>3749</v>
      </c>
      <c r="BG164" s="57" t="s">
        <v>3476</v>
      </c>
      <c r="BH164" s="57" t="s">
        <v>3476</v>
      </c>
      <c r="BI164" s="57" t="s">
        <v>2809</v>
      </c>
      <c r="BJ164" s="57" t="s">
        <v>3476</v>
      </c>
      <c r="BK164" s="57" t="s">
        <v>3476</v>
      </c>
      <c r="BL164" s="57">
        <v>3591665</v>
      </c>
      <c r="BM164" s="57" t="s">
        <v>4123</v>
      </c>
      <c r="BN164" s="57">
        <v>2530</v>
      </c>
      <c r="BO164" s="57" t="s">
        <v>3476</v>
      </c>
      <c r="BP164" s="57" t="s">
        <v>3476</v>
      </c>
      <c r="BQ164" s="57" t="s">
        <v>3476</v>
      </c>
      <c r="BR164" s="57" t="s">
        <v>4124</v>
      </c>
      <c r="BS164" s="57" t="s">
        <v>1292</v>
      </c>
      <c r="BT164" s="57" t="s">
        <v>3476</v>
      </c>
      <c r="BU164" s="57" t="s">
        <v>3476</v>
      </c>
      <c r="BV164" s="57" t="s">
        <v>3753</v>
      </c>
      <c r="BW164" s="57" t="s">
        <v>3476</v>
      </c>
      <c r="BX164" s="57">
        <v>2530</v>
      </c>
      <c r="BY164" s="57" t="s">
        <v>3476</v>
      </c>
      <c r="BZ164" s="57" t="s">
        <v>3476</v>
      </c>
      <c r="CA164" s="57" t="s">
        <v>3476</v>
      </c>
      <c r="CB164" s="57" t="s">
        <v>3476</v>
      </c>
      <c r="CC164" s="57" t="s">
        <v>3476</v>
      </c>
      <c r="CD164" s="57" t="s">
        <v>3476</v>
      </c>
    </row>
    <row r="165" spans="1:82">
      <c r="A165" s="57">
        <v>16809</v>
      </c>
      <c r="B165" s="57" t="s">
        <v>3476</v>
      </c>
      <c r="C165" s="57" t="s">
        <v>4118</v>
      </c>
      <c r="D165" s="57" t="s">
        <v>3476</v>
      </c>
      <c r="E165" s="57" t="s">
        <v>3730</v>
      </c>
      <c r="F165" s="57" t="s">
        <v>4119</v>
      </c>
      <c r="G165" s="57" t="s">
        <v>721</v>
      </c>
      <c r="H165" s="57" t="s">
        <v>2874</v>
      </c>
      <c r="I165" s="57">
        <v>47837.64</v>
      </c>
      <c r="J165" s="57" t="s">
        <v>3476</v>
      </c>
      <c r="K165" s="57" t="s">
        <v>3476</v>
      </c>
      <c r="L165" s="57" t="s">
        <v>3730</v>
      </c>
      <c r="M165" s="57" t="s">
        <v>4120</v>
      </c>
      <c r="N165" s="57" t="s">
        <v>4120</v>
      </c>
      <c r="O165" s="57" t="s">
        <v>3476</v>
      </c>
      <c r="P165" s="57" t="s">
        <v>3476</v>
      </c>
      <c r="Q165" s="57" t="s">
        <v>2874</v>
      </c>
      <c r="R165" s="57" t="s">
        <v>3781</v>
      </c>
      <c r="S165" s="57" t="s">
        <v>3782</v>
      </c>
      <c r="T165" s="57" t="s">
        <v>3736</v>
      </c>
      <c r="U165" s="57" t="s">
        <v>3476</v>
      </c>
      <c r="V165" s="57" t="s">
        <v>3469</v>
      </c>
      <c r="W165" s="57" t="s">
        <v>3476</v>
      </c>
      <c r="X165" s="57" t="s">
        <v>4121</v>
      </c>
      <c r="Y165" s="57" t="s">
        <v>3738</v>
      </c>
      <c r="Z165" s="57" t="s">
        <v>4122</v>
      </c>
      <c r="AA165" s="57" t="s">
        <v>3476</v>
      </c>
      <c r="AB165" s="57" t="s">
        <v>3476</v>
      </c>
      <c r="AC165" s="57" t="s">
        <v>3476</v>
      </c>
      <c r="AD165" s="57" t="s">
        <v>3476</v>
      </c>
      <c r="AE165" s="57" t="s">
        <v>3476</v>
      </c>
      <c r="AF165" s="57" t="s">
        <v>3476</v>
      </c>
      <c r="AG165" s="57" t="s">
        <v>3476</v>
      </c>
      <c r="AH165" s="57" t="s">
        <v>3476</v>
      </c>
      <c r="AI165" s="57" t="s">
        <v>3476</v>
      </c>
      <c r="AJ165" s="57" t="s">
        <v>3476</v>
      </c>
      <c r="AK165" s="57" t="s">
        <v>3476</v>
      </c>
      <c r="AL165" s="57" t="s">
        <v>3476</v>
      </c>
      <c r="AM165" s="57" t="s">
        <v>3476</v>
      </c>
      <c r="AN165" s="57" t="s">
        <v>3476</v>
      </c>
      <c r="AO165" s="57" t="s">
        <v>3476</v>
      </c>
      <c r="AP165" s="58">
        <v>45853.0316087963</v>
      </c>
      <c r="AQ165" s="57" t="s">
        <v>3476</v>
      </c>
      <c r="AR165" s="57" t="s">
        <v>3476</v>
      </c>
      <c r="AS165" s="57" t="s">
        <v>3502</v>
      </c>
      <c r="AT165" s="57" t="s">
        <v>3745</v>
      </c>
      <c r="AU165" s="57" t="s">
        <v>3476</v>
      </c>
      <c r="AV165" s="57" t="s">
        <v>3476</v>
      </c>
      <c r="AW165" s="58">
        <v>45852.9884953704</v>
      </c>
      <c r="AX165" s="57" t="s">
        <v>3476</v>
      </c>
      <c r="AY165" s="57" t="s">
        <v>3747</v>
      </c>
      <c r="AZ165" s="57" t="s">
        <v>3476</v>
      </c>
      <c r="BA165" s="57" t="s">
        <v>3476</v>
      </c>
      <c r="BB165" s="57" t="s">
        <v>3476</v>
      </c>
      <c r="BC165" s="57" t="s">
        <v>3791</v>
      </c>
      <c r="BD165" s="57" t="s">
        <v>3659</v>
      </c>
      <c r="BE165" s="57" t="s">
        <v>3787</v>
      </c>
      <c r="BF165" s="57" t="s">
        <v>3749</v>
      </c>
      <c r="BG165" s="57" t="s">
        <v>3476</v>
      </c>
      <c r="BH165" s="57" t="s">
        <v>3476</v>
      </c>
      <c r="BI165" s="57" t="s">
        <v>2809</v>
      </c>
      <c r="BJ165" s="57" t="s">
        <v>3476</v>
      </c>
      <c r="BK165" s="57" t="s">
        <v>3476</v>
      </c>
      <c r="BL165" s="57">
        <v>3591664</v>
      </c>
      <c r="BM165" s="57" t="s">
        <v>4123</v>
      </c>
      <c r="BN165" s="57">
        <v>3780</v>
      </c>
      <c r="BO165" s="57" t="s">
        <v>3476</v>
      </c>
      <c r="BP165" s="57" t="s">
        <v>3476</v>
      </c>
      <c r="BQ165" s="57" t="s">
        <v>3476</v>
      </c>
      <c r="BR165" s="57" t="s">
        <v>4124</v>
      </c>
      <c r="BS165" s="57" t="s">
        <v>1292</v>
      </c>
      <c r="BT165" s="57" t="s">
        <v>3476</v>
      </c>
      <c r="BU165" s="57" t="s">
        <v>3476</v>
      </c>
      <c r="BV165" s="57" t="s">
        <v>3753</v>
      </c>
      <c r="BW165" s="57" t="s">
        <v>3476</v>
      </c>
      <c r="BX165" s="57">
        <v>3780</v>
      </c>
      <c r="BY165" s="57" t="s">
        <v>3476</v>
      </c>
      <c r="BZ165" s="57" t="s">
        <v>3476</v>
      </c>
      <c r="CA165" s="57" t="s">
        <v>3476</v>
      </c>
      <c r="CB165" s="57" t="s">
        <v>3476</v>
      </c>
      <c r="CC165" s="57" t="s">
        <v>3476</v>
      </c>
      <c r="CD165" s="57" t="s">
        <v>3476</v>
      </c>
    </row>
    <row r="166" spans="1:82">
      <c r="A166" s="57">
        <v>16810</v>
      </c>
      <c r="B166" s="57" t="s">
        <v>3476</v>
      </c>
      <c r="C166" s="57" t="s">
        <v>4118</v>
      </c>
      <c r="D166" s="57" t="s">
        <v>3476</v>
      </c>
      <c r="E166" s="57" t="s">
        <v>3730</v>
      </c>
      <c r="F166" s="57" t="s">
        <v>4119</v>
      </c>
      <c r="G166" s="57" t="s">
        <v>721</v>
      </c>
      <c r="H166" s="57" t="s">
        <v>2874</v>
      </c>
      <c r="I166" s="57">
        <v>47837.64</v>
      </c>
      <c r="J166" s="57" t="s">
        <v>3476</v>
      </c>
      <c r="K166" s="57" t="s">
        <v>3476</v>
      </c>
      <c r="L166" s="57" t="s">
        <v>3730</v>
      </c>
      <c r="M166" s="57" t="s">
        <v>4120</v>
      </c>
      <c r="N166" s="57" t="s">
        <v>4120</v>
      </c>
      <c r="O166" s="57" t="s">
        <v>3476</v>
      </c>
      <c r="P166" s="57" t="s">
        <v>3476</v>
      </c>
      <c r="Q166" s="57" t="s">
        <v>2874</v>
      </c>
      <c r="R166" s="57" t="s">
        <v>3781</v>
      </c>
      <c r="S166" s="57" t="s">
        <v>3782</v>
      </c>
      <c r="T166" s="57" t="s">
        <v>3736</v>
      </c>
      <c r="U166" s="57" t="s">
        <v>3476</v>
      </c>
      <c r="V166" s="57" t="s">
        <v>3469</v>
      </c>
      <c r="W166" s="57" t="s">
        <v>3476</v>
      </c>
      <c r="X166" s="57" t="s">
        <v>4121</v>
      </c>
      <c r="Y166" s="57" t="s">
        <v>3738</v>
      </c>
      <c r="Z166" s="57" t="s">
        <v>4122</v>
      </c>
      <c r="AA166" s="57" t="s">
        <v>3476</v>
      </c>
      <c r="AB166" s="57" t="s">
        <v>3476</v>
      </c>
      <c r="AC166" s="57" t="s">
        <v>3476</v>
      </c>
      <c r="AD166" s="57" t="s">
        <v>3476</v>
      </c>
      <c r="AE166" s="57" t="s">
        <v>3476</v>
      </c>
      <c r="AF166" s="57" t="s">
        <v>3476</v>
      </c>
      <c r="AG166" s="57" t="s">
        <v>3476</v>
      </c>
      <c r="AH166" s="57" t="s">
        <v>3476</v>
      </c>
      <c r="AI166" s="57" t="s">
        <v>3476</v>
      </c>
      <c r="AJ166" s="57" t="s">
        <v>3476</v>
      </c>
      <c r="AK166" s="57" t="s">
        <v>3476</v>
      </c>
      <c r="AL166" s="57" t="s">
        <v>3476</v>
      </c>
      <c r="AM166" s="57" t="s">
        <v>3476</v>
      </c>
      <c r="AN166" s="57" t="s">
        <v>3476</v>
      </c>
      <c r="AO166" s="57" t="s">
        <v>3476</v>
      </c>
      <c r="AP166" s="58">
        <v>45853.0316087963</v>
      </c>
      <c r="AQ166" s="57" t="s">
        <v>3476</v>
      </c>
      <c r="AR166" s="57" t="s">
        <v>3476</v>
      </c>
      <c r="AS166" s="57" t="s">
        <v>3502</v>
      </c>
      <c r="AT166" s="57" t="s">
        <v>3745</v>
      </c>
      <c r="AU166" s="57" t="s">
        <v>3476</v>
      </c>
      <c r="AV166" s="57" t="s">
        <v>3476</v>
      </c>
      <c r="AW166" s="58">
        <v>45852.9884953704</v>
      </c>
      <c r="AX166" s="57" t="s">
        <v>3476</v>
      </c>
      <c r="AY166" s="57" t="s">
        <v>3747</v>
      </c>
      <c r="AZ166" s="57" t="s">
        <v>3476</v>
      </c>
      <c r="BA166" s="57" t="s">
        <v>3476</v>
      </c>
      <c r="BB166" s="57" t="s">
        <v>3476</v>
      </c>
      <c r="BC166" s="57" t="s">
        <v>1787</v>
      </c>
      <c r="BD166" s="57" t="s">
        <v>3659</v>
      </c>
      <c r="BE166" s="57" t="s">
        <v>3787</v>
      </c>
      <c r="BF166" s="57" t="s">
        <v>3749</v>
      </c>
      <c r="BG166" s="57" t="s">
        <v>3476</v>
      </c>
      <c r="BH166" s="57" t="s">
        <v>3476</v>
      </c>
      <c r="BI166" s="57" t="s">
        <v>2809</v>
      </c>
      <c r="BJ166" s="57" t="s">
        <v>3476</v>
      </c>
      <c r="BK166" s="57" t="s">
        <v>3476</v>
      </c>
      <c r="BL166" s="57">
        <v>3591655</v>
      </c>
      <c r="BM166" s="57" t="s">
        <v>4123</v>
      </c>
      <c r="BN166" s="57">
        <v>26</v>
      </c>
      <c r="BO166" s="57" t="s">
        <v>3476</v>
      </c>
      <c r="BP166" s="57" t="s">
        <v>3476</v>
      </c>
      <c r="BQ166" s="57" t="s">
        <v>3476</v>
      </c>
      <c r="BR166" s="57" t="s">
        <v>4124</v>
      </c>
      <c r="BS166" s="57" t="s">
        <v>1292</v>
      </c>
      <c r="BT166" s="57" t="s">
        <v>3476</v>
      </c>
      <c r="BU166" s="57" t="s">
        <v>3476</v>
      </c>
      <c r="BV166" s="57" t="s">
        <v>3753</v>
      </c>
      <c r="BW166" s="57" t="s">
        <v>3476</v>
      </c>
      <c r="BX166" s="57">
        <v>26</v>
      </c>
      <c r="BY166" s="57" t="s">
        <v>3476</v>
      </c>
      <c r="BZ166" s="57" t="s">
        <v>3476</v>
      </c>
      <c r="CA166" s="57" t="s">
        <v>3476</v>
      </c>
      <c r="CB166" s="57" t="s">
        <v>3476</v>
      </c>
      <c r="CC166" s="57" t="s">
        <v>3476</v>
      </c>
      <c r="CD166" s="57" t="s">
        <v>3476</v>
      </c>
    </row>
    <row r="167" spans="1:82">
      <c r="A167" s="57">
        <v>16811</v>
      </c>
      <c r="B167" s="57" t="s">
        <v>3476</v>
      </c>
      <c r="C167" s="57" t="s">
        <v>4118</v>
      </c>
      <c r="D167" s="57" t="s">
        <v>3476</v>
      </c>
      <c r="E167" s="57" t="s">
        <v>3730</v>
      </c>
      <c r="F167" s="57" t="s">
        <v>4119</v>
      </c>
      <c r="G167" s="57" t="s">
        <v>721</v>
      </c>
      <c r="H167" s="57" t="s">
        <v>2874</v>
      </c>
      <c r="I167" s="57">
        <v>47837.64</v>
      </c>
      <c r="J167" s="57" t="s">
        <v>3476</v>
      </c>
      <c r="K167" s="57" t="s">
        <v>3476</v>
      </c>
      <c r="L167" s="57" t="s">
        <v>3730</v>
      </c>
      <c r="M167" s="57" t="s">
        <v>4120</v>
      </c>
      <c r="N167" s="57" t="s">
        <v>4120</v>
      </c>
      <c r="O167" s="57" t="s">
        <v>3476</v>
      </c>
      <c r="P167" s="57" t="s">
        <v>3476</v>
      </c>
      <c r="Q167" s="57" t="s">
        <v>2874</v>
      </c>
      <c r="R167" s="57" t="s">
        <v>3781</v>
      </c>
      <c r="S167" s="57" t="s">
        <v>3782</v>
      </c>
      <c r="T167" s="57" t="s">
        <v>3736</v>
      </c>
      <c r="U167" s="57" t="s">
        <v>3476</v>
      </c>
      <c r="V167" s="57" t="s">
        <v>3469</v>
      </c>
      <c r="W167" s="57" t="s">
        <v>3476</v>
      </c>
      <c r="X167" s="57" t="s">
        <v>4121</v>
      </c>
      <c r="Y167" s="57" t="s">
        <v>3738</v>
      </c>
      <c r="Z167" s="57" t="s">
        <v>4122</v>
      </c>
      <c r="AA167" s="57" t="s">
        <v>3476</v>
      </c>
      <c r="AB167" s="57" t="s">
        <v>3476</v>
      </c>
      <c r="AC167" s="57" t="s">
        <v>3476</v>
      </c>
      <c r="AD167" s="57" t="s">
        <v>3476</v>
      </c>
      <c r="AE167" s="57" t="s">
        <v>3476</v>
      </c>
      <c r="AF167" s="57" t="s">
        <v>3476</v>
      </c>
      <c r="AG167" s="57" t="s">
        <v>3476</v>
      </c>
      <c r="AH167" s="57" t="s">
        <v>3476</v>
      </c>
      <c r="AI167" s="57" t="s">
        <v>3476</v>
      </c>
      <c r="AJ167" s="57" t="s">
        <v>3476</v>
      </c>
      <c r="AK167" s="57" t="s">
        <v>3476</v>
      </c>
      <c r="AL167" s="57" t="s">
        <v>3476</v>
      </c>
      <c r="AM167" s="57" t="s">
        <v>3476</v>
      </c>
      <c r="AN167" s="57" t="s">
        <v>3476</v>
      </c>
      <c r="AO167" s="57" t="s">
        <v>3476</v>
      </c>
      <c r="AP167" s="58">
        <v>45853.0316087963</v>
      </c>
      <c r="AQ167" s="57" t="s">
        <v>3476</v>
      </c>
      <c r="AR167" s="57" t="s">
        <v>3476</v>
      </c>
      <c r="AS167" s="57" t="s">
        <v>3502</v>
      </c>
      <c r="AT167" s="57" t="s">
        <v>3745</v>
      </c>
      <c r="AU167" s="57" t="s">
        <v>3476</v>
      </c>
      <c r="AV167" s="57" t="s">
        <v>3476</v>
      </c>
      <c r="AW167" s="58">
        <v>45852.9884953704</v>
      </c>
      <c r="AX167" s="57" t="s">
        <v>3476</v>
      </c>
      <c r="AY167" s="57" t="s">
        <v>3747</v>
      </c>
      <c r="AZ167" s="57" t="s">
        <v>3476</v>
      </c>
      <c r="BA167" s="57" t="s">
        <v>3476</v>
      </c>
      <c r="BB167" s="57" t="s">
        <v>3476</v>
      </c>
      <c r="BC167" s="57" t="s">
        <v>1787</v>
      </c>
      <c r="BD167" s="57" t="s">
        <v>3659</v>
      </c>
      <c r="BE167" s="57" t="s">
        <v>3787</v>
      </c>
      <c r="BF167" s="57" t="s">
        <v>3749</v>
      </c>
      <c r="BG167" s="57" t="s">
        <v>3476</v>
      </c>
      <c r="BH167" s="57" t="s">
        <v>3476</v>
      </c>
      <c r="BI167" s="57" t="s">
        <v>2809</v>
      </c>
      <c r="BJ167" s="57" t="s">
        <v>3476</v>
      </c>
      <c r="BK167" s="57" t="s">
        <v>3476</v>
      </c>
      <c r="BL167" s="57">
        <v>3591654</v>
      </c>
      <c r="BM167" s="57" t="s">
        <v>4123</v>
      </c>
      <c r="BN167" s="57">
        <v>30</v>
      </c>
      <c r="BO167" s="57" t="s">
        <v>3476</v>
      </c>
      <c r="BP167" s="57" t="s">
        <v>3476</v>
      </c>
      <c r="BQ167" s="57" t="s">
        <v>3476</v>
      </c>
      <c r="BR167" s="57" t="s">
        <v>4124</v>
      </c>
      <c r="BS167" s="57" t="s">
        <v>1292</v>
      </c>
      <c r="BT167" s="57" t="s">
        <v>3476</v>
      </c>
      <c r="BU167" s="57" t="s">
        <v>3476</v>
      </c>
      <c r="BV167" s="57" t="s">
        <v>3753</v>
      </c>
      <c r="BW167" s="57" t="s">
        <v>3476</v>
      </c>
      <c r="BX167" s="57">
        <v>30</v>
      </c>
      <c r="BY167" s="57" t="s">
        <v>3476</v>
      </c>
      <c r="BZ167" s="57" t="s">
        <v>3476</v>
      </c>
      <c r="CA167" s="57" t="s">
        <v>3476</v>
      </c>
      <c r="CB167" s="57" t="s">
        <v>3476</v>
      </c>
      <c r="CC167" s="57" t="s">
        <v>3476</v>
      </c>
      <c r="CD167" s="57" t="s">
        <v>3476</v>
      </c>
    </row>
    <row r="168" spans="1:82">
      <c r="A168" s="57">
        <v>16812</v>
      </c>
      <c r="B168" s="57" t="s">
        <v>3476</v>
      </c>
      <c r="C168" s="57" t="s">
        <v>4118</v>
      </c>
      <c r="D168" s="57" t="s">
        <v>3476</v>
      </c>
      <c r="E168" s="57" t="s">
        <v>3730</v>
      </c>
      <c r="F168" s="57" t="s">
        <v>4119</v>
      </c>
      <c r="G168" s="57" t="s">
        <v>721</v>
      </c>
      <c r="H168" s="57" t="s">
        <v>2874</v>
      </c>
      <c r="I168" s="57">
        <v>47837.64</v>
      </c>
      <c r="J168" s="57" t="s">
        <v>3476</v>
      </c>
      <c r="K168" s="57" t="s">
        <v>3476</v>
      </c>
      <c r="L168" s="57" t="s">
        <v>3730</v>
      </c>
      <c r="M168" s="57" t="s">
        <v>4120</v>
      </c>
      <c r="N168" s="57" t="s">
        <v>4120</v>
      </c>
      <c r="O168" s="57" t="s">
        <v>3476</v>
      </c>
      <c r="P168" s="57" t="s">
        <v>3476</v>
      </c>
      <c r="Q168" s="57" t="s">
        <v>2874</v>
      </c>
      <c r="R168" s="57" t="s">
        <v>3781</v>
      </c>
      <c r="S168" s="57" t="s">
        <v>3782</v>
      </c>
      <c r="T168" s="57" t="s">
        <v>3736</v>
      </c>
      <c r="U168" s="57" t="s">
        <v>3476</v>
      </c>
      <c r="V168" s="57" t="s">
        <v>3469</v>
      </c>
      <c r="W168" s="57" t="s">
        <v>3476</v>
      </c>
      <c r="X168" s="57" t="s">
        <v>4121</v>
      </c>
      <c r="Y168" s="57" t="s">
        <v>3738</v>
      </c>
      <c r="Z168" s="57" t="s">
        <v>4122</v>
      </c>
      <c r="AA168" s="57" t="s">
        <v>3476</v>
      </c>
      <c r="AB168" s="57" t="s">
        <v>3476</v>
      </c>
      <c r="AC168" s="57" t="s">
        <v>3476</v>
      </c>
      <c r="AD168" s="57" t="s">
        <v>3476</v>
      </c>
      <c r="AE168" s="57" t="s">
        <v>3476</v>
      </c>
      <c r="AF168" s="57" t="s">
        <v>3476</v>
      </c>
      <c r="AG168" s="57" t="s">
        <v>3476</v>
      </c>
      <c r="AH168" s="57" t="s">
        <v>3476</v>
      </c>
      <c r="AI168" s="57" t="s">
        <v>3476</v>
      </c>
      <c r="AJ168" s="57" t="s">
        <v>3476</v>
      </c>
      <c r="AK168" s="57" t="s">
        <v>3476</v>
      </c>
      <c r="AL168" s="57" t="s">
        <v>3476</v>
      </c>
      <c r="AM168" s="57" t="s">
        <v>3476</v>
      </c>
      <c r="AN168" s="57" t="s">
        <v>3476</v>
      </c>
      <c r="AO168" s="57" t="s">
        <v>3476</v>
      </c>
      <c r="AP168" s="58">
        <v>45853.0316087963</v>
      </c>
      <c r="AQ168" s="57" t="s">
        <v>3476</v>
      </c>
      <c r="AR168" s="57" t="s">
        <v>3476</v>
      </c>
      <c r="AS168" s="57" t="s">
        <v>3502</v>
      </c>
      <c r="AT168" s="57" t="s">
        <v>3745</v>
      </c>
      <c r="AU168" s="57" t="s">
        <v>3476</v>
      </c>
      <c r="AV168" s="57" t="s">
        <v>3476</v>
      </c>
      <c r="AW168" s="58">
        <v>45852.9884953704</v>
      </c>
      <c r="AX168" s="57" t="s">
        <v>3476</v>
      </c>
      <c r="AY168" s="57" t="s">
        <v>3747</v>
      </c>
      <c r="AZ168" s="57" t="s">
        <v>3476</v>
      </c>
      <c r="BA168" s="57" t="s">
        <v>3476</v>
      </c>
      <c r="BB168" s="57" t="s">
        <v>3476</v>
      </c>
      <c r="BC168" s="57" t="s">
        <v>1787</v>
      </c>
      <c r="BD168" s="57" t="s">
        <v>3659</v>
      </c>
      <c r="BE168" s="57" t="s">
        <v>3787</v>
      </c>
      <c r="BF168" s="57" t="s">
        <v>3749</v>
      </c>
      <c r="BG168" s="57" t="s">
        <v>3476</v>
      </c>
      <c r="BH168" s="57" t="s">
        <v>3476</v>
      </c>
      <c r="BI168" s="57" t="s">
        <v>2809</v>
      </c>
      <c r="BJ168" s="57" t="s">
        <v>3476</v>
      </c>
      <c r="BK168" s="57" t="s">
        <v>3476</v>
      </c>
      <c r="BL168" s="57">
        <v>3591653</v>
      </c>
      <c r="BM168" s="57" t="s">
        <v>4123</v>
      </c>
      <c r="BN168" s="57">
        <v>25.8</v>
      </c>
      <c r="BO168" s="57" t="s">
        <v>3476</v>
      </c>
      <c r="BP168" s="57" t="s">
        <v>3476</v>
      </c>
      <c r="BQ168" s="57" t="s">
        <v>3476</v>
      </c>
      <c r="BR168" s="57" t="s">
        <v>4124</v>
      </c>
      <c r="BS168" s="57" t="s">
        <v>1292</v>
      </c>
      <c r="BT168" s="57" t="s">
        <v>3476</v>
      </c>
      <c r="BU168" s="57" t="s">
        <v>3476</v>
      </c>
      <c r="BV168" s="57" t="s">
        <v>3753</v>
      </c>
      <c r="BW168" s="57" t="s">
        <v>3476</v>
      </c>
      <c r="BX168" s="57">
        <v>25.8</v>
      </c>
      <c r="BY168" s="57" t="s">
        <v>3476</v>
      </c>
      <c r="BZ168" s="57" t="s">
        <v>3476</v>
      </c>
      <c r="CA168" s="57" t="s">
        <v>3476</v>
      </c>
      <c r="CB168" s="57" t="s">
        <v>3476</v>
      </c>
      <c r="CC168" s="57" t="s">
        <v>3476</v>
      </c>
      <c r="CD168" s="57" t="s">
        <v>3476</v>
      </c>
    </row>
    <row r="169" spans="1:82">
      <c r="A169" s="57">
        <v>16813</v>
      </c>
      <c r="B169" s="57" t="s">
        <v>3476</v>
      </c>
      <c r="C169" s="57" t="s">
        <v>4118</v>
      </c>
      <c r="D169" s="57" t="s">
        <v>3476</v>
      </c>
      <c r="E169" s="57" t="s">
        <v>3730</v>
      </c>
      <c r="F169" s="57" t="s">
        <v>4119</v>
      </c>
      <c r="G169" s="57" t="s">
        <v>721</v>
      </c>
      <c r="H169" s="57" t="s">
        <v>2874</v>
      </c>
      <c r="I169" s="57">
        <v>47837.64</v>
      </c>
      <c r="J169" s="57" t="s">
        <v>3476</v>
      </c>
      <c r="K169" s="57" t="s">
        <v>3476</v>
      </c>
      <c r="L169" s="57" t="s">
        <v>3730</v>
      </c>
      <c r="M169" s="57" t="s">
        <v>4120</v>
      </c>
      <c r="N169" s="57" t="s">
        <v>4120</v>
      </c>
      <c r="O169" s="57" t="s">
        <v>3476</v>
      </c>
      <c r="P169" s="57" t="s">
        <v>3476</v>
      </c>
      <c r="Q169" s="57" t="s">
        <v>2874</v>
      </c>
      <c r="R169" s="57" t="s">
        <v>3781</v>
      </c>
      <c r="S169" s="57" t="s">
        <v>3782</v>
      </c>
      <c r="T169" s="57" t="s">
        <v>3736</v>
      </c>
      <c r="U169" s="57" t="s">
        <v>3476</v>
      </c>
      <c r="V169" s="57" t="s">
        <v>3469</v>
      </c>
      <c r="W169" s="57" t="s">
        <v>3476</v>
      </c>
      <c r="X169" s="57" t="s">
        <v>4121</v>
      </c>
      <c r="Y169" s="57" t="s">
        <v>3738</v>
      </c>
      <c r="Z169" s="57" t="s">
        <v>4122</v>
      </c>
      <c r="AA169" s="57" t="s">
        <v>3476</v>
      </c>
      <c r="AB169" s="57" t="s">
        <v>3476</v>
      </c>
      <c r="AC169" s="57" t="s">
        <v>3476</v>
      </c>
      <c r="AD169" s="57" t="s">
        <v>3476</v>
      </c>
      <c r="AE169" s="57" t="s">
        <v>3476</v>
      </c>
      <c r="AF169" s="57" t="s">
        <v>3476</v>
      </c>
      <c r="AG169" s="57" t="s">
        <v>3476</v>
      </c>
      <c r="AH169" s="57" t="s">
        <v>3476</v>
      </c>
      <c r="AI169" s="57" t="s">
        <v>3476</v>
      </c>
      <c r="AJ169" s="57" t="s">
        <v>3476</v>
      </c>
      <c r="AK169" s="57" t="s">
        <v>3476</v>
      </c>
      <c r="AL169" s="57" t="s">
        <v>3476</v>
      </c>
      <c r="AM169" s="57" t="s">
        <v>3476</v>
      </c>
      <c r="AN169" s="57" t="s">
        <v>3476</v>
      </c>
      <c r="AO169" s="57" t="s">
        <v>3476</v>
      </c>
      <c r="AP169" s="58">
        <v>45853.0316087963</v>
      </c>
      <c r="AQ169" s="57" t="s">
        <v>3476</v>
      </c>
      <c r="AR169" s="57" t="s">
        <v>3476</v>
      </c>
      <c r="AS169" s="57" t="s">
        <v>3502</v>
      </c>
      <c r="AT169" s="57" t="s">
        <v>3745</v>
      </c>
      <c r="AU169" s="57" t="s">
        <v>3476</v>
      </c>
      <c r="AV169" s="57" t="s">
        <v>3476</v>
      </c>
      <c r="AW169" s="58">
        <v>45852.9884953704</v>
      </c>
      <c r="AX169" s="57" t="s">
        <v>3476</v>
      </c>
      <c r="AY169" s="57" t="s">
        <v>3747</v>
      </c>
      <c r="AZ169" s="57" t="s">
        <v>3476</v>
      </c>
      <c r="BA169" s="57" t="s">
        <v>3476</v>
      </c>
      <c r="BB169" s="57" t="s">
        <v>3476</v>
      </c>
      <c r="BC169" s="57" t="s">
        <v>1787</v>
      </c>
      <c r="BD169" s="57" t="s">
        <v>3659</v>
      </c>
      <c r="BE169" s="57" t="s">
        <v>3787</v>
      </c>
      <c r="BF169" s="57" t="s">
        <v>3749</v>
      </c>
      <c r="BG169" s="57" t="s">
        <v>3476</v>
      </c>
      <c r="BH169" s="57" t="s">
        <v>3476</v>
      </c>
      <c r="BI169" s="57" t="s">
        <v>2809</v>
      </c>
      <c r="BJ169" s="57" t="s">
        <v>3476</v>
      </c>
      <c r="BK169" s="57" t="s">
        <v>3476</v>
      </c>
      <c r="BL169" s="57">
        <v>3591652</v>
      </c>
      <c r="BM169" s="57" t="s">
        <v>4123</v>
      </c>
      <c r="BN169" s="57">
        <v>88</v>
      </c>
      <c r="BO169" s="57" t="s">
        <v>3476</v>
      </c>
      <c r="BP169" s="57" t="s">
        <v>3476</v>
      </c>
      <c r="BQ169" s="57" t="s">
        <v>3476</v>
      </c>
      <c r="BR169" s="57" t="s">
        <v>4124</v>
      </c>
      <c r="BS169" s="57" t="s">
        <v>1292</v>
      </c>
      <c r="BT169" s="57" t="s">
        <v>3476</v>
      </c>
      <c r="BU169" s="57" t="s">
        <v>3476</v>
      </c>
      <c r="BV169" s="57" t="s">
        <v>3753</v>
      </c>
      <c r="BW169" s="57" t="s">
        <v>3476</v>
      </c>
      <c r="BX169" s="57">
        <v>88</v>
      </c>
      <c r="BY169" s="57" t="s">
        <v>3476</v>
      </c>
      <c r="BZ169" s="57" t="s">
        <v>3476</v>
      </c>
      <c r="CA169" s="57" t="s">
        <v>3476</v>
      </c>
      <c r="CB169" s="57" t="s">
        <v>3476</v>
      </c>
      <c r="CC169" s="57" t="s">
        <v>3476</v>
      </c>
      <c r="CD169" s="57" t="s">
        <v>3476</v>
      </c>
    </row>
    <row r="170" spans="1:82">
      <c r="A170" s="57">
        <v>16814</v>
      </c>
      <c r="B170" s="57" t="s">
        <v>3476</v>
      </c>
      <c r="C170" s="57" t="s">
        <v>4118</v>
      </c>
      <c r="D170" s="57" t="s">
        <v>3476</v>
      </c>
      <c r="E170" s="57" t="s">
        <v>3730</v>
      </c>
      <c r="F170" s="57" t="s">
        <v>4119</v>
      </c>
      <c r="G170" s="57" t="s">
        <v>721</v>
      </c>
      <c r="H170" s="57" t="s">
        <v>2874</v>
      </c>
      <c r="I170" s="57">
        <v>47837.64</v>
      </c>
      <c r="J170" s="57" t="s">
        <v>3476</v>
      </c>
      <c r="K170" s="57" t="s">
        <v>3476</v>
      </c>
      <c r="L170" s="57" t="s">
        <v>3730</v>
      </c>
      <c r="M170" s="57" t="s">
        <v>4120</v>
      </c>
      <c r="N170" s="57" t="s">
        <v>4120</v>
      </c>
      <c r="O170" s="57" t="s">
        <v>3476</v>
      </c>
      <c r="P170" s="57" t="s">
        <v>3476</v>
      </c>
      <c r="Q170" s="57" t="s">
        <v>2874</v>
      </c>
      <c r="R170" s="57" t="s">
        <v>3781</v>
      </c>
      <c r="S170" s="57" t="s">
        <v>3782</v>
      </c>
      <c r="T170" s="57" t="s">
        <v>3736</v>
      </c>
      <c r="U170" s="57" t="s">
        <v>3476</v>
      </c>
      <c r="V170" s="57" t="s">
        <v>3469</v>
      </c>
      <c r="W170" s="57" t="s">
        <v>3476</v>
      </c>
      <c r="X170" s="57" t="s">
        <v>4121</v>
      </c>
      <c r="Y170" s="57" t="s">
        <v>3738</v>
      </c>
      <c r="Z170" s="57" t="s">
        <v>4122</v>
      </c>
      <c r="AA170" s="57" t="s">
        <v>3476</v>
      </c>
      <c r="AB170" s="57" t="s">
        <v>3476</v>
      </c>
      <c r="AC170" s="57" t="s">
        <v>3476</v>
      </c>
      <c r="AD170" s="57" t="s">
        <v>3476</v>
      </c>
      <c r="AE170" s="57" t="s">
        <v>3476</v>
      </c>
      <c r="AF170" s="57" t="s">
        <v>3476</v>
      </c>
      <c r="AG170" s="57" t="s">
        <v>3476</v>
      </c>
      <c r="AH170" s="57" t="s">
        <v>3476</v>
      </c>
      <c r="AI170" s="57" t="s">
        <v>3476</v>
      </c>
      <c r="AJ170" s="57" t="s">
        <v>3476</v>
      </c>
      <c r="AK170" s="57" t="s">
        <v>3476</v>
      </c>
      <c r="AL170" s="57" t="s">
        <v>3476</v>
      </c>
      <c r="AM170" s="57" t="s">
        <v>3476</v>
      </c>
      <c r="AN170" s="57" t="s">
        <v>3476</v>
      </c>
      <c r="AO170" s="57" t="s">
        <v>3476</v>
      </c>
      <c r="AP170" s="58">
        <v>45853.0316087963</v>
      </c>
      <c r="AQ170" s="57" t="s">
        <v>3476</v>
      </c>
      <c r="AR170" s="57" t="s">
        <v>3476</v>
      </c>
      <c r="AS170" s="57" t="s">
        <v>3502</v>
      </c>
      <c r="AT170" s="57" t="s">
        <v>3745</v>
      </c>
      <c r="AU170" s="57" t="s">
        <v>3476</v>
      </c>
      <c r="AV170" s="57" t="s">
        <v>3476</v>
      </c>
      <c r="AW170" s="58">
        <v>45852.9884953704</v>
      </c>
      <c r="AX170" s="57" t="s">
        <v>3476</v>
      </c>
      <c r="AY170" s="57" t="s">
        <v>3747</v>
      </c>
      <c r="AZ170" s="57" t="s">
        <v>3476</v>
      </c>
      <c r="BA170" s="57" t="s">
        <v>3476</v>
      </c>
      <c r="BB170" s="57" t="s">
        <v>3476</v>
      </c>
      <c r="BC170" s="57" t="s">
        <v>1787</v>
      </c>
      <c r="BD170" s="57" t="s">
        <v>3659</v>
      </c>
      <c r="BE170" s="57" t="s">
        <v>3787</v>
      </c>
      <c r="BF170" s="57" t="s">
        <v>3749</v>
      </c>
      <c r="BG170" s="57" t="s">
        <v>3476</v>
      </c>
      <c r="BH170" s="57" t="s">
        <v>3476</v>
      </c>
      <c r="BI170" s="57" t="s">
        <v>2809</v>
      </c>
      <c r="BJ170" s="57" t="s">
        <v>3476</v>
      </c>
      <c r="BK170" s="57" t="s">
        <v>3476</v>
      </c>
      <c r="BL170" s="57">
        <v>3591659</v>
      </c>
      <c r="BM170" s="57" t="s">
        <v>4123</v>
      </c>
      <c r="BN170" s="57">
        <v>42</v>
      </c>
      <c r="BO170" s="57" t="s">
        <v>3476</v>
      </c>
      <c r="BP170" s="57" t="s">
        <v>3476</v>
      </c>
      <c r="BQ170" s="57" t="s">
        <v>3476</v>
      </c>
      <c r="BR170" s="57" t="s">
        <v>4124</v>
      </c>
      <c r="BS170" s="57" t="s">
        <v>1292</v>
      </c>
      <c r="BT170" s="57" t="s">
        <v>3476</v>
      </c>
      <c r="BU170" s="57" t="s">
        <v>3476</v>
      </c>
      <c r="BV170" s="57" t="s">
        <v>3753</v>
      </c>
      <c r="BW170" s="57" t="s">
        <v>3476</v>
      </c>
      <c r="BX170" s="57">
        <v>42</v>
      </c>
      <c r="BY170" s="57" t="s">
        <v>3476</v>
      </c>
      <c r="BZ170" s="57" t="s">
        <v>3476</v>
      </c>
      <c r="CA170" s="57" t="s">
        <v>3476</v>
      </c>
      <c r="CB170" s="57" t="s">
        <v>3476</v>
      </c>
      <c r="CC170" s="57" t="s">
        <v>3476</v>
      </c>
      <c r="CD170" s="57" t="s">
        <v>3476</v>
      </c>
    </row>
    <row r="171" spans="1:82">
      <c r="A171" s="57">
        <v>16815</v>
      </c>
      <c r="B171" s="57" t="s">
        <v>3476</v>
      </c>
      <c r="C171" s="57" t="s">
        <v>4118</v>
      </c>
      <c r="D171" s="57" t="s">
        <v>3476</v>
      </c>
      <c r="E171" s="57" t="s">
        <v>3730</v>
      </c>
      <c r="F171" s="57" t="s">
        <v>4119</v>
      </c>
      <c r="G171" s="57" t="s">
        <v>721</v>
      </c>
      <c r="H171" s="57" t="s">
        <v>2874</v>
      </c>
      <c r="I171" s="57">
        <v>47837.64</v>
      </c>
      <c r="J171" s="57" t="s">
        <v>3476</v>
      </c>
      <c r="K171" s="57" t="s">
        <v>3476</v>
      </c>
      <c r="L171" s="57" t="s">
        <v>3730</v>
      </c>
      <c r="M171" s="57" t="s">
        <v>4120</v>
      </c>
      <c r="N171" s="57" t="s">
        <v>4120</v>
      </c>
      <c r="O171" s="57" t="s">
        <v>3476</v>
      </c>
      <c r="P171" s="57" t="s">
        <v>3476</v>
      </c>
      <c r="Q171" s="57" t="s">
        <v>2874</v>
      </c>
      <c r="R171" s="57" t="s">
        <v>3781</v>
      </c>
      <c r="S171" s="57" t="s">
        <v>3782</v>
      </c>
      <c r="T171" s="57" t="s">
        <v>3736</v>
      </c>
      <c r="U171" s="57" t="s">
        <v>3476</v>
      </c>
      <c r="V171" s="57" t="s">
        <v>3469</v>
      </c>
      <c r="W171" s="57" t="s">
        <v>3476</v>
      </c>
      <c r="X171" s="57" t="s">
        <v>4121</v>
      </c>
      <c r="Y171" s="57" t="s">
        <v>3738</v>
      </c>
      <c r="Z171" s="57" t="s">
        <v>4122</v>
      </c>
      <c r="AA171" s="57" t="s">
        <v>3476</v>
      </c>
      <c r="AB171" s="57" t="s">
        <v>3476</v>
      </c>
      <c r="AC171" s="57" t="s">
        <v>3476</v>
      </c>
      <c r="AD171" s="57" t="s">
        <v>3476</v>
      </c>
      <c r="AE171" s="57" t="s">
        <v>3476</v>
      </c>
      <c r="AF171" s="57" t="s">
        <v>3476</v>
      </c>
      <c r="AG171" s="57" t="s">
        <v>3476</v>
      </c>
      <c r="AH171" s="57" t="s">
        <v>3476</v>
      </c>
      <c r="AI171" s="57" t="s">
        <v>3476</v>
      </c>
      <c r="AJ171" s="57" t="s">
        <v>3476</v>
      </c>
      <c r="AK171" s="57" t="s">
        <v>3476</v>
      </c>
      <c r="AL171" s="57" t="s">
        <v>3476</v>
      </c>
      <c r="AM171" s="57" t="s">
        <v>3476</v>
      </c>
      <c r="AN171" s="57" t="s">
        <v>3476</v>
      </c>
      <c r="AO171" s="57" t="s">
        <v>3476</v>
      </c>
      <c r="AP171" s="58">
        <v>45853.0316087963</v>
      </c>
      <c r="AQ171" s="57" t="s">
        <v>3476</v>
      </c>
      <c r="AR171" s="57" t="s">
        <v>3476</v>
      </c>
      <c r="AS171" s="57" t="s">
        <v>3502</v>
      </c>
      <c r="AT171" s="57" t="s">
        <v>3745</v>
      </c>
      <c r="AU171" s="57" t="s">
        <v>3476</v>
      </c>
      <c r="AV171" s="57" t="s">
        <v>3476</v>
      </c>
      <c r="AW171" s="58">
        <v>45852.9884953704</v>
      </c>
      <c r="AX171" s="57" t="s">
        <v>3476</v>
      </c>
      <c r="AY171" s="57" t="s">
        <v>3747</v>
      </c>
      <c r="AZ171" s="57" t="s">
        <v>3476</v>
      </c>
      <c r="BA171" s="57" t="s">
        <v>3476</v>
      </c>
      <c r="BB171" s="57" t="s">
        <v>3476</v>
      </c>
      <c r="BC171" s="57" t="s">
        <v>1787</v>
      </c>
      <c r="BD171" s="57" t="s">
        <v>3659</v>
      </c>
      <c r="BE171" s="57" t="s">
        <v>3787</v>
      </c>
      <c r="BF171" s="57" t="s">
        <v>3749</v>
      </c>
      <c r="BG171" s="57" t="s">
        <v>3476</v>
      </c>
      <c r="BH171" s="57" t="s">
        <v>3476</v>
      </c>
      <c r="BI171" s="57" t="s">
        <v>2809</v>
      </c>
      <c r="BJ171" s="57" t="s">
        <v>3476</v>
      </c>
      <c r="BK171" s="57" t="s">
        <v>3476</v>
      </c>
      <c r="BL171" s="57">
        <v>3591658</v>
      </c>
      <c r="BM171" s="57" t="s">
        <v>4123</v>
      </c>
      <c r="BN171" s="57">
        <v>36</v>
      </c>
      <c r="BO171" s="57" t="s">
        <v>3476</v>
      </c>
      <c r="BP171" s="57" t="s">
        <v>3476</v>
      </c>
      <c r="BQ171" s="57" t="s">
        <v>3476</v>
      </c>
      <c r="BR171" s="57" t="s">
        <v>4124</v>
      </c>
      <c r="BS171" s="57" t="s">
        <v>1292</v>
      </c>
      <c r="BT171" s="57" t="s">
        <v>3476</v>
      </c>
      <c r="BU171" s="57" t="s">
        <v>3476</v>
      </c>
      <c r="BV171" s="57" t="s">
        <v>3753</v>
      </c>
      <c r="BW171" s="57" t="s">
        <v>3476</v>
      </c>
      <c r="BX171" s="57">
        <v>36</v>
      </c>
      <c r="BY171" s="57" t="s">
        <v>3476</v>
      </c>
      <c r="BZ171" s="57" t="s">
        <v>3476</v>
      </c>
      <c r="CA171" s="57" t="s">
        <v>3476</v>
      </c>
      <c r="CB171" s="57" t="s">
        <v>3476</v>
      </c>
      <c r="CC171" s="57" t="s">
        <v>3476</v>
      </c>
      <c r="CD171" s="57" t="s">
        <v>3476</v>
      </c>
    </row>
    <row r="172" spans="1:82">
      <c r="A172" s="57">
        <v>16816</v>
      </c>
      <c r="B172" s="57" t="s">
        <v>3476</v>
      </c>
      <c r="C172" s="57" t="s">
        <v>4118</v>
      </c>
      <c r="D172" s="57" t="s">
        <v>3476</v>
      </c>
      <c r="E172" s="57" t="s">
        <v>3730</v>
      </c>
      <c r="F172" s="57" t="s">
        <v>4119</v>
      </c>
      <c r="G172" s="57" t="s">
        <v>721</v>
      </c>
      <c r="H172" s="57" t="s">
        <v>2874</v>
      </c>
      <c r="I172" s="57">
        <v>47837.64</v>
      </c>
      <c r="J172" s="57" t="s">
        <v>3476</v>
      </c>
      <c r="K172" s="57" t="s">
        <v>3476</v>
      </c>
      <c r="L172" s="57" t="s">
        <v>3730</v>
      </c>
      <c r="M172" s="57" t="s">
        <v>4120</v>
      </c>
      <c r="N172" s="57" t="s">
        <v>4120</v>
      </c>
      <c r="O172" s="57" t="s">
        <v>3476</v>
      </c>
      <c r="P172" s="57" t="s">
        <v>3476</v>
      </c>
      <c r="Q172" s="57" t="s">
        <v>2874</v>
      </c>
      <c r="R172" s="57" t="s">
        <v>3781</v>
      </c>
      <c r="S172" s="57" t="s">
        <v>3782</v>
      </c>
      <c r="T172" s="57" t="s">
        <v>3736</v>
      </c>
      <c r="U172" s="57" t="s">
        <v>3476</v>
      </c>
      <c r="V172" s="57" t="s">
        <v>3469</v>
      </c>
      <c r="W172" s="57" t="s">
        <v>3476</v>
      </c>
      <c r="X172" s="57" t="s">
        <v>4121</v>
      </c>
      <c r="Y172" s="57" t="s">
        <v>3738</v>
      </c>
      <c r="Z172" s="57" t="s">
        <v>4122</v>
      </c>
      <c r="AA172" s="57" t="s">
        <v>3476</v>
      </c>
      <c r="AB172" s="57" t="s">
        <v>3476</v>
      </c>
      <c r="AC172" s="57" t="s">
        <v>3476</v>
      </c>
      <c r="AD172" s="57" t="s">
        <v>3476</v>
      </c>
      <c r="AE172" s="57" t="s">
        <v>3476</v>
      </c>
      <c r="AF172" s="57" t="s">
        <v>3476</v>
      </c>
      <c r="AG172" s="57" t="s">
        <v>3476</v>
      </c>
      <c r="AH172" s="57" t="s">
        <v>3476</v>
      </c>
      <c r="AI172" s="57" t="s">
        <v>3476</v>
      </c>
      <c r="AJ172" s="57" t="s">
        <v>3476</v>
      </c>
      <c r="AK172" s="57" t="s">
        <v>3476</v>
      </c>
      <c r="AL172" s="57" t="s">
        <v>3476</v>
      </c>
      <c r="AM172" s="57" t="s">
        <v>3476</v>
      </c>
      <c r="AN172" s="57" t="s">
        <v>3476</v>
      </c>
      <c r="AO172" s="57" t="s">
        <v>3476</v>
      </c>
      <c r="AP172" s="58">
        <v>45853.0316087963</v>
      </c>
      <c r="AQ172" s="57" t="s">
        <v>3476</v>
      </c>
      <c r="AR172" s="57" t="s">
        <v>3476</v>
      </c>
      <c r="AS172" s="57" t="s">
        <v>3502</v>
      </c>
      <c r="AT172" s="57" t="s">
        <v>3745</v>
      </c>
      <c r="AU172" s="57" t="s">
        <v>3476</v>
      </c>
      <c r="AV172" s="57" t="s">
        <v>3476</v>
      </c>
      <c r="AW172" s="58">
        <v>45852.9884953704</v>
      </c>
      <c r="AX172" s="57" t="s">
        <v>3476</v>
      </c>
      <c r="AY172" s="57" t="s">
        <v>3747</v>
      </c>
      <c r="AZ172" s="57" t="s">
        <v>3476</v>
      </c>
      <c r="BA172" s="57" t="s">
        <v>3476</v>
      </c>
      <c r="BB172" s="57" t="s">
        <v>3476</v>
      </c>
      <c r="BC172" s="57" t="s">
        <v>3790</v>
      </c>
      <c r="BD172" s="57" t="s">
        <v>3659</v>
      </c>
      <c r="BE172" s="57" t="s">
        <v>3787</v>
      </c>
      <c r="BF172" s="57" t="s">
        <v>3749</v>
      </c>
      <c r="BG172" s="57" t="s">
        <v>3476</v>
      </c>
      <c r="BH172" s="57" t="s">
        <v>3476</v>
      </c>
      <c r="BI172" s="57" t="s">
        <v>2809</v>
      </c>
      <c r="BJ172" s="57" t="s">
        <v>3476</v>
      </c>
      <c r="BK172" s="57" t="s">
        <v>3476</v>
      </c>
      <c r="BL172" s="57">
        <v>3591657</v>
      </c>
      <c r="BM172" s="57" t="s">
        <v>4123</v>
      </c>
      <c r="BN172" s="57">
        <v>100.8</v>
      </c>
      <c r="BO172" s="57" t="s">
        <v>3476</v>
      </c>
      <c r="BP172" s="57" t="s">
        <v>3476</v>
      </c>
      <c r="BQ172" s="57" t="s">
        <v>3476</v>
      </c>
      <c r="BR172" s="57" t="s">
        <v>4124</v>
      </c>
      <c r="BS172" s="57" t="s">
        <v>1292</v>
      </c>
      <c r="BT172" s="57" t="s">
        <v>3476</v>
      </c>
      <c r="BU172" s="57" t="s">
        <v>3476</v>
      </c>
      <c r="BV172" s="57" t="s">
        <v>3753</v>
      </c>
      <c r="BW172" s="57" t="s">
        <v>3476</v>
      </c>
      <c r="BX172" s="57">
        <v>100.8</v>
      </c>
      <c r="BY172" s="57" t="s">
        <v>3476</v>
      </c>
      <c r="BZ172" s="57" t="s">
        <v>3476</v>
      </c>
      <c r="CA172" s="57" t="s">
        <v>3476</v>
      </c>
      <c r="CB172" s="57" t="s">
        <v>3476</v>
      </c>
      <c r="CC172" s="57" t="s">
        <v>3476</v>
      </c>
      <c r="CD172" s="57" t="s">
        <v>3476</v>
      </c>
    </row>
    <row r="173" spans="1:82">
      <c r="A173" s="57">
        <v>16817</v>
      </c>
      <c r="B173" s="57" t="s">
        <v>3476</v>
      </c>
      <c r="C173" s="57" t="s">
        <v>4118</v>
      </c>
      <c r="D173" s="57" t="s">
        <v>3476</v>
      </c>
      <c r="E173" s="57" t="s">
        <v>3730</v>
      </c>
      <c r="F173" s="57" t="s">
        <v>4119</v>
      </c>
      <c r="G173" s="57" t="s">
        <v>721</v>
      </c>
      <c r="H173" s="57" t="s">
        <v>2874</v>
      </c>
      <c r="I173" s="57">
        <v>47837.64</v>
      </c>
      <c r="J173" s="57" t="s">
        <v>3476</v>
      </c>
      <c r="K173" s="57" t="s">
        <v>3476</v>
      </c>
      <c r="L173" s="57" t="s">
        <v>3730</v>
      </c>
      <c r="M173" s="57" t="s">
        <v>4120</v>
      </c>
      <c r="N173" s="57" t="s">
        <v>4120</v>
      </c>
      <c r="O173" s="57" t="s">
        <v>3476</v>
      </c>
      <c r="P173" s="57" t="s">
        <v>3476</v>
      </c>
      <c r="Q173" s="57" t="s">
        <v>2874</v>
      </c>
      <c r="R173" s="57" t="s">
        <v>3781</v>
      </c>
      <c r="S173" s="57" t="s">
        <v>3782</v>
      </c>
      <c r="T173" s="57" t="s">
        <v>3736</v>
      </c>
      <c r="U173" s="57" t="s">
        <v>3476</v>
      </c>
      <c r="V173" s="57" t="s">
        <v>3469</v>
      </c>
      <c r="W173" s="57" t="s">
        <v>3476</v>
      </c>
      <c r="X173" s="57" t="s">
        <v>4121</v>
      </c>
      <c r="Y173" s="57" t="s">
        <v>3738</v>
      </c>
      <c r="Z173" s="57" t="s">
        <v>4122</v>
      </c>
      <c r="AA173" s="57" t="s">
        <v>3476</v>
      </c>
      <c r="AB173" s="57" t="s">
        <v>3476</v>
      </c>
      <c r="AC173" s="57" t="s">
        <v>3476</v>
      </c>
      <c r="AD173" s="57" t="s">
        <v>3476</v>
      </c>
      <c r="AE173" s="57" t="s">
        <v>3476</v>
      </c>
      <c r="AF173" s="57" t="s">
        <v>3476</v>
      </c>
      <c r="AG173" s="57" t="s">
        <v>3476</v>
      </c>
      <c r="AH173" s="57" t="s">
        <v>3476</v>
      </c>
      <c r="AI173" s="57" t="s">
        <v>3476</v>
      </c>
      <c r="AJ173" s="57" t="s">
        <v>3476</v>
      </c>
      <c r="AK173" s="57" t="s">
        <v>3476</v>
      </c>
      <c r="AL173" s="57" t="s">
        <v>3476</v>
      </c>
      <c r="AM173" s="57" t="s">
        <v>3476</v>
      </c>
      <c r="AN173" s="57" t="s">
        <v>3476</v>
      </c>
      <c r="AO173" s="57" t="s">
        <v>3476</v>
      </c>
      <c r="AP173" s="58">
        <v>45853.0316087963</v>
      </c>
      <c r="AQ173" s="57" t="s">
        <v>3476</v>
      </c>
      <c r="AR173" s="57" t="s">
        <v>3476</v>
      </c>
      <c r="AS173" s="57" t="s">
        <v>3502</v>
      </c>
      <c r="AT173" s="57" t="s">
        <v>3745</v>
      </c>
      <c r="AU173" s="57" t="s">
        <v>3476</v>
      </c>
      <c r="AV173" s="57" t="s">
        <v>3476</v>
      </c>
      <c r="AW173" s="58">
        <v>45852.9884953704</v>
      </c>
      <c r="AX173" s="57" t="s">
        <v>3476</v>
      </c>
      <c r="AY173" s="57" t="s">
        <v>3747</v>
      </c>
      <c r="AZ173" s="57" t="s">
        <v>3476</v>
      </c>
      <c r="BA173" s="57" t="s">
        <v>3476</v>
      </c>
      <c r="BB173" s="57" t="s">
        <v>3476</v>
      </c>
      <c r="BC173" s="57" t="s">
        <v>3791</v>
      </c>
      <c r="BD173" s="57" t="s">
        <v>3659</v>
      </c>
      <c r="BE173" s="57" t="s">
        <v>3787</v>
      </c>
      <c r="BF173" s="57" t="s">
        <v>3749</v>
      </c>
      <c r="BG173" s="57" t="s">
        <v>3476</v>
      </c>
      <c r="BH173" s="57" t="s">
        <v>3476</v>
      </c>
      <c r="BI173" s="57" t="s">
        <v>2809</v>
      </c>
      <c r="BJ173" s="57" t="s">
        <v>3476</v>
      </c>
      <c r="BK173" s="57" t="s">
        <v>3476</v>
      </c>
      <c r="BL173" s="57">
        <v>3591656</v>
      </c>
      <c r="BM173" s="57" t="s">
        <v>4123</v>
      </c>
      <c r="BN173" s="57">
        <v>103.77</v>
      </c>
      <c r="BO173" s="57" t="s">
        <v>3476</v>
      </c>
      <c r="BP173" s="57" t="s">
        <v>3476</v>
      </c>
      <c r="BQ173" s="57" t="s">
        <v>3476</v>
      </c>
      <c r="BR173" s="57" t="s">
        <v>4124</v>
      </c>
      <c r="BS173" s="57" t="s">
        <v>1292</v>
      </c>
      <c r="BT173" s="57" t="s">
        <v>3476</v>
      </c>
      <c r="BU173" s="57" t="s">
        <v>3476</v>
      </c>
      <c r="BV173" s="57" t="s">
        <v>3753</v>
      </c>
      <c r="BW173" s="57" t="s">
        <v>3476</v>
      </c>
      <c r="BX173" s="57">
        <v>103.77</v>
      </c>
      <c r="BY173" s="57" t="s">
        <v>3476</v>
      </c>
      <c r="BZ173" s="57" t="s">
        <v>3476</v>
      </c>
      <c r="CA173" s="57" t="s">
        <v>3476</v>
      </c>
      <c r="CB173" s="57" t="s">
        <v>3476</v>
      </c>
      <c r="CC173" s="57" t="s">
        <v>3476</v>
      </c>
      <c r="CD173" s="57" t="s">
        <v>3476</v>
      </c>
    </row>
    <row r="174" spans="1:82">
      <c r="A174" s="57">
        <v>16818</v>
      </c>
      <c r="B174" s="57" t="s">
        <v>3476</v>
      </c>
      <c r="C174" s="57" t="s">
        <v>4118</v>
      </c>
      <c r="D174" s="57" t="s">
        <v>3476</v>
      </c>
      <c r="E174" s="57" t="s">
        <v>3730</v>
      </c>
      <c r="F174" s="57" t="s">
        <v>4119</v>
      </c>
      <c r="G174" s="57" t="s">
        <v>721</v>
      </c>
      <c r="H174" s="57" t="s">
        <v>2874</v>
      </c>
      <c r="I174" s="57">
        <v>47837.64</v>
      </c>
      <c r="J174" s="57" t="s">
        <v>3476</v>
      </c>
      <c r="K174" s="57" t="s">
        <v>3476</v>
      </c>
      <c r="L174" s="57" t="s">
        <v>3730</v>
      </c>
      <c r="M174" s="57" t="s">
        <v>4120</v>
      </c>
      <c r="N174" s="57" t="s">
        <v>4120</v>
      </c>
      <c r="O174" s="57" t="s">
        <v>3476</v>
      </c>
      <c r="P174" s="57" t="s">
        <v>3476</v>
      </c>
      <c r="Q174" s="57" t="s">
        <v>2874</v>
      </c>
      <c r="R174" s="57" t="s">
        <v>3781</v>
      </c>
      <c r="S174" s="57" t="s">
        <v>3782</v>
      </c>
      <c r="T174" s="57" t="s">
        <v>3736</v>
      </c>
      <c r="U174" s="57" t="s">
        <v>3476</v>
      </c>
      <c r="V174" s="57" t="s">
        <v>3469</v>
      </c>
      <c r="W174" s="57" t="s">
        <v>3476</v>
      </c>
      <c r="X174" s="57" t="s">
        <v>4121</v>
      </c>
      <c r="Y174" s="57" t="s">
        <v>3738</v>
      </c>
      <c r="Z174" s="57" t="s">
        <v>4122</v>
      </c>
      <c r="AA174" s="57" t="s">
        <v>3476</v>
      </c>
      <c r="AB174" s="57" t="s">
        <v>3476</v>
      </c>
      <c r="AC174" s="57" t="s">
        <v>3476</v>
      </c>
      <c r="AD174" s="57" t="s">
        <v>3476</v>
      </c>
      <c r="AE174" s="57" t="s">
        <v>3476</v>
      </c>
      <c r="AF174" s="57" t="s">
        <v>3476</v>
      </c>
      <c r="AG174" s="57" t="s">
        <v>3476</v>
      </c>
      <c r="AH174" s="57" t="s">
        <v>3476</v>
      </c>
      <c r="AI174" s="57" t="s">
        <v>3476</v>
      </c>
      <c r="AJ174" s="57" t="s">
        <v>3476</v>
      </c>
      <c r="AK174" s="57" t="s">
        <v>3476</v>
      </c>
      <c r="AL174" s="57" t="s">
        <v>3476</v>
      </c>
      <c r="AM174" s="57" t="s">
        <v>3476</v>
      </c>
      <c r="AN174" s="57" t="s">
        <v>3476</v>
      </c>
      <c r="AO174" s="57" t="s">
        <v>3476</v>
      </c>
      <c r="AP174" s="58">
        <v>45853.0316087963</v>
      </c>
      <c r="AQ174" s="57" t="s">
        <v>3476</v>
      </c>
      <c r="AR174" s="57" t="s">
        <v>3476</v>
      </c>
      <c r="AS174" s="57" t="s">
        <v>3502</v>
      </c>
      <c r="AT174" s="57" t="s">
        <v>3745</v>
      </c>
      <c r="AU174" s="57" t="s">
        <v>3476</v>
      </c>
      <c r="AV174" s="57" t="s">
        <v>3476</v>
      </c>
      <c r="AW174" s="58">
        <v>45852.9884953704</v>
      </c>
      <c r="AX174" s="57" t="s">
        <v>3476</v>
      </c>
      <c r="AY174" s="57" t="s">
        <v>3747</v>
      </c>
      <c r="AZ174" s="57" t="s">
        <v>3476</v>
      </c>
      <c r="BA174" s="57" t="s">
        <v>3476</v>
      </c>
      <c r="BB174" s="57" t="s">
        <v>3476</v>
      </c>
      <c r="BC174" s="57" t="s">
        <v>1787</v>
      </c>
      <c r="BD174" s="57" t="s">
        <v>3659</v>
      </c>
      <c r="BE174" s="57" t="s">
        <v>3787</v>
      </c>
      <c r="BF174" s="57" t="s">
        <v>3749</v>
      </c>
      <c r="BG174" s="57" t="s">
        <v>3476</v>
      </c>
      <c r="BH174" s="57" t="s">
        <v>3476</v>
      </c>
      <c r="BI174" s="57" t="s">
        <v>2809</v>
      </c>
      <c r="BJ174" s="57" t="s">
        <v>3476</v>
      </c>
      <c r="BK174" s="57" t="s">
        <v>3476</v>
      </c>
      <c r="BL174" s="57">
        <v>3591647</v>
      </c>
      <c r="BM174" s="57" t="s">
        <v>4123</v>
      </c>
      <c r="BN174" s="57">
        <v>210</v>
      </c>
      <c r="BO174" s="57" t="s">
        <v>3476</v>
      </c>
      <c r="BP174" s="57" t="s">
        <v>3476</v>
      </c>
      <c r="BQ174" s="57" t="s">
        <v>3476</v>
      </c>
      <c r="BR174" s="57" t="s">
        <v>4124</v>
      </c>
      <c r="BS174" s="57" t="s">
        <v>1292</v>
      </c>
      <c r="BT174" s="57" t="s">
        <v>3476</v>
      </c>
      <c r="BU174" s="57" t="s">
        <v>3476</v>
      </c>
      <c r="BV174" s="57" t="s">
        <v>3753</v>
      </c>
      <c r="BW174" s="57" t="s">
        <v>3476</v>
      </c>
      <c r="BX174" s="57">
        <v>210</v>
      </c>
      <c r="BY174" s="57" t="s">
        <v>3476</v>
      </c>
      <c r="BZ174" s="57" t="s">
        <v>3476</v>
      </c>
      <c r="CA174" s="57" t="s">
        <v>3476</v>
      </c>
      <c r="CB174" s="57" t="s">
        <v>3476</v>
      </c>
      <c r="CC174" s="57" t="s">
        <v>3476</v>
      </c>
      <c r="CD174" s="57" t="s">
        <v>3476</v>
      </c>
    </row>
    <row r="175" spans="1:82">
      <c r="A175" s="57">
        <v>16819</v>
      </c>
      <c r="B175" s="57" t="s">
        <v>3476</v>
      </c>
      <c r="C175" s="57" t="s">
        <v>4118</v>
      </c>
      <c r="D175" s="57" t="s">
        <v>3476</v>
      </c>
      <c r="E175" s="57" t="s">
        <v>3730</v>
      </c>
      <c r="F175" s="57" t="s">
        <v>4119</v>
      </c>
      <c r="G175" s="57" t="s">
        <v>721</v>
      </c>
      <c r="H175" s="57" t="s">
        <v>2874</v>
      </c>
      <c r="I175" s="57">
        <v>47837.64</v>
      </c>
      <c r="J175" s="57" t="s">
        <v>3476</v>
      </c>
      <c r="K175" s="57" t="s">
        <v>3476</v>
      </c>
      <c r="L175" s="57" t="s">
        <v>3730</v>
      </c>
      <c r="M175" s="57" t="s">
        <v>4120</v>
      </c>
      <c r="N175" s="57" t="s">
        <v>4120</v>
      </c>
      <c r="O175" s="57" t="s">
        <v>3476</v>
      </c>
      <c r="P175" s="57" t="s">
        <v>3476</v>
      </c>
      <c r="Q175" s="57" t="s">
        <v>2874</v>
      </c>
      <c r="R175" s="57" t="s">
        <v>3781</v>
      </c>
      <c r="S175" s="57" t="s">
        <v>3782</v>
      </c>
      <c r="T175" s="57" t="s">
        <v>3736</v>
      </c>
      <c r="U175" s="57" t="s">
        <v>3476</v>
      </c>
      <c r="V175" s="57" t="s">
        <v>3469</v>
      </c>
      <c r="W175" s="57" t="s">
        <v>3476</v>
      </c>
      <c r="X175" s="57" t="s">
        <v>4121</v>
      </c>
      <c r="Y175" s="57" t="s">
        <v>3738</v>
      </c>
      <c r="Z175" s="57" t="s">
        <v>4122</v>
      </c>
      <c r="AA175" s="57" t="s">
        <v>3476</v>
      </c>
      <c r="AB175" s="57" t="s">
        <v>3476</v>
      </c>
      <c r="AC175" s="57" t="s">
        <v>3476</v>
      </c>
      <c r="AD175" s="57" t="s">
        <v>3476</v>
      </c>
      <c r="AE175" s="57" t="s">
        <v>3476</v>
      </c>
      <c r="AF175" s="57" t="s">
        <v>3476</v>
      </c>
      <c r="AG175" s="57" t="s">
        <v>3476</v>
      </c>
      <c r="AH175" s="57" t="s">
        <v>3476</v>
      </c>
      <c r="AI175" s="57" t="s">
        <v>3476</v>
      </c>
      <c r="AJ175" s="57" t="s">
        <v>3476</v>
      </c>
      <c r="AK175" s="57" t="s">
        <v>3476</v>
      </c>
      <c r="AL175" s="57" t="s">
        <v>3476</v>
      </c>
      <c r="AM175" s="57" t="s">
        <v>3476</v>
      </c>
      <c r="AN175" s="57" t="s">
        <v>3476</v>
      </c>
      <c r="AO175" s="57" t="s">
        <v>3476</v>
      </c>
      <c r="AP175" s="58">
        <v>45853.0316087963</v>
      </c>
      <c r="AQ175" s="57" t="s">
        <v>3476</v>
      </c>
      <c r="AR175" s="57" t="s">
        <v>3476</v>
      </c>
      <c r="AS175" s="57" t="s">
        <v>3502</v>
      </c>
      <c r="AT175" s="57" t="s">
        <v>3745</v>
      </c>
      <c r="AU175" s="57" t="s">
        <v>3476</v>
      </c>
      <c r="AV175" s="57" t="s">
        <v>3476</v>
      </c>
      <c r="AW175" s="58">
        <v>45852.9884953704</v>
      </c>
      <c r="AX175" s="57" t="s">
        <v>3476</v>
      </c>
      <c r="AY175" s="57" t="s">
        <v>3747</v>
      </c>
      <c r="AZ175" s="57" t="s">
        <v>3476</v>
      </c>
      <c r="BA175" s="57" t="s">
        <v>3476</v>
      </c>
      <c r="BB175" s="57" t="s">
        <v>3476</v>
      </c>
      <c r="BC175" s="57" t="s">
        <v>3793</v>
      </c>
      <c r="BD175" s="57" t="s">
        <v>3659</v>
      </c>
      <c r="BE175" s="57" t="s">
        <v>3787</v>
      </c>
      <c r="BF175" s="57" t="s">
        <v>3749</v>
      </c>
      <c r="BG175" s="57" t="s">
        <v>3476</v>
      </c>
      <c r="BH175" s="57" t="s">
        <v>3476</v>
      </c>
      <c r="BI175" s="57" t="s">
        <v>2809</v>
      </c>
      <c r="BJ175" s="57" t="s">
        <v>3476</v>
      </c>
      <c r="BK175" s="57" t="s">
        <v>3476</v>
      </c>
      <c r="BL175" s="57">
        <v>3591646</v>
      </c>
      <c r="BM175" s="57" t="s">
        <v>4123</v>
      </c>
      <c r="BN175" s="57">
        <v>105</v>
      </c>
      <c r="BO175" s="57" t="s">
        <v>3476</v>
      </c>
      <c r="BP175" s="57" t="s">
        <v>3476</v>
      </c>
      <c r="BQ175" s="57" t="s">
        <v>3476</v>
      </c>
      <c r="BR175" s="57" t="s">
        <v>4124</v>
      </c>
      <c r="BS175" s="57" t="s">
        <v>1292</v>
      </c>
      <c r="BT175" s="57" t="s">
        <v>3476</v>
      </c>
      <c r="BU175" s="57" t="s">
        <v>3476</v>
      </c>
      <c r="BV175" s="57" t="s">
        <v>3753</v>
      </c>
      <c r="BW175" s="57" t="s">
        <v>3476</v>
      </c>
      <c r="BX175" s="57">
        <v>105</v>
      </c>
      <c r="BY175" s="57" t="s">
        <v>3476</v>
      </c>
      <c r="BZ175" s="57" t="s">
        <v>3476</v>
      </c>
      <c r="CA175" s="57" t="s">
        <v>3476</v>
      </c>
      <c r="CB175" s="57" t="s">
        <v>3476</v>
      </c>
      <c r="CC175" s="57" t="s">
        <v>3476</v>
      </c>
      <c r="CD175" s="57" t="s">
        <v>3476</v>
      </c>
    </row>
    <row r="176" spans="1:82">
      <c r="A176" s="57">
        <v>16820</v>
      </c>
      <c r="B176" s="57" t="s">
        <v>3476</v>
      </c>
      <c r="C176" s="57" t="s">
        <v>4118</v>
      </c>
      <c r="D176" s="57" t="s">
        <v>3476</v>
      </c>
      <c r="E176" s="57" t="s">
        <v>3730</v>
      </c>
      <c r="F176" s="57" t="s">
        <v>4119</v>
      </c>
      <c r="G176" s="57" t="s">
        <v>721</v>
      </c>
      <c r="H176" s="57" t="s">
        <v>2874</v>
      </c>
      <c r="I176" s="57">
        <v>47837.64</v>
      </c>
      <c r="J176" s="57" t="s">
        <v>3476</v>
      </c>
      <c r="K176" s="57" t="s">
        <v>3476</v>
      </c>
      <c r="L176" s="57" t="s">
        <v>3730</v>
      </c>
      <c r="M176" s="57" t="s">
        <v>4120</v>
      </c>
      <c r="N176" s="57" t="s">
        <v>4120</v>
      </c>
      <c r="O176" s="57" t="s">
        <v>3476</v>
      </c>
      <c r="P176" s="57" t="s">
        <v>3476</v>
      </c>
      <c r="Q176" s="57" t="s">
        <v>2874</v>
      </c>
      <c r="R176" s="57" t="s">
        <v>3781</v>
      </c>
      <c r="S176" s="57" t="s">
        <v>3782</v>
      </c>
      <c r="T176" s="57" t="s">
        <v>3736</v>
      </c>
      <c r="U176" s="57" t="s">
        <v>3476</v>
      </c>
      <c r="V176" s="57" t="s">
        <v>3469</v>
      </c>
      <c r="W176" s="57" t="s">
        <v>3476</v>
      </c>
      <c r="X176" s="57" t="s">
        <v>4121</v>
      </c>
      <c r="Y176" s="57" t="s">
        <v>3738</v>
      </c>
      <c r="Z176" s="57" t="s">
        <v>4122</v>
      </c>
      <c r="AA176" s="57" t="s">
        <v>3476</v>
      </c>
      <c r="AB176" s="57" t="s">
        <v>3476</v>
      </c>
      <c r="AC176" s="57" t="s">
        <v>3476</v>
      </c>
      <c r="AD176" s="57" t="s">
        <v>3476</v>
      </c>
      <c r="AE176" s="57" t="s">
        <v>3476</v>
      </c>
      <c r="AF176" s="57" t="s">
        <v>3476</v>
      </c>
      <c r="AG176" s="57" t="s">
        <v>3476</v>
      </c>
      <c r="AH176" s="57" t="s">
        <v>3476</v>
      </c>
      <c r="AI176" s="57" t="s">
        <v>3476</v>
      </c>
      <c r="AJ176" s="57" t="s">
        <v>3476</v>
      </c>
      <c r="AK176" s="57" t="s">
        <v>3476</v>
      </c>
      <c r="AL176" s="57" t="s">
        <v>3476</v>
      </c>
      <c r="AM176" s="57" t="s">
        <v>3476</v>
      </c>
      <c r="AN176" s="57" t="s">
        <v>3476</v>
      </c>
      <c r="AO176" s="57" t="s">
        <v>3476</v>
      </c>
      <c r="AP176" s="58">
        <v>45853.0316087963</v>
      </c>
      <c r="AQ176" s="57" t="s">
        <v>3476</v>
      </c>
      <c r="AR176" s="57" t="s">
        <v>3476</v>
      </c>
      <c r="AS176" s="57" t="s">
        <v>3502</v>
      </c>
      <c r="AT176" s="57" t="s">
        <v>3745</v>
      </c>
      <c r="AU176" s="57" t="s">
        <v>3476</v>
      </c>
      <c r="AV176" s="57" t="s">
        <v>3476</v>
      </c>
      <c r="AW176" s="58">
        <v>45852.9884953704</v>
      </c>
      <c r="AX176" s="57" t="s">
        <v>3476</v>
      </c>
      <c r="AY176" s="57" t="s">
        <v>3747</v>
      </c>
      <c r="AZ176" s="57" t="s">
        <v>3476</v>
      </c>
      <c r="BA176" s="57" t="s">
        <v>3476</v>
      </c>
      <c r="BB176" s="57" t="s">
        <v>3476</v>
      </c>
      <c r="BC176" s="57" t="s">
        <v>3794</v>
      </c>
      <c r="BD176" s="57" t="s">
        <v>3659</v>
      </c>
      <c r="BE176" s="57" t="s">
        <v>3787</v>
      </c>
      <c r="BF176" s="57" t="s">
        <v>3749</v>
      </c>
      <c r="BG176" s="57" t="s">
        <v>3476</v>
      </c>
      <c r="BH176" s="57" t="s">
        <v>3476</v>
      </c>
      <c r="BI176" s="57" t="s">
        <v>2809</v>
      </c>
      <c r="BJ176" s="57" t="s">
        <v>3476</v>
      </c>
      <c r="BK176" s="57" t="s">
        <v>3476</v>
      </c>
      <c r="BL176" s="57">
        <v>3591645</v>
      </c>
      <c r="BM176" s="57" t="s">
        <v>4123</v>
      </c>
      <c r="BN176" s="57">
        <v>48.92</v>
      </c>
      <c r="BO176" s="57" t="s">
        <v>3476</v>
      </c>
      <c r="BP176" s="57" t="s">
        <v>3476</v>
      </c>
      <c r="BQ176" s="57" t="s">
        <v>3476</v>
      </c>
      <c r="BR176" s="57" t="s">
        <v>4124</v>
      </c>
      <c r="BS176" s="57" t="s">
        <v>1292</v>
      </c>
      <c r="BT176" s="57" t="s">
        <v>3476</v>
      </c>
      <c r="BU176" s="57" t="s">
        <v>3476</v>
      </c>
      <c r="BV176" s="57" t="s">
        <v>3753</v>
      </c>
      <c r="BW176" s="57" t="s">
        <v>3476</v>
      </c>
      <c r="BX176" s="57">
        <v>48.92</v>
      </c>
      <c r="BY176" s="57" t="s">
        <v>3476</v>
      </c>
      <c r="BZ176" s="57" t="s">
        <v>3476</v>
      </c>
      <c r="CA176" s="57" t="s">
        <v>3476</v>
      </c>
      <c r="CB176" s="57" t="s">
        <v>3476</v>
      </c>
      <c r="CC176" s="57" t="s">
        <v>3476</v>
      </c>
      <c r="CD176" s="57" t="s">
        <v>3476</v>
      </c>
    </row>
    <row r="177" spans="1:82">
      <c r="A177" s="57">
        <v>16821</v>
      </c>
      <c r="B177" s="57" t="s">
        <v>3476</v>
      </c>
      <c r="C177" s="57" t="s">
        <v>4118</v>
      </c>
      <c r="D177" s="57" t="s">
        <v>3476</v>
      </c>
      <c r="E177" s="57" t="s">
        <v>3730</v>
      </c>
      <c r="F177" s="57" t="s">
        <v>4119</v>
      </c>
      <c r="G177" s="57" t="s">
        <v>721</v>
      </c>
      <c r="H177" s="57" t="s">
        <v>2874</v>
      </c>
      <c r="I177" s="57">
        <v>47837.64</v>
      </c>
      <c r="J177" s="57" t="s">
        <v>3476</v>
      </c>
      <c r="K177" s="57" t="s">
        <v>3476</v>
      </c>
      <c r="L177" s="57" t="s">
        <v>3730</v>
      </c>
      <c r="M177" s="57" t="s">
        <v>4120</v>
      </c>
      <c r="N177" s="57" t="s">
        <v>4120</v>
      </c>
      <c r="O177" s="57" t="s">
        <v>3476</v>
      </c>
      <c r="P177" s="57" t="s">
        <v>3476</v>
      </c>
      <c r="Q177" s="57" t="s">
        <v>2874</v>
      </c>
      <c r="R177" s="57" t="s">
        <v>3781</v>
      </c>
      <c r="S177" s="57" t="s">
        <v>3782</v>
      </c>
      <c r="T177" s="57" t="s">
        <v>3736</v>
      </c>
      <c r="U177" s="57" t="s">
        <v>3476</v>
      </c>
      <c r="V177" s="57" t="s">
        <v>3469</v>
      </c>
      <c r="W177" s="57" t="s">
        <v>3476</v>
      </c>
      <c r="X177" s="57" t="s">
        <v>4121</v>
      </c>
      <c r="Y177" s="57" t="s">
        <v>3738</v>
      </c>
      <c r="Z177" s="57" t="s">
        <v>4122</v>
      </c>
      <c r="AA177" s="57" t="s">
        <v>3476</v>
      </c>
      <c r="AB177" s="57" t="s">
        <v>3476</v>
      </c>
      <c r="AC177" s="57" t="s">
        <v>3476</v>
      </c>
      <c r="AD177" s="57" t="s">
        <v>3476</v>
      </c>
      <c r="AE177" s="57" t="s">
        <v>3476</v>
      </c>
      <c r="AF177" s="57" t="s">
        <v>3476</v>
      </c>
      <c r="AG177" s="57" t="s">
        <v>3476</v>
      </c>
      <c r="AH177" s="57" t="s">
        <v>3476</v>
      </c>
      <c r="AI177" s="57" t="s">
        <v>3476</v>
      </c>
      <c r="AJ177" s="57" t="s">
        <v>3476</v>
      </c>
      <c r="AK177" s="57" t="s">
        <v>3476</v>
      </c>
      <c r="AL177" s="57" t="s">
        <v>3476</v>
      </c>
      <c r="AM177" s="57" t="s">
        <v>3476</v>
      </c>
      <c r="AN177" s="57" t="s">
        <v>3476</v>
      </c>
      <c r="AO177" s="57" t="s">
        <v>3476</v>
      </c>
      <c r="AP177" s="58">
        <v>45853.0316087963</v>
      </c>
      <c r="AQ177" s="57" t="s">
        <v>3476</v>
      </c>
      <c r="AR177" s="57" t="s">
        <v>3476</v>
      </c>
      <c r="AS177" s="57" t="s">
        <v>3502</v>
      </c>
      <c r="AT177" s="57" t="s">
        <v>3745</v>
      </c>
      <c r="AU177" s="57" t="s">
        <v>3476</v>
      </c>
      <c r="AV177" s="57" t="s">
        <v>3476</v>
      </c>
      <c r="AW177" s="58">
        <v>45852.9884953704</v>
      </c>
      <c r="AX177" s="57" t="s">
        <v>3476</v>
      </c>
      <c r="AY177" s="57" t="s">
        <v>3747</v>
      </c>
      <c r="AZ177" s="57" t="s">
        <v>3476</v>
      </c>
      <c r="BA177" s="57" t="s">
        <v>3476</v>
      </c>
      <c r="BB177" s="57" t="s">
        <v>3476</v>
      </c>
      <c r="BC177" s="57" t="s">
        <v>1787</v>
      </c>
      <c r="BD177" s="57" t="s">
        <v>3659</v>
      </c>
      <c r="BE177" s="57" t="s">
        <v>3787</v>
      </c>
      <c r="BF177" s="57" t="s">
        <v>3749</v>
      </c>
      <c r="BG177" s="57" t="s">
        <v>3476</v>
      </c>
      <c r="BH177" s="57" t="s">
        <v>3476</v>
      </c>
      <c r="BI177" s="57" t="s">
        <v>2809</v>
      </c>
      <c r="BJ177" s="57" t="s">
        <v>3476</v>
      </c>
      <c r="BK177" s="57" t="s">
        <v>3476</v>
      </c>
      <c r="BL177" s="57">
        <v>3591644</v>
      </c>
      <c r="BM177" s="57" t="s">
        <v>4123</v>
      </c>
      <c r="BN177" s="57">
        <v>16</v>
      </c>
      <c r="BO177" s="57" t="s">
        <v>3476</v>
      </c>
      <c r="BP177" s="57" t="s">
        <v>3476</v>
      </c>
      <c r="BQ177" s="57" t="s">
        <v>3476</v>
      </c>
      <c r="BR177" s="57" t="s">
        <v>4124</v>
      </c>
      <c r="BS177" s="57" t="s">
        <v>1292</v>
      </c>
      <c r="BT177" s="57" t="s">
        <v>3476</v>
      </c>
      <c r="BU177" s="57" t="s">
        <v>3476</v>
      </c>
      <c r="BV177" s="57" t="s">
        <v>3753</v>
      </c>
      <c r="BW177" s="57" t="s">
        <v>3476</v>
      </c>
      <c r="BX177" s="57">
        <v>16</v>
      </c>
      <c r="BY177" s="57" t="s">
        <v>3476</v>
      </c>
      <c r="BZ177" s="57" t="s">
        <v>3476</v>
      </c>
      <c r="CA177" s="57" t="s">
        <v>3476</v>
      </c>
      <c r="CB177" s="57" t="s">
        <v>3476</v>
      </c>
      <c r="CC177" s="57" t="s">
        <v>3476</v>
      </c>
      <c r="CD177" s="57" t="s">
        <v>3476</v>
      </c>
    </row>
    <row r="178" spans="1:82">
      <c r="A178" s="57">
        <v>16822</v>
      </c>
      <c r="B178" s="57" t="s">
        <v>3476</v>
      </c>
      <c r="C178" s="57" t="s">
        <v>4118</v>
      </c>
      <c r="D178" s="57" t="s">
        <v>3476</v>
      </c>
      <c r="E178" s="57" t="s">
        <v>3730</v>
      </c>
      <c r="F178" s="57" t="s">
        <v>4119</v>
      </c>
      <c r="G178" s="57" t="s">
        <v>721</v>
      </c>
      <c r="H178" s="57" t="s">
        <v>2874</v>
      </c>
      <c r="I178" s="57">
        <v>47837.64</v>
      </c>
      <c r="J178" s="57" t="s">
        <v>3476</v>
      </c>
      <c r="K178" s="57" t="s">
        <v>3476</v>
      </c>
      <c r="L178" s="57" t="s">
        <v>3730</v>
      </c>
      <c r="M178" s="57" t="s">
        <v>4120</v>
      </c>
      <c r="N178" s="57" t="s">
        <v>4120</v>
      </c>
      <c r="O178" s="57" t="s">
        <v>3476</v>
      </c>
      <c r="P178" s="57" t="s">
        <v>3476</v>
      </c>
      <c r="Q178" s="57" t="s">
        <v>2874</v>
      </c>
      <c r="R178" s="57" t="s">
        <v>3781</v>
      </c>
      <c r="S178" s="57" t="s">
        <v>3782</v>
      </c>
      <c r="T178" s="57" t="s">
        <v>3736</v>
      </c>
      <c r="U178" s="57" t="s">
        <v>3476</v>
      </c>
      <c r="V178" s="57" t="s">
        <v>3469</v>
      </c>
      <c r="W178" s="57" t="s">
        <v>3476</v>
      </c>
      <c r="X178" s="57" t="s">
        <v>4121</v>
      </c>
      <c r="Y178" s="57" t="s">
        <v>3738</v>
      </c>
      <c r="Z178" s="57" t="s">
        <v>4122</v>
      </c>
      <c r="AA178" s="57" t="s">
        <v>3476</v>
      </c>
      <c r="AB178" s="57" t="s">
        <v>3476</v>
      </c>
      <c r="AC178" s="57" t="s">
        <v>3476</v>
      </c>
      <c r="AD178" s="57" t="s">
        <v>3476</v>
      </c>
      <c r="AE178" s="57" t="s">
        <v>3476</v>
      </c>
      <c r="AF178" s="57" t="s">
        <v>3476</v>
      </c>
      <c r="AG178" s="57" t="s">
        <v>3476</v>
      </c>
      <c r="AH178" s="57" t="s">
        <v>3476</v>
      </c>
      <c r="AI178" s="57" t="s">
        <v>3476</v>
      </c>
      <c r="AJ178" s="57" t="s">
        <v>3476</v>
      </c>
      <c r="AK178" s="57" t="s">
        <v>3476</v>
      </c>
      <c r="AL178" s="57" t="s">
        <v>3476</v>
      </c>
      <c r="AM178" s="57" t="s">
        <v>3476</v>
      </c>
      <c r="AN178" s="57" t="s">
        <v>3476</v>
      </c>
      <c r="AO178" s="57" t="s">
        <v>3476</v>
      </c>
      <c r="AP178" s="58">
        <v>45853.0316087963</v>
      </c>
      <c r="AQ178" s="57" t="s">
        <v>3476</v>
      </c>
      <c r="AR178" s="57" t="s">
        <v>3476</v>
      </c>
      <c r="AS178" s="57" t="s">
        <v>3502</v>
      </c>
      <c r="AT178" s="57" t="s">
        <v>3745</v>
      </c>
      <c r="AU178" s="57" t="s">
        <v>3476</v>
      </c>
      <c r="AV178" s="57" t="s">
        <v>3476</v>
      </c>
      <c r="AW178" s="58">
        <v>45852.9884953704</v>
      </c>
      <c r="AX178" s="57" t="s">
        <v>3476</v>
      </c>
      <c r="AY178" s="57" t="s">
        <v>3747</v>
      </c>
      <c r="AZ178" s="57" t="s">
        <v>3476</v>
      </c>
      <c r="BA178" s="57" t="s">
        <v>3476</v>
      </c>
      <c r="BB178" s="57" t="s">
        <v>3476</v>
      </c>
      <c r="BC178" s="57" t="s">
        <v>1787</v>
      </c>
      <c r="BD178" s="57" t="s">
        <v>3659</v>
      </c>
      <c r="BE178" s="57" t="s">
        <v>3787</v>
      </c>
      <c r="BF178" s="57" t="s">
        <v>3749</v>
      </c>
      <c r="BG178" s="57" t="s">
        <v>3476</v>
      </c>
      <c r="BH178" s="57" t="s">
        <v>3476</v>
      </c>
      <c r="BI178" s="57" t="s">
        <v>2809</v>
      </c>
      <c r="BJ178" s="57" t="s">
        <v>3476</v>
      </c>
      <c r="BK178" s="57" t="s">
        <v>3476</v>
      </c>
      <c r="BL178" s="57">
        <v>3591651</v>
      </c>
      <c r="BM178" s="57" t="s">
        <v>4123</v>
      </c>
      <c r="BN178" s="57">
        <v>120.4</v>
      </c>
      <c r="BO178" s="57" t="s">
        <v>3476</v>
      </c>
      <c r="BP178" s="57" t="s">
        <v>3476</v>
      </c>
      <c r="BQ178" s="57" t="s">
        <v>3476</v>
      </c>
      <c r="BR178" s="57" t="s">
        <v>4124</v>
      </c>
      <c r="BS178" s="57" t="s">
        <v>1292</v>
      </c>
      <c r="BT178" s="57" t="s">
        <v>3476</v>
      </c>
      <c r="BU178" s="57" t="s">
        <v>3476</v>
      </c>
      <c r="BV178" s="57" t="s">
        <v>3753</v>
      </c>
      <c r="BW178" s="57" t="s">
        <v>3476</v>
      </c>
      <c r="BX178" s="57">
        <v>120.4</v>
      </c>
      <c r="BY178" s="57" t="s">
        <v>3476</v>
      </c>
      <c r="BZ178" s="57" t="s">
        <v>3476</v>
      </c>
      <c r="CA178" s="57" t="s">
        <v>3476</v>
      </c>
      <c r="CB178" s="57" t="s">
        <v>3476</v>
      </c>
      <c r="CC178" s="57" t="s">
        <v>3476</v>
      </c>
      <c r="CD178" s="57" t="s">
        <v>3476</v>
      </c>
    </row>
    <row r="179" spans="1:82">
      <c r="A179" s="57">
        <v>16823</v>
      </c>
      <c r="B179" s="57" t="s">
        <v>3476</v>
      </c>
      <c r="C179" s="57" t="s">
        <v>4118</v>
      </c>
      <c r="D179" s="57" t="s">
        <v>3476</v>
      </c>
      <c r="E179" s="57" t="s">
        <v>3730</v>
      </c>
      <c r="F179" s="57" t="s">
        <v>4119</v>
      </c>
      <c r="G179" s="57" t="s">
        <v>721</v>
      </c>
      <c r="H179" s="57" t="s">
        <v>2874</v>
      </c>
      <c r="I179" s="57">
        <v>47837.64</v>
      </c>
      <c r="J179" s="57" t="s">
        <v>3476</v>
      </c>
      <c r="K179" s="57" t="s">
        <v>3476</v>
      </c>
      <c r="L179" s="57" t="s">
        <v>3730</v>
      </c>
      <c r="M179" s="57" t="s">
        <v>4120</v>
      </c>
      <c r="N179" s="57" t="s">
        <v>4120</v>
      </c>
      <c r="O179" s="57" t="s">
        <v>3476</v>
      </c>
      <c r="P179" s="57" t="s">
        <v>3476</v>
      </c>
      <c r="Q179" s="57" t="s">
        <v>2874</v>
      </c>
      <c r="R179" s="57" t="s">
        <v>3781</v>
      </c>
      <c r="S179" s="57" t="s">
        <v>3782</v>
      </c>
      <c r="T179" s="57" t="s">
        <v>3736</v>
      </c>
      <c r="U179" s="57" t="s">
        <v>3476</v>
      </c>
      <c r="V179" s="57" t="s">
        <v>3469</v>
      </c>
      <c r="W179" s="57" t="s">
        <v>3476</v>
      </c>
      <c r="X179" s="57" t="s">
        <v>4121</v>
      </c>
      <c r="Y179" s="57" t="s">
        <v>3738</v>
      </c>
      <c r="Z179" s="57" t="s">
        <v>4122</v>
      </c>
      <c r="AA179" s="57" t="s">
        <v>3476</v>
      </c>
      <c r="AB179" s="57" t="s">
        <v>3476</v>
      </c>
      <c r="AC179" s="57" t="s">
        <v>3476</v>
      </c>
      <c r="AD179" s="57" t="s">
        <v>3476</v>
      </c>
      <c r="AE179" s="57" t="s">
        <v>3476</v>
      </c>
      <c r="AF179" s="57" t="s">
        <v>3476</v>
      </c>
      <c r="AG179" s="57" t="s">
        <v>3476</v>
      </c>
      <c r="AH179" s="57" t="s">
        <v>3476</v>
      </c>
      <c r="AI179" s="57" t="s">
        <v>3476</v>
      </c>
      <c r="AJ179" s="57" t="s">
        <v>3476</v>
      </c>
      <c r="AK179" s="57" t="s">
        <v>3476</v>
      </c>
      <c r="AL179" s="57" t="s">
        <v>3476</v>
      </c>
      <c r="AM179" s="57" t="s">
        <v>3476</v>
      </c>
      <c r="AN179" s="57" t="s">
        <v>3476</v>
      </c>
      <c r="AO179" s="57" t="s">
        <v>3476</v>
      </c>
      <c r="AP179" s="58">
        <v>45853.0316087963</v>
      </c>
      <c r="AQ179" s="57" t="s">
        <v>3476</v>
      </c>
      <c r="AR179" s="57" t="s">
        <v>3476</v>
      </c>
      <c r="AS179" s="57" t="s">
        <v>3502</v>
      </c>
      <c r="AT179" s="57" t="s">
        <v>3745</v>
      </c>
      <c r="AU179" s="57" t="s">
        <v>3476</v>
      </c>
      <c r="AV179" s="57" t="s">
        <v>3476</v>
      </c>
      <c r="AW179" s="58">
        <v>45852.9884953704</v>
      </c>
      <c r="AX179" s="57" t="s">
        <v>3476</v>
      </c>
      <c r="AY179" s="57" t="s">
        <v>3747</v>
      </c>
      <c r="AZ179" s="57" t="s">
        <v>3476</v>
      </c>
      <c r="BA179" s="57" t="s">
        <v>3476</v>
      </c>
      <c r="BB179" s="57" t="s">
        <v>3476</v>
      </c>
      <c r="BC179" s="57" t="s">
        <v>4102</v>
      </c>
      <c r="BD179" s="57" t="s">
        <v>3659</v>
      </c>
      <c r="BE179" s="57" t="s">
        <v>3787</v>
      </c>
      <c r="BF179" s="57" t="s">
        <v>3749</v>
      </c>
      <c r="BG179" s="57" t="s">
        <v>3476</v>
      </c>
      <c r="BH179" s="57" t="s">
        <v>3476</v>
      </c>
      <c r="BI179" s="57" t="s">
        <v>2809</v>
      </c>
      <c r="BJ179" s="57" t="s">
        <v>3476</v>
      </c>
      <c r="BK179" s="57" t="s">
        <v>3476</v>
      </c>
      <c r="BL179" s="57">
        <v>3591650</v>
      </c>
      <c r="BM179" s="57" t="s">
        <v>4123</v>
      </c>
      <c r="BN179" s="57">
        <v>20</v>
      </c>
      <c r="BO179" s="57" t="s">
        <v>3476</v>
      </c>
      <c r="BP179" s="57" t="s">
        <v>3476</v>
      </c>
      <c r="BQ179" s="57" t="s">
        <v>3476</v>
      </c>
      <c r="BR179" s="57" t="s">
        <v>4124</v>
      </c>
      <c r="BS179" s="57" t="s">
        <v>1292</v>
      </c>
      <c r="BT179" s="57" t="s">
        <v>3476</v>
      </c>
      <c r="BU179" s="57" t="s">
        <v>3476</v>
      </c>
      <c r="BV179" s="57" t="s">
        <v>3753</v>
      </c>
      <c r="BW179" s="57" t="s">
        <v>3476</v>
      </c>
      <c r="BX179" s="57">
        <v>20</v>
      </c>
      <c r="BY179" s="57" t="s">
        <v>3476</v>
      </c>
      <c r="BZ179" s="57" t="s">
        <v>3476</v>
      </c>
      <c r="CA179" s="57" t="s">
        <v>3476</v>
      </c>
      <c r="CB179" s="57" t="s">
        <v>3476</v>
      </c>
      <c r="CC179" s="57" t="s">
        <v>3476</v>
      </c>
      <c r="CD179" s="57" t="s">
        <v>3476</v>
      </c>
    </row>
    <row r="180" spans="1:82">
      <c r="A180" s="57">
        <v>16824</v>
      </c>
      <c r="B180" s="57" t="s">
        <v>3476</v>
      </c>
      <c r="C180" s="57" t="s">
        <v>4118</v>
      </c>
      <c r="D180" s="57" t="s">
        <v>3476</v>
      </c>
      <c r="E180" s="57" t="s">
        <v>3730</v>
      </c>
      <c r="F180" s="57" t="s">
        <v>4119</v>
      </c>
      <c r="G180" s="57" t="s">
        <v>721</v>
      </c>
      <c r="H180" s="57" t="s">
        <v>2874</v>
      </c>
      <c r="I180" s="57">
        <v>47837.64</v>
      </c>
      <c r="J180" s="57" t="s">
        <v>3476</v>
      </c>
      <c r="K180" s="57" t="s">
        <v>3476</v>
      </c>
      <c r="L180" s="57" t="s">
        <v>3730</v>
      </c>
      <c r="M180" s="57" t="s">
        <v>4120</v>
      </c>
      <c r="N180" s="57" t="s">
        <v>4120</v>
      </c>
      <c r="O180" s="57" t="s">
        <v>3476</v>
      </c>
      <c r="P180" s="57" t="s">
        <v>3476</v>
      </c>
      <c r="Q180" s="57" t="s">
        <v>2874</v>
      </c>
      <c r="R180" s="57" t="s">
        <v>3781</v>
      </c>
      <c r="S180" s="57" t="s">
        <v>3782</v>
      </c>
      <c r="T180" s="57" t="s">
        <v>3736</v>
      </c>
      <c r="U180" s="57" t="s">
        <v>3476</v>
      </c>
      <c r="V180" s="57" t="s">
        <v>3469</v>
      </c>
      <c r="W180" s="57" t="s">
        <v>3476</v>
      </c>
      <c r="X180" s="57" t="s">
        <v>4121</v>
      </c>
      <c r="Y180" s="57" t="s">
        <v>3738</v>
      </c>
      <c r="Z180" s="57" t="s">
        <v>4122</v>
      </c>
      <c r="AA180" s="57" t="s">
        <v>3476</v>
      </c>
      <c r="AB180" s="57" t="s">
        <v>3476</v>
      </c>
      <c r="AC180" s="57" t="s">
        <v>3476</v>
      </c>
      <c r="AD180" s="57" t="s">
        <v>3476</v>
      </c>
      <c r="AE180" s="57" t="s">
        <v>3476</v>
      </c>
      <c r="AF180" s="57" t="s">
        <v>3476</v>
      </c>
      <c r="AG180" s="57" t="s">
        <v>3476</v>
      </c>
      <c r="AH180" s="57" t="s">
        <v>3476</v>
      </c>
      <c r="AI180" s="57" t="s">
        <v>3476</v>
      </c>
      <c r="AJ180" s="57" t="s">
        <v>3476</v>
      </c>
      <c r="AK180" s="57" t="s">
        <v>3476</v>
      </c>
      <c r="AL180" s="57" t="s">
        <v>3476</v>
      </c>
      <c r="AM180" s="57" t="s">
        <v>3476</v>
      </c>
      <c r="AN180" s="57" t="s">
        <v>3476</v>
      </c>
      <c r="AO180" s="57" t="s">
        <v>3476</v>
      </c>
      <c r="AP180" s="58">
        <v>45853.0316087963</v>
      </c>
      <c r="AQ180" s="57" t="s">
        <v>3476</v>
      </c>
      <c r="AR180" s="57" t="s">
        <v>3476</v>
      </c>
      <c r="AS180" s="57" t="s">
        <v>3502</v>
      </c>
      <c r="AT180" s="57" t="s">
        <v>3745</v>
      </c>
      <c r="AU180" s="57" t="s">
        <v>3476</v>
      </c>
      <c r="AV180" s="57" t="s">
        <v>3476</v>
      </c>
      <c r="AW180" s="58">
        <v>45852.9884953704</v>
      </c>
      <c r="AX180" s="57" t="s">
        <v>3476</v>
      </c>
      <c r="AY180" s="57" t="s">
        <v>3747</v>
      </c>
      <c r="AZ180" s="57" t="s">
        <v>3476</v>
      </c>
      <c r="BA180" s="57" t="s">
        <v>3476</v>
      </c>
      <c r="BB180" s="57" t="s">
        <v>3476</v>
      </c>
      <c r="BC180" s="57" t="s">
        <v>1787</v>
      </c>
      <c r="BD180" s="57" t="s">
        <v>3659</v>
      </c>
      <c r="BE180" s="57" t="s">
        <v>3787</v>
      </c>
      <c r="BF180" s="57" t="s">
        <v>3749</v>
      </c>
      <c r="BG180" s="57" t="s">
        <v>3476</v>
      </c>
      <c r="BH180" s="57" t="s">
        <v>3476</v>
      </c>
      <c r="BI180" s="57" t="s">
        <v>2809</v>
      </c>
      <c r="BJ180" s="57" t="s">
        <v>3476</v>
      </c>
      <c r="BK180" s="57" t="s">
        <v>3476</v>
      </c>
      <c r="BL180" s="57">
        <v>3591649</v>
      </c>
      <c r="BM180" s="57" t="s">
        <v>4123</v>
      </c>
      <c r="BN180" s="57">
        <v>18</v>
      </c>
      <c r="BO180" s="57" t="s">
        <v>3476</v>
      </c>
      <c r="BP180" s="57" t="s">
        <v>3476</v>
      </c>
      <c r="BQ180" s="57" t="s">
        <v>3476</v>
      </c>
      <c r="BR180" s="57" t="s">
        <v>4124</v>
      </c>
      <c r="BS180" s="57" t="s">
        <v>1292</v>
      </c>
      <c r="BT180" s="57" t="s">
        <v>3476</v>
      </c>
      <c r="BU180" s="57" t="s">
        <v>3476</v>
      </c>
      <c r="BV180" s="57" t="s">
        <v>3753</v>
      </c>
      <c r="BW180" s="57" t="s">
        <v>3476</v>
      </c>
      <c r="BX180" s="57">
        <v>18</v>
      </c>
      <c r="BY180" s="57" t="s">
        <v>3476</v>
      </c>
      <c r="BZ180" s="57" t="s">
        <v>3476</v>
      </c>
      <c r="CA180" s="57" t="s">
        <v>3476</v>
      </c>
      <c r="CB180" s="57" t="s">
        <v>3476</v>
      </c>
      <c r="CC180" s="57" t="s">
        <v>3476</v>
      </c>
      <c r="CD180" s="57" t="s">
        <v>3476</v>
      </c>
    </row>
    <row r="181" spans="1:82">
      <c r="A181" s="57">
        <v>16825</v>
      </c>
      <c r="B181" s="57" t="s">
        <v>3476</v>
      </c>
      <c r="C181" s="57" t="s">
        <v>4118</v>
      </c>
      <c r="D181" s="57" t="s">
        <v>3476</v>
      </c>
      <c r="E181" s="57" t="s">
        <v>3730</v>
      </c>
      <c r="F181" s="57" t="s">
        <v>4119</v>
      </c>
      <c r="G181" s="57" t="s">
        <v>721</v>
      </c>
      <c r="H181" s="57" t="s">
        <v>2874</v>
      </c>
      <c r="I181" s="57">
        <v>47837.64</v>
      </c>
      <c r="J181" s="57" t="s">
        <v>3476</v>
      </c>
      <c r="K181" s="57" t="s">
        <v>3476</v>
      </c>
      <c r="L181" s="57" t="s">
        <v>3730</v>
      </c>
      <c r="M181" s="57" t="s">
        <v>4120</v>
      </c>
      <c r="N181" s="57" t="s">
        <v>4120</v>
      </c>
      <c r="O181" s="57" t="s">
        <v>3476</v>
      </c>
      <c r="P181" s="57" t="s">
        <v>3476</v>
      </c>
      <c r="Q181" s="57" t="s">
        <v>2874</v>
      </c>
      <c r="R181" s="57" t="s">
        <v>3781</v>
      </c>
      <c r="S181" s="57" t="s">
        <v>3782</v>
      </c>
      <c r="T181" s="57" t="s">
        <v>3736</v>
      </c>
      <c r="U181" s="57" t="s">
        <v>3476</v>
      </c>
      <c r="V181" s="57" t="s">
        <v>3469</v>
      </c>
      <c r="W181" s="57" t="s">
        <v>3476</v>
      </c>
      <c r="X181" s="57" t="s">
        <v>4121</v>
      </c>
      <c r="Y181" s="57" t="s">
        <v>3738</v>
      </c>
      <c r="Z181" s="57" t="s">
        <v>4122</v>
      </c>
      <c r="AA181" s="57" t="s">
        <v>3476</v>
      </c>
      <c r="AB181" s="57" t="s">
        <v>3476</v>
      </c>
      <c r="AC181" s="57" t="s">
        <v>3476</v>
      </c>
      <c r="AD181" s="57" t="s">
        <v>3476</v>
      </c>
      <c r="AE181" s="57" t="s">
        <v>3476</v>
      </c>
      <c r="AF181" s="57" t="s">
        <v>3476</v>
      </c>
      <c r="AG181" s="57" t="s">
        <v>3476</v>
      </c>
      <c r="AH181" s="57" t="s">
        <v>3476</v>
      </c>
      <c r="AI181" s="57" t="s">
        <v>3476</v>
      </c>
      <c r="AJ181" s="57" t="s">
        <v>3476</v>
      </c>
      <c r="AK181" s="57" t="s">
        <v>3476</v>
      </c>
      <c r="AL181" s="57" t="s">
        <v>3476</v>
      </c>
      <c r="AM181" s="57" t="s">
        <v>3476</v>
      </c>
      <c r="AN181" s="57" t="s">
        <v>3476</v>
      </c>
      <c r="AO181" s="57" t="s">
        <v>3476</v>
      </c>
      <c r="AP181" s="58">
        <v>45853.0316087963</v>
      </c>
      <c r="AQ181" s="57" t="s">
        <v>3476</v>
      </c>
      <c r="AR181" s="57" t="s">
        <v>3476</v>
      </c>
      <c r="AS181" s="57" t="s">
        <v>3502</v>
      </c>
      <c r="AT181" s="57" t="s">
        <v>3745</v>
      </c>
      <c r="AU181" s="57" t="s">
        <v>3476</v>
      </c>
      <c r="AV181" s="57" t="s">
        <v>3476</v>
      </c>
      <c r="AW181" s="58">
        <v>45852.9884953704</v>
      </c>
      <c r="AX181" s="57" t="s">
        <v>3476</v>
      </c>
      <c r="AY181" s="57" t="s">
        <v>3747</v>
      </c>
      <c r="AZ181" s="57" t="s">
        <v>3476</v>
      </c>
      <c r="BA181" s="57" t="s">
        <v>3476</v>
      </c>
      <c r="BB181" s="57" t="s">
        <v>3476</v>
      </c>
      <c r="BC181" s="57" t="s">
        <v>1787</v>
      </c>
      <c r="BD181" s="57" t="s">
        <v>3659</v>
      </c>
      <c r="BE181" s="57" t="s">
        <v>3787</v>
      </c>
      <c r="BF181" s="57" t="s">
        <v>3749</v>
      </c>
      <c r="BG181" s="57" t="s">
        <v>3476</v>
      </c>
      <c r="BH181" s="57" t="s">
        <v>3476</v>
      </c>
      <c r="BI181" s="57" t="s">
        <v>2809</v>
      </c>
      <c r="BJ181" s="57" t="s">
        <v>3476</v>
      </c>
      <c r="BK181" s="57" t="s">
        <v>3476</v>
      </c>
      <c r="BL181" s="57">
        <v>3591648</v>
      </c>
      <c r="BM181" s="57" t="s">
        <v>4123</v>
      </c>
      <c r="BN181" s="57">
        <v>188</v>
      </c>
      <c r="BO181" s="57" t="s">
        <v>3476</v>
      </c>
      <c r="BP181" s="57" t="s">
        <v>3476</v>
      </c>
      <c r="BQ181" s="57" t="s">
        <v>3476</v>
      </c>
      <c r="BR181" s="57" t="s">
        <v>4124</v>
      </c>
      <c r="BS181" s="57" t="s">
        <v>1292</v>
      </c>
      <c r="BT181" s="57" t="s">
        <v>3476</v>
      </c>
      <c r="BU181" s="57" t="s">
        <v>3476</v>
      </c>
      <c r="BV181" s="57" t="s">
        <v>3753</v>
      </c>
      <c r="BW181" s="57" t="s">
        <v>3476</v>
      </c>
      <c r="BX181" s="57">
        <v>188</v>
      </c>
      <c r="BY181" s="57" t="s">
        <v>3476</v>
      </c>
      <c r="BZ181" s="57" t="s">
        <v>3476</v>
      </c>
      <c r="CA181" s="57" t="s">
        <v>3476</v>
      </c>
      <c r="CB181" s="57" t="s">
        <v>3476</v>
      </c>
      <c r="CC181" s="57" t="s">
        <v>3476</v>
      </c>
      <c r="CD181" s="57" t="s">
        <v>3476</v>
      </c>
    </row>
    <row r="182" spans="1:82">
      <c r="A182" s="57">
        <v>16828</v>
      </c>
      <c r="B182" s="57" t="s">
        <v>3476</v>
      </c>
      <c r="C182" s="57" t="s">
        <v>4125</v>
      </c>
      <c r="D182" s="57" t="s">
        <v>3476</v>
      </c>
      <c r="E182" s="57" t="s">
        <v>3730</v>
      </c>
      <c r="F182" s="57" t="s">
        <v>4126</v>
      </c>
      <c r="G182" s="57" t="s">
        <v>721</v>
      </c>
      <c r="H182" s="57" t="s">
        <v>3598</v>
      </c>
      <c r="I182" s="57">
        <v>7900</v>
      </c>
      <c r="J182" s="57" t="s">
        <v>3476</v>
      </c>
      <c r="K182" s="57" t="s">
        <v>3476</v>
      </c>
      <c r="L182" s="57" t="s">
        <v>3730</v>
      </c>
      <c r="M182" s="57" t="s">
        <v>4120</v>
      </c>
      <c r="N182" s="57" t="s">
        <v>4120</v>
      </c>
      <c r="O182" s="57" t="s">
        <v>3476</v>
      </c>
      <c r="P182" s="57" t="s">
        <v>3476</v>
      </c>
      <c r="Q182" s="57" t="s">
        <v>3598</v>
      </c>
      <c r="R182" s="57" t="s">
        <v>3839</v>
      </c>
      <c r="S182" s="57" t="s">
        <v>3840</v>
      </c>
      <c r="T182" s="57" t="s">
        <v>3736</v>
      </c>
      <c r="U182" s="57" t="s">
        <v>3476</v>
      </c>
      <c r="V182" s="57" t="s">
        <v>3469</v>
      </c>
      <c r="W182" s="57" t="s">
        <v>3476</v>
      </c>
      <c r="X182" s="57" t="s">
        <v>4127</v>
      </c>
      <c r="Y182" s="57" t="s">
        <v>3738</v>
      </c>
      <c r="Z182" s="57" t="s">
        <v>4128</v>
      </c>
      <c r="AA182" s="57" t="s">
        <v>3476</v>
      </c>
      <c r="AB182" s="57" t="s">
        <v>3476</v>
      </c>
      <c r="AC182" s="57" t="s">
        <v>3476</v>
      </c>
      <c r="AD182" s="57" t="s">
        <v>3476</v>
      </c>
      <c r="AE182" s="57" t="s">
        <v>3476</v>
      </c>
      <c r="AF182" s="57" t="s">
        <v>3476</v>
      </c>
      <c r="AG182" s="57" t="s">
        <v>3476</v>
      </c>
      <c r="AH182" s="57" t="s">
        <v>3476</v>
      </c>
      <c r="AI182" s="57" t="s">
        <v>3476</v>
      </c>
      <c r="AJ182" s="57" t="s">
        <v>3476</v>
      </c>
      <c r="AK182" s="57" t="s">
        <v>3476</v>
      </c>
      <c r="AL182" s="57" t="s">
        <v>3476</v>
      </c>
      <c r="AM182" s="57" t="s">
        <v>3476</v>
      </c>
      <c r="AN182" s="57" t="s">
        <v>3476</v>
      </c>
      <c r="AO182" s="57" t="s">
        <v>3476</v>
      </c>
      <c r="AP182" s="58">
        <v>45824.6147222222</v>
      </c>
      <c r="AQ182" s="57" t="s">
        <v>3476</v>
      </c>
      <c r="AR182" s="57" t="s">
        <v>3476</v>
      </c>
      <c r="AS182" s="57" t="s">
        <v>3502</v>
      </c>
      <c r="AT182" s="57" t="s">
        <v>3745</v>
      </c>
      <c r="AU182" s="57" t="s">
        <v>3476</v>
      </c>
      <c r="AV182" s="57" t="s">
        <v>3476</v>
      </c>
      <c r="AW182" s="58">
        <v>45823.611400463</v>
      </c>
      <c r="AX182" s="57" t="s">
        <v>3476</v>
      </c>
      <c r="AY182" s="57" t="s">
        <v>3747</v>
      </c>
      <c r="AZ182" s="57" t="s">
        <v>3476</v>
      </c>
      <c r="BA182" s="57" t="s">
        <v>3476</v>
      </c>
      <c r="BB182" s="57" t="s">
        <v>3476</v>
      </c>
      <c r="BC182" s="57" t="s">
        <v>3845</v>
      </c>
      <c r="BD182" s="57" t="s">
        <v>3846</v>
      </c>
      <c r="BE182" s="57" t="s">
        <v>2828</v>
      </c>
      <c r="BF182" s="57" t="s">
        <v>3749</v>
      </c>
      <c r="BG182" s="57" t="s">
        <v>3476</v>
      </c>
      <c r="BH182" s="57" t="s">
        <v>3476</v>
      </c>
      <c r="BI182" s="57" t="s">
        <v>2809</v>
      </c>
      <c r="BJ182" s="57" t="s">
        <v>3476</v>
      </c>
      <c r="BK182" s="57" t="s">
        <v>3476</v>
      </c>
      <c r="BL182" s="57">
        <v>3316660</v>
      </c>
      <c r="BM182" s="57" t="s">
        <v>4129</v>
      </c>
      <c r="BN182" s="57">
        <v>7900</v>
      </c>
      <c r="BO182" s="57" t="s">
        <v>3476</v>
      </c>
      <c r="BP182" s="57" t="s">
        <v>3476</v>
      </c>
      <c r="BQ182" s="57" t="s">
        <v>3476</v>
      </c>
      <c r="BR182" s="57" t="s">
        <v>4130</v>
      </c>
      <c r="BS182" s="57" t="s">
        <v>1292</v>
      </c>
      <c r="BT182" s="57" t="s">
        <v>3476</v>
      </c>
      <c r="BU182" s="57" t="s">
        <v>3476</v>
      </c>
      <c r="BV182" s="57" t="s">
        <v>3753</v>
      </c>
      <c r="BW182" s="57" t="s">
        <v>3476</v>
      </c>
      <c r="BX182" s="57">
        <v>7900</v>
      </c>
      <c r="BY182" s="57" t="s">
        <v>3476</v>
      </c>
      <c r="BZ182" s="57" t="s">
        <v>3476</v>
      </c>
      <c r="CA182" s="57" t="s">
        <v>3476</v>
      </c>
      <c r="CB182" s="57" t="s">
        <v>3476</v>
      </c>
      <c r="CC182" s="57" t="s">
        <v>3476</v>
      </c>
      <c r="CD182" s="57" t="s">
        <v>3476</v>
      </c>
    </row>
    <row r="183" spans="1:82">
      <c r="A183" s="57">
        <v>19134</v>
      </c>
      <c r="B183" s="57" t="s">
        <v>3941</v>
      </c>
      <c r="C183" s="57" t="s">
        <v>3476</v>
      </c>
      <c r="D183" s="57" t="s">
        <v>4131</v>
      </c>
      <c r="E183" s="57" t="s">
        <v>3730</v>
      </c>
      <c r="F183" s="57" t="s">
        <v>4132</v>
      </c>
      <c r="G183" s="57" t="s">
        <v>721</v>
      </c>
      <c r="H183" s="57" t="s">
        <v>3480</v>
      </c>
      <c r="I183" s="57">
        <v>8540.6</v>
      </c>
      <c r="J183" s="57" t="s">
        <v>3476</v>
      </c>
      <c r="K183" s="57" t="s">
        <v>3476</v>
      </c>
      <c r="L183" s="57" t="s">
        <v>3732</v>
      </c>
      <c r="M183" s="57" t="s">
        <v>4133</v>
      </c>
      <c r="N183" s="57" t="s">
        <v>4133</v>
      </c>
      <c r="O183" s="57" t="s">
        <v>3476</v>
      </c>
      <c r="P183" s="57" t="s">
        <v>3476</v>
      </c>
      <c r="Q183" s="57" t="s">
        <v>3480</v>
      </c>
      <c r="R183" s="57" t="s">
        <v>3799</v>
      </c>
      <c r="S183" s="57" t="s">
        <v>3800</v>
      </c>
      <c r="T183" s="57" t="s">
        <v>3476</v>
      </c>
      <c r="U183" s="57" t="s">
        <v>3476</v>
      </c>
      <c r="V183" s="57" t="s">
        <v>3469</v>
      </c>
      <c r="W183" s="57" t="s">
        <v>3476</v>
      </c>
      <c r="X183" s="57" t="s">
        <v>4134</v>
      </c>
      <c r="Y183" s="57" t="s">
        <v>3738</v>
      </c>
      <c r="Z183" s="57" t="s">
        <v>4135</v>
      </c>
      <c r="AA183" s="57" t="s">
        <v>3944</v>
      </c>
      <c r="AB183" s="57" t="s">
        <v>3922</v>
      </c>
      <c r="AC183" s="57" t="s">
        <v>3741</v>
      </c>
      <c r="AD183" s="57" t="s">
        <v>3476</v>
      </c>
      <c r="AE183" s="57" t="s">
        <v>3476</v>
      </c>
      <c r="AF183" s="57" t="s">
        <v>3923</v>
      </c>
      <c r="AG183" s="57" t="s">
        <v>3476</v>
      </c>
      <c r="AH183" s="57" t="s">
        <v>3476</v>
      </c>
      <c r="AI183" s="57" t="s">
        <v>3923</v>
      </c>
      <c r="AJ183" s="57" t="s">
        <v>3476</v>
      </c>
      <c r="AK183" s="57" t="s">
        <v>1292</v>
      </c>
      <c r="AL183" s="57" t="s">
        <v>4136</v>
      </c>
      <c r="AM183" s="57" t="s">
        <v>3476</v>
      </c>
      <c r="AN183" s="57" t="s">
        <v>3911</v>
      </c>
      <c r="AO183" s="57" t="s">
        <v>3476</v>
      </c>
      <c r="AP183" s="58">
        <v>45729.7612962963</v>
      </c>
      <c r="AQ183" s="57" t="s">
        <v>3476</v>
      </c>
      <c r="AR183" s="57" t="s">
        <v>3507</v>
      </c>
      <c r="AS183" s="57" t="s">
        <v>3476</v>
      </c>
      <c r="AT183" s="57" t="s">
        <v>3948</v>
      </c>
      <c r="AU183" s="57" t="s">
        <v>4137</v>
      </c>
      <c r="AV183" s="57" t="s">
        <v>4131</v>
      </c>
      <c r="AW183" s="58">
        <v>45678.9633796296</v>
      </c>
      <c r="AX183" s="57" t="s">
        <v>4136</v>
      </c>
      <c r="AY183" s="57" t="s">
        <v>3747</v>
      </c>
      <c r="AZ183" s="57" t="s">
        <v>3476</v>
      </c>
      <c r="BA183" s="57" t="s">
        <v>3476</v>
      </c>
      <c r="BB183" s="57" t="s">
        <v>3476</v>
      </c>
      <c r="BC183" s="57" t="s">
        <v>3476</v>
      </c>
      <c r="BD183" s="57" t="s">
        <v>4087</v>
      </c>
      <c r="BE183" s="57" t="s">
        <v>3476</v>
      </c>
      <c r="BF183" s="57" t="s">
        <v>3749</v>
      </c>
      <c r="BG183" s="57" t="s">
        <v>3476</v>
      </c>
      <c r="BH183" s="57" t="s">
        <v>3476</v>
      </c>
      <c r="BI183" s="57" t="s">
        <v>3929</v>
      </c>
      <c r="BJ183" s="57" t="s">
        <v>3476</v>
      </c>
      <c r="BK183" s="57" t="s">
        <v>3476</v>
      </c>
      <c r="BL183" s="57" t="s">
        <v>3476</v>
      </c>
      <c r="BM183" s="57" t="s">
        <v>3476</v>
      </c>
      <c r="BN183" s="57">
        <v>8540.6</v>
      </c>
      <c r="BO183" s="57" t="s">
        <v>3476</v>
      </c>
      <c r="BP183" s="57" t="s">
        <v>3930</v>
      </c>
      <c r="BQ183" s="57" t="s">
        <v>3476</v>
      </c>
      <c r="BR183" s="57" t="s">
        <v>3476</v>
      </c>
      <c r="BS183" s="57" t="s">
        <v>3476</v>
      </c>
      <c r="BT183" s="57" t="s">
        <v>1292</v>
      </c>
      <c r="BU183" s="57" t="s">
        <v>3476</v>
      </c>
      <c r="BV183" s="57" t="s">
        <v>3753</v>
      </c>
      <c r="BW183" s="57" t="s">
        <v>3476</v>
      </c>
      <c r="BX183" s="57">
        <v>8540.6</v>
      </c>
      <c r="BY183" s="57" t="s">
        <v>3476</v>
      </c>
      <c r="BZ183" s="57" t="s">
        <v>721</v>
      </c>
      <c r="CA183" s="57" t="s">
        <v>3476</v>
      </c>
      <c r="CB183" s="57" t="s">
        <v>3476</v>
      </c>
      <c r="CC183" s="57" t="s">
        <v>3476</v>
      </c>
      <c r="CD183" s="57" t="s">
        <v>4057</v>
      </c>
    </row>
    <row r="184" spans="1:82">
      <c r="A184" s="57">
        <v>19135</v>
      </c>
      <c r="B184" s="57" t="s">
        <v>3917</v>
      </c>
      <c r="C184" s="57" t="s">
        <v>3476</v>
      </c>
      <c r="D184" s="57" t="s">
        <v>4138</v>
      </c>
      <c r="E184" s="57" t="s">
        <v>3730</v>
      </c>
      <c r="F184" s="57" t="s">
        <v>4139</v>
      </c>
      <c r="G184" s="57" t="s">
        <v>721</v>
      </c>
      <c r="H184" s="57" t="s">
        <v>3480</v>
      </c>
      <c r="I184" s="57">
        <v>1400</v>
      </c>
      <c r="J184" s="57" t="s">
        <v>3476</v>
      </c>
      <c r="K184" s="57" t="s">
        <v>3476</v>
      </c>
      <c r="L184" s="57" t="s">
        <v>3732</v>
      </c>
      <c r="M184" s="57" t="s">
        <v>4133</v>
      </c>
      <c r="N184" s="57" t="s">
        <v>4133</v>
      </c>
      <c r="O184" s="57" t="s">
        <v>3476</v>
      </c>
      <c r="P184" s="57" t="s">
        <v>3476</v>
      </c>
      <c r="Q184" s="57" t="s">
        <v>3480</v>
      </c>
      <c r="R184" s="57" t="s">
        <v>3799</v>
      </c>
      <c r="S184" s="57" t="s">
        <v>3800</v>
      </c>
      <c r="T184" s="57" t="s">
        <v>3476</v>
      </c>
      <c r="U184" s="57" t="s">
        <v>3476</v>
      </c>
      <c r="V184" s="57" t="s">
        <v>3469</v>
      </c>
      <c r="W184" s="57" t="s">
        <v>3476</v>
      </c>
      <c r="X184" s="57" t="s">
        <v>4140</v>
      </c>
      <c r="Y184" s="57" t="s">
        <v>3738</v>
      </c>
      <c r="Z184" s="57" t="s">
        <v>4133</v>
      </c>
      <c r="AA184" s="57" t="s">
        <v>3944</v>
      </c>
      <c r="AB184" s="57" t="s">
        <v>3922</v>
      </c>
      <c r="AC184" s="57" t="s">
        <v>3741</v>
      </c>
      <c r="AD184" s="57" t="s">
        <v>3476</v>
      </c>
      <c r="AE184" s="57" t="s">
        <v>3476</v>
      </c>
      <c r="AF184" s="57" t="s">
        <v>3923</v>
      </c>
      <c r="AG184" s="57" t="s">
        <v>3476</v>
      </c>
      <c r="AH184" s="57" t="s">
        <v>3476</v>
      </c>
      <c r="AI184" s="57" t="s">
        <v>3923</v>
      </c>
      <c r="AJ184" s="57" t="s">
        <v>3476</v>
      </c>
      <c r="AK184" s="57" t="s">
        <v>1292</v>
      </c>
      <c r="AL184" s="57" t="s">
        <v>4141</v>
      </c>
      <c r="AM184" s="57" t="s">
        <v>3476</v>
      </c>
      <c r="AN184" s="57" t="s">
        <v>3937</v>
      </c>
      <c r="AO184" s="57" t="s">
        <v>3476</v>
      </c>
      <c r="AP184" s="58">
        <v>45729.7612847222</v>
      </c>
      <c r="AQ184" s="57" t="s">
        <v>3476</v>
      </c>
      <c r="AR184" s="57" t="s">
        <v>3507</v>
      </c>
      <c r="AS184" s="57" t="s">
        <v>3476</v>
      </c>
      <c r="AT184" s="57" t="s">
        <v>3926</v>
      </c>
      <c r="AU184" s="57" t="s">
        <v>4142</v>
      </c>
      <c r="AV184" s="57" t="s">
        <v>4138</v>
      </c>
      <c r="AW184" s="58">
        <v>45678.4115856482</v>
      </c>
      <c r="AX184" s="57" t="s">
        <v>4141</v>
      </c>
      <c r="AY184" s="57" t="s">
        <v>3747</v>
      </c>
      <c r="AZ184" s="57" t="s">
        <v>3476</v>
      </c>
      <c r="BA184" s="57" t="s">
        <v>3476</v>
      </c>
      <c r="BB184" s="57" t="s">
        <v>3476</v>
      </c>
      <c r="BC184" s="57" t="s">
        <v>3476</v>
      </c>
      <c r="BD184" s="57" t="s">
        <v>4143</v>
      </c>
      <c r="BE184" s="57" t="s">
        <v>3476</v>
      </c>
      <c r="BF184" s="57" t="s">
        <v>3749</v>
      </c>
      <c r="BG184" s="57" t="s">
        <v>3476</v>
      </c>
      <c r="BH184" s="57" t="s">
        <v>3476</v>
      </c>
      <c r="BI184" s="57" t="s">
        <v>3929</v>
      </c>
      <c r="BJ184" s="57" t="s">
        <v>3476</v>
      </c>
      <c r="BK184" s="57" t="s">
        <v>3476</v>
      </c>
      <c r="BL184" s="57" t="s">
        <v>3476</v>
      </c>
      <c r="BM184" s="57" t="s">
        <v>3476</v>
      </c>
      <c r="BN184" s="57">
        <v>1400</v>
      </c>
      <c r="BO184" s="57" t="s">
        <v>3476</v>
      </c>
      <c r="BP184" s="57" t="s">
        <v>3930</v>
      </c>
      <c r="BQ184" s="57" t="s">
        <v>3476</v>
      </c>
      <c r="BR184" s="57" t="s">
        <v>3476</v>
      </c>
      <c r="BS184" s="57" t="s">
        <v>3476</v>
      </c>
      <c r="BT184" s="57" t="s">
        <v>1292</v>
      </c>
      <c r="BU184" s="57" t="s">
        <v>3476</v>
      </c>
      <c r="BV184" s="57" t="s">
        <v>3753</v>
      </c>
      <c r="BW184" s="57" t="s">
        <v>3476</v>
      </c>
      <c r="BX184" s="57">
        <v>1400</v>
      </c>
      <c r="BY184" s="57" t="s">
        <v>3476</v>
      </c>
      <c r="BZ184" s="57" t="s">
        <v>721</v>
      </c>
      <c r="CA184" s="57" t="s">
        <v>3476</v>
      </c>
      <c r="CB184" s="57" t="s">
        <v>3476</v>
      </c>
      <c r="CC184" s="57" t="s">
        <v>3476</v>
      </c>
      <c r="CD184" s="57" t="s">
        <v>4057</v>
      </c>
    </row>
    <row r="185" spans="1:82">
      <c r="A185" s="57">
        <v>21001</v>
      </c>
      <c r="B185" s="57" t="s">
        <v>3476</v>
      </c>
      <c r="C185" s="57" t="s">
        <v>4144</v>
      </c>
      <c r="D185" s="57" t="s">
        <v>3476</v>
      </c>
      <c r="E185" s="57" t="s">
        <v>3730</v>
      </c>
      <c r="F185" s="57" t="s">
        <v>4145</v>
      </c>
      <c r="G185" s="57" t="s">
        <v>721</v>
      </c>
      <c r="H185" s="57" t="s">
        <v>2874</v>
      </c>
      <c r="I185" s="57">
        <v>112308</v>
      </c>
      <c r="J185" s="57" t="s">
        <v>3476</v>
      </c>
      <c r="K185" s="57" t="s">
        <v>3476</v>
      </c>
      <c r="L185" s="57" t="s">
        <v>3732</v>
      </c>
      <c r="M185" s="57" t="s">
        <v>4146</v>
      </c>
      <c r="N185" s="57" t="s">
        <v>4146</v>
      </c>
      <c r="O185" s="57" t="s">
        <v>3476</v>
      </c>
      <c r="P185" s="57" t="s">
        <v>3476</v>
      </c>
      <c r="Q185" s="57" t="s">
        <v>2874</v>
      </c>
      <c r="R185" s="57" t="s">
        <v>3781</v>
      </c>
      <c r="S185" s="57" t="s">
        <v>3782</v>
      </c>
      <c r="T185" s="57" t="s">
        <v>3736</v>
      </c>
      <c r="U185" s="57" t="s">
        <v>3476</v>
      </c>
      <c r="V185" s="57" t="s">
        <v>3469</v>
      </c>
      <c r="W185" s="57" t="s">
        <v>3476</v>
      </c>
      <c r="X185" s="57" t="s">
        <v>4021</v>
      </c>
      <c r="Y185" s="57" t="s">
        <v>3738</v>
      </c>
      <c r="Z185" s="57" t="s">
        <v>4147</v>
      </c>
      <c r="AA185" s="57" t="s">
        <v>3733</v>
      </c>
      <c r="AB185" s="57" t="s">
        <v>3476</v>
      </c>
      <c r="AC185" s="57" t="s">
        <v>3741</v>
      </c>
      <c r="AD185" s="57" t="s">
        <v>3476</v>
      </c>
      <c r="AE185" s="57" t="s">
        <v>3476</v>
      </c>
      <c r="AF185" s="57" t="s">
        <v>3476</v>
      </c>
      <c r="AG185" s="57" t="s">
        <v>3476</v>
      </c>
      <c r="AH185" s="57" t="s">
        <v>3476</v>
      </c>
      <c r="AI185" s="57" t="s">
        <v>3476</v>
      </c>
      <c r="AJ185" s="57" t="s">
        <v>3476</v>
      </c>
      <c r="AK185" s="57" t="s">
        <v>1292</v>
      </c>
      <c r="AL185" s="57" t="s">
        <v>4148</v>
      </c>
      <c r="AM185" s="57" t="s">
        <v>3476</v>
      </c>
      <c r="AN185" s="57" t="s">
        <v>3830</v>
      </c>
      <c r="AO185" s="57" t="s">
        <v>3476</v>
      </c>
      <c r="AP185" s="58">
        <v>45768.6981134259</v>
      </c>
      <c r="AQ185" s="57" t="s">
        <v>3476</v>
      </c>
      <c r="AR185" s="57" t="s">
        <v>3806</v>
      </c>
      <c r="AS185" s="57" t="s">
        <v>3502</v>
      </c>
      <c r="AT185" s="57" t="s">
        <v>3745</v>
      </c>
      <c r="AU185" s="57" t="s">
        <v>4149</v>
      </c>
      <c r="AV185" s="57" t="s">
        <v>3476</v>
      </c>
      <c r="AW185" s="58">
        <v>45701.6948148148</v>
      </c>
      <c r="AX185" s="57" t="s">
        <v>4148</v>
      </c>
      <c r="AY185" s="57" t="s">
        <v>3747</v>
      </c>
      <c r="AZ185" s="57" t="s">
        <v>3476</v>
      </c>
      <c r="BA185" s="57" t="s">
        <v>3476</v>
      </c>
      <c r="BB185" s="57" t="s">
        <v>3476</v>
      </c>
      <c r="BC185" s="57" t="s">
        <v>3791</v>
      </c>
      <c r="BD185" s="57" t="s">
        <v>3659</v>
      </c>
      <c r="BE185" s="57" t="s">
        <v>4150</v>
      </c>
      <c r="BF185" s="57" t="s">
        <v>3749</v>
      </c>
      <c r="BG185" s="57" t="s">
        <v>3476</v>
      </c>
      <c r="BH185" s="57" t="s">
        <v>3476</v>
      </c>
      <c r="BI185" s="57" t="s">
        <v>2809</v>
      </c>
      <c r="BJ185" s="57" t="s">
        <v>3476</v>
      </c>
      <c r="BK185" s="57" t="s">
        <v>3476</v>
      </c>
      <c r="BL185" s="57">
        <v>3431141</v>
      </c>
      <c r="BM185" s="57" t="s">
        <v>4151</v>
      </c>
      <c r="BN185" s="57" t="s">
        <v>3476</v>
      </c>
      <c r="BO185" s="57">
        <v>380</v>
      </c>
      <c r="BP185" s="57" t="s">
        <v>3810</v>
      </c>
      <c r="BQ185" s="57" t="s">
        <v>3476</v>
      </c>
      <c r="BR185" s="57" t="s">
        <v>4152</v>
      </c>
      <c r="BS185" s="57" t="s">
        <v>1292</v>
      </c>
      <c r="BT185" s="57" t="s">
        <v>3476</v>
      </c>
      <c r="BU185" s="57" t="s">
        <v>3476</v>
      </c>
      <c r="BV185" s="57" t="s">
        <v>3753</v>
      </c>
      <c r="BW185" s="57" t="s">
        <v>3476</v>
      </c>
      <c r="BX185" s="57">
        <v>380</v>
      </c>
      <c r="BY185" s="57" t="s">
        <v>3476</v>
      </c>
      <c r="BZ185" s="57" t="s">
        <v>3476</v>
      </c>
      <c r="CA185" s="57" t="s">
        <v>3476</v>
      </c>
      <c r="CB185" s="57" t="s">
        <v>3476</v>
      </c>
      <c r="CC185" s="57" t="s">
        <v>3476</v>
      </c>
      <c r="CD185" s="57" t="s">
        <v>3476</v>
      </c>
    </row>
    <row r="186" spans="1:82">
      <c r="A186" s="57">
        <v>21002</v>
      </c>
      <c r="B186" s="57" t="s">
        <v>3476</v>
      </c>
      <c r="C186" s="57" t="s">
        <v>4144</v>
      </c>
      <c r="D186" s="57" t="s">
        <v>3476</v>
      </c>
      <c r="E186" s="57" t="s">
        <v>3730</v>
      </c>
      <c r="F186" s="57" t="s">
        <v>4145</v>
      </c>
      <c r="G186" s="57" t="s">
        <v>721</v>
      </c>
      <c r="H186" s="57" t="s">
        <v>2874</v>
      </c>
      <c r="I186" s="57">
        <v>112308</v>
      </c>
      <c r="J186" s="57" t="s">
        <v>3476</v>
      </c>
      <c r="K186" s="57" t="s">
        <v>3476</v>
      </c>
      <c r="L186" s="57" t="s">
        <v>3732</v>
      </c>
      <c r="M186" s="57" t="s">
        <v>4146</v>
      </c>
      <c r="N186" s="57" t="s">
        <v>4146</v>
      </c>
      <c r="O186" s="57" t="s">
        <v>3476</v>
      </c>
      <c r="P186" s="57" t="s">
        <v>3476</v>
      </c>
      <c r="Q186" s="57" t="s">
        <v>2874</v>
      </c>
      <c r="R186" s="57" t="s">
        <v>3781</v>
      </c>
      <c r="S186" s="57" t="s">
        <v>3782</v>
      </c>
      <c r="T186" s="57" t="s">
        <v>3736</v>
      </c>
      <c r="U186" s="57" t="s">
        <v>3476</v>
      </c>
      <c r="V186" s="57" t="s">
        <v>3469</v>
      </c>
      <c r="W186" s="57" t="s">
        <v>3476</v>
      </c>
      <c r="X186" s="57" t="s">
        <v>4021</v>
      </c>
      <c r="Y186" s="57" t="s">
        <v>3738</v>
      </c>
      <c r="Z186" s="57" t="s">
        <v>4147</v>
      </c>
      <c r="AA186" s="57" t="s">
        <v>3733</v>
      </c>
      <c r="AB186" s="57" t="s">
        <v>3476</v>
      </c>
      <c r="AC186" s="57" t="s">
        <v>3741</v>
      </c>
      <c r="AD186" s="57" t="s">
        <v>3476</v>
      </c>
      <c r="AE186" s="57" t="s">
        <v>3476</v>
      </c>
      <c r="AF186" s="57" t="s">
        <v>3476</v>
      </c>
      <c r="AG186" s="57" t="s">
        <v>3476</v>
      </c>
      <c r="AH186" s="57" t="s">
        <v>3476</v>
      </c>
      <c r="AI186" s="57" t="s">
        <v>3476</v>
      </c>
      <c r="AJ186" s="57" t="s">
        <v>3476</v>
      </c>
      <c r="AK186" s="57" t="s">
        <v>1292</v>
      </c>
      <c r="AL186" s="57" t="s">
        <v>4148</v>
      </c>
      <c r="AM186" s="57" t="s">
        <v>3476</v>
      </c>
      <c r="AN186" s="57" t="s">
        <v>3830</v>
      </c>
      <c r="AO186" s="57" t="s">
        <v>3476</v>
      </c>
      <c r="AP186" s="58">
        <v>45768.6981134259</v>
      </c>
      <c r="AQ186" s="57" t="s">
        <v>3476</v>
      </c>
      <c r="AR186" s="57" t="s">
        <v>3806</v>
      </c>
      <c r="AS186" s="57" t="s">
        <v>3502</v>
      </c>
      <c r="AT186" s="57" t="s">
        <v>3745</v>
      </c>
      <c r="AU186" s="57" t="s">
        <v>4149</v>
      </c>
      <c r="AV186" s="57" t="s">
        <v>3476</v>
      </c>
      <c r="AW186" s="58">
        <v>45701.6948148148</v>
      </c>
      <c r="AX186" s="57" t="s">
        <v>4148</v>
      </c>
      <c r="AY186" s="57" t="s">
        <v>3747</v>
      </c>
      <c r="AZ186" s="57" t="s">
        <v>3476</v>
      </c>
      <c r="BA186" s="57" t="s">
        <v>3476</v>
      </c>
      <c r="BB186" s="57" t="s">
        <v>3476</v>
      </c>
      <c r="BC186" s="57" t="s">
        <v>1787</v>
      </c>
      <c r="BD186" s="57" t="s">
        <v>3659</v>
      </c>
      <c r="BE186" s="57" t="s">
        <v>4150</v>
      </c>
      <c r="BF186" s="57" t="s">
        <v>3749</v>
      </c>
      <c r="BG186" s="57" t="s">
        <v>3476</v>
      </c>
      <c r="BH186" s="57" t="s">
        <v>3476</v>
      </c>
      <c r="BI186" s="57" t="s">
        <v>2809</v>
      </c>
      <c r="BJ186" s="57" t="s">
        <v>3476</v>
      </c>
      <c r="BK186" s="57" t="s">
        <v>3476</v>
      </c>
      <c r="BL186" s="57">
        <v>3431090</v>
      </c>
      <c r="BM186" s="57" t="s">
        <v>4151</v>
      </c>
      <c r="BN186" s="57" t="s">
        <v>3476</v>
      </c>
      <c r="BO186" s="57">
        <v>224</v>
      </c>
      <c r="BP186" s="57" t="s">
        <v>3810</v>
      </c>
      <c r="BQ186" s="57" t="s">
        <v>3476</v>
      </c>
      <c r="BR186" s="57" t="s">
        <v>4152</v>
      </c>
      <c r="BS186" s="57" t="s">
        <v>1292</v>
      </c>
      <c r="BT186" s="57" t="s">
        <v>3476</v>
      </c>
      <c r="BU186" s="57" t="s">
        <v>3476</v>
      </c>
      <c r="BV186" s="57" t="s">
        <v>3753</v>
      </c>
      <c r="BW186" s="57" t="s">
        <v>3476</v>
      </c>
      <c r="BX186" s="57">
        <v>224</v>
      </c>
      <c r="BY186" s="57" t="s">
        <v>3476</v>
      </c>
      <c r="BZ186" s="57" t="s">
        <v>3476</v>
      </c>
      <c r="CA186" s="57" t="s">
        <v>3476</v>
      </c>
      <c r="CB186" s="57" t="s">
        <v>3476</v>
      </c>
      <c r="CC186" s="57" t="s">
        <v>3476</v>
      </c>
      <c r="CD186" s="57" t="s">
        <v>3476</v>
      </c>
    </row>
    <row r="187" spans="1:82">
      <c r="A187" s="57">
        <v>21003</v>
      </c>
      <c r="B187" s="57" t="s">
        <v>3476</v>
      </c>
      <c r="C187" s="57" t="s">
        <v>4144</v>
      </c>
      <c r="D187" s="57" t="s">
        <v>3476</v>
      </c>
      <c r="E187" s="57" t="s">
        <v>3730</v>
      </c>
      <c r="F187" s="57" t="s">
        <v>4145</v>
      </c>
      <c r="G187" s="57" t="s">
        <v>721</v>
      </c>
      <c r="H187" s="57" t="s">
        <v>2874</v>
      </c>
      <c r="I187" s="57">
        <v>112308</v>
      </c>
      <c r="J187" s="57" t="s">
        <v>3476</v>
      </c>
      <c r="K187" s="57" t="s">
        <v>3476</v>
      </c>
      <c r="L187" s="57" t="s">
        <v>3732</v>
      </c>
      <c r="M187" s="57" t="s">
        <v>4146</v>
      </c>
      <c r="N187" s="57" t="s">
        <v>4146</v>
      </c>
      <c r="O187" s="57" t="s">
        <v>3476</v>
      </c>
      <c r="P187" s="57" t="s">
        <v>3476</v>
      </c>
      <c r="Q187" s="57" t="s">
        <v>2874</v>
      </c>
      <c r="R187" s="57" t="s">
        <v>3781</v>
      </c>
      <c r="S187" s="57" t="s">
        <v>3782</v>
      </c>
      <c r="T187" s="57" t="s">
        <v>3736</v>
      </c>
      <c r="U187" s="57" t="s">
        <v>3476</v>
      </c>
      <c r="V187" s="57" t="s">
        <v>3469</v>
      </c>
      <c r="W187" s="57" t="s">
        <v>3476</v>
      </c>
      <c r="X187" s="57" t="s">
        <v>4021</v>
      </c>
      <c r="Y187" s="57" t="s">
        <v>3738</v>
      </c>
      <c r="Z187" s="57" t="s">
        <v>4147</v>
      </c>
      <c r="AA187" s="57" t="s">
        <v>3733</v>
      </c>
      <c r="AB187" s="57" t="s">
        <v>3476</v>
      </c>
      <c r="AC187" s="57" t="s">
        <v>3741</v>
      </c>
      <c r="AD187" s="57" t="s">
        <v>3476</v>
      </c>
      <c r="AE187" s="57" t="s">
        <v>3476</v>
      </c>
      <c r="AF187" s="57" t="s">
        <v>3476</v>
      </c>
      <c r="AG187" s="57" t="s">
        <v>3476</v>
      </c>
      <c r="AH187" s="57" t="s">
        <v>3476</v>
      </c>
      <c r="AI187" s="57" t="s">
        <v>3476</v>
      </c>
      <c r="AJ187" s="57" t="s">
        <v>3476</v>
      </c>
      <c r="AK187" s="57" t="s">
        <v>1292</v>
      </c>
      <c r="AL187" s="57" t="s">
        <v>4148</v>
      </c>
      <c r="AM187" s="57" t="s">
        <v>3476</v>
      </c>
      <c r="AN187" s="57" t="s">
        <v>3830</v>
      </c>
      <c r="AO187" s="57" t="s">
        <v>3476</v>
      </c>
      <c r="AP187" s="58">
        <v>45768.6981134259</v>
      </c>
      <c r="AQ187" s="57" t="s">
        <v>3476</v>
      </c>
      <c r="AR187" s="57" t="s">
        <v>3806</v>
      </c>
      <c r="AS187" s="57" t="s">
        <v>3502</v>
      </c>
      <c r="AT187" s="57" t="s">
        <v>3745</v>
      </c>
      <c r="AU187" s="57" t="s">
        <v>4149</v>
      </c>
      <c r="AV187" s="57" t="s">
        <v>3476</v>
      </c>
      <c r="AW187" s="58">
        <v>45701.6948148148</v>
      </c>
      <c r="AX187" s="57" t="s">
        <v>4148</v>
      </c>
      <c r="AY187" s="57" t="s">
        <v>3747</v>
      </c>
      <c r="AZ187" s="57" t="s">
        <v>3476</v>
      </c>
      <c r="BA187" s="57" t="s">
        <v>3476</v>
      </c>
      <c r="BB187" s="57" t="s">
        <v>3476</v>
      </c>
      <c r="BC187" s="57" t="s">
        <v>1787</v>
      </c>
      <c r="BD187" s="57" t="s">
        <v>3659</v>
      </c>
      <c r="BE187" s="57" t="s">
        <v>4150</v>
      </c>
      <c r="BF187" s="57" t="s">
        <v>3749</v>
      </c>
      <c r="BG187" s="57" t="s">
        <v>3476</v>
      </c>
      <c r="BH187" s="57" t="s">
        <v>3476</v>
      </c>
      <c r="BI187" s="57" t="s">
        <v>2809</v>
      </c>
      <c r="BJ187" s="57" t="s">
        <v>3476</v>
      </c>
      <c r="BK187" s="57" t="s">
        <v>3476</v>
      </c>
      <c r="BL187" s="57">
        <v>3431091</v>
      </c>
      <c r="BM187" s="57" t="s">
        <v>4151</v>
      </c>
      <c r="BN187" s="57" t="s">
        <v>3476</v>
      </c>
      <c r="BO187" s="57">
        <v>504</v>
      </c>
      <c r="BP187" s="57" t="s">
        <v>3810</v>
      </c>
      <c r="BQ187" s="57" t="s">
        <v>3476</v>
      </c>
      <c r="BR187" s="57" t="s">
        <v>4152</v>
      </c>
      <c r="BS187" s="57" t="s">
        <v>1292</v>
      </c>
      <c r="BT187" s="57" t="s">
        <v>3476</v>
      </c>
      <c r="BU187" s="57" t="s">
        <v>3476</v>
      </c>
      <c r="BV187" s="57" t="s">
        <v>3753</v>
      </c>
      <c r="BW187" s="57" t="s">
        <v>3476</v>
      </c>
      <c r="BX187" s="57">
        <v>504</v>
      </c>
      <c r="BY187" s="57" t="s">
        <v>3476</v>
      </c>
      <c r="BZ187" s="57" t="s">
        <v>3476</v>
      </c>
      <c r="CA187" s="57" t="s">
        <v>3476</v>
      </c>
      <c r="CB187" s="57" t="s">
        <v>3476</v>
      </c>
      <c r="CC187" s="57" t="s">
        <v>3476</v>
      </c>
      <c r="CD187" s="57" t="s">
        <v>3476</v>
      </c>
    </row>
    <row r="188" spans="1:82">
      <c r="A188" s="57">
        <v>21004</v>
      </c>
      <c r="B188" s="57" t="s">
        <v>3476</v>
      </c>
      <c r="C188" s="57" t="s">
        <v>4144</v>
      </c>
      <c r="D188" s="57" t="s">
        <v>3476</v>
      </c>
      <c r="E188" s="57" t="s">
        <v>3730</v>
      </c>
      <c r="F188" s="57" t="s">
        <v>4145</v>
      </c>
      <c r="G188" s="57" t="s">
        <v>721</v>
      </c>
      <c r="H188" s="57" t="s">
        <v>2874</v>
      </c>
      <c r="I188" s="57">
        <v>112308</v>
      </c>
      <c r="J188" s="57" t="s">
        <v>3476</v>
      </c>
      <c r="K188" s="57" t="s">
        <v>3476</v>
      </c>
      <c r="L188" s="57" t="s">
        <v>3732</v>
      </c>
      <c r="M188" s="57" t="s">
        <v>4146</v>
      </c>
      <c r="N188" s="57" t="s">
        <v>4146</v>
      </c>
      <c r="O188" s="57" t="s">
        <v>3476</v>
      </c>
      <c r="P188" s="57" t="s">
        <v>3476</v>
      </c>
      <c r="Q188" s="57" t="s">
        <v>2874</v>
      </c>
      <c r="R188" s="57" t="s">
        <v>3781</v>
      </c>
      <c r="S188" s="57" t="s">
        <v>3782</v>
      </c>
      <c r="T188" s="57" t="s">
        <v>3736</v>
      </c>
      <c r="U188" s="57" t="s">
        <v>3476</v>
      </c>
      <c r="V188" s="57" t="s">
        <v>3469</v>
      </c>
      <c r="W188" s="57" t="s">
        <v>3476</v>
      </c>
      <c r="X188" s="57" t="s">
        <v>4021</v>
      </c>
      <c r="Y188" s="57" t="s">
        <v>3738</v>
      </c>
      <c r="Z188" s="57" t="s">
        <v>4147</v>
      </c>
      <c r="AA188" s="57" t="s">
        <v>3733</v>
      </c>
      <c r="AB188" s="57" t="s">
        <v>3476</v>
      </c>
      <c r="AC188" s="57" t="s">
        <v>3741</v>
      </c>
      <c r="AD188" s="57" t="s">
        <v>3476</v>
      </c>
      <c r="AE188" s="57" t="s">
        <v>3476</v>
      </c>
      <c r="AF188" s="57" t="s">
        <v>3476</v>
      </c>
      <c r="AG188" s="57" t="s">
        <v>3476</v>
      </c>
      <c r="AH188" s="57" t="s">
        <v>3476</v>
      </c>
      <c r="AI188" s="57" t="s">
        <v>3476</v>
      </c>
      <c r="AJ188" s="57" t="s">
        <v>3476</v>
      </c>
      <c r="AK188" s="57" t="s">
        <v>1292</v>
      </c>
      <c r="AL188" s="57" t="s">
        <v>4148</v>
      </c>
      <c r="AM188" s="57" t="s">
        <v>3476</v>
      </c>
      <c r="AN188" s="57" t="s">
        <v>3830</v>
      </c>
      <c r="AO188" s="57" t="s">
        <v>3476</v>
      </c>
      <c r="AP188" s="58">
        <v>45768.6981134259</v>
      </c>
      <c r="AQ188" s="57" t="s">
        <v>3476</v>
      </c>
      <c r="AR188" s="57" t="s">
        <v>3806</v>
      </c>
      <c r="AS188" s="57" t="s">
        <v>3502</v>
      </c>
      <c r="AT188" s="57" t="s">
        <v>3745</v>
      </c>
      <c r="AU188" s="57" t="s">
        <v>4149</v>
      </c>
      <c r="AV188" s="57" t="s">
        <v>3476</v>
      </c>
      <c r="AW188" s="58">
        <v>45701.6948148148</v>
      </c>
      <c r="AX188" s="57" t="s">
        <v>4148</v>
      </c>
      <c r="AY188" s="57" t="s">
        <v>3747</v>
      </c>
      <c r="AZ188" s="57" t="s">
        <v>3476</v>
      </c>
      <c r="BA188" s="57" t="s">
        <v>3476</v>
      </c>
      <c r="BB188" s="57" t="s">
        <v>3476</v>
      </c>
      <c r="BC188" s="57" t="s">
        <v>3792</v>
      </c>
      <c r="BD188" s="57" t="s">
        <v>3659</v>
      </c>
      <c r="BE188" s="57" t="s">
        <v>4150</v>
      </c>
      <c r="BF188" s="57" t="s">
        <v>3749</v>
      </c>
      <c r="BG188" s="57" t="s">
        <v>3476</v>
      </c>
      <c r="BH188" s="57" t="s">
        <v>3476</v>
      </c>
      <c r="BI188" s="57" t="s">
        <v>2809</v>
      </c>
      <c r="BJ188" s="57" t="s">
        <v>3476</v>
      </c>
      <c r="BK188" s="57" t="s">
        <v>3476</v>
      </c>
      <c r="BL188" s="57">
        <v>3431092</v>
      </c>
      <c r="BM188" s="57" t="s">
        <v>4151</v>
      </c>
      <c r="BN188" s="57" t="s">
        <v>3476</v>
      </c>
      <c r="BO188" s="57">
        <v>167.5</v>
      </c>
      <c r="BP188" s="57" t="s">
        <v>3810</v>
      </c>
      <c r="BQ188" s="57" t="s">
        <v>3476</v>
      </c>
      <c r="BR188" s="57" t="s">
        <v>4152</v>
      </c>
      <c r="BS188" s="57" t="s">
        <v>1292</v>
      </c>
      <c r="BT188" s="57" t="s">
        <v>3476</v>
      </c>
      <c r="BU188" s="57" t="s">
        <v>3476</v>
      </c>
      <c r="BV188" s="57" t="s">
        <v>3753</v>
      </c>
      <c r="BW188" s="57" t="s">
        <v>3476</v>
      </c>
      <c r="BX188" s="57">
        <v>167.5</v>
      </c>
      <c r="BY188" s="57" t="s">
        <v>3476</v>
      </c>
      <c r="BZ188" s="57" t="s">
        <v>3476</v>
      </c>
      <c r="CA188" s="57" t="s">
        <v>3476</v>
      </c>
      <c r="CB188" s="57" t="s">
        <v>3476</v>
      </c>
      <c r="CC188" s="57" t="s">
        <v>3476</v>
      </c>
      <c r="CD188" s="57" t="s">
        <v>3476</v>
      </c>
    </row>
    <row r="189" spans="1:82">
      <c r="A189" s="57">
        <v>21005</v>
      </c>
      <c r="B189" s="57" t="s">
        <v>3476</v>
      </c>
      <c r="C189" s="57" t="s">
        <v>4144</v>
      </c>
      <c r="D189" s="57" t="s">
        <v>3476</v>
      </c>
      <c r="E189" s="57" t="s">
        <v>3730</v>
      </c>
      <c r="F189" s="57" t="s">
        <v>4145</v>
      </c>
      <c r="G189" s="57" t="s">
        <v>721</v>
      </c>
      <c r="H189" s="57" t="s">
        <v>2874</v>
      </c>
      <c r="I189" s="57">
        <v>112308</v>
      </c>
      <c r="J189" s="57" t="s">
        <v>3476</v>
      </c>
      <c r="K189" s="57" t="s">
        <v>3476</v>
      </c>
      <c r="L189" s="57" t="s">
        <v>3732</v>
      </c>
      <c r="M189" s="57" t="s">
        <v>4146</v>
      </c>
      <c r="N189" s="57" t="s">
        <v>4146</v>
      </c>
      <c r="O189" s="57" t="s">
        <v>3476</v>
      </c>
      <c r="P189" s="57" t="s">
        <v>3476</v>
      </c>
      <c r="Q189" s="57" t="s">
        <v>2874</v>
      </c>
      <c r="R189" s="57" t="s">
        <v>3781</v>
      </c>
      <c r="S189" s="57" t="s">
        <v>3782</v>
      </c>
      <c r="T189" s="57" t="s">
        <v>3736</v>
      </c>
      <c r="U189" s="57" t="s">
        <v>3476</v>
      </c>
      <c r="V189" s="57" t="s">
        <v>3469</v>
      </c>
      <c r="W189" s="57" t="s">
        <v>3476</v>
      </c>
      <c r="X189" s="57" t="s">
        <v>4021</v>
      </c>
      <c r="Y189" s="57" t="s">
        <v>3738</v>
      </c>
      <c r="Z189" s="57" t="s">
        <v>4147</v>
      </c>
      <c r="AA189" s="57" t="s">
        <v>3733</v>
      </c>
      <c r="AB189" s="57" t="s">
        <v>3476</v>
      </c>
      <c r="AC189" s="57" t="s">
        <v>3741</v>
      </c>
      <c r="AD189" s="57" t="s">
        <v>3476</v>
      </c>
      <c r="AE189" s="57" t="s">
        <v>3476</v>
      </c>
      <c r="AF189" s="57" t="s">
        <v>3476</v>
      </c>
      <c r="AG189" s="57" t="s">
        <v>3476</v>
      </c>
      <c r="AH189" s="57" t="s">
        <v>3476</v>
      </c>
      <c r="AI189" s="57" t="s">
        <v>3476</v>
      </c>
      <c r="AJ189" s="57" t="s">
        <v>3476</v>
      </c>
      <c r="AK189" s="57" t="s">
        <v>1292</v>
      </c>
      <c r="AL189" s="57" t="s">
        <v>4148</v>
      </c>
      <c r="AM189" s="57" t="s">
        <v>3476</v>
      </c>
      <c r="AN189" s="57" t="s">
        <v>3830</v>
      </c>
      <c r="AO189" s="57" t="s">
        <v>3476</v>
      </c>
      <c r="AP189" s="58">
        <v>45768.6981134259</v>
      </c>
      <c r="AQ189" s="57" t="s">
        <v>3476</v>
      </c>
      <c r="AR189" s="57" t="s">
        <v>3806</v>
      </c>
      <c r="AS189" s="57" t="s">
        <v>3502</v>
      </c>
      <c r="AT189" s="57" t="s">
        <v>3745</v>
      </c>
      <c r="AU189" s="57" t="s">
        <v>4149</v>
      </c>
      <c r="AV189" s="57" t="s">
        <v>3476</v>
      </c>
      <c r="AW189" s="58">
        <v>45701.6948148148</v>
      </c>
      <c r="AX189" s="57" t="s">
        <v>4148</v>
      </c>
      <c r="AY189" s="57" t="s">
        <v>3747</v>
      </c>
      <c r="AZ189" s="57" t="s">
        <v>3476</v>
      </c>
      <c r="BA189" s="57" t="s">
        <v>3476</v>
      </c>
      <c r="BB189" s="57" t="s">
        <v>3476</v>
      </c>
      <c r="BC189" s="57" t="s">
        <v>3794</v>
      </c>
      <c r="BD189" s="57" t="s">
        <v>3659</v>
      </c>
      <c r="BE189" s="57" t="s">
        <v>4150</v>
      </c>
      <c r="BF189" s="57" t="s">
        <v>3749</v>
      </c>
      <c r="BG189" s="57" t="s">
        <v>3476</v>
      </c>
      <c r="BH189" s="57" t="s">
        <v>3476</v>
      </c>
      <c r="BI189" s="57" t="s">
        <v>2809</v>
      </c>
      <c r="BJ189" s="57" t="s">
        <v>3476</v>
      </c>
      <c r="BK189" s="57" t="s">
        <v>3476</v>
      </c>
      <c r="BL189" s="57">
        <v>3431093</v>
      </c>
      <c r="BM189" s="57" t="s">
        <v>4151</v>
      </c>
      <c r="BN189" s="57" t="s">
        <v>3476</v>
      </c>
      <c r="BO189" s="57">
        <v>100</v>
      </c>
      <c r="BP189" s="57" t="s">
        <v>3810</v>
      </c>
      <c r="BQ189" s="57" t="s">
        <v>3476</v>
      </c>
      <c r="BR189" s="57" t="s">
        <v>4152</v>
      </c>
      <c r="BS189" s="57" t="s">
        <v>1292</v>
      </c>
      <c r="BT189" s="57" t="s">
        <v>3476</v>
      </c>
      <c r="BU189" s="57" t="s">
        <v>3476</v>
      </c>
      <c r="BV189" s="57" t="s">
        <v>3753</v>
      </c>
      <c r="BW189" s="57" t="s">
        <v>3476</v>
      </c>
      <c r="BX189" s="57">
        <v>100</v>
      </c>
      <c r="BY189" s="57" t="s">
        <v>3476</v>
      </c>
      <c r="BZ189" s="57" t="s">
        <v>3476</v>
      </c>
      <c r="CA189" s="57" t="s">
        <v>3476</v>
      </c>
      <c r="CB189" s="57" t="s">
        <v>3476</v>
      </c>
      <c r="CC189" s="57" t="s">
        <v>3476</v>
      </c>
      <c r="CD189" s="57" t="s">
        <v>3476</v>
      </c>
    </row>
    <row r="190" spans="1:82">
      <c r="A190" s="57">
        <v>21006</v>
      </c>
      <c r="B190" s="57" t="s">
        <v>3476</v>
      </c>
      <c r="C190" s="57" t="s">
        <v>4144</v>
      </c>
      <c r="D190" s="57" t="s">
        <v>3476</v>
      </c>
      <c r="E190" s="57" t="s">
        <v>3730</v>
      </c>
      <c r="F190" s="57" t="s">
        <v>4145</v>
      </c>
      <c r="G190" s="57" t="s">
        <v>721</v>
      </c>
      <c r="H190" s="57" t="s">
        <v>2874</v>
      </c>
      <c r="I190" s="57">
        <v>112308</v>
      </c>
      <c r="J190" s="57" t="s">
        <v>3476</v>
      </c>
      <c r="K190" s="57" t="s">
        <v>3476</v>
      </c>
      <c r="L190" s="57" t="s">
        <v>3732</v>
      </c>
      <c r="M190" s="57" t="s">
        <v>4146</v>
      </c>
      <c r="N190" s="57" t="s">
        <v>4146</v>
      </c>
      <c r="O190" s="57" t="s">
        <v>3476</v>
      </c>
      <c r="P190" s="57" t="s">
        <v>3476</v>
      </c>
      <c r="Q190" s="57" t="s">
        <v>2874</v>
      </c>
      <c r="R190" s="57" t="s">
        <v>3781</v>
      </c>
      <c r="S190" s="57" t="s">
        <v>3782</v>
      </c>
      <c r="T190" s="57" t="s">
        <v>3736</v>
      </c>
      <c r="U190" s="57" t="s">
        <v>3476</v>
      </c>
      <c r="V190" s="57" t="s">
        <v>3469</v>
      </c>
      <c r="W190" s="57" t="s">
        <v>3476</v>
      </c>
      <c r="X190" s="57" t="s">
        <v>4021</v>
      </c>
      <c r="Y190" s="57" t="s">
        <v>3738</v>
      </c>
      <c r="Z190" s="57" t="s">
        <v>4147</v>
      </c>
      <c r="AA190" s="57" t="s">
        <v>3733</v>
      </c>
      <c r="AB190" s="57" t="s">
        <v>3476</v>
      </c>
      <c r="AC190" s="57" t="s">
        <v>3741</v>
      </c>
      <c r="AD190" s="57" t="s">
        <v>3476</v>
      </c>
      <c r="AE190" s="57" t="s">
        <v>3476</v>
      </c>
      <c r="AF190" s="57" t="s">
        <v>3476</v>
      </c>
      <c r="AG190" s="57" t="s">
        <v>3476</v>
      </c>
      <c r="AH190" s="57" t="s">
        <v>3476</v>
      </c>
      <c r="AI190" s="57" t="s">
        <v>3476</v>
      </c>
      <c r="AJ190" s="57" t="s">
        <v>3476</v>
      </c>
      <c r="AK190" s="57" t="s">
        <v>1292</v>
      </c>
      <c r="AL190" s="57" t="s">
        <v>4148</v>
      </c>
      <c r="AM190" s="57" t="s">
        <v>3476</v>
      </c>
      <c r="AN190" s="57" t="s">
        <v>3830</v>
      </c>
      <c r="AO190" s="57" t="s">
        <v>3476</v>
      </c>
      <c r="AP190" s="58">
        <v>45768.6981134259</v>
      </c>
      <c r="AQ190" s="57" t="s">
        <v>3476</v>
      </c>
      <c r="AR190" s="57" t="s">
        <v>3806</v>
      </c>
      <c r="AS190" s="57" t="s">
        <v>3502</v>
      </c>
      <c r="AT190" s="57" t="s">
        <v>3745</v>
      </c>
      <c r="AU190" s="57" t="s">
        <v>4149</v>
      </c>
      <c r="AV190" s="57" t="s">
        <v>3476</v>
      </c>
      <c r="AW190" s="58">
        <v>45701.6948148148</v>
      </c>
      <c r="AX190" s="57" t="s">
        <v>4148</v>
      </c>
      <c r="AY190" s="57" t="s">
        <v>3747</v>
      </c>
      <c r="AZ190" s="57" t="s">
        <v>3476</v>
      </c>
      <c r="BA190" s="57" t="s">
        <v>3476</v>
      </c>
      <c r="BB190" s="57" t="s">
        <v>3476</v>
      </c>
      <c r="BC190" s="57" t="s">
        <v>3794</v>
      </c>
      <c r="BD190" s="57" t="s">
        <v>3659</v>
      </c>
      <c r="BE190" s="57" t="s">
        <v>4150</v>
      </c>
      <c r="BF190" s="57" t="s">
        <v>3749</v>
      </c>
      <c r="BG190" s="57" t="s">
        <v>3476</v>
      </c>
      <c r="BH190" s="57" t="s">
        <v>3476</v>
      </c>
      <c r="BI190" s="57" t="s">
        <v>2809</v>
      </c>
      <c r="BJ190" s="57" t="s">
        <v>3476</v>
      </c>
      <c r="BK190" s="57" t="s">
        <v>3476</v>
      </c>
      <c r="BL190" s="57">
        <v>3431094</v>
      </c>
      <c r="BM190" s="57" t="s">
        <v>4151</v>
      </c>
      <c r="BN190" s="57" t="s">
        <v>3476</v>
      </c>
      <c r="BO190" s="57">
        <v>100</v>
      </c>
      <c r="BP190" s="57" t="s">
        <v>3810</v>
      </c>
      <c r="BQ190" s="57" t="s">
        <v>3476</v>
      </c>
      <c r="BR190" s="57" t="s">
        <v>4152</v>
      </c>
      <c r="BS190" s="57" t="s">
        <v>1292</v>
      </c>
      <c r="BT190" s="57" t="s">
        <v>3476</v>
      </c>
      <c r="BU190" s="57" t="s">
        <v>3476</v>
      </c>
      <c r="BV190" s="57" t="s">
        <v>3753</v>
      </c>
      <c r="BW190" s="57" t="s">
        <v>3476</v>
      </c>
      <c r="BX190" s="57">
        <v>100</v>
      </c>
      <c r="BY190" s="57" t="s">
        <v>3476</v>
      </c>
      <c r="BZ190" s="57" t="s">
        <v>3476</v>
      </c>
      <c r="CA190" s="57" t="s">
        <v>3476</v>
      </c>
      <c r="CB190" s="57" t="s">
        <v>3476</v>
      </c>
      <c r="CC190" s="57" t="s">
        <v>3476</v>
      </c>
      <c r="CD190" s="57" t="s">
        <v>3476</v>
      </c>
    </row>
    <row r="191" spans="1:82">
      <c r="A191" s="57">
        <v>21007</v>
      </c>
      <c r="B191" s="57" t="s">
        <v>3476</v>
      </c>
      <c r="C191" s="57" t="s">
        <v>4144</v>
      </c>
      <c r="D191" s="57" t="s">
        <v>3476</v>
      </c>
      <c r="E191" s="57" t="s">
        <v>3730</v>
      </c>
      <c r="F191" s="57" t="s">
        <v>4145</v>
      </c>
      <c r="G191" s="57" t="s">
        <v>721</v>
      </c>
      <c r="H191" s="57" t="s">
        <v>2874</v>
      </c>
      <c r="I191" s="57">
        <v>112308</v>
      </c>
      <c r="J191" s="57" t="s">
        <v>3476</v>
      </c>
      <c r="K191" s="57" t="s">
        <v>3476</v>
      </c>
      <c r="L191" s="57" t="s">
        <v>3732</v>
      </c>
      <c r="M191" s="57" t="s">
        <v>4146</v>
      </c>
      <c r="N191" s="57" t="s">
        <v>4146</v>
      </c>
      <c r="O191" s="57" t="s">
        <v>3476</v>
      </c>
      <c r="P191" s="57" t="s">
        <v>3476</v>
      </c>
      <c r="Q191" s="57" t="s">
        <v>2874</v>
      </c>
      <c r="R191" s="57" t="s">
        <v>3781</v>
      </c>
      <c r="S191" s="57" t="s">
        <v>3782</v>
      </c>
      <c r="T191" s="57" t="s">
        <v>3736</v>
      </c>
      <c r="U191" s="57" t="s">
        <v>3476</v>
      </c>
      <c r="V191" s="57" t="s">
        <v>3469</v>
      </c>
      <c r="W191" s="57" t="s">
        <v>3476</v>
      </c>
      <c r="X191" s="57" t="s">
        <v>4021</v>
      </c>
      <c r="Y191" s="57" t="s">
        <v>3738</v>
      </c>
      <c r="Z191" s="57" t="s">
        <v>4147</v>
      </c>
      <c r="AA191" s="57" t="s">
        <v>3733</v>
      </c>
      <c r="AB191" s="57" t="s">
        <v>3476</v>
      </c>
      <c r="AC191" s="57" t="s">
        <v>3741</v>
      </c>
      <c r="AD191" s="57" t="s">
        <v>3476</v>
      </c>
      <c r="AE191" s="57" t="s">
        <v>3476</v>
      </c>
      <c r="AF191" s="57" t="s">
        <v>3476</v>
      </c>
      <c r="AG191" s="57" t="s">
        <v>3476</v>
      </c>
      <c r="AH191" s="57" t="s">
        <v>3476</v>
      </c>
      <c r="AI191" s="57" t="s">
        <v>3476</v>
      </c>
      <c r="AJ191" s="57" t="s">
        <v>3476</v>
      </c>
      <c r="AK191" s="57" t="s">
        <v>1292</v>
      </c>
      <c r="AL191" s="57" t="s">
        <v>4148</v>
      </c>
      <c r="AM191" s="57" t="s">
        <v>3476</v>
      </c>
      <c r="AN191" s="57" t="s">
        <v>3830</v>
      </c>
      <c r="AO191" s="57" t="s">
        <v>3476</v>
      </c>
      <c r="AP191" s="58">
        <v>45768.6981134259</v>
      </c>
      <c r="AQ191" s="57" t="s">
        <v>3476</v>
      </c>
      <c r="AR191" s="57" t="s">
        <v>3806</v>
      </c>
      <c r="AS191" s="57" t="s">
        <v>3502</v>
      </c>
      <c r="AT191" s="57" t="s">
        <v>3745</v>
      </c>
      <c r="AU191" s="57" t="s">
        <v>4149</v>
      </c>
      <c r="AV191" s="57" t="s">
        <v>3476</v>
      </c>
      <c r="AW191" s="58">
        <v>45701.6948148148</v>
      </c>
      <c r="AX191" s="57" t="s">
        <v>4148</v>
      </c>
      <c r="AY191" s="57" t="s">
        <v>3747</v>
      </c>
      <c r="AZ191" s="57" t="s">
        <v>3476</v>
      </c>
      <c r="BA191" s="57" t="s">
        <v>3476</v>
      </c>
      <c r="BB191" s="57" t="s">
        <v>3476</v>
      </c>
      <c r="BC191" s="57" t="s">
        <v>1787</v>
      </c>
      <c r="BD191" s="57" t="s">
        <v>3659</v>
      </c>
      <c r="BE191" s="57" t="s">
        <v>4150</v>
      </c>
      <c r="BF191" s="57" t="s">
        <v>3749</v>
      </c>
      <c r="BG191" s="57" t="s">
        <v>3476</v>
      </c>
      <c r="BH191" s="57" t="s">
        <v>3476</v>
      </c>
      <c r="BI191" s="57" t="s">
        <v>2809</v>
      </c>
      <c r="BJ191" s="57" t="s">
        <v>3476</v>
      </c>
      <c r="BK191" s="57" t="s">
        <v>3476</v>
      </c>
      <c r="BL191" s="57">
        <v>3431095</v>
      </c>
      <c r="BM191" s="57" t="s">
        <v>4151</v>
      </c>
      <c r="BN191" s="57" t="s">
        <v>3476</v>
      </c>
      <c r="BO191" s="57">
        <v>24</v>
      </c>
      <c r="BP191" s="57" t="s">
        <v>3810</v>
      </c>
      <c r="BQ191" s="57" t="s">
        <v>3476</v>
      </c>
      <c r="BR191" s="57" t="s">
        <v>4152</v>
      </c>
      <c r="BS191" s="57" t="s">
        <v>1292</v>
      </c>
      <c r="BT191" s="57" t="s">
        <v>3476</v>
      </c>
      <c r="BU191" s="57" t="s">
        <v>3476</v>
      </c>
      <c r="BV191" s="57" t="s">
        <v>3753</v>
      </c>
      <c r="BW191" s="57" t="s">
        <v>3476</v>
      </c>
      <c r="BX191" s="57">
        <v>24</v>
      </c>
      <c r="BY191" s="57" t="s">
        <v>3476</v>
      </c>
      <c r="BZ191" s="57" t="s">
        <v>3476</v>
      </c>
      <c r="CA191" s="57" t="s">
        <v>3476</v>
      </c>
      <c r="CB191" s="57" t="s">
        <v>3476</v>
      </c>
      <c r="CC191" s="57" t="s">
        <v>3476</v>
      </c>
      <c r="CD191" s="57" t="s">
        <v>3476</v>
      </c>
    </row>
    <row r="192" spans="1:82">
      <c r="A192" s="57">
        <v>21008</v>
      </c>
      <c r="B192" s="57" t="s">
        <v>3476</v>
      </c>
      <c r="C192" s="57" t="s">
        <v>4144</v>
      </c>
      <c r="D192" s="57" t="s">
        <v>3476</v>
      </c>
      <c r="E192" s="57" t="s">
        <v>3730</v>
      </c>
      <c r="F192" s="57" t="s">
        <v>4145</v>
      </c>
      <c r="G192" s="57" t="s">
        <v>721</v>
      </c>
      <c r="H192" s="57" t="s">
        <v>2874</v>
      </c>
      <c r="I192" s="57">
        <v>112308</v>
      </c>
      <c r="J192" s="57" t="s">
        <v>3476</v>
      </c>
      <c r="K192" s="57" t="s">
        <v>3476</v>
      </c>
      <c r="L192" s="57" t="s">
        <v>3732</v>
      </c>
      <c r="M192" s="57" t="s">
        <v>4146</v>
      </c>
      <c r="N192" s="57" t="s">
        <v>4146</v>
      </c>
      <c r="O192" s="57" t="s">
        <v>3476</v>
      </c>
      <c r="P192" s="57" t="s">
        <v>3476</v>
      </c>
      <c r="Q192" s="57" t="s">
        <v>2874</v>
      </c>
      <c r="R192" s="57" t="s">
        <v>3781</v>
      </c>
      <c r="S192" s="57" t="s">
        <v>3782</v>
      </c>
      <c r="T192" s="57" t="s">
        <v>3736</v>
      </c>
      <c r="U192" s="57" t="s">
        <v>3476</v>
      </c>
      <c r="V192" s="57" t="s">
        <v>3469</v>
      </c>
      <c r="W192" s="57" t="s">
        <v>3476</v>
      </c>
      <c r="X192" s="57" t="s">
        <v>4021</v>
      </c>
      <c r="Y192" s="57" t="s">
        <v>3738</v>
      </c>
      <c r="Z192" s="57" t="s">
        <v>4147</v>
      </c>
      <c r="AA192" s="57" t="s">
        <v>3733</v>
      </c>
      <c r="AB192" s="57" t="s">
        <v>3476</v>
      </c>
      <c r="AC192" s="57" t="s">
        <v>3741</v>
      </c>
      <c r="AD192" s="57" t="s">
        <v>3476</v>
      </c>
      <c r="AE192" s="57" t="s">
        <v>3476</v>
      </c>
      <c r="AF192" s="57" t="s">
        <v>3476</v>
      </c>
      <c r="AG192" s="57" t="s">
        <v>3476</v>
      </c>
      <c r="AH192" s="57" t="s">
        <v>3476</v>
      </c>
      <c r="AI192" s="57" t="s">
        <v>3476</v>
      </c>
      <c r="AJ192" s="57" t="s">
        <v>3476</v>
      </c>
      <c r="AK192" s="57" t="s">
        <v>1292</v>
      </c>
      <c r="AL192" s="57" t="s">
        <v>4148</v>
      </c>
      <c r="AM192" s="57" t="s">
        <v>3476</v>
      </c>
      <c r="AN192" s="57" t="s">
        <v>3830</v>
      </c>
      <c r="AO192" s="57" t="s">
        <v>3476</v>
      </c>
      <c r="AP192" s="58">
        <v>45768.6981134259</v>
      </c>
      <c r="AQ192" s="57" t="s">
        <v>3476</v>
      </c>
      <c r="AR192" s="57" t="s">
        <v>3806</v>
      </c>
      <c r="AS192" s="57" t="s">
        <v>3502</v>
      </c>
      <c r="AT192" s="57" t="s">
        <v>3745</v>
      </c>
      <c r="AU192" s="57" t="s">
        <v>4149</v>
      </c>
      <c r="AV192" s="57" t="s">
        <v>3476</v>
      </c>
      <c r="AW192" s="58">
        <v>45701.6948148148</v>
      </c>
      <c r="AX192" s="57" t="s">
        <v>4148</v>
      </c>
      <c r="AY192" s="57" t="s">
        <v>3747</v>
      </c>
      <c r="AZ192" s="57" t="s">
        <v>3476</v>
      </c>
      <c r="BA192" s="57" t="s">
        <v>3476</v>
      </c>
      <c r="BB192" s="57" t="s">
        <v>3476</v>
      </c>
      <c r="BC192" s="57" t="s">
        <v>1787</v>
      </c>
      <c r="BD192" s="57" t="s">
        <v>3659</v>
      </c>
      <c r="BE192" s="57" t="s">
        <v>4150</v>
      </c>
      <c r="BF192" s="57" t="s">
        <v>3749</v>
      </c>
      <c r="BG192" s="57" t="s">
        <v>3476</v>
      </c>
      <c r="BH192" s="57" t="s">
        <v>3476</v>
      </c>
      <c r="BI192" s="57" t="s">
        <v>2809</v>
      </c>
      <c r="BJ192" s="57" t="s">
        <v>3476</v>
      </c>
      <c r="BK192" s="57" t="s">
        <v>3476</v>
      </c>
      <c r="BL192" s="57">
        <v>3431096</v>
      </c>
      <c r="BM192" s="57" t="s">
        <v>4151</v>
      </c>
      <c r="BN192" s="57" t="s">
        <v>3476</v>
      </c>
      <c r="BO192" s="57">
        <v>545.2</v>
      </c>
      <c r="BP192" s="57" t="s">
        <v>3810</v>
      </c>
      <c r="BQ192" s="57" t="s">
        <v>3476</v>
      </c>
      <c r="BR192" s="57" t="s">
        <v>4152</v>
      </c>
      <c r="BS192" s="57" t="s">
        <v>1292</v>
      </c>
      <c r="BT192" s="57" t="s">
        <v>3476</v>
      </c>
      <c r="BU192" s="57" t="s">
        <v>3476</v>
      </c>
      <c r="BV192" s="57" t="s">
        <v>3753</v>
      </c>
      <c r="BW192" s="57" t="s">
        <v>3476</v>
      </c>
      <c r="BX192" s="57">
        <v>545.2</v>
      </c>
      <c r="BY192" s="57" t="s">
        <v>3476</v>
      </c>
      <c r="BZ192" s="57" t="s">
        <v>3476</v>
      </c>
      <c r="CA192" s="57" t="s">
        <v>3476</v>
      </c>
      <c r="CB192" s="57" t="s">
        <v>3476</v>
      </c>
      <c r="CC192" s="57" t="s">
        <v>3476</v>
      </c>
      <c r="CD192" s="57" t="s">
        <v>3476</v>
      </c>
    </row>
    <row r="193" spans="1:82">
      <c r="A193" s="57">
        <v>21009</v>
      </c>
      <c r="B193" s="57" t="s">
        <v>3476</v>
      </c>
      <c r="C193" s="57" t="s">
        <v>4144</v>
      </c>
      <c r="D193" s="57" t="s">
        <v>3476</v>
      </c>
      <c r="E193" s="57" t="s">
        <v>3730</v>
      </c>
      <c r="F193" s="57" t="s">
        <v>4145</v>
      </c>
      <c r="G193" s="57" t="s">
        <v>721</v>
      </c>
      <c r="H193" s="57" t="s">
        <v>2874</v>
      </c>
      <c r="I193" s="57">
        <v>112308</v>
      </c>
      <c r="J193" s="57" t="s">
        <v>3476</v>
      </c>
      <c r="K193" s="57" t="s">
        <v>3476</v>
      </c>
      <c r="L193" s="57" t="s">
        <v>3732</v>
      </c>
      <c r="M193" s="57" t="s">
        <v>4146</v>
      </c>
      <c r="N193" s="57" t="s">
        <v>4146</v>
      </c>
      <c r="O193" s="57" t="s">
        <v>3476</v>
      </c>
      <c r="P193" s="57" t="s">
        <v>3476</v>
      </c>
      <c r="Q193" s="57" t="s">
        <v>2874</v>
      </c>
      <c r="R193" s="57" t="s">
        <v>3781</v>
      </c>
      <c r="S193" s="57" t="s">
        <v>3782</v>
      </c>
      <c r="T193" s="57" t="s">
        <v>3736</v>
      </c>
      <c r="U193" s="57" t="s">
        <v>3476</v>
      </c>
      <c r="V193" s="57" t="s">
        <v>3469</v>
      </c>
      <c r="W193" s="57" t="s">
        <v>3476</v>
      </c>
      <c r="X193" s="57" t="s">
        <v>4021</v>
      </c>
      <c r="Y193" s="57" t="s">
        <v>3738</v>
      </c>
      <c r="Z193" s="57" t="s">
        <v>4147</v>
      </c>
      <c r="AA193" s="57" t="s">
        <v>3733</v>
      </c>
      <c r="AB193" s="57" t="s">
        <v>3476</v>
      </c>
      <c r="AC193" s="57" t="s">
        <v>3741</v>
      </c>
      <c r="AD193" s="57" t="s">
        <v>3476</v>
      </c>
      <c r="AE193" s="57" t="s">
        <v>3476</v>
      </c>
      <c r="AF193" s="57" t="s">
        <v>3476</v>
      </c>
      <c r="AG193" s="57" t="s">
        <v>3476</v>
      </c>
      <c r="AH193" s="57" t="s">
        <v>3476</v>
      </c>
      <c r="AI193" s="57" t="s">
        <v>3476</v>
      </c>
      <c r="AJ193" s="57" t="s">
        <v>3476</v>
      </c>
      <c r="AK193" s="57" t="s">
        <v>1292</v>
      </c>
      <c r="AL193" s="57" t="s">
        <v>4148</v>
      </c>
      <c r="AM193" s="57" t="s">
        <v>3476</v>
      </c>
      <c r="AN193" s="57" t="s">
        <v>3830</v>
      </c>
      <c r="AO193" s="57" t="s">
        <v>3476</v>
      </c>
      <c r="AP193" s="58">
        <v>45768.6981134259</v>
      </c>
      <c r="AQ193" s="57" t="s">
        <v>3476</v>
      </c>
      <c r="AR193" s="57" t="s">
        <v>3806</v>
      </c>
      <c r="AS193" s="57" t="s">
        <v>3502</v>
      </c>
      <c r="AT193" s="57" t="s">
        <v>3745</v>
      </c>
      <c r="AU193" s="57" t="s">
        <v>4149</v>
      </c>
      <c r="AV193" s="57" t="s">
        <v>3476</v>
      </c>
      <c r="AW193" s="58">
        <v>45701.6948148148</v>
      </c>
      <c r="AX193" s="57" t="s">
        <v>4148</v>
      </c>
      <c r="AY193" s="57" t="s">
        <v>3747</v>
      </c>
      <c r="AZ193" s="57" t="s">
        <v>3476</v>
      </c>
      <c r="BA193" s="57" t="s">
        <v>3476</v>
      </c>
      <c r="BB193" s="57" t="s">
        <v>3476</v>
      </c>
      <c r="BC193" s="57" t="s">
        <v>1787</v>
      </c>
      <c r="BD193" s="57" t="s">
        <v>3659</v>
      </c>
      <c r="BE193" s="57" t="s">
        <v>4150</v>
      </c>
      <c r="BF193" s="57" t="s">
        <v>3749</v>
      </c>
      <c r="BG193" s="57" t="s">
        <v>3476</v>
      </c>
      <c r="BH193" s="57" t="s">
        <v>3476</v>
      </c>
      <c r="BI193" s="57" t="s">
        <v>2809</v>
      </c>
      <c r="BJ193" s="57" t="s">
        <v>3476</v>
      </c>
      <c r="BK193" s="57" t="s">
        <v>3476</v>
      </c>
      <c r="BL193" s="57">
        <v>3431097</v>
      </c>
      <c r="BM193" s="57" t="s">
        <v>4151</v>
      </c>
      <c r="BN193" s="57" t="s">
        <v>3476</v>
      </c>
      <c r="BO193" s="57">
        <v>336</v>
      </c>
      <c r="BP193" s="57" t="s">
        <v>3810</v>
      </c>
      <c r="BQ193" s="57" t="s">
        <v>3476</v>
      </c>
      <c r="BR193" s="57" t="s">
        <v>4152</v>
      </c>
      <c r="BS193" s="57" t="s">
        <v>1292</v>
      </c>
      <c r="BT193" s="57" t="s">
        <v>3476</v>
      </c>
      <c r="BU193" s="57" t="s">
        <v>3476</v>
      </c>
      <c r="BV193" s="57" t="s">
        <v>3753</v>
      </c>
      <c r="BW193" s="57" t="s">
        <v>3476</v>
      </c>
      <c r="BX193" s="57">
        <v>336</v>
      </c>
      <c r="BY193" s="57" t="s">
        <v>3476</v>
      </c>
      <c r="BZ193" s="57" t="s">
        <v>3476</v>
      </c>
      <c r="CA193" s="57" t="s">
        <v>3476</v>
      </c>
      <c r="CB193" s="57" t="s">
        <v>3476</v>
      </c>
      <c r="CC193" s="57" t="s">
        <v>3476</v>
      </c>
      <c r="CD193" s="57" t="s">
        <v>3476</v>
      </c>
    </row>
    <row r="194" spans="1:82">
      <c r="A194" s="57">
        <v>21010</v>
      </c>
      <c r="B194" s="57" t="s">
        <v>3476</v>
      </c>
      <c r="C194" s="57" t="s">
        <v>4144</v>
      </c>
      <c r="D194" s="57" t="s">
        <v>3476</v>
      </c>
      <c r="E194" s="57" t="s">
        <v>3730</v>
      </c>
      <c r="F194" s="57" t="s">
        <v>4145</v>
      </c>
      <c r="G194" s="57" t="s">
        <v>721</v>
      </c>
      <c r="H194" s="57" t="s">
        <v>2874</v>
      </c>
      <c r="I194" s="57">
        <v>112308</v>
      </c>
      <c r="J194" s="57" t="s">
        <v>3476</v>
      </c>
      <c r="K194" s="57" t="s">
        <v>3476</v>
      </c>
      <c r="L194" s="57" t="s">
        <v>3732</v>
      </c>
      <c r="M194" s="57" t="s">
        <v>4146</v>
      </c>
      <c r="N194" s="57" t="s">
        <v>4146</v>
      </c>
      <c r="O194" s="57" t="s">
        <v>3476</v>
      </c>
      <c r="P194" s="57" t="s">
        <v>3476</v>
      </c>
      <c r="Q194" s="57" t="s">
        <v>2874</v>
      </c>
      <c r="R194" s="57" t="s">
        <v>3781</v>
      </c>
      <c r="S194" s="57" t="s">
        <v>3782</v>
      </c>
      <c r="T194" s="57" t="s">
        <v>3736</v>
      </c>
      <c r="U194" s="57" t="s">
        <v>3476</v>
      </c>
      <c r="V194" s="57" t="s">
        <v>3469</v>
      </c>
      <c r="W194" s="57" t="s">
        <v>3476</v>
      </c>
      <c r="X194" s="57" t="s">
        <v>4021</v>
      </c>
      <c r="Y194" s="57" t="s">
        <v>3738</v>
      </c>
      <c r="Z194" s="57" t="s">
        <v>4147</v>
      </c>
      <c r="AA194" s="57" t="s">
        <v>3733</v>
      </c>
      <c r="AB194" s="57" t="s">
        <v>3476</v>
      </c>
      <c r="AC194" s="57" t="s">
        <v>3741</v>
      </c>
      <c r="AD194" s="57" t="s">
        <v>3476</v>
      </c>
      <c r="AE194" s="57" t="s">
        <v>3476</v>
      </c>
      <c r="AF194" s="57" t="s">
        <v>3476</v>
      </c>
      <c r="AG194" s="57" t="s">
        <v>3476</v>
      </c>
      <c r="AH194" s="57" t="s">
        <v>3476</v>
      </c>
      <c r="AI194" s="57" t="s">
        <v>3476</v>
      </c>
      <c r="AJ194" s="57" t="s">
        <v>3476</v>
      </c>
      <c r="AK194" s="57" t="s">
        <v>1292</v>
      </c>
      <c r="AL194" s="57" t="s">
        <v>4148</v>
      </c>
      <c r="AM194" s="57" t="s">
        <v>3476</v>
      </c>
      <c r="AN194" s="57" t="s">
        <v>3830</v>
      </c>
      <c r="AO194" s="57" t="s">
        <v>3476</v>
      </c>
      <c r="AP194" s="58">
        <v>45768.6981134259</v>
      </c>
      <c r="AQ194" s="57" t="s">
        <v>3476</v>
      </c>
      <c r="AR194" s="57" t="s">
        <v>3806</v>
      </c>
      <c r="AS194" s="57" t="s">
        <v>3502</v>
      </c>
      <c r="AT194" s="57" t="s">
        <v>3745</v>
      </c>
      <c r="AU194" s="57" t="s">
        <v>4149</v>
      </c>
      <c r="AV194" s="57" t="s">
        <v>3476</v>
      </c>
      <c r="AW194" s="58">
        <v>45701.6948148148</v>
      </c>
      <c r="AX194" s="57" t="s">
        <v>4148</v>
      </c>
      <c r="AY194" s="57" t="s">
        <v>3747</v>
      </c>
      <c r="AZ194" s="57" t="s">
        <v>3476</v>
      </c>
      <c r="BA194" s="57" t="s">
        <v>3476</v>
      </c>
      <c r="BB194" s="57" t="s">
        <v>3476</v>
      </c>
      <c r="BC194" s="57" t="s">
        <v>1787</v>
      </c>
      <c r="BD194" s="57" t="s">
        <v>3659</v>
      </c>
      <c r="BE194" s="57" t="s">
        <v>4150</v>
      </c>
      <c r="BF194" s="57" t="s">
        <v>3749</v>
      </c>
      <c r="BG194" s="57" t="s">
        <v>3476</v>
      </c>
      <c r="BH194" s="57" t="s">
        <v>3476</v>
      </c>
      <c r="BI194" s="57" t="s">
        <v>2809</v>
      </c>
      <c r="BJ194" s="57" t="s">
        <v>3476</v>
      </c>
      <c r="BK194" s="57" t="s">
        <v>3476</v>
      </c>
      <c r="BL194" s="57">
        <v>3431098</v>
      </c>
      <c r="BM194" s="57" t="s">
        <v>4151</v>
      </c>
      <c r="BN194" s="57" t="s">
        <v>3476</v>
      </c>
      <c r="BO194" s="57">
        <v>570</v>
      </c>
      <c r="BP194" s="57" t="s">
        <v>3810</v>
      </c>
      <c r="BQ194" s="57" t="s">
        <v>3476</v>
      </c>
      <c r="BR194" s="57" t="s">
        <v>4152</v>
      </c>
      <c r="BS194" s="57" t="s">
        <v>1292</v>
      </c>
      <c r="BT194" s="57" t="s">
        <v>3476</v>
      </c>
      <c r="BU194" s="57" t="s">
        <v>3476</v>
      </c>
      <c r="BV194" s="57" t="s">
        <v>3753</v>
      </c>
      <c r="BW194" s="57" t="s">
        <v>3476</v>
      </c>
      <c r="BX194" s="57">
        <v>570</v>
      </c>
      <c r="BY194" s="57" t="s">
        <v>3476</v>
      </c>
      <c r="BZ194" s="57" t="s">
        <v>3476</v>
      </c>
      <c r="CA194" s="57" t="s">
        <v>3476</v>
      </c>
      <c r="CB194" s="57" t="s">
        <v>3476</v>
      </c>
      <c r="CC194" s="57" t="s">
        <v>3476</v>
      </c>
      <c r="CD194" s="57" t="s">
        <v>3476</v>
      </c>
    </row>
    <row r="195" spans="1:82">
      <c r="A195" s="57">
        <v>21011</v>
      </c>
      <c r="B195" s="57" t="s">
        <v>3476</v>
      </c>
      <c r="C195" s="57" t="s">
        <v>4144</v>
      </c>
      <c r="D195" s="57" t="s">
        <v>3476</v>
      </c>
      <c r="E195" s="57" t="s">
        <v>3730</v>
      </c>
      <c r="F195" s="57" t="s">
        <v>4145</v>
      </c>
      <c r="G195" s="57" t="s">
        <v>721</v>
      </c>
      <c r="H195" s="57" t="s">
        <v>2874</v>
      </c>
      <c r="I195" s="57">
        <v>112308</v>
      </c>
      <c r="J195" s="57" t="s">
        <v>3476</v>
      </c>
      <c r="K195" s="57" t="s">
        <v>3476</v>
      </c>
      <c r="L195" s="57" t="s">
        <v>3732</v>
      </c>
      <c r="M195" s="57" t="s">
        <v>4146</v>
      </c>
      <c r="N195" s="57" t="s">
        <v>4146</v>
      </c>
      <c r="O195" s="57" t="s">
        <v>3476</v>
      </c>
      <c r="P195" s="57" t="s">
        <v>3476</v>
      </c>
      <c r="Q195" s="57" t="s">
        <v>2874</v>
      </c>
      <c r="R195" s="57" t="s">
        <v>3781</v>
      </c>
      <c r="S195" s="57" t="s">
        <v>3782</v>
      </c>
      <c r="T195" s="57" t="s">
        <v>3736</v>
      </c>
      <c r="U195" s="57" t="s">
        <v>3476</v>
      </c>
      <c r="V195" s="57" t="s">
        <v>3469</v>
      </c>
      <c r="W195" s="57" t="s">
        <v>3476</v>
      </c>
      <c r="X195" s="57" t="s">
        <v>4021</v>
      </c>
      <c r="Y195" s="57" t="s">
        <v>3738</v>
      </c>
      <c r="Z195" s="57" t="s">
        <v>4147</v>
      </c>
      <c r="AA195" s="57" t="s">
        <v>3733</v>
      </c>
      <c r="AB195" s="57" t="s">
        <v>3476</v>
      </c>
      <c r="AC195" s="57" t="s">
        <v>3741</v>
      </c>
      <c r="AD195" s="57" t="s">
        <v>3476</v>
      </c>
      <c r="AE195" s="57" t="s">
        <v>3476</v>
      </c>
      <c r="AF195" s="57" t="s">
        <v>3476</v>
      </c>
      <c r="AG195" s="57" t="s">
        <v>3476</v>
      </c>
      <c r="AH195" s="57" t="s">
        <v>3476</v>
      </c>
      <c r="AI195" s="57" t="s">
        <v>3476</v>
      </c>
      <c r="AJ195" s="57" t="s">
        <v>3476</v>
      </c>
      <c r="AK195" s="57" t="s">
        <v>1292</v>
      </c>
      <c r="AL195" s="57" t="s">
        <v>4148</v>
      </c>
      <c r="AM195" s="57" t="s">
        <v>3476</v>
      </c>
      <c r="AN195" s="57" t="s">
        <v>3830</v>
      </c>
      <c r="AO195" s="57" t="s">
        <v>3476</v>
      </c>
      <c r="AP195" s="58">
        <v>45768.6981134259</v>
      </c>
      <c r="AQ195" s="57" t="s">
        <v>3476</v>
      </c>
      <c r="AR195" s="57" t="s">
        <v>3806</v>
      </c>
      <c r="AS195" s="57" t="s">
        <v>3502</v>
      </c>
      <c r="AT195" s="57" t="s">
        <v>3745</v>
      </c>
      <c r="AU195" s="57" t="s">
        <v>4149</v>
      </c>
      <c r="AV195" s="57" t="s">
        <v>3476</v>
      </c>
      <c r="AW195" s="58">
        <v>45701.6948148148</v>
      </c>
      <c r="AX195" s="57" t="s">
        <v>4148</v>
      </c>
      <c r="AY195" s="57" t="s">
        <v>3747</v>
      </c>
      <c r="AZ195" s="57" t="s">
        <v>3476</v>
      </c>
      <c r="BA195" s="57" t="s">
        <v>3476</v>
      </c>
      <c r="BB195" s="57" t="s">
        <v>3476</v>
      </c>
      <c r="BC195" s="57" t="s">
        <v>2155</v>
      </c>
      <c r="BD195" s="57" t="s">
        <v>3659</v>
      </c>
      <c r="BE195" s="57" t="s">
        <v>4150</v>
      </c>
      <c r="BF195" s="57" t="s">
        <v>3749</v>
      </c>
      <c r="BG195" s="57" t="s">
        <v>3476</v>
      </c>
      <c r="BH195" s="57" t="s">
        <v>3476</v>
      </c>
      <c r="BI195" s="57" t="s">
        <v>2809</v>
      </c>
      <c r="BJ195" s="57" t="s">
        <v>3476</v>
      </c>
      <c r="BK195" s="57" t="s">
        <v>3476</v>
      </c>
      <c r="BL195" s="57">
        <v>3431099</v>
      </c>
      <c r="BM195" s="57" t="s">
        <v>4151</v>
      </c>
      <c r="BN195" s="57" t="s">
        <v>3476</v>
      </c>
      <c r="BO195" s="57">
        <v>70</v>
      </c>
      <c r="BP195" s="57" t="s">
        <v>3810</v>
      </c>
      <c r="BQ195" s="57" t="s">
        <v>3476</v>
      </c>
      <c r="BR195" s="57" t="s">
        <v>4152</v>
      </c>
      <c r="BS195" s="57" t="s">
        <v>1292</v>
      </c>
      <c r="BT195" s="57" t="s">
        <v>3476</v>
      </c>
      <c r="BU195" s="57" t="s">
        <v>3476</v>
      </c>
      <c r="BV195" s="57" t="s">
        <v>3753</v>
      </c>
      <c r="BW195" s="57" t="s">
        <v>3476</v>
      </c>
      <c r="BX195" s="57">
        <v>70</v>
      </c>
      <c r="BY195" s="57" t="s">
        <v>3476</v>
      </c>
      <c r="BZ195" s="57" t="s">
        <v>3476</v>
      </c>
      <c r="CA195" s="57" t="s">
        <v>3476</v>
      </c>
      <c r="CB195" s="57" t="s">
        <v>3476</v>
      </c>
      <c r="CC195" s="57" t="s">
        <v>3476</v>
      </c>
      <c r="CD195" s="57" t="s">
        <v>3476</v>
      </c>
    </row>
    <row r="196" spans="1:82">
      <c r="A196" s="57">
        <v>21012</v>
      </c>
      <c r="B196" s="57" t="s">
        <v>3476</v>
      </c>
      <c r="C196" s="57" t="s">
        <v>4144</v>
      </c>
      <c r="D196" s="57" t="s">
        <v>3476</v>
      </c>
      <c r="E196" s="57" t="s">
        <v>3730</v>
      </c>
      <c r="F196" s="57" t="s">
        <v>4145</v>
      </c>
      <c r="G196" s="57" t="s">
        <v>721</v>
      </c>
      <c r="H196" s="57" t="s">
        <v>2874</v>
      </c>
      <c r="I196" s="57">
        <v>112308</v>
      </c>
      <c r="J196" s="57" t="s">
        <v>3476</v>
      </c>
      <c r="K196" s="57" t="s">
        <v>3476</v>
      </c>
      <c r="L196" s="57" t="s">
        <v>3732</v>
      </c>
      <c r="M196" s="57" t="s">
        <v>4146</v>
      </c>
      <c r="N196" s="57" t="s">
        <v>4146</v>
      </c>
      <c r="O196" s="57" t="s">
        <v>3476</v>
      </c>
      <c r="P196" s="57" t="s">
        <v>3476</v>
      </c>
      <c r="Q196" s="57" t="s">
        <v>2874</v>
      </c>
      <c r="R196" s="57" t="s">
        <v>3781</v>
      </c>
      <c r="S196" s="57" t="s">
        <v>3782</v>
      </c>
      <c r="T196" s="57" t="s">
        <v>3736</v>
      </c>
      <c r="U196" s="57" t="s">
        <v>3476</v>
      </c>
      <c r="V196" s="57" t="s">
        <v>3469</v>
      </c>
      <c r="W196" s="57" t="s">
        <v>3476</v>
      </c>
      <c r="X196" s="57" t="s">
        <v>4021</v>
      </c>
      <c r="Y196" s="57" t="s">
        <v>3738</v>
      </c>
      <c r="Z196" s="57" t="s">
        <v>4147</v>
      </c>
      <c r="AA196" s="57" t="s">
        <v>3733</v>
      </c>
      <c r="AB196" s="57" t="s">
        <v>3476</v>
      </c>
      <c r="AC196" s="57" t="s">
        <v>3741</v>
      </c>
      <c r="AD196" s="57" t="s">
        <v>3476</v>
      </c>
      <c r="AE196" s="57" t="s">
        <v>3476</v>
      </c>
      <c r="AF196" s="57" t="s">
        <v>3476</v>
      </c>
      <c r="AG196" s="57" t="s">
        <v>3476</v>
      </c>
      <c r="AH196" s="57" t="s">
        <v>3476</v>
      </c>
      <c r="AI196" s="57" t="s">
        <v>3476</v>
      </c>
      <c r="AJ196" s="57" t="s">
        <v>3476</v>
      </c>
      <c r="AK196" s="57" t="s">
        <v>1292</v>
      </c>
      <c r="AL196" s="57" t="s">
        <v>4148</v>
      </c>
      <c r="AM196" s="57" t="s">
        <v>3476</v>
      </c>
      <c r="AN196" s="57" t="s">
        <v>3830</v>
      </c>
      <c r="AO196" s="57" t="s">
        <v>3476</v>
      </c>
      <c r="AP196" s="58">
        <v>45768.6981134259</v>
      </c>
      <c r="AQ196" s="57" t="s">
        <v>3476</v>
      </c>
      <c r="AR196" s="57" t="s">
        <v>3806</v>
      </c>
      <c r="AS196" s="57" t="s">
        <v>3502</v>
      </c>
      <c r="AT196" s="57" t="s">
        <v>3745</v>
      </c>
      <c r="AU196" s="57" t="s">
        <v>4149</v>
      </c>
      <c r="AV196" s="57" t="s">
        <v>3476</v>
      </c>
      <c r="AW196" s="58">
        <v>45701.6948148148</v>
      </c>
      <c r="AX196" s="57" t="s">
        <v>4148</v>
      </c>
      <c r="AY196" s="57" t="s">
        <v>3747</v>
      </c>
      <c r="AZ196" s="57" t="s">
        <v>3476</v>
      </c>
      <c r="BA196" s="57" t="s">
        <v>3476</v>
      </c>
      <c r="BB196" s="57" t="s">
        <v>3476</v>
      </c>
      <c r="BC196" s="57" t="s">
        <v>2155</v>
      </c>
      <c r="BD196" s="57" t="s">
        <v>3659</v>
      </c>
      <c r="BE196" s="57" t="s">
        <v>4150</v>
      </c>
      <c r="BF196" s="57" t="s">
        <v>3749</v>
      </c>
      <c r="BG196" s="57" t="s">
        <v>3476</v>
      </c>
      <c r="BH196" s="57" t="s">
        <v>3476</v>
      </c>
      <c r="BI196" s="57" t="s">
        <v>2809</v>
      </c>
      <c r="BJ196" s="57" t="s">
        <v>3476</v>
      </c>
      <c r="BK196" s="57" t="s">
        <v>3476</v>
      </c>
      <c r="BL196" s="57">
        <v>3431100</v>
      </c>
      <c r="BM196" s="57" t="s">
        <v>4151</v>
      </c>
      <c r="BN196" s="57" t="s">
        <v>3476</v>
      </c>
      <c r="BO196" s="57">
        <v>105</v>
      </c>
      <c r="BP196" s="57" t="s">
        <v>3810</v>
      </c>
      <c r="BQ196" s="57" t="s">
        <v>3476</v>
      </c>
      <c r="BR196" s="57" t="s">
        <v>4152</v>
      </c>
      <c r="BS196" s="57" t="s">
        <v>1292</v>
      </c>
      <c r="BT196" s="57" t="s">
        <v>3476</v>
      </c>
      <c r="BU196" s="57" t="s">
        <v>3476</v>
      </c>
      <c r="BV196" s="57" t="s">
        <v>3753</v>
      </c>
      <c r="BW196" s="57" t="s">
        <v>3476</v>
      </c>
      <c r="BX196" s="57">
        <v>105</v>
      </c>
      <c r="BY196" s="57" t="s">
        <v>3476</v>
      </c>
      <c r="BZ196" s="57" t="s">
        <v>3476</v>
      </c>
      <c r="CA196" s="57" t="s">
        <v>3476</v>
      </c>
      <c r="CB196" s="57" t="s">
        <v>3476</v>
      </c>
      <c r="CC196" s="57" t="s">
        <v>3476</v>
      </c>
      <c r="CD196" s="57" t="s">
        <v>3476</v>
      </c>
    </row>
    <row r="197" spans="1:82">
      <c r="A197" s="57">
        <v>21013</v>
      </c>
      <c r="B197" s="57" t="s">
        <v>3476</v>
      </c>
      <c r="C197" s="57" t="s">
        <v>4144</v>
      </c>
      <c r="D197" s="57" t="s">
        <v>3476</v>
      </c>
      <c r="E197" s="57" t="s">
        <v>3730</v>
      </c>
      <c r="F197" s="57" t="s">
        <v>4145</v>
      </c>
      <c r="G197" s="57" t="s">
        <v>721</v>
      </c>
      <c r="H197" s="57" t="s">
        <v>2874</v>
      </c>
      <c r="I197" s="57">
        <v>112308</v>
      </c>
      <c r="J197" s="57" t="s">
        <v>3476</v>
      </c>
      <c r="K197" s="57" t="s">
        <v>3476</v>
      </c>
      <c r="L197" s="57" t="s">
        <v>3732</v>
      </c>
      <c r="M197" s="57" t="s">
        <v>4146</v>
      </c>
      <c r="N197" s="57" t="s">
        <v>4146</v>
      </c>
      <c r="O197" s="57" t="s">
        <v>3476</v>
      </c>
      <c r="P197" s="57" t="s">
        <v>3476</v>
      </c>
      <c r="Q197" s="57" t="s">
        <v>2874</v>
      </c>
      <c r="R197" s="57" t="s">
        <v>3781</v>
      </c>
      <c r="S197" s="57" t="s">
        <v>3782</v>
      </c>
      <c r="T197" s="57" t="s">
        <v>3736</v>
      </c>
      <c r="U197" s="57" t="s">
        <v>3476</v>
      </c>
      <c r="V197" s="57" t="s">
        <v>3469</v>
      </c>
      <c r="W197" s="57" t="s">
        <v>3476</v>
      </c>
      <c r="X197" s="57" t="s">
        <v>4021</v>
      </c>
      <c r="Y197" s="57" t="s">
        <v>3738</v>
      </c>
      <c r="Z197" s="57" t="s">
        <v>4147</v>
      </c>
      <c r="AA197" s="57" t="s">
        <v>3733</v>
      </c>
      <c r="AB197" s="57" t="s">
        <v>3476</v>
      </c>
      <c r="AC197" s="57" t="s">
        <v>3741</v>
      </c>
      <c r="AD197" s="57" t="s">
        <v>3476</v>
      </c>
      <c r="AE197" s="57" t="s">
        <v>3476</v>
      </c>
      <c r="AF197" s="57" t="s">
        <v>3476</v>
      </c>
      <c r="AG197" s="57" t="s">
        <v>3476</v>
      </c>
      <c r="AH197" s="57" t="s">
        <v>3476</v>
      </c>
      <c r="AI197" s="57" t="s">
        <v>3476</v>
      </c>
      <c r="AJ197" s="57" t="s">
        <v>3476</v>
      </c>
      <c r="AK197" s="57" t="s">
        <v>1292</v>
      </c>
      <c r="AL197" s="57" t="s">
        <v>4148</v>
      </c>
      <c r="AM197" s="57" t="s">
        <v>3476</v>
      </c>
      <c r="AN197" s="57" t="s">
        <v>3830</v>
      </c>
      <c r="AO197" s="57" t="s">
        <v>3476</v>
      </c>
      <c r="AP197" s="58">
        <v>45768.6981134259</v>
      </c>
      <c r="AQ197" s="57" t="s">
        <v>3476</v>
      </c>
      <c r="AR197" s="57" t="s">
        <v>3806</v>
      </c>
      <c r="AS197" s="57" t="s">
        <v>3502</v>
      </c>
      <c r="AT197" s="57" t="s">
        <v>3745</v>
      </c>
      <c r="AU197" s="57" t="s">
        <v>4149</v>
      </c>
      <c r="AV197" s="57" t="s">
        <v>3476</v>
      </c>
      <c r="AW197" s="58">
        <v>45701.6948148148</v>
      </c>
      <c r="AX197" s="57" t="s">
        <v>4148</v>
      </c>
      <c r="AY197" s="57" t="s">
        <v>3747</v>
      </c>
      <c r="AZ197" s="57" t="s">
        <v>3476</v>
      </c>
      <c r="BA197" s="57" t="s">
        <v>3476</v>
      </c>
      <c r="BB197" s="57" t="s">
        <v>3476</v>
      </c>
      <c r="BC197" s="57" t="s">
        <v>1787</v>
      </c>
      <c r="BD197" s="57" t="s">
        <v>3659</v>
      </c>
      <c r="BE197" s="57" t="s">
        <v>4150</v>
      </c>
      <c r="BF197" s="57" t="s">
        <v>3749</v>
      </c>
      <c r="BG197" s="57" t="s">
        <v>3476</v>
      </c>
      <c r="BH197" s="57" t="s">
        <v>3476</v>
      </c>
      <c r="BI197" s="57" t="s">
        <v>2809</v>
      </c>
      <c r="BJ197" s="57" t="s">
        <v>3476</v>
      </c>
      <c r="BK197" s="57" t="s">
        <v>3476</v>
      </c>
      <c r="BL197" s="57">
        <v>3431101</v>
      </c>
      <c r="BM197" s="57" t="s">
        <v>4151</v>
      </c>
      <c r="BN197" s="57" t="s">
        <v>3476</v>
      </c>
      <c r="BO197" s="57">
        <v>18</v>
      </c>
      <c r="BP197" s="57" t="s">
        <v>3810</v>
      </c>
      <c r="BQ197" s="57" t="s">
        <v>3476</v>
      </c>
      <c r="BR197" s="57" t="s">
        <v>4152</v>
      </c>
      <c r="BS197" s="57" t="s">
        <v>1292</v>
      </c>
      <c r="BT197" s="57" t="s">
        <v>3476</v>
      </c>
      <c r="BU197" s="57" t="s">
        <v>3476</v>
      </c>
      <c r="BV197" s="57" t="s">
        <v>3753</v>
      </c>
      <c r="BW197" s="57" t="s">
        <v>3476</v>
      </c>
      <c r="BX197" s="57">
        <v>18</v>
      </c>
      <c r="BY197" s="57" t="s">
        <v>3476</v>
      </c>
      <c r="BZ197" s="57" t="s">
        <v>3476</v>
      </c>
      <c r="CA197" s="57" t="s">
        <v>3476</v>
      </c>
      <c r="CB197" s="57" t="s">
        <v>3476</v>
      </c>
      <c r="CC197" s="57" t="s">
        <v>3476</v>
      </c>
      <c r="CD197" s="57" t="s">
        <v>3476</v>
      </c>
    </row>
    <row r="198" spans="1:82">
      <c r="A198" s="57">
        <v>21014</v>
      </c>
      <c r="B198" s="57" t="s">
        <v>3476</v>
      </c>
      <c r="C198" s="57" t="s">
        <v>4144</v>
      </c>
      <c r="D198" s="57" t="s">
        <v>3476</v>
      </c>
      <c r="E198" s="57" t="s">
        <v>3730</v>
      </c>
      <c r="F198" s="57" t="s">
        <v>4145</v>
      </c>
      <c r="G198" s="57" t="s">
        <v>721</v>
      </c>
      <c r="H198" s="57" t="s">
        <v>2874</v>
      </c>
      <c r="I198" s="57">
        <v>112308</v>
      </c>
      <c r="J198" s="57" t="s">
        <v>3476</v>
      </c>
      <c r="K198" s="57" t="s">
        <v>3476</v>
      </c>
      <c r="L198" s="57" t="s">
        <v>3732</v>
      </c>
      <c r="M198" s="57" t="s">
        <v>4146</v>
      </c>
      <c r="N198" s="57" t="s">
        <v>4146</v>
      </c>
      <c r="O198" s="57" t="s">
        <v>3476</v>
      </c>
      <c r="P198" s="57" t="s">
        <v>3476</v>
      </c>
      <c r="Q198" s="57" t="s">
        <v>2874</v>
      </c>
      <c r="R198" s="57" t="s">
        <v>3781</v>
      </c>
      <c r="S198" s="57" t="s">
        <v>3782</v>
      </c>
      <c r="T198" s="57" t="s">
        <v>3736</v>
      </c>
      <c r="U198" s="57" t="s">
        <v>3476</v>
      </c>
      <c r="V198" s="57" t="s">
        <v>3469</v>
      </c>
      <c r="W198" s="57" t="s">
        <v>3476</v>
      </c>
      <c r="X198" s="57" t="s">
        <v>4021</v>
      </c>
      <c r="Y198" s="57" t="s">
        <v>3738</v>
      </c>
      <c r="Z198" s="57" t="s">
        <v>4147</v>
      </c>
      <c r="AA198" s="57" t="s">
        <v>3733</v>
      </c>
      <c r="AB198" s="57" t="s">
        <v>3476</v>
      </c>
      <c r="AC198" s="57" t="s">
        <v>3741</v>
      </c>
      <c r="AD198" s="57" t="s">
        <v>3476</v>
      </c>
      <c r="AE198" s="57" t="s">
        <v>3476</v>
      </c>
      <c r="AF198" s="57" t="s">
        <v>3476</v>
      </c>
      <c r="AG198" s="57" t="s">
        <v>3476</v>
      </c>
      <c r="AH198" s="57" t="s">
        <v>3476</v>
      </c>
      <c r="AI198" s="57" t="s">
        <v>3476</v>
      </c>
      <c r="AJ198" s="57" t="s">
        <v>3476</v>
      </c>
      <c r="AK198" s="57" t="s">
        <v>1292</v>
      </c>
      <c r="AL198" s="57" t="s">
        <v>4148</v>
      </c>
      <c r="AM198" s="57" t="s">
        <v>3476</v>
      </c>
      <c r="AN198" s="57" t="s">
        <v>3830</v>
      </c>
      <c r="AO198" s="57" t="s">
        <v>3476</v>
      </c>
      <c r="AP198" s="58">
        <v>45768.6981134259</v>
      </c>
      <c r="AQ198" s="57" t="s">
        <v>3476</v>
      </c>
      <c r="AR198" s="57" t="s">
        <v>3806</v>
      </c>
      <c r="AS198" s="57" t="s">
        <v>3502</v>
      </c>
      <c r="AT198" s="57" t="s">
        <v>3745</v>
      </c>
      <c r="AU198" s="57" t="s">
        <v>4149</v>
      </c>
      <c r="AV198" s="57" t="s">
        <v>3476</v>
      </c>
      <c r="AW198" s="58">
        <v>45701.6948148148</v>
      </c>
      <c r="AX198" s="57" t="s">
        <v>4148</v>
      </c>
      <c r="AY198" s="57" t="s">
        <v>3747</v>
      </c>
      <c r="AZ198" s="57" t="s">
        <v>3476</v>
      </c>
      <c r="BA198" s="57" t="s">
        <v>3476</v>
      </c>
      <c r="BB198" s="57" t="s">
        <v>3476</v>
      </c>
      <c r="BC198" s="57" t="s">
        <v>3791</v>
      </c>
      <c r="BD198" s="57" t="s">
        <v>3659</v>
      </c>
      <c r="BE198" s="57" t="s">
        <v>4150</v>
      </c>
      <c r="BF198" s="57" t="s">
        <v>3749</v>
      </c>
      <c r="BG198" s="57" t="s">
        <v>3476</v>
      </c>
      <c r="BH198" s="57" t="s">
        <v>3476</v>
      </c>
      <c r="BI198" s="57" t="s">
        <v>2809</v>
      </c>
      <c r="BJ198" s="57" t="s">
        <v>3476</v>
      </c>
      <c r="BK198" s="57" t="s">
        <v>3476</v>
      </c>
      <c r="BL198" s="57">
        <v>3431102</v>
      </c>
      <c r="BM198" s="57" t="s">
        <v>4151</v>
      </c>
      <c r="BN198" s="57" t="s">
        <v>3476</v>
      </c>
      <c r="BO198" s="57">
        <v>23</v>
      </c>
      <c r="BP198" s="57" t="s">
        <v>3810</v>
      </c>
      <c r="BQ198" s="57" t="s">
        <v>3476</v>
      </c>
      <c r="BR198" s="57" t="s">
        <v>4152</v>
      </c>
      <c r="BS198" s="57" t="s">
        <v>1292</v>
      </c>
      <c r="BT198" s="57" t="s">
        <v>3476</v>
      </c>
      <c r="BU198" s="57" t="s">
        <v>3476</v>
      </c>
      <c r="BV198" s="57" t="s">
        <v>3753</v>
      </c>
      <c r="BW198" s="57" t="s">
        <v>3476</v>
      </c>
      <c r="BX198" s="57">
        <v>23</v>
      </c>
      <c r="BY198" s="57" t="s">
        <v>3476</v>
      </c>
      <c r="BZ198" s="57" t="s">
        <v>3476</v>
      </c>
      <c r="CA198" s="57" t="s">
        <v>3476</v>
      </c>
      <c r="CB198" s="57" t="s">
        <v>3476</v>
      </c>
      <c r="CC198" s="57" t="s">
        <v>3476</v>
      </c>
      <c r="CD198" s="57" t="s">
        <v>3476</v>
      </c>
    </row>
    <row r="199" spans="1:82">
      <c r="A199" s="57">
        <v>21015</v>
      </c>
      <c r="B199" s="57" t="s">
        <v>3476</v>
      </c>
      <c r="C199" s="57" t="s">
        <v>4144</v>
      </c>
      <c r="D199" s="57" t="s">
        <v>3476</v>
      </c>
      <c r="E199" s="57" t="s">
        <v>3730</v>
      </c>
      <c r="F199" s="57" t="s">
        <v>4145</v>
      </c>
      <c r="G199" s="57" t="s">
        <v>721</v>
      </c>
      <c r="H199" s="57" t="s">
        <v>2874</v>
      </c>
      <c r="I199" s="57">
        <v>112308</v>
      </c>
      <c r="J199" s="57" t="s">
        <v>3476</v>
      </c>
      <c r="K199" s="57" t="s">
        <v>3476</v>
      </c>
      <c r="L199" s="57" t="s">
        <v>3732</v>
      </c>
      <c r="M199" s="57" t="s">
        <v>4146</v>
      </c>
      <c r="N199" s="57" t="s">
        <v>4146</v>
      </c>
      <c r="O199" s="57" t="s">
        <v>3476</v>
      </c>
      <c r="P199" s="57" t="s">
        <v>3476</v>
      </c>
      <c r="Q199" s="57" t="s">
        <v>2874</v>
      </c>
      <c r="R199" s="57" t="s">
        <v>3781</v>
      </c>
      <c r="S199" s="57" t="s">
        <v>3782</v>
      </c>
      <c r="T199" s="57" t="s">
        <v>3736</v>
      </c>
      <c r="U199" s="57" t="s">
        <v>3476</v>
      </c>
      <c r="V199" s="57" t="s">
        <v>3469</v>
      </c>
      <c r="W199" s="57" t="s">
        <v>3476</v>
      </c>
      <c r="X199" s="57" t="s">
        <v>4021</v>
      </c>
      <c r="Y199" s="57" t="s">
        <v>3738</v>
      </c>
      <c r="Z199" s="57" t="s">
        <v>4147</v>
      </c>
      <c r="AA199" s="57" t="s">
        <v>3733</v>
      </c>
      <c r="AB199" s="57" t="s">
        <v>3476</v>
      </c>
      <c r="AC199" s="57" t="s">
        <v>3741</v>
      </c>
      <c r="AD199" s="57" t="s">
        <v>3476</v>
      </c>
      <c r="AE199" s="57" t="s">
        <v>3476</v>
      </c>
      <c r="AF199" s="57" t="s">
        <v>3476</v>
      </c>
      <c r="AG199" s="57" t="s">
        <v>3476</v>
      </c>
      <c r="AH199" s="57" t="s">
        <v>3476</v>
      </c>
      <c r="AI199" s="57" t="s">
        <v>3476</v>
      </c>
      <c r="AJ199" s="57" t="s">
        <v>3476</v>
      </c>
      <c r="AK199" s="57" t="s">
        <v>1292</v>
      </c>
      <c r="AL199" s="57" t="s">
        <v>4148</v>
      </c>
      <c r="AM199" s="57" t="s">
        <v>3476</v>
      </c>
      <c r="AN199" s="57" t="s">
        <v>3830</v>
      </c>
      <c r="AO199" s="57" t="s">
        <v>3476</v>
      </c>
      <c r="AP199" s="58">
        <v>45768.6981134259</v>
      </c>
      <c r="AQ199" s="57" t="s">
        <v>3476</v>
      </c>
      <c r="AR199" s="57" t="s">
        <v>3806</v>
      </c>
      <c r="AS199" s="57" t="s">
        <v>3502</v>
      </c>
      <c r="AT199" s="57" t="s">
        <v>3745</v>
      </c>
      <c r="AU199" s="57" t="s">
        <v>4149</v>
      </c>
      <c r="AV199" s="57" t="s">
        <v>3476</v>
      </c>
      <c r="AW199" s="58">
        <v>45701.6948148148</v>
      </c>
      <c r="AX199" s="57" t="s">
        <v>4148</v>
      </c>
      <c r="AY199" s="57" t="s">
        <v>3747</v>
      </c>
      <c r="AZ199" s="57" t="s">
        <v>3476</v>
      </c>
      <c r="BA199" s="57" t="s">
        <v>3476</v>
      </c>
      <c r="BB199" s="57" t="s">
        <v>3476</v>
      </c>
      <c r="BC199" s="57" t="s">
        <v>3791</v>
      </c>
      <c r="BD199" s="57" t="s">
        <v>3659</v>
      </c>
      <c r="BE199" s="57" t="s">
        <v>4150</v>
      </c>
      <c r="BF199" s="57" t="s">
        <v>3749</v>
      </c>
      <c r="BG199" s="57" t="s">
        <v>3476</v>
      </c>
      <c r="BH199" s="57" t="s">
        <v>3476</v>
      </c>
      <c r="BI199" s="57" t="s">
        <v>2809</v>
      </c>
      <c r="BJ199" s="57" t="s">
        <v>3476</v>
      </c>
      <c r="BK199" s="57" t="s">
        <v>3476</v>
      </c>
      <c r="BL199" s="57">
        <v>3431103</v>
      </c>
      <c r="BM199" s="57" t="s">
        <v>4151</v>
      </c>
      <c r="BN199" s="57" t="s">
        <v>3476</v>
      </c>
      <c r="BO199" s="57">
        <v>3.4</v>
      </c>
      <c r="BP199" s="57" t="s">
        <v>3810</v>
      </c>
      <c r="BQ199" s="57" t="s">
        <v>3476</v>
      </c>
      <c r="BR199" s="57" t="s">
        <v>4152</v>
      </c>
      <c r="BS199" s="57" t="s">
        <v>1292</v>
      </c>
      <c r="BT199" s="57" t="s">
        <v>3476</v>
      </c>
      <c r="BU199" s="57" t="s">
        <v>3476</v>
      </c>
      <c r="BV199" s="57" t="s">
        <v>3753</v>
      </c>
      <c r="BW199" s="57" t="s">
        <v>3476</v>
      </c>
      <c r="BX199" s="57">
        <v>3.4</v>
      </c>
      <c r="BY199" s="57" t="s">
        <v>3476</v>
      </c>
      <c r="BZ199" s="57" t="s">
        <v>3476</v>
      </c>
      <c r="CA199" s="57" t="s">
        <v>3476</v>
      </c>
      <c r="CB199" s="57" t="s">
        <v>3476</v>
      </c>
      <c r="CC199" s="57" t="s">
        <v>3476</v>
      </c>
      <c r="CD199" s="57" t="s">
        <v>3476</v>
      </c>
    </row>
    <row r="200" spans="1:82">
      <c r="A200" s="57">
        <v>21016</v>
      </c>
      <c r="B200" s="57" t="s">
        <v>3476</v>
      </c>
      <c r="C200" s="57" t="s">
        <v>4144</v>
      </c>
      <c r="D200" s="57" t="s">
        <v>3476</v>
      </c>
      <c r="E200" s="57" t="s">
        <v>3730</v>
      </c>
      <c r="F200" s="57" t="s">
        <v>4145</v>
      </c>
      <c r="G200" s="57" t="s">
        <v>721</v>
      </c>
      <c r="H200" s="57" t="s">
        <v>2874</v>
      </c>
      <c r="I200" s="57">
        <v>112308</v>
      </c>
      <c r="J200" s="57" t="s">
        <v>3476</v>
      </c>
      <c r="K200" s="57" t="s">
        <v>3476</v>
      </c>
      <c r="L200" s="57" t="s">
        <v>3732</v>
      </c>
      <c r="M200" s="57" t="s">
        <v>4146</v>
      </c>
      <c r="N200" s="57" t="s">
        <v>4146</v>
      </c>
      <c r="O200" s="57" t="s">
        <v>3476</v>
      </c>
      <c r="P200" s="57" t="s">
        <v>3476</v>
      </c>
      <c r="Q200" s="57" t="s">
        <v>2874</v>
      </c>
      <c r="R200" s="57" t="s">
        <v>3781</v>
      </c>
      <c r="S200" s="57" t="s">
        <v>3782</v>
      </c>
      <c r="T200" s="57" t="s">
        <v>3736</v>
      </c>
      <c r="U200" s="57" t="s">
        <v>3476</v>
      </c>
      <c r="V200" s="57" t="s">
        <v>3469</v>
      </c>
      <c r="W200" s="57" t="s">
        <v>3476</v>
      </c>
      <c r="X200" s="57" t="s">
        <v>4021</v>
      </c>
      <c r="Y200" s="57" t="s">
        <v>3738</v>
      </c>
      <c r="Z200" s="57" t="s">
        <v>4147</v>
      </c>
      <c r="AA200" s="57" t="s">
        <v>3733</v>
      </c>
      <c r="AB200" s="57" t="s">
        <v>3476</v>
      </c>
      <c r="AC200" s="57" t="s">
        <v>3741</v>
      </c>
      <c r="AD200" s="57" t="s">
        <v>3476</v>
      </c>
      <c r="AE200" s="57" t="s">
        <v>3476</v>
      </c>
      <c r="AF200" s="57" t="s">
        <v>3476</v>
      </c>
      <c r="AG200" s="57" t="s">
        <v>3476</v>
      </c>
      <c r="AH200" s="57" t="s">
        <v>3476</v>
      </c>
      <c r="AI200" s="57" t="s">
        <v>3476</v>
      </c>
      <c r="AJ200" s="57" t="s">
        <v>3476</v>
      </c>
      <c r="AK200" s="57" t="s">
        <v>1292</v>
      </c>
      <c r="AL200" s="57" t="s">
        <v>4148</v>
      </c>
      <c r="AM200" s="57" t="s">
        <v>3476</v>
      </c>
      <c r="AN200" s="57" t="s">
        <v>3830</v>
      </c>
      <c r="AO200" s="57" t="s">
        <v>3476</v>
      </c>
      <c r="AP200" s="58">
        <v>45768.6981134259</v>
      </c>
      <c r="AQ200" s="57" t="s">
        <v>3476</v>
      </c>
      <c r="AR200" s="57" t="s">
        <v>3806</v>
      </c>
      <c r="AS200" s="57" t="s">
        <v>3502</v>
      </c>
      <c r="AT200" s="57" t="s">
        <v>3745</v>
      </c>
      <c r="AU200" s="57" t="s">
        <v>4149</v>
      </c>
      <c r="AV200" s="57" t="s">
        <v>3476</v>
      </c>
      <c r="AW200" s="58">
        <v>45701.6948148148</v>
      </c>
      <c r="AX200" s="57" t="s">
        <v>4148</v>
      </c>
      <c r="AY200" s="57" t="s">
        <v>3747</v>
      </c>
      <c r="AZ200" s="57" t="s">
        <v>3476</v>
      </c>
      <c r="BA200" s="57" t="s">
        <v>3476</v>
      </c>
      <c r="BB200" s="57" t="s">
        <v>3476</v>
      </c>
      <c r="BC200" s="57" t="s">
        <v>3791</v>
      </c>
      <c r="BD200" s="57" t="s">
        <v>3659</v>
      </c>
      <c r="BE200" s="57" t="s">
        <v>4150</v>
      </c>
      <c r="BF200" s="57" t="s">
        <v>3749</v>
      </c>
      <c r="BG200" s="57" t="s">
        <v>3476</v>
      </c>
      <c r="BH200" s="57" t="s">
        <v>3476</v>
      </c>
      <c r="BI200" s="57" t="s">
        <v>2809</v>
      </c>
      <c r="BJ200" s="57" t="s">
        <v>3476</v>
      </c>
      <c r="BK200" s="57" t="s">
        <v>3476</v>
      </c>
      <c r="BL200" s="57">
        <v>3431104</v>
      </c>
      <c r="BM200" s="57" t="s">
        <v>4151</v>
      </c>
      <c r="BN200" s="57" t="s">
        <v>3476</v>
      </c>
      <c r="BO200" s="57">
        <v>434</v>
      </c>
      <c r="BP200" s="57" t="s">
        <v>3810</v>
      </c>
      <c r="BQ200" s="57" t="s">
        <v>3476</v>
      </c>
      <c r="BR200" s="57" t="s">
        <v>4152</v>
      </c>
      <c r="BS200" s="57" t="s">
        <v>1292</v>
      </c>
      <c r="BT200" s="57" t="s">
        <v>3476</v>
      </c>
      <c r="BU200" s="57" t="s">
        <v>3476</v>
      </c>
      <c r="BV200" s="57" t="s">
        <v>3753</v>
      </c>
      <c r="BW200" s="57" t="s">
        <v>3476</v>
      </c>
      <c r="BX200" s="57">
        <v>434</v>
      </c>
      <c r="BY200" s="57" t="s">
        <v>3476</v>
      </c>
      <c r="BZ200" s="57" t="s">
        <v>3476</v>
      </c>
      <c r="CA200" s="57" t="s">
        <v>3476</v>
      </c>
      <c r="CB200" s="57" t="s">
        <v>3476</v>
      </c>
      <c r="CC200" s="57" t="s">
        <v>3476</v>
      </c>
      <c r="CD200" s="57" t="s">
        <v>3476</v>
      </c>
    </row>
    <row r="201" spans="1:82">
      <c r="A201" s="57">
        <v>21017</v>
      </c>
      <c r="B201" s="57" t="s">
        <v>3476</v>
      </c>
      <c r="C201" s="57" t="s">
        <v>4144</v>
      </c>
      <c r="D201" s="57" t="s">
        <v>3476</v>
      </c>
      <c r="E201" s="57" t="s">
        <v>3730</v>
      </c>
      <c r="F201" s="57" t="s">
        <v>4145</v>
      </c>
      <c r="G201" s="57" t="s">
        <v>721</v>
      </c>
      <c r="H201" s="57" t="s">
        <v>2874</v>
      </c>
      <c r="I201" s="57">
        <v>112308</v>
      </c>
      <c r="J201" s="57" t="s">
        <v>3476</v>
      </c>
      <c r="K201" s="57" t="s">
        <v>3476</v>
      </c>
      <c r="L201" s="57" t="s">
        <v>3732</v>
      </c>
      <c r="M201" s="57" t="s">
        <v>4146</v>
      </c>
      <c r="N201" s="57" t="s">
        <v>4146</v>
      </c>
      <c r="O201" s="57" t="s">
        <v>3476</v>
      </c>
      <c r="P201" s="57" t="s">
        <v>3476</v>
      </c>
      <c r="Q201" s="57" t="s">
        <v>2874</v>
      </c>
      <c r="R201" s="57" t="s">
        <v>3781</v>
      </c>
      <c r="S201" s="57" t="s">
        <v>3782</v>
      </c>
      <c r="T201" s="57" t="s">
        <v>3736</v>
      </c>
      <c r="U201" s="57" t="s">
        <v>3476</v>
      </c>
      <c r="V201" s="57" t="s">
        <v>3469</v>
      </c>
      <c r="W201" s="57" t="s">
        <v>3476</v>
      </c>
      <c r="X201" s="57" t="s">
        <v>4021</v>
      </c>
      <c r="Y201" s="57" t="s">
        <v>3738</v>
      </c>
      <c r="Z201" s="57" t="s">
        <v>4147</v>
      </c>
      <c r="AA201" s="57" t="s">
        <v>3733</v>
      </c>
      <c r="AB201" s="57" t="s">
        <v>3476</v>
      </c>
      <c r="AC201" s="57" t="s">
        <v>3741</v>
      </c>
      <c r="AD201" s="57" t="s">
        <v>3476</v>
      </c>
      <c r="AE201" s="57" t="s">
        <v>3476</v>
      </c>
      <c r="AF201" s="57" t="s">
        <v>3476</v>
      </c>
      <c r="AG201" s="57" t="s">
        <v>3476</v>
      </c>
      <c r="AH201" s="57" t="s">
        <v>3476</v>
      </c>
      <c r="AI201" s="57" t="s">
        <v>3476</v>
      </c>
      <c r="AJ201" s="57" t="s">
        <v>3476</v>
      </c>
      <c r="AK201" s="57" t="s">
        <v>1292</v>
      </c>
      <c r="AL201" s="57" t="s">
        <v>4148</v>
      </c>
      <c r="AM201" s="57" t="s">
        <v>3476</v>
      </c>
      <c r="AN201" s="57" t="s">
        <v>3830</v>
      </c>
      <c r="AO201" s="57" t="s">
        <v>3476</v>
      </c>
      <c r="AP201" s="58">
        <v>45768.6981134259</v>
      </c>
      <c r="AQ201" s="57" t="s">
        <v>3476</v>
      </c>
      <c r="AR201" s="57" t="s">
        <v>3806</v>
      </c>
      <c r="AS201" s="57" t="s">
        <v>3502</v>
      </c>
      <c r="AT201" s="57" t="s">
        <v>3745</v>
      </c>
      <c r="AU201" s="57" t="s">
        <v>4149</v>
      </c>
      <c r="AV201" s="57" t="s">
        <v>3476</v>
      </c>
      <c r="AW201" s="58">
        <v>45701.6948148148</v>
      </c>
      <c r="AX201" s="57" t="s">
        <v>4148</v>
      </c>
      <c r="AY201" s="57" t="s">
        <v>3747</v>
      </c>
      <c r="AZ201" s="57" t="s">
        <v>3476</v>
      </c>
      <c r="BA201" s="57" t="s">
        <v>3476</v>
      </c>
      <c r="BB201" s="57" t="s">
        <v>3476</v>
      </c>
      <c r="BC201" s="57" t="s">
        <v>1787</v>
      </c>
      <c r="BD201" s="57" t="s">
        <v>3659</v>
      </c>
      <c r="BE201" s="57" t="s">
        <v>4150</v>
      </c>
      <c r="BF201" s="57" t="s">
        <v>3749</v>
      </c>
      <c r="BG201" s="57" t="s">
        <v>3476</v>
      </c>
      <c r="BH201" s="57" t="s">
        <v>3476</v>
      </c>
      <c r="BI201" s="57" t="s">
        <v>2809</v>
      </c>
      <c r="BJ201" s="57" t="s">
        <v>3476</v>
      </c>
      <c r="BK201" s="57" t="s">
        <v>3476</v>
      </c>
      <c r="BL201" s="57">
        <v>3431105</v>
      </c>
      <c r="BM201" s="57" t="s">
        <v>4151</v>
      </c>
      <c r="BN201" s="57" t="s">
        <v>3476</v>
      </c>
      <c r="BO201" s="57">
        <v>96</v>
      </c>
      <c r="BP201" s="57" t="s">
        <v>3810</v>
      </c>
      <c r="BQ201" s="57" t="s">
        <v>3476</v>
      </c>
      <c r="BR201" s="57" t="s">
        <v>4152</v>
      </c>
      <c r="BS201" s="57" t="s">
        <v>1292</v>
      </c>
      <c r="BT201" s="57" t="s">
        <v>3476</v>
      </c>
      <c r="BU201" s="57" t="s">
        <v>3476</v>
      </c>
      <c r="BV201" s="57" t="s">
        <v>3753</v>
      </c>
      <c r="BW201" s="57" t="s">
        <v>3476</v>
      </c>
      <c r="BX201" s="57">
        <v>96</v>
      </c>
      <c r="BY201" s="57" t="s">
        <v>3476</v>
      </c>
      <c r="BZ201" s="57" t="s">
        <v>3476</v>
      </c>
      <c r="CA201" s="57" t="s">
        <v>3476</v>
      </c>
      <c r="CB201" s="57" t="s">
        <v>3476</v>
      </c>
      <c r="CC201" s="57" t="s">
        <v>3476</v>
      </c>
      <c r="CD201" s="57" t="s">
        <v>3476</v>
      </c>
    </row>
    <row r="202" spans="1:82">
      <c r="A202" s="57">
        <v>21018</v>
      </c>
      <c r="B202" s="57" t="s">
        <v>3476</v>
      </c>
      <c r="C202" s="57" t="s">
        <v>4144</v>
      </c>
      <c r="D202" s="57" t="s">
        <v>3476</v>
      </c>
      <c r="E202" s="57" t="s">
        <v>3730</v>
      </c>
      <c r="F202" s="57" t="s">
        <v>4145</v>
      </c>
      <c r="G202" s="57" t="s">
        <v>721</v>
      </c>
      <c r="H202" s="57" t="s">
        <v>2874</v>
      </c>
      <c r="I202" s="57">
        <v>112308</v>
      </c>
      <c r="J202" s="57" t="s">
        <v>3476</v>
      </c>
      <c r="K202" s="57" t="s">
        <v>3476</v>
      </c>
      <c r="L202" s="57" t="s">
        <v>3732</v>
      </c>
      <c r="M202" s="57" t="s">
        <v>4146</v>
      </c>
      <c r="N202" s="57" t="s">
        <v>4146</v>
      </c>
      <c r="O202" s="57" t="s">
        <v>3476</v>
      </c>
      <c r="P202" s="57" t="s">
        <v>3476</v>
      </c>
      <c r="Q202" s="57" t="s">
        <v>2874</v>
      </c>
      <c r="R202" s="57" t="s">
        <v>3781</v>
      </c>
      <c r="S202" s="57" t="s">
        <v>3782</v>
      </c>
      <c r="T202" s="57" t="s">
        <v>3736</v>
      </c>
      <c r="U202" s="57" t="s">
        <v>3476</v>
      </c>
      <c r="V202" s="57" t="s">
        <v>3469</v>
      </c>
      <c r="W202" s="57" t="s">
        <v>3476</v>
      </c>
      <c r="X202" s="57" t="s">
        <v>4021</v>
      </c>
      <c r="Y202" s="57" t="s">
        <v>3738</v>
      </c>
      <c r="Z202" s="57" t="s">
        <v>4147</v>
      </c>
      <c r="AA202" s="57" t="s">
        <v>3733</v>
      </c>
      <c r="AB202" s="57" t="s">
        <v>3476</v>
      </c>
      <c r="AC202" s="57" t="s">
        <v>3741</v>
      </c>
      <c r="AD202" s="57" t="s">
        <v>3476</v>
      </c>
      <c r="AE202" s="57" t="s">
        <v>3476</v>
      </c>
      <c r="AF202" s="57" t="s">
        <v>3476</v>
      </c>
      <c r="AG202" s="57" t="s">
        <v>3476</v>
      </c>
      <c r="AH202" s="57" t="s">
        <v>3476</v>
      </c>
      <c r="AI202" s="57" t="s">
        <v>3476</v>
      </c>
      <c r="AJ202" s="57" t="s">
        <v>3476</v>
      </c>
      <c r="AK202" s="57" t="s">
        <v>1292</v>
      </c>
      <c r="AL202" s="57" t="s">
        <v>4148</v>
      </c>
      <c r="AM202" s="57" t="s">
        <v>3476</v>
      </c>
      <c r="AN202" s="57" t="s">
        <v>3830</v>
      </c>
      <c r="AO202" s="57" t="s">
        <v>3476</v>
      </c>
      <c r="AP202" s="58">
        <v>45768.6981134259</v>
      </c>
      <c r="AQ202" s="57" t="s">
        <v>3476</v>
      </c>
      <c r="AR202" s="57" t="s">
        <v>3806</v>
      </c>
      <c r="AS202" s="57" t="s">
        <v>3502</v>
      </c>
      <c r="AT202" s="57" t="s">
        <v>3745</v>
      </c>
      <c r="AU202" s="57" t="s">
        <v>4149</v>
      </c>
      <c r="AV202" s="57" t="s">
        <v>3476</v>
      </c>
      <c r="AW202" s="58">
        <v>45701.6948148148</v>
      </c>
      <c r="AX202" s="57" t="s">
        <v>4148</v>
      </c>
      <c r="AY202" s="57" t="s">
        <v>3747</v>
      </c>
      <c r="AZ202" s="57" t="s">
        <v>3476</v>
      </c>
      <c r="BA202" s="57" t="s">
        <v>3476</v>
      </c>
      <c r="BB202" s="57" t="s">
        <v>3476</v>
      </c>
      <c r="BC202" s="57" t="s">
        <v>1787</v>
      </c>
      <c r="BD202" s="57" t="s">
        <v>3659</v>
      </c>
      <c r="BE202" s="57" t="s">
        <v>4150</v>
      </c>
      <c r="BF202" s="57" t="s">
        <v>3749</v>
      </c>
      <c r="BG202" s="57" t="s">
        <v>3476</v>
      </c>
      <c r="BH202" s="57" t="s">
        <v>3476</v>
      </c>
      <c r="BI202" s="57" t="s">
        <v>2809</v>
      </c>
      <c r="BJ202" s="57" t="s">
        <v>3476</v>
      </c>
      <c r="BK202" s="57" t="s">
        <v>3476</v>
      </c>
      <c r="BL202" s="57">
        <v>3431106</v>
      </c>
      <c r="BM202" s="57" t="s">
        <v>4151</v>
      </c>
      <c r="BN202" s="57" t="s">
        <v>3476</v>
      </c>
      <c r="BO202" s="57">
        <v>36</v>
      </c>
      <c r="BP202" s="57" t="s">
        <v>3810</v>
      </c>
      <c r="BQ202" s="57" t="s">
        <v>3476</v>
      </c>
      <c r="BR202" s="57" t="s">
        <v>4152</v>
      </c>
      <c r="BS202" s="57" t="s">
        <v>1292</v>
      </c>
      <c r="BT202" s="57" t="s">
        <v>3476</v>
      </c>
      <c r="BU202" s="57" t="s">
        <v>3476</v>
      </c>
      <c r="BV202" s="57" t="s">
        <v>3753</v>
      </c>
      <c r="BW202" s="57" t="s">
        <v>3476</v>
      </c>
      <c r="BX202" s="57">
        <v>36</v>
      </c>
      <c r="BY202" s="57" t="s">
        <v>3476</v>
      </c>
      <c r="BZ202" s="57" t="s">
        <v>3476</v>
      </c>
      <c r="CA202" s="57" t="s">
        <v>3476</v>
      </c>
      <c r="CB202" s="57" t="s">
        <v>3476</v>
      </c>
      <c r="CC202" s="57" t="s">
        <v>3476</v>
      </c>
      <c r="CD202" s="57" t="s">
        <v>3476</v>
      </c>
    </row>
    <row r="203" spans="1:82">
      <c r="A203" s="57">
        <v>21019</v>
      </c>
      <c r="B203" s="57" t="s">
        <v>3476</v>
      </c>
      <c r="C203" s="57" t="s">
        <v>4144</v>
      </c>
      <c r="D203" s="57" t="s">
        <v>3476</v>
      </c>
      <c r="E203" s="57" t="s">
        <v>3730</v>
      </c>
      <c r="F203" s="57" t="s">
        <v>4145</v>
      </c>
      <c r="G203" s="57" t="s">
        <v>721</v>
      </c>
      <c r="H203" s="57" t="s">
        <v>2874</v>
      </c>
      <c r="I203" s="57">
        <v>112308</v>
      </c>
      <c r="J203" s="57" t="s">
        <v>3476</v>
      </c>
      <c r="K203" s="57" t="s">
        <v>3476</v>
      </c>
      <c r="L203" s="57" t="s">
        <v>3732</v>
      </c>
      <c r="M203" s="57" t="s">
        <v>4146</v>
      </c>
      <c r="N203" s="57" t="s">
        <v>4146</v>
      </c>
      <c r="O203" s="57" t="s">
        <v>3476</v>
      </c>
      <c r="P203" s="57" t="s">
        <v>3476</v>
      </c>
      <c r="Q203" s="57" t="s">
        <v>2874</v>
      </c>
      <c r="R203" s="57" t="s">
        <v>3781</v>
      </c>
      <c r="S203" s="57" t="s">
        <v>3782</v>
      </c>
      <c r="T203" s="57" t="s">
        <v>3736</v>
      </c>
      <c r="U203" s="57" t="s">
        <v>3476</v>
      </c>
      <c r="V203" s="57" t="s">
        <v>3469</v>
      </c>
      <c r="W203" s="57" t="s">
        <v>3476</v>
      </c>
      <c r="X203" s="57" t="s">
        <v>4021</v>
      </c>
      <c r="Y203" s="57" t="s">
        <v>3738</v>
      </c>
      <c r="Z203" s="57" t="s">
        <v>4147</v>
      </c>
      <c r="AA203" s="57" t="s">
        <v>3733</v>
      </c>
      <c r="AB203" s="57" t="s">
        <v>3476</v>
      </c>
      <c r="AC203" s="57" t="s">
        <v>3741</v>
      </c>
      <c r="AD203" s="57" t="s">
        <v>3476</v>
      </c>
      <c r="AE203" s="57" t="s">
        <v>3476</v>
      </c>
      <c r="AF203" s="57" t="s">
        <v>3476</v>
      </c>
      <c r="AG203" s="57" t="s">
        <v>3476</v>
      </c>
      <c r="AH203" s="57" t="s">
        <v>3476</v>
      </c>
      <c r="AI203" s="57" t="s">
        <v>3476</v>
      </c>
      <c r="AJ203" s="57" t="s">
        <v>3476</v>
      </c>
      <c r="AK203" s="57" t="s">
        <v>1292</v>
      </c>
      <c r="AL203" s="57" t="s">
        <v>4148</v>
      </c>
      <c r="AM203" s="57" t="s">
        <v>3476</v>
      </c>
      <c r="AN203" s="57" t="s">
        <v>3830</v>
      </c>
      <c r="AO203" s="57" t="s">
        <v>3476</v>
      </c>
      <c r="AP203" s="58">
        <v>45768.6981134259</v>
      </c>
      <c r="AQ203" s="57" t="s">
        <v>3476</v>
      </c>
      <c r="AR203" s="57" t="s">
        <v>3806</v>
      </c>
      <c r="AS203" s="57" t="s">
        <v>3502</v>
      </c>
      <c r="AT203" s="57" t="s">
        <v>3745</v>
      </c>
      <c r="AU203" s="57" t="s">
        <v>4149</v>
      </c>
      <c r="AV203" s="57" t="s">
        <v>3476</v>
      </c>
      <c r="AW203" s="58">
        <v>45701.6948148148</v>
      </c>
      <c r="AX203" s="57" t="s">
        <v>4148</v>
      </c>
      <c r="AY203" s="57" t="s">
        <v>3747</v>
      </c>
      <c r="AZ203" s="57" t="s">
        <v>3476</v>
      </c>
      <c r="BA203" s="57" t="s">
        <v>3476</v>
      </c>
      <c r="BB203" s="57" t="s">
        <v>3476</v>
      </c>
      <c r="BC203" s="57" t="s">
        <v>1787</v>
      </c>
      <c r="BD203" s="57" t="s">
        <v>3659</v>
      </c>
      <c r="BE203" s="57" t="s">
        <v>4150</v>
      </c>
      <c r="BF203" s="57" t="s">
        <v>3749</v>
      </c>
      <c r="BG203" s="57" t="s">
        <v>3476</v>
      </c>
      <c r="BH203" s="57" t="s">
        <v>3476</v>
      </c>
      <c r="BI203" s="57" t="s">
        <v>2809</v>
      </c>
      <c r="BJ203" s="57" t="s">
        <v>3476</v>
      </c>
      <c r="BK203" s="57" t="s">
        <v>3476</v>
      </c>
      <c r="BL203" s="57">
        <v>3431107</v>
      </c>
      <c r="BM203" s="57" t="s">
        <v>4151</v>
      </c>
      <c r="BN203" s="57" t="s">
        <v>3476</v>
      </c>
      <c r="BO203" s="57">
        <v>66</v>
      </c>
      <c r="BP203" s="57" t="s">
        <v>3810</v>
      </c>
      <c r="BQ203" s="57" t="s">
        <v>3476</v>
      </c>
      <c r="BR203" s="57" t="s">
        <v>4152</v>
      </c>
      <c r="BS203" s="57" t="s">
        <v>1292</v>
      </c>
      <c r="BT203" s="57" t="s">
        <v>3476</v>
      </c>
      <c r="BU203" s="57" t="s">
        <v>3476</v>
      </c>
      <c r="BV203" s="57" t="s">
        <v>3753</v>
      </c>
      <c r="BW203" s="57" t="s">
        <v>3476</v>
      </c>
      <c r="BX203" s="57">
        <v>66</v>
      </c>
      <c r="BY203" s="57" t="s">
        <v>3476</v>
      </c>
      <c r="BZ203" s="57" t="s">
        <v>3476</v>
      </c>
      <c r="CA203" s="57" t="s">
        <v>3476</v>
      </c>
      <c r="CB203" s="57" t="s">
        <v>3476</v>
      </c>
      <c r="CC203" s="57" t="s">
        <v>3476</v>
      </c>
      <c r="CD203" s="57" t="s">
        <v>3476</v>
      </c>
    </row>
    <row r="204" spans="1:82">
      <c r="A204" s="57">
        <v>21020</v>
      </c>
      <c r="B204" s="57" t="s">
        <v>3476</v>
      </c>
      <c r="C204" s="57" t="s">
        <v>4144</v>
      </c>
      <c r="D204" s="57" t="s">
        <v>3476</v>
      </c>
      <c r="E204" s="57" t="s">
        <v>3730</v>
      </c>
      <c r="F204" s="57" t="s">
        <v>4145</v>
      </c>
      <c r="G204" s="57" t="s">
        <v>721</v>
      </c>
      <c r="H204" s="57" t="s">
        <v>2874</v>
      </c>
      <c r="I204" s="57">
        <v>112308</v>
      </c>
      <c r="J204" s="57" t="s">
        <v>3476</v>
      </c>
      <c r="K204" s="57" t="s">
        <v>3476</v>
      </c>
      <c r="L204" s="57" t="s">
        <v>3732</v>
      </c>
      <c r="M204" s="57" t="s">
        <v>4146</v>
      </c>
      <c r="N204" s="57" t="s">
        <v>4146</v>
      </c>
      <c r="O204" s="57" t="s">
        <v>3476</v>
      </c>
      <c r="P204" s="57" t="s">
        <v>3476</v>
      </c>
      <c r="Q204" s="57" t="s">
        <v>2874</v>
      </c>
      <c r="R204" s="57" t="s">
        <v>3781</v>
      </c>
      <c r="S204" s="57" t="s">
        <v>3782</v>
      </c>
      <c r="T204" s="57" t="s">
        <v>3736</v>
      </c>
      <c r="U204" s="57" t="s">
        <v>3476</v>
      </c>
      <c r="V204" s="57" t="s">
        <v>3469</v>
      </c>
      <c r="W204" s="57" t="s">
        <v>3476</v>
      </c>
      <c r="X204" s="57" t="s">
        <v>4021</v>
      </c>
      <c r="Y204" s="57" t="s">
        <v>3738</v>
      </c>
      <c r="Z204" s="57" t="s">
        <v>4147</v>
      </c>
      <c r="AA204" s="57" t="s">
        <v>3733</v>
      </c>
      <c r="AB204" s="57" t="s">
        <v>3476</v>
      </c>
      <c r="AC204" s="57" t="s">
        <v>3741</v>
      </c>
      <c r="AD204" s="57" t="s">
        <v>3476</v>
      </c>
      <c r="AE204" s="57" t="s">
        <v>3476</v>
      </c>
      <c r="AF204" s="57" t="s">
        <v>3476</v>
      </c>
      <c r="AG204" s="57" t="s">
        <v>3476</v>
      </c>
      <c r="AH204" s="57" t="s">
        <v>3476</v>
      </c>
      <c r="AI204" s="57" t="s">
        <v>3476</v>
      </c>
      <c r="AJ204" s="57" t="s">
        <v>3476</v>
      </c>
      <c r="AK204" s="57" t="s">
        <v>1292</v>
      </c>
      <c r="AL204" s="57" t="s">
        <v>4148</v>
      </c>
      <c r="AM204" s="57" t="s">
        <v>3476</v>
      </c>
      <c r="AN204" s="57" t="s">
        <v>3830</v>
      </c>
      <c r="AO204" s="57" t="s">
        <v>3476</v>
      </c>
      <c r="AP204" s="58">
        <v>45768.6981134259</v>
      </c>
      <c r="AQ204" s="57" t="s">
        <v>3476</v>
      </c>
      <c r="AR204" s="57" t="s">
        <v>3806</v>
      </c>
      <c r="AS204" s="57" t="s">
        <v>3502</v>
      </c>
      <c r="AT204" s="57" t="s">
        <v>3745</v>
      </c>
      <c r="AU204" s="57" t="s">
        <v>4149</v>
      </c>
      <c r="AV204" s="57" t="s">
        <v>3476</v>
      </c>
      <c r="AW204" s="58">
        <v>45701.6948148148</v>
      </c>
      <c r="AX204" s="57" t="s">
        <v>4148</v>
      </c>
      <c r="AY204" s="57" t="s">
        <v>3747</v>
      </c>
      <c r="AZ204" s="57" t="s">
        <v>3476</v>
      </c>
      <c r="BA204" s="57" t="s">
        <v>3476</v>
      </c>
      <c r="BB204" s="57" t="s">
        <v>3476</v>
      </c>
      <c r="BC204" s="57" t="s">
        <v>1787</v>
      </c>
      <c r="BD204" s="57" t="s">
        <v>3659</v>
      </c>
      <c r="BE204" s="57" t="s">
        <v>4150</v>
      </c>
      <c r="BF204" s="57" t="s">
        <v>3749</v>
      </c>
      <c r="BG204" s="57" t="s">
        <v>3476</v>
      </c>
      <c r="BH204" s="57" t="s">
        <v>3476</v>
      </c>
      <c r="BI204" s="57" t="s">
        <v>2809</v>
      </c>
      <c r="BJ204" s="57" t="s">
        <v>3476</v>
      </c>
      <c r="BK204" s="57" t="s">
        <v>3476</v>
      </c>
      <c r="BL204" s="57">
        <v>3431108</v>
      </c>
      <c r="BM204" s="57" t="s">
        <v>4151</v>
      </c>
      <c r="BN204" s="57" t="s">
        <v>3476</v>
      </c>
      <c r="BO204" s="57">
        <v>387</v>
      </c>
      <c r="BP204" s="57" t="s">
        <v>3810</v>
      </c>
      <c r="BQ204" s="57" t="s">
        <v>3476</v>
      </c>
      <c r="BR204" s="57" t="s">
        <v>4152</v>
      </c>
      <c r="BS204" s="57" t="s">
        <v>1292</v>
      </c>
      <c r="BT204" s="57" t="s">
        <v>3476</v>
      </c>
      <c r="BU204" s="57" t="s">
        <v>3476</v>
      </c>
      <c r="BV204" s="57" t="s">
        <v>3753</v>
      </c>
      <c r="BW204" s="57" t="s">
        <v>3476</v>
      </c>
      <c r="BX204" s="57">
        <v>387</v>
      </c>
      <c r="BY204" s="57" t="s">
        <v>3476</v>
      </c>
      <c r="BZ204" s="57" t="s">
        <v>3476</v>
      </c>
      <c r="CA204" s="57" t="s">
        <v>3476</v>
      </c>
      <c r="CB204" s="57" t="s">
        <v>3476</v>
      </c>
      <c r="CC204" s="57" t="s">
        <v>3476</v>
      </c>
      <c r="CD204" s="57" t="s">
        <v>3476</v>
      </c>
    </row>
    <row r="205" spans="1:82">
      <c r="A205" s="57">
        <v>21021</v>
      </c>
      <c r="B205" s="57" t="s">
        <v>3476</v>
      </c>
      <c r="C205" s="57" t="s">
        <v>4144</v>
      </c>
      <c r="D205" s="57" t="s">
        <v>3476</v>
      </c>
      <c r="E205" s="57" t="s">
        <v>3730</v>
      </c>
      <c r="F205" s="57" t="s">
        <v>4145</v>
      </c>
      <c r="G205" s="57" t="s">
        <v>721</v>
      </c>
      <c r="H205" s="57" t="s">
        <v>2874</v>
      </c>
      <c r="I205" s="57">
        <v>112308</v>
      </c>
      <c r="J205" s="57" t="s">
        <v>3476</v>
      </c>
      <c r="K205" s="57" t="s">
        <v>3476</v>
      </c>
      <c r="L205" s="57" t="s">
        <v>3732</v>
      </c>
      <c r="M205" s="57" t="s">
        <v>4146</v>
      </c>
      <c r="N205" s="57" t="s">
        <v>4146</v>
      </c>
      <c r="O205" s="57" t="s">
        <v>3476</v>
      </c>
      <c r="P205" s="57" t="s">
        <v>3476</v>
      </c>
      <c r="Q205" s="57" t="s">
        <v>2874</v>
      </c>
      <c r="R205" s="57" t="s">
        <v>3781</v>
      </c>
      <c r="S205" s="57" t="s">
        <v>3782</v>
      </c>
      <c r="T205" s="57" t="s">
        <v>3736</v>
      </c>
      <c r="U205" s="57" t="s">
        <v>3476</v>
      </c>
      <c r="V205" s="57" t="s">
        <v>3469</v>
      </c>
      <c r="W205" s="57" t="s">
        <v>3476</v>
      </c>
      <c r="X205" s="57" t="s">
        <v>4021</v>
      </c>
      <c r="Y205" s="57" t="s">
        <v>3738</v>
      </c>
      <c r="Z205" s="57" t="s">
        <v>4147</v>
      </c>
      <c r="AA205" s="57" t="s">
        <v>3733</v>
      </c>
      <c r="AB205" s="57" t="s">
        <v>3476</v>
      </c>
      <c r="AC205" s="57" t="s">
        <v>3741</v>
      </c>
      <c r="AD205" s="57" t="s">
        <v>3476</v>
      </c>
      <c r="AE205" s="57" t="s">
        <v>3476</v>
      </c>
      <c r="AF205" s="57" t="s">
        <v>3476</v>
      </c>
      <c r="AG205" s="57" t="s">
        <v>3476</v>
      </c>
      <c r="AH205" s="57" t="s">
        <v>3476</v>
      </c>
      <c r="AI205" s="57" t="s">
        <v>3476</v>
      </c>
      <c r="AJ205" s="57" t="s">
        <v>3476</v>
      </c>
      <c r="AK205" s="57" t="s">
        <v>1292</v>
      </c>
      <c r="AL205" s="57" t="s">
        <v>4148</v>
      </c>
      <c r="AM205" s="57" t="s">
        <v>3476</v>
      </c>
      <c r="AN205" s="57" t="s">
        <v>3830</v>
      </c>
      <c r="AO205" s="57" t="s">
        <v>3476</v>
      </c>
      <c r="AP205" s="58">
        <v>45768.6981134259</v>
      </c>
      <c r="AQ205" s="57" t="s">
        <v>3476</v>
      </c>
      <c r="AR205" s="57" t="s">
        <v>3806</v>
      </c>
      <c r="AS205" s="57" t="s">
        <v>3502</v>
      </c>
      <c r="AT205" s="57" t="s">
        <v>3745</v>
      </c>
      <c r="AU205" s="57" t="s">
        <v>4149</v>
      </c>
      <c r="AV205" s="57" t="s">
        <v>3476</v>
      </c>
      <c r="AW205" s="58">
        <v>45701.6948148148</v>
      </c>
      <c r="AX205" s="57" t="s">
        <v>4148</v>
      </c>
      <c r="AY205" s="57" t="s">
        <v>3747</v>
      </c>
      <c r="AZ205" s="57" t="s">
        <v>3476</v>
      </c>
      <c r="BA205" s="57" t="s">
        <v>3476</v>
      </c>
      <c r="BB205" s="57" t="s">
        <v>3476</v>
      </c>
      <c r="BC205" s="57" t="s">
        <v>1787</v>
      </c>
      <c r="BD205" s="57" t="s">
        <v>3659</v>
      </c>
      <c r="BE205" s="57" t="s">
        <v>4150</v>
      </c>
      <c r="BF205" s="57" t="s">
        <v>3749</v>
      </c>
      <c r="BG205" s="57" t="s">
        <v>3476</v>
      </c>
      <c r="BH205" s="57" t="s">
        <v>3476</v>
      </c>
      <c r="BI205" s="57" t="s">
        <v>2809</v>
      </c>
      <c r="BJ205" s="57" t="s">
        <v>3476</v>
      </c>
      <c r="BK205" s="57" t="s">
        <v>3476</v>
      </c>
      <c r="BL205" s="57">
        <v>3431109</v>
      </c>
      <c r="BM205" s="57" t="s">
        <v>4151</v>
      </c>
      <c r="BN205" s="57" t="s">
        <v>3476</v>
      </c>
      <c r="BO205" s="57">
        <v>215</v>
      </c>
      <c r="BP205" s="57" t="s">
        <v>3810</v>
      </c>
      <c r="BQ205" s="57" t="s">
        <v>3476</v>
      </c>
      <c r="BR205" s="57" t="s">
        <v>4152</v>
      </c>
      <c r="BS205" s="57" t="s">
        <v>1292</v>
      </c>
      <c r="BT205" s="57" t="s">
        <v>3476</v>
      </c>
      <c r="BU205" s="57" t="s">
        <v>3476</v>
      </c>
      <c r="BV205" s="57" t="s">
        <v>3753</v>
      </c>
      <c r="BW205" s="57" t="s">
        <v>3476</v>
      </c>
      <c r="BX205" s="57">
        <v>215</v>
      </c>
      <c r="BY205" s="57" t="s">
        <v>3476</v>
      </c>
      <c r="BZ205" s="57" t="s">
        <v>3476</v>
      </c>
      <c r="CA205" s="57" t="s">
        <v>3476</v>
      </c>
      <c r="CB205" s="57" t="s">
        <v>3476</v>
      </c>
      <c r="CC205" s="57" t="s">
        <v>3476</v>
      </c>
      <c r="CD205" s="57" t="s">
        <v>3476</v>
      </c>
    </row>
    <row r="206" spans="1:82">
      <c r="A206" s="57">
        <v>21022</v>
      </c>
      <c r="B206" s="57" t="s">
        <v>3476</v>
      </c>
      <c r="C206" s="57" t="s">
        <v>4144</v>
      </c>
      <c r="D206" s="57" t="s">
        <v>3476</v>
      </c>
      <c r="E206" s="57" t="s">
        <v>3730</v>
      </c>
      <c r="F206" s="57" t="s">
        <v>4145</v>
      </c>
      <c r="G206" s="57" t="s">
        <v>721</v>
      </c>
      <c r="H206" s="57" t="s">
        <v>2874</v>
      </c>
      <c r="I206" s="57">
        <v>112308</v>
      </c>
      <c r="J206" s="57" t="s">
        <v>3476</v>
      </c>
      <c r="K206" s="57" t="s">
        <v>3476</v>
      </c>
      <c r="L206" s="57" t="s">
        <v>3732</v>
      </c>
      <c r="M206" s="57" t="s">
        <v>4146</v>
      </c>
      <c r="N206" s="57" t="s">
        <v>4146</v>
      </c>
      <c r="O206" s="57" t="s">
        <v>3476</v>
      </c>
      <c r="P206" s="57" t="s">
        <v>3476</v>
      </c>
      <c r="Q206" s="57" t="s">
        <v>2874</v>
      </c>
      <c r="R206" s="57" t="s">
        <v>3781</v>
      </c>
      <c r="S206" s="57" t="s">
        <v>3782</v>
      </c>
      <c r="T206" s="57" t="s">
        <v>3736</v>
      </c>
      <c r="U206" s="57" t="s">
        <v>3476</v>
      </c>
      <c r="V206" s="57" t="s">
        <v>3469</v>
      </c>
      <c r="W206" s="57" t="s">
        <v>3476</v>
      </c>
      <c r="X206" s="57" t="s">
        <v>4021</v>
      </c>
      <c r="Y206" s="57" t="s">
        <v>3738</v>
      </c>
      <c r="Z206" s="57" t="s">
        <v>4147</v>
      </c>
      <c r="AA206" s="57" t="s">
        <v>3733</v>
      </c>
      <c r="AB206" s="57" t="s">
        <v>3476</v>
      </c>
      <c r="AC206" s="57" t="s">
        <v>3741</v>
      </c>
      <c r="AD206" s="57" t="s">
        <v>3476</v>
      </c>
      <c r="AE206" s="57" t="s">
        <v>3476</v>
      </c>
      <c r="AF206" s="57" t="s">
        <v>3476</v>
      </c>
      <c r="AG206" s="57" t="s">
        <v>3476</v>
      </c>
      <c r="AH206" s="57" t="s">
        <v>3476</v>
      </c>
      <c r="AI206" s="57" t="s">
        <v>3476</v>
      </c>
      <c r="AJ206" s="57" t="s">
        <v>3476</v>
      </c>
      <c r="AK206" s="57" t="s">
        <v>1292</v>
      </c>
      <c r="AL206" s="57" t="s">
        <v>4148</v>
      </c>
      <c r="AM206" s="57" t="s">
        <v>3476</v>
      </c>
      <c r="AN206" s="57" t="s">
        <v>3830</v>
      </c>
      <c r="AO206" s="57" t="s">
        <v>3476</v>
      </c>
      <c r="AP206" s="58">
        <v>45768.6981134259</v>
      </c>
      <c r="AQ206" s="57" t="s">
        <v>3476</v>
      </c>
      <c r="AR206" s="57" t="s">
        <v>3806</v>
      </c>
      <c r="AS206" s="57" t="s">
        <v>3502</v>
      </c>
      <c r="AT206" s="57" t="s">
        <v>3745</v>
      </c>
      <c r="AU206" s="57" t="s">
        <v>4149</v>
      </c>
      <c r="AV206" s="57" t="s">
        <v>3476</v>
      </c>
      <c r="AW206" s="58">
        <v>45701.6948148148</v>
      </c>
      <c r="AX206" s="57" t="s">
        <v>4148</v>
      </c>
      <c r="AY206" s="57" t="s">
        <v>3747</v>
      </c>
      <c r="AZ206" s="57" t="s">
        <v>3476</v>
      </c>
      <c r="BA206" s="57" t="s">
        <v>3476</v>
      </c>
      <c r="BB206" s="57" t="s">
        <v>3476</v>
      </c>
      <c r="BC206" s="57" t="s">
        <v>1787</v>
      </c>
      <c r="BD206" s="57" t="s">
        <v>3659</v>
      </c>
      <c r="BE206" s="57" t="s">
        <v>4150</v>
      </c>
      <c r="BF206" s="57" t="s">
        <v>3749</v>
      </c>
      <c r="BG206" s="57" t="s">
        <v>3476</v>
      </c>
      <c r="BH206" s="57" t="s">
        <v>3476</v>
      </c>
      <c r="BI206" s="57" t="s">
        <v>2809</v>
      </c>
      <c r="BJ206" s="57" t="s">
        <v>3476</v>
      </c>
      <c r="BK206" s="57" t="s">
        <v>3476</v>
      </c>
      <c r="BL206" s="57">
        <v>3431110</v>
      </c>
      <c r="BM206" s="57" t="s">
        <v>4151</v>
      </c>
      <c r="BN206" s="57" t="s">
        <v>3476</v>
      </c>
      <c r="BO206" s="57">
        <v>357.5</v>
      </c>
      <c r="BP206" s="57" t="s">
        <v>3810</v>
      </c>
      <c r="BQ206" s="57" t="s">
        <v>3476</v>
      </c>
      <c r="BR206" s="57" t="s">
        <v>4152</v>
      </c>
      <c r="BS206" s="57" t="s">
        <v>1292</v>
      </c>
      <c r="BT206" s="57" t="s">
        <v>3476</v>
      </c>
      <c r="BU206" s="57" t="s">
        <v>3476</v>
      </c>
      <c r="BV206" s="57" t="s">
        <v>3753</v>
      </c>
      <c r="BW206" s="57" t="s">
        <v>3476</v>
      </c>
      <c r="BX206" s="57">
        <v>357.5</v>
      </c>
      <c r="BY206" s="57" t="s">
        <v>3476</v>
      </c>
      <c r="BZ206" s="57" t="s">
        <v>3476</v>
      </c>
      <c r="CA206" s="57" t="s">
        <v>3476</v>
      </c>
      <c r="CB206" s="57" t="s">
        <v>3476</v>
      </c>
      <c r="CC206" s="57" t="s">
        <v>3476</v>
      </c>
      <c r="CD206" s="57" t="s">
        <v>3476</v>
      </c>
    </row>
    <row r="207" spans="1:82">
      <c r="A207" s="57">
        <v>21023</v>
      </c>
      <c r="B207" s="57" t="s">
        <v>3476</v>
      </c>
      <c r="C207" s="57" t="s">
        <v>4144</v>
      </c>
      <c r="D207" s="57" t="s">
        <v>3476</v>
      </c>
      <c r="E207" s="57" t="s">
        <v>3730</v>
      </c>
      <c r="F207" s="57" t="s">
        <v>4145</v>
      </c>
      <c r="G207" s="57" t="s">
        <v>721</v>
      </c>
      <c r="H207" s="57" t="s">
        <v>2874</v>
      </c>
      <c r="I207" s="57">
        <v>112308</v>
      </c>
      <c r="J207" s="57" t="s">
        <v>3476</v>
      </c>
      <c r="K207" s="57" t="s">
        <v>3476</v>
      </c>
      <c r="L207" s="57" t="s">
        <v>3732</v>
      </c>
      <c r="M207" s="57" t="s">
        <v>4146</v>
      </c>
      <c r="N207" s="57" t="s">
        <v>4146</v>
      </c>
      <c r="O207" s="57" t="s">
        <v>3476</v>
      </c>
      <c r="P207" s="57" t="s">
        <v>3476</v>
      </c>
      <c r="Q207" s="57" t="s">
        <v>2874</v>
      </c>
      <c r="R207" s="57" t="s">
        <v>3781</v>
      </c>
      <c r="S207" s="57" t="s">
        <v>3782</v>
      </c>
      <c r="T207" s="57" t="s">
        <v>3736</v>
      </c>
      <c r="U207" s="57" t="s">
        <v>3476</v>
      </c>
      <c r="V207" s="57" t="s">
        <v>3469</v>
      </c>
      <c r="W207" s="57" t="s">
        <v>3476</v>
      </c>
      <c r="X207" s="57" t="s">
        <v>4021</v>
      </c>
      <c r="Y207" s="57" t="s">
        <v>3738</v>
      </c>
      <c r="Z207" s="57" t="s">
        <v>4147</v>
      </c>
      <c r="AA207" s="57" t="s">
        <v>3733</v>
      </c>
      <c r="AB207" s="57" t="s">
        <v>3476</v>
      </c>
      <c r="AC207" s="57" t="s">
        <v>3741</v>
      </c>
      <c r="AD207" s="57" t="s">
        <v>3476</v>
      </c>
      <c r="AE207" s="57" t="s">
        <v>3476</v>
      </c>
      <c r="AF207" s="57" t="s">
        <v>3476</v>
      </c>
      <c r="AG207" s="57" t="s">
        <v>3476</v>
      </c>
      <c r="AH207" s="57" t="s">
        <v>3476</v>
      </c>
      <c r="AI207" s="57" t="s">
        <v>3476</v>
      </c>
      <c r="AJ207" s="57" t="s">
        <v>3476</v>
      </c>
      <c r="AK207" s="57" t="s">
        <v>1292</v>
      </c>
      <c r="AL207" s="57" t="s">
        <v>4148</v>
      </c>
      <c r="AM207" s="57" t="s">
        <v>3476</v>
      </c>
      <c r="AN207" s="57" t="s">
        <v>3830</v>
      </c>
      <c r="AO207" s="57" t="s">
        <v>3476</v>
      </c>
      <c r="AP207" s="58">
        <v>45768.6981134259</v>
      </c>
      <c r="AQ207" s="57" t="s">
        <v>3476</v>
      </c>
      <c r="AR207" s="57" t="s">
        <v>3806</v>
      </c>
      <c r="AS207" s="57" t="s">
        <v>3502</v>
      </c>
      <c r="AT207" s="57" t="s">
        <v>3745</v>
      </c>
      <c r="AU207" s="57" t="s">
        <v>4149</v>
      </c>
      <c r="AV207" s="57" t="s">
        <v>3476</v>
      </c>
      <c r="AW207" s="58">
        <v>45701.6948148148</v>
      </c>
      <c r="AX207" s="57" t="s">
        <v>4148</v>
      </c>
      <c r="AY207" s="57" t="s">
        <v>3747</v>
      </c>
      <c r="AZ207" s="57" t="s">
        <v>3476</v>
      </c>
      <c r="BA207" s="57" t="s">
        <v>3476</v>
      </c>
      <c r="BB207" s="57" t="s">
        <v>3476</v>
      </c>
      <c r="BC207" s="57" t="s">
        <v>1787</v>
      </c>
      <c r="BD207" s="57" t="s">
        <v>3659</v>
      </c>
      <c r="BE207" s="57" t="s">
        <v>4150</v>
      </c>
      <c r="BF207" s="57" t="s">
        <v>3749</v>
      </c>
      <c r="BG207" s="57" t="s">
        <v>3476</v>
      </c>
      <c r="BH207" s="57" t="s">
        <v>3476</v>
      </c>
      <c r="BI207" s="57" t="s">
        <v>2809</v>
      </c>
      <c r="BJ207" s="57" t="s">
        <v>3476</v>
      </c>
      <c r="BK207" s="57" t="s">
        <v>3476</v>
      </c>
      <c r="BL207" s="57">
        <v>3431111</v>
      </c>
      <c r="BM207" s="57" t="s">
        <v>4151</v>
      </c>
      <c r="BN207" s="57" t="s">
        <v>3476</v>
      </c>
      <c r="BO207" s="57">
        <v>516</v>
      </c>
      <c r="BP207" s="57" t="s">
        <v>3810</v>
      </c>
      <c r="BQ207" s="57" t="s">
        <v>3476</v>
      </c>
      <c r="BR207" s="57" t="s">
        <v>4152</v>
      </c>
      <c r="BS207" s="57" t="s">
        <v>1292</v>
      </c>
      <c r="BT207" s="57" t="s">
        <v>3476</v>
      </c>
      <c r="BU207" s="57" t="s">
        <v>3476</v>
      </c>
      <c r="BV207" s="57" t="s">
        <v>3753</v>
      </c>
      <c r="BW207" s="57" t="s">
        <v>3476</v>
      </c>
      <c r="BX207" s="57">
        <v>516</v>
      </c>
      <c r="BY207" s="57" t="s">
        <v>3476</v>
      </c>
      <c r="BZ207" s="57" t="s">
        <v>3476</v>
      </c>
      <c r="CA207" s="57" t="s">
        <v>3476</v>
      </c>
      <c r="CB207" s="57" t="s">
        <v>3476</v>
      </c>
      <c r="CC207" s="57" t="s">
        <v>3476</v>
      </c>
      <c r="CD207" s="57" t="s">
        <v>3476</v>
      </c>
    </row>
    <row r="208" spans="1:82">
      <c r="A208" s="57">
        <v>21024</v>
      </c>
      <c r="B208" s="57" t="s">
        <v>3476</v>
      </c>
      <c r="C208" s="57" t="s">
        <v>4144</v>
      </c>
      <c r="D208" s="57" t="s">
        <v>3476</v>
      </c>
      <c r="E208" s="57" t="s">
        <v>3730</v>
      </c>
      <c r="F208" s="57" t="s">
        <v>4145</v>
      </c>
      <c r="G208" s="57" t="s">
        <v>721</v>
      </c>
      <c r="H208" s="57" t="s">
        <v>2874</v>
      </c>
      <c r="I208" s="57">
        <v>112308</v>
      </c>
      <c r="J208" s="57" t="s">
        <v>3476</v>
      </c>
      <c r="K208" s="57" t="s">
        <v>3476</v>
      </c>
      <c r="L208" s="57" t="s">
        <v>3732</v>
      </c>
      <c r="M208" s="57" t="s">
        <v>4146</v>
      </c>
      <c r="N208" s="57" t="s">
        <v>4146</v>
      </c>
      <c r="O208" s="57" t="s">
        <v>3476</v>
      </c>
      <c r="P208" s="57" t="s">
        <v>3476</v>
      </c>
      <c r="Q208" s="57" t="s">
        <v>2874</v>
      </c>
      <c r="R208" s="57" t="s">
        <v>3781</v>
      </c>
      <c r="S208" s="57" t="s">
        <v>3782</v>
      </c>
      <c r="T208" s="57" t="s">
        <v>3736</v>
      </c>
      <c r="U208" s="57" t="s">
        <v>3476</v>
      </c>
      <c r="V208" s="57" t="s">
        <v>3469</v>
      </c>
      <c r="W208" s="57" t="s">
        <v>3476</v>
      </c>
      <c r="X208" s="57" t="s">
        <v>4021</v>
      </c>
      <c r="Y208" s="57" t="s">
        <v>3738</v>
      </c>
      <c r="Z208" s="57" t="s">
        <v>4147</v>
      </c>
      <c r="AA208" s="57" t="s">
        <v>3733</v>
      </c>
      <c r="AB208" s="57" t="s">
        <v>3476</v>
      </c>
      <c r="AC208" s="57" t="s">
        <v>3741</v>
      </c>
      <c r="AD208" s="57" t="s">
        <v>3476</v>
      </c>
      <c r="AE208" s="57" t="s">
        <v>3476</v>
      </c>
      <c r="AF208" s="57" t="s">
        <v>3476</v>
      </c>
      <c r="AG208" s="57" t="s">
        <v>3476</v>
      </c>
      <c r="AH208" s="57" t="s">
        <v>3476</v>
      </c>
      <c r="AI208" s="57" t="s">
        <v>3476</v>
      </c>
      <c r="AJ208" s="57" t="s">
        <v>3476</v>
      </c>
      <c r="AK208" s="57" t="s">
        <v>1292</v>
      </c>
      <c r="AL208" s="57" t="s">
        <v>4148</v>
      </c>
      <c r="AM208" s="57" t="s">
        <v>3476</v>
      </c>
      <c r="AN208" s="57" t="s">
        <v>3830</v>
      </c>
      <c r="AO208" s="57" t="s">
        <v>3476</v>
      </c>
      <c r="AP208" s="58">
        <v>45768.6981134259</v>
      </c>
      <c r="AQ208" s="57" t="s">
        <v>3476</v>
      </c>
      <c r="AR208" s="57" t="s">
        <v>3806</v>
      </c>
      <c r="AS208" s="57" t="s">
        <v>3502</v>
      </c>
      <c r="AT208" s="57" t="s">
        <v>3745</v>
      </c>
      <c r="AU208" s="57" t="s">
        <v>4149</v>
      </c>
      <c r="AV208" s="57" t="s">
        <v>3476</v>
      </c>
      <c r="AW208" s="58">
        <v>45701.6948148148</v>
      </c>
      <c r="AX208" s="57" t="s">
        <v>4148</v>
      </c>
      <c r="AY208" s="57" t="s">
        <v>3747</v>
      </c>
      <c r="AZ208" s="57" t="s">
        <v>3476</v>
      </c>
      <c r="BA208" s="57" t="s">
        <v>3476</v>
      </c>
      <c r="BB208" s="57" t="s">
        <v>3476</v>
      </c>
      <c r="BC208" s="57" t="s">
        <v>1787</v>
      </c>
      <c r="BD208" s="57" t="s">
        <v>3659</v>
      </c>
      <c r="BE208" s="57" t="s">
        <v>4150</v>
      </c>
      <c r="BF208" s="57" t="s">
        <v>3749</v>
      </c>
      <c r="BG208" s="57" t="s">
        <v>3476</v>
      </c>
      <c r="BH208" s="57" t="s">
        <v>3476</v>
      </c>
      <c r="BI208" s="57" t="s">
        <v>2809</v>
      </c>
      <c r="BJ208" s="57" t="s">
        <v>3476</v>
      </c>
      <c r="BK208" s="57" t="s">
        <v>3476</v>
      </c>
      <c r="BL208" s="57">
        <v>3431112</v>
      </c>
      <c r="BM208" s="57" t="s">
        <v>4151</v>
      </c>
      <c r="BN208" s="57" t="s">
        <v>3476</v>
      </c>
      <c r="BO208" s="57">
        <v>52</v>
      </c>
      <c r="BP208" s="57" t="s">
        <v>3810</v>
      </c>
      <c r="BQ208" s="57" t="s">
        <v>3476</v>
      </c>
      <c r="BR208" s="57" t="s">
        <v>4152</v>
      </c>
      <c r="BS208" s="57" t="s">
        <v>1292</v>
      </c>
      <c r="BT208" s="57" t="s">
        <v>3476</v>
      </c>
      <c r="BU208" s="57" t="s">
        <v>3476</v>
      </c>
      <c r="BV208" s="57" t="s">
        <v>3753</v>
      </c>
      <c r="BW208" s="57" t="s">
        <v>3476</v>
      </c>
      <c r="BX208" s="57">
        <v>52</v>
      </c>
      <c r="BY208" s="57" t="s">
        <v>3476</v>
      </c>
      <c r="BZ208" s="57" t="s">
        <v>3476</v>
      </c>
      <c r="CA208" s="57" t="s">
        <v>3476</v>
      </c>
      <c r="CB208" s="57" t="s">
        <v>3476</v>
      </c>
      <c r="CC208" s="57" t="s">
        <v>3476</v>
      </c>
      <c r="CD208" s="57" t="s">
        <v>3476</v>
      </c>
    </row>
    <row r="209" spans="1:82">
      <c r="A209" s="57">
        <v>21025</v>
      </c>
      <c r="B209" s="57" t="s">
        <v>3476</v>
      </c>
      <c r="C209" s="57" t="s">
        <v>4144</v>
      </c>
      <c r="D209" s="57" t="s">
        <v>3476</v>
      </c>
      <c r="E209" s="57" t="s">
        <v>3730</v>
      </c>
      <c r="F209" s="57" t="s">
        <v>4145</v>
      </c>
      <c r="G209" s="57" t="s">
        <v>721</v>
      </c>
      <c r="H209" s="57" t="s">
        <v>2874</v>
      </c>
      <c r="I209" s="57">
        <v>112308</v>
      </c>
      <c r="J209" s="57" t="s">
        <v>3476</v>
      </c>
      <c r="K209" s="57" t="s">
        <v>3476</v>
      </c>
      <c r="L209" s="57" t="s">
        <v>3732</v>
      </c>
      <c r="M209" s="57" t="s">
        <v>4146</v>
      </c>
      <c r="N209" s="57" t="s">
        <v>4146</v>
      </c>
      <c r="O209" s="57" t="s">
        <v>3476</v>
      </c>
      <c r="P209" s="57" t="s">
        <v>3476</v>
      </c>
      <c r="Q209" s="57" t="s">
        <v>2874</v>
      </c>
      <c r="R209" s="57" t="s">
        <v>3781</v>
      </c>
      <c r="S209" s="57" t="s">
        <v>3782</v>
      </c>
      <c r="T209" s="57" t="s">
        <v>3736</v>
      </c>
      <c r="U209" s="57" t="s">
        <v>3476</v>
      </c>
      <c r="V209" s="57" t="s">
        <v>3469</v>
      </c>
      <c r="W209" s="57" t="s">
        <v>3476</v>
      </c>
      <c r="X209" s="57" t="s">
        <v>4021</v>
      </c>
      <c r="Y209" s="57" t="s">
        <v>3738</v>
      </c>
      <c r="Z209" s="57" t="s">
        <v>4147</v>
      </c>
      <c r="AA209" s="57" t="s">
        <v>3733</v>
      </c>
      <c r="AB209" s="57" t="s">
        <v>3476</v>
      </c>
      <c r="AC209" s="57" t="s">
        <v>3741</v>
      </c>
      <c r="AD209" s="57" t="s">
        <v>3476</v>
      </c>
      <c r="AE209" s="57" t="s">
        <v>3476</v>
      </c>
      <c r="AF209" s="57" t="s">
        <v>3476</v>
      </c>
      <c r="AG209" s="57" t="s">
        <v>3476</v>
      </c>
      <c r="AH209" s="57" t="s">
        <v>3476</v>
      </c>
      <c r="AI209" s="57" t="s">
        <v>3476</v>
      </c>
      <c r="AJ209" s="57" t="s">
        <v>3476</v>
      </c>
      <c r="AK209" s="57" t="s">
        <v>1292</v>
      </c>
      <c r="AL209" s="57" t="s">
        <v>4148</v>
      </c>
      <c r="AM209" s="57" t="s">
        <v>3476</v>
      </c>
      <c r="AN209" s="57" t="s">
        <v>3830</v>
      </c>
      <c r="AO209" s="57" t="s">
        <v>3476</v>
      </c>
      <c r="AP209" s="58">
        <v>45768.6981134259</v>
      </c>
      <c r="AQ209" s="57" t="s">
        <v>3476</v>
      </c>
      <c r="AR209" s="57" t="s">
        <v>3806</v>
      </c>
      <c r="AS209" s="57" t="s">
        <v>3502</v>
      </c>
      <c r="AT209" s="57" t="s">
        <v>3745</v>
      </c>
      <c r="AU209" s="57" t="s">
        <v>4149</v>
      </c>
      <c r="AV209" s="57" t="s">
        <v>3476</v>
      </c>
      <c r="AW209" s="58">
        <v>45701.6948148148</v>
      </c>
      <c r="AX209" s="57" t="s">
        <v>4148</v>
      </c>
      <c r="AY209" s="57" t="s">
        <v>3747</v>
      </c>
      <c r="AZ209" s="57" t="s">
        <v>3476</v>
      </c>
      <c r="BA209" s="57" t="s">
        <v>3476</v>
      </c>
      <c r="BB209" s="57" t="s">
        <v>3476</v>
      </c>
      <c r="BC209" s="57" t="s">
        <v>3791</v>
      </c>
      <c r="BD209" s="57" t="s">
        <v>3659</v>
      </c>
      <c r="BE209" s="57" t="s">
        <v>4150</v>
      </c>
      <c r="BF209" s="57" t="s">
        <v>3749</v>
      </c>
      <c r="BG209" s="57" t="s">
        <v>3476</v>
      </c>
      <c r="BH209" s="57" t="s">
        <v>3476</v>
      </c>
      <c r="BI209" s="57" t="s">
        <v>2809</v>
      </c>
      <c r="BJ209" s="57" t="s">
        <v>3476</v>
      </c>
      <c r="BK209" s="57" t="s">
        <v>3476</v>
      </c>
      <c r="BL209" s="57">
        <v>3431113</v>
      </c>
      <c r="BM209" s="57" t="s">
        <v>4151</v>
      </c>
      <c r="BN209" s="57" t="s">
        <v>3476</v>
      </c>
      <c r="BO209" s="57">
        <v>35</v>
      </c>
      <c r="BP209" s="57" t="s">
        <v>3810</v>
      </c>
      <c r="BQ209" s="57" t="s">
        <v>3476</v>
      </c>
      <c r="BR209" s="57" t="s">
        <v>4152</v>
      </c>
      <c r="BS209" s="57" t="s">
        <v>1292</v>
      </c>
      <c r="BT209" s="57" t="s">
        <v>3476</v>
      </c>
      <c r="BU209" s="57" t="s">
        <v>3476</v>
      </c>
      <c r="BV209" s="57" t="s">
        <v>3753</v>
      </c>
      <c r="BW209" s="57" t="s">
        <v>3476</v>
      </c>
      <c r="BX209" s="57">
        <v>35</v>
      </c>
      <c r="BY209" s="57" t="s">
        <v>3476</v>
      </c>
      <c r="BZ209" s="57" t="s">
        <v>3476</v>
      </c>
      <c r="CA209" s="57" t="s">
        <v>3476</v>
      </c>
      <c r="CB209" s="57" t="s">
        <v>3476</v>
      </c>
      <c r="CC209" s="57" t="s">
        <v>3476</v>
      </c>
      <c r="CD209" s="57" t="s">
        <v>3476</v>
      </c>
    </row>
    <row r="210" spans="1:82">
      <c r="A210" s="57">
        <v>21026</v>
      </c>
      <c r="B210" s="57" t="s">
        <v>3476</v>
      </c>
      <c r="C210" s="57" t="s">
        <v>4144</v>
      </c>
      <c r="D210" s="57" t="s">
        <v>3476</v>
      </c>
      <c r="E210" s="57" t="s">
        <v>3730</v>
      </c>
      <c r="F210" s="57" t="s">
        <v>4145</v>
      </c>
      <c r="G210" s="57" t="s">
        <v>721</v>
      </c>
      <c r="H210" s="57" t="s">
        <v>2874</v>
      </c>
      <c r="I210" s="57">
        <v>112308</v>
      </c>
      <c r="J210" s="57" t="s">
        <v>3476</v>
      </c>
      <c r="K210" s="57" t="s">
        <v>3476</v>
      </c>
      <c r="L210" s="57" t="s">
        <v>3732</v>
      </c>
      <c r="M210" s="57" t="s">
        <v>4146</v>
      </c>
      <c r="N210" s="57" t="s">
        <v>4146</v>
      </c>
      <c r="O210" s="57" t="s">
        <v>3476</v>
      </c>
      <c r="P210" s="57" t="s">
        <v>3476</v>
      </c>
      <c r="Q210" s="57" t="s">
        <v>2874</v>
      </c>
      <c r="R210" s="57" t="s">
        <v>3781</v>
      </c>
      <c r="S210" s="57" t="s">
        <v>3782</v>
      </c>
      <c r="T210" s="57" t="s">
        <v>3736</v>
      </c>
      <c r="U210" s="57" t="s">
        <v>3476</v>
      </c>
      <c r="V210" s="57" t="s">
        <v>3469</v>
      </c>
      <c r="W210" s="57" t="s">
        <v>3476</v>
      </c>
      <c r="X210" s="57" t="s">
        <v>4021</v>
      </c>
      <c r="Y210" s="57" t="s">
        <v>3738</v>
      </c>
      <c r="Z210" s="57" t="s">
        <v>4147</v>
      </c>
      <c r="AA210" s="57" t="s">
        <v>3733</v>
      </c>
      <c r="AB210" s="57" t="s">
        <v>3476</v>
      </c>
      <c r="AC210" s="57" t="s">
        <v>3741</v>
      </c>
      <c r="AD210" s="57" t="s">
        <v>3476</v>
      </c>
      <c r="AE210" s="57" t="s">
        <v>3476</v>
      </c>
      <c r="AF210" s="57" t="s">
        <v>3476</v>
      </c>
      <c r="AG210" s="57" t="s">
        <v>3476</v>
      </c>
      <c r="AH210" s="57" t="s">
        <v>3476</v>
      </c>
      <c r="AI210" s="57" t="s">
        <v>3476</v>
      </c>
      <c r="AJ210" s="57" t="s">
        <v>3476</v>
      </c>
      <c r="AK210" s="57" t="s">
        <v>1292</v>
      </c>
      <c r="AL210" s="57" t="s">
        <v>4148</v>
      </c>
      <c r="AM210" s="57" t="s">
        <v>3476</v>
      </c>
      <c r="AN210" s="57" t="s">
        <v>3830</v>
      </c>
      <c r="AO210" s="57" t="s">
        <v>3476</v>
      </c>
      <c r="AP210" s="58">
        <v>45768.6981134259</v>
      </c>
      <c r="AQ210" s="57" t="s">
        <v>3476</v>
      </c>
      <c r="AR210" s="57" t="s">
        <v>3806</v>
      </c>
      <c r="AS210" s="57" t="s">
        <v>3502</v>
      </c>
      <c r="AT210" s="57" t="s">
        <v>3745</v>
      </c>
      <c r="AU210" s="57" t="s">
        <v>4149</v>
      </c>
      <c r="AV210" s="57" t="s">
        <v>3476</v>
      </c>
      <c r="AW210" s="58">
        <v>45701.6948148148</v>
      </c>
      <c r="AX210" s="57" t="s">
        <v>4148</v>
      </c>
      <c r="AY210" s="57" t="s">
        <v>3747</v>
      </c>
      <c r="AZ210" s="57" t="s">
        <v>3476</v>
      </c>
      <c r="BA210" s="57" t="s">
        <v>3476</v>
      </c>
      <c r="BB210" s="57" t="s">
        <v>3476</v>
      </c>
      <c r="BC210" s="57" t="s">
        <v>1787</v>
      </c>
      <c r="BD210" s="57" t="s">
        <v>3659</v>
      </c>
      <c r="BE210" s="57" t="s">
        <v>4150</v>
      </c>
      <c r="BF210" s="57" t="s">
        <v>3749</v>
      </c>
      <c r="BG210" s="57" t="s">
        <v>3476</v>
      </c>
      <c r="BH210" s="57" t="s">
        <v>3476</v>
      </c>
      <c r="BI210" s="57" t="s">
        <v>2809</v>
      </c>
      <c r="BJ210" s="57" t="s">
        <v>3476</v>
      </c>
      <c r="BK210" s="57" t="s">
        <v>3476</v>
      </c>
      <c r="BL210" s="57">
        <v>3431114</v>
      </c>
      <c r="BM210" s="57" t="s">
        <v>4151</v>
      </c>
      <c r="BN210" s="57" t="s">
        <v>3476</v>
      </c>
      <c r="BO210" s="57">
        <v>810</v>
      </c>
      <c r="BP210" s="57" t="s">
        <v>3810</v>
      </c>
      <c r="BQ210" s="57" t="s">
        <v>3476</v>
      </c>
      <c r="BR210" s="57" t="s">
        <v>4152</v>
      </c>
      <c r="BS210" s="57" t="s">
        <v>1292</v>
      </c>
      <c r="BT210" s="57" t="s">
        <v>3476</v>
      </c>
      <c r="BU210" s="57" t="s">
        <v>3476</v>
      </c>
      <c r="BV210" s="57" t="s">
        <v>3753</v>
      </c>
      <c r="BW210" s="57" t="s">
        <v>3476</v>
      </c>
      <c r="BX210" s="57">
        <v>810</v>
      </c>
      <c r="BY210" s="57" t="s">
        <v>3476</v>
      </c>
      <c r="BZ210" s="57" t="s">
        <v>3476</v>
      </c>
      <c r="CA210" s="57" t="s">
        <v>3476</v>
      </c>
      <c r="CB210" s="57" t="s">
        <v>3476</v>
      </c>
      <c r="CC210" s="57" t="s">
        <v>3476</v>
      </c>
      <c r="CD210" s="57" t="s">
        <v>3476</v>
      </c>
    </row>
    <row r="211" spans="1:82">
      <c r="A211" s="57">
        <v>21027</v>
      </c>
      <c r="B211" s="57" t="s">
        <v>3476</v>
      </c>
      <c r="C211" s="57" t="s">
        <v>4144</v>
      </c>
      <c r="D211" s="57" t="s">
        <v>3476</v>
      </c>
      <c r="E211" s="57" t="s">
        <v>3730</v>
      </c>
      <c r="F211" s="57" t="s">
        <v>4145</v>
      </c>
      <c r="G211" s="57" t="s">
        <v>721</v>
      </c>
      <c r="H211" s="57" t="s">
        <v>2874</v>
      </c>
      <c r="I211" s="57">
        <v>112308</v>
      </c>
      <c r="J211" s="57" t="s">
        <v>3476</v>
      </c>
      <c r="K211" s="57" t="s">
        <v>3476</v>
      </c>
      <c r="L211" s="57" t="s">
        <v>3732</v>
      </c>
      <c r="M211" s="57" t="s">
        <v>4146</v>
      </c>
      <c r="N211" s="57" t="s">
        <v>4146</v>
      </c>
      <c r="O211" s="57" t="s">
        <v>3476</v>
      </c>
      <c r="P211" s="57" t="s">
        <v>3476</v>
      </c>
      <c r="Q211" s="57" t="s">
        <v>2874</v>
      </c>
      <c r="R211" s="57" t="s">
        <v>3781</v>
      </c>
      <c r="S211" s="57" t="s">
        <v>3782</v>
      </c>
      <c r="T211" s="57" t="s">
        <v>3736</v>
      </c>
      <c r="U211" s="57" t="s">
        <v>3476</v>
      </c>
      <c r="V211" s="57" t="s">
        <v>3469</v>
      </c>
      <c r="W211" s="57" t="s">
        <v>3476</v>
      </c>
      <c r="X211" s="57" t="s">
        <v>4021</v>
      </c>
      <c r="Y211" s="57" t="s">
        <v>3738</v>
      </c>
      <c r="Z211" s="57" t="s">
        <v>4147</v>
      </c>
      <c r="AA211" s="57" t="s">
        <v>3733</v>
      </c>
      <c r="AB211" s="57" t="s">
        <v>3476</v>
      </c>
      <c r="AC211" s="57" t="s">
        <v>3741</v>
      </c>
      <c r="AD211" s="57" t="s">
        <v>3476</v>
      </c>
      <c r="AE211" s="57" t="s">
        <v>3476</v>
      </c>
      <c r="AF211" s="57" t="s">
        <v>3476</v>
      </c>
      <c r="AG211" s="57" t="s">
        <v>3476</v>
      </c>
      <c r="AH211" s="57" t="s">
        <v>3476</v>
      </c>
      <c r="AI211" s="57" t="s">
        <v>3476</v>
      </c>
      <c r="AJ211" s="57" t="s">
        <v>3476</v>
      </c>
      <c r="AK211" s="57" t="s">
        <v>1292</v>
      </c>
      <c r="AL211" s="57" t="s">
        <v>4148</v>
      </c>
      <c r="AM211" s="57" t="s">
        <v>3476</v>
      </c>
      <c r="AN211" s="57" t="s">
        <v>3830</v>
      </c>
      <c r="AO211" s="57" t="s">
        <v>3476</v>
      </c>
      <c r="AP211" s="58">
        <v>45768.6981134259</v>
      </c>
      <c r="AQ211" s="57" t="s">
        <v>3476</v>
      </c>
      <c r="AR211" s="57" t="s">
        <v>3806</v>
      </c>
      <c r="AS211" s="57" t="s">
        <v>3502</v>
      </c>
      <c r="AT211" s="57" t="s">
        <v>3745</v>
      </c>
      <c r="AU211" s="57" t="s">
        <v>4149</v>
      </c>
      <c r="AV211" s="57" t="s">
        <v>3476</v>
      </c>
      <c r="AW211" s="58">
        <v>45701.6948148148</v>
      </c>
      <c r="AX211" s="57" t="s">
        <v>4148</v>
      </c>
      <c r="AY211" s="57" t="s">
        <v>3747</v>
      </c>
      <c r="AZ211" s="57" t="s">
        <v>3476</v>
      </c>
      <c r="BA211" s="57" t="s">
        <v>3476</v>
      </c>
      <c r="BB211" s="57" t="s">
        <v>3476</v>
      </c>
      <c r="BC211" s="57" t="s">
        <v>1787</v>
      </c>
      <c r="BD211" s="57" t="s">
        <v>3659</v>
      </c>
      <c r="BE211" s="57" t="s">
        <v>4150</v>
      </c>
      <c r="BF211" s="57" t="s">
        <v>3749</v>
      </c>
      <c r="BG211" s="57" t="s">
        <v>3476</v>
      </c>
      <c r="BH211" s="57" t="s">
        <v>3476</v>
      </c>
      <c r="BI211" s="57" t="s">
        <v>2809</v>
      </c>
      <c r="BJ211" s="57" t="s">
        <v>3476</v>
      </c>
      <c r="BK211" s="57" t="s">
        <v>3476</v>
      </c>
      <c r="BL211" s="57">
        <v>3431115</v>
      </c>
      <c r="BM211" s="57" t="s">
        <v>4151</v>
      </c>
      <c r="BN211" s="57" t="s">
        <v>3476</v>
      </c>
      <c r="BO211" s="57">
        <v>882</v>
      </c>
      <c r="BP211" s="57" t="s">
        <v>3810</v>
      </c>
      <c r="BQ211" s="57" t="s">
        <v>3476</v>
      </c>
      <c r="BR211" s="57" t="s">
        <v>4152</v>
      </c>
      <c r="BS211" s="57" t="s">
        <v>1292</v>
      </c>
      <c r="BT211" s="57" t="s">
        <v>3476</v>
      </c>
      <c r="BU211" s="57" t="s">
        <v>3476</v>
      </c>
      <c r="BV211" s="57" t="s">
        <v>3753</v>
      </c>
      <c r="BW211" s="57" t="s">
        <v>3476</v>
      </c>
      <c r="BX211" s="57">
        <v>882</v>
      </c>
      <c r="BY211" s="57" t="s">
        <v>3476</v>
      </c>
      <c r="BZ211" s="57" t="s">
        <v>3476</v>
      </c>
      <c r="CA211" s="57" t="s">
        <v>3476</v>
      </c>
      <c r="CB211" s="57" t="s">
        <v>3476</v>
      </c>
      <c r="CC211" s="57" t="s">
        <v>3476</v>
      </c>
      <c r="CD211" s="57" t="s">
        <v>3476</v>
      </c>
    </row>
    <row r="212" spans="1:82">
      <c r="A212" s="57">
        <v>21028</v>
      </c>
      <c r="B212" s="57" t="s">
        <v>3476</v>
      </c>
      <c r="C212" s="57" t="s">
        <v>4144</v>
      </c>
      <c r="D212" s="57" t="s">
        <v>3476</v>
      </c>
      <c r="E212" s="57" t="s">
        <v>3730</v>
      </c>
      <c r="F212" s="57" t="s">
        <v>4145</v>
      </c>
      <c r="G212" s="57" t="s">
        <v>721</v>
      </c>
      <c r="H212" s="57" t="s">
        <v>2874</v>
      </c>
      <c r="I212" s="57">
        <v>112308</v>
      </c>
      <c r="J212" s="57" t="s">
        <v>3476</v>
      </c>
      <c r="K212" s="57" t="s">
        <v>3476</v>
      </c>
      <c r="L212" s="57" t="s">
        <v>3732</v>
      </c>
      <c r="M212" s="57" t="s">
        <v>4146</v>
      </c>
      <c r="N212" s="57" t="s">
        <v>4146</v>
      </c>
      <c r="O212" s="57" t="s">
        <v>3476</v>
      </c>
      <c r="P212" s="57" t="s">
        <v>3476</v>
      </c>
      <c r="Q212" s="57" t="s">
        <v>2874</v>
      </c>
      <c r="R212" s="57" t="s">
        <v>3781</v>
      </c>
      <c r="S212" s="57" t="s">
        <v>3782</v>
      </c>
      <c r="T212" s="57" t="s">
        <v>3736</v>
      </c>
      <c r="U212" s="57" t="s">
        <v>3476</v>
      </c>
      <c r="V212" s="57" t="s">
        <v>3469</v>
      </c>
      <c r="W212" s="57" t="s">
        <v>3476</v>
      </c>
      <c r="X212" s="57" t="s">
        <v>4021</v>
      </c>
      <c r="Y212" s="57" t="s">
        <v>3738</v>
      </c>
      <c r="Z212" s="57" t="s">
        <v>4147</v>
      </c>
      <c r="AA212" s="57" t="s">
        <v>3733</v>
      </c>
      <c r="AB212" s="57" t="s">
        <v>3476</v>
      </c>
      <c r="AC212" s="57" t="s">
        <v>3741</v>
      </c>
      <c r="AD212" s="57" t="s">
        <v>3476</v>
      </c>
      <c r="AE212" s="57" t="s">
        <v>3476</v>
      </c>
      <c r="AF212" s="57" t="s">
        <v>3476</v>
      </c>
      <c r="AG212" s="57" t="s">
        <v>3476</v>
      </c>
      <c r="AH212" s="57" t="s">
        <v>3476</v>
      </c>
      <c r="AI212" s="57" t="s">
        <v>3476</v>
      </c>
      <c r="AJ212" s="57" t="s">
        <v>3476</v>
      </c>
      <c r="AK212" s="57" t="s">
        <v>1292</v>
      </c>
      <c r="AL212" s="57" t="s">
        <v>4148</v>
      </c>
      <c r="AM212" s="57" t="s">
        <v>3476</v>
      </c>
      <c r="AN212" s="57" t="s">
        <v>3830</v>
      </c>
      <c r="AO212" s="57" t="s">
        <v>3476</v>
      </c>
      <c r="AP212" s="58">
        <v>45768.6981134259</v>
      </c>
      <c r="AQ212" s="57" t="s">
        <v>3476</v>
      </c>
      <c r="AR212" s="57" t="s">
        <v>3806</v>
      </c>
      <c r="AS212" s="57" t="s">
        <v>3502</v>
      </c>
      <c r="AT212" s="57" t="s">
        <v>3745</v>
      </c>
      <c r="AU212" s="57" t="s">
        <v>4149</v>
      </c>
      <c r="AV212" s="57" t="s">
        <v>3476</v>
      </c>
      <c r="AW212" s="58">
        <v>45701.6948148148</v>
      </c>
      <c r="AX212" s="57" t="s">
        <v>4148</v>
      </c>
      <c r="AY212" s="57" t="s">
        <v>3747</v>
      </c>
      <c r="AZ212" s="57" t="s">
        <v>3476</v>
      </c>
      <c r="BA212" s="57" t="s">
        <v>3476</v>
      </c>
      <c r="BB212" s="57" t="s">
        <v>3476</v>
      </c>
      <c r="BC212" s="57" t="s">
        <v>1787</v>
      </c>
      <c r="BD212" s="57" t="s">
        <v>3659</v>
      </c>
      <c r="BE212" s="57" t="s">
        <v>4150</v>
      </c>
      <c r="BF212" s="57" t="s">
        <v>3749</v>
      </c>
      <c r="BG212" s="57" t="s">
        <v>3476</v>
      </c>
      <c r="BH212" s="57" t="s">
        <v>3476</v>
      </c>
      <c r="BI212" s="57" t="s">
        <v>2809</v>
      </c>
      <c r="BJ212" s="57" t="s">
        <v>3476</v>
      </c>
      <c r="BK212" s="57" t="s">
        <v>3476</v>
      </c>
      <c r="BL212" s="57">
        <v>3431116</v>
      </c>
      <c r="BM212" s="57" t="s">
        <v>4151</v>
      </c>
      <c r="BN212" s="57" t="s">
        <v>3476</v>
      </c>
      <c r="BO212" s="57">
        <v>112</v>
      </c>
      <c r="BP212" s="57" t="s">
        <v>3810</v>
      </c>
      <c r="BQ212" s="57" t="s">
        <v>3476</v>
      </c>
      <c r="BR212" s="57" t="s">
        <v>4152</v>
      </c>
      <c r="BS212" s="57" t="s">
        <v>1292</v>
      </c>
      <c r="BT212" s="57" t="s">
        <v>3476</v>
      </c>
      <c r="BU212" s="57" t="s">
        <v>3476</v>
      </c>
      <c r="BV212" s="57" t="s">
        <v>3753</v>
      </c>
      <c r="BW212" s="57" t="s">
        <v>3476</v>
      </c>
      <c r="BX212" s="57">
        <v>112</v>
      </c>
      <c r="BY212" s="57" t="s">
        <v>3476</v>
      </c>
      <c r="BZ212" s="57" t="s">
        <v>3476</v>
      </c>
      <c r="CA212" s="57" t="s">
        <v>3476</v>
      </c>
      <c r="CB212" s="57" t="s">
        <v>3476</v>
      </c>
      <c r="CC212" s="57" t="s">
        <v>3476</v>
      </c>
      <c r="CD212" s="57" t="s">
        <v>3476</v>
      </c>
    </row>
    <row r="213" spans="1:82">
      <c r="A213" s="57">
        <v>21029</v>
      </c>
      <c r="B213" s="57" t="s">
        <v>3476</v>
      </c>
      <c r="C213" s="57" t="s">
        <v>4144</v>
      </c>
      <c r="D213" s="57" t="s">
        <v>3476</v>
      </c>
      <c r="E213" s="57" t="s">
        <v>3730</v>
      </c>
      <c r="F213" s="57" t="s">
        <v>4145</v>
      </c>
      <c r="G213" s="57" t="s">
        <v>721</v>
      </c>
      <c r="H213" s="57" t="s">
        <v>2874</v>
      </c>
      <c r="I213" s="57">
        <v>112308</v>
      </c>
      <c r="J213" s="57" t="s">
        <v>3476</v>
      </c>
      <c r="K213" s="57" t="s">
        <v>3476</v>
      </c>
      <c r="L213" s="57" t="s">
        <v>3732</v>
      </c>
      <c r="M213" s="57" t="s">
        <v>4146</v>
      </c>
      <c r="N213" s="57" t="s">
        <v>4146</v>
      </c>
      <c r="O213" s="57" t="s">
        <v>3476</v>
      </c>
      <c r="P213" s="57" t="s">
        <v>3476</v>
      </c>
      <c r="Q213" s="57" t="s">
        <v>2874</v>
      </c>
      <c r="R213" s="57" t="s">
        <v>3781</v>
      </c>
      <c r="S213" s="57" t="s">
        <v>3782</v>
      </c>
      <c r="T213" s="57" t="s">
        <v>3736</v>
      </c>
      <c r="U213" s="57" t="s">
        <v>3476</v>
      </c>
      <c r="V213" s="57" t="s">
        <v>3469</v>
      </c>
      <c r="W213" s="57" t="s">
        <v>3476</v>
      </c>
      <c r="X213" s="57" t="s">
        <v>4021</v>
      </c>
      <c r="Y213" s="57" t="s">
        <v>3738</v>
      </c>
      <c r="Z213" s="57" t="s">
        <v>4147</v>
      </c>
      <c r="AA213" s="57" t="s">
        <v>3733</v>
      </c>
      <c r="AB213" s="57" t="s">
        <v>3476</v>
      </c>
      <c r="AC213" s="57" t="s">
        <v>3741</v>
      </c>
      <c r="AD213" s="57" t="s">
        <v>3476</v>
      </c>
      <c r="AE213" s="57" t="s">
        <v>3476</v>
      </c>
      <c r="AF213" s="57" t="s">
        <v>3476</v>
      </c>
      <c r="AG213" s="57" t="s">
        <v>3476</v>
      </c>
      <c r="AH213" s="57" t="s">
        <v>3476</v>
      </c>
      <c r="AI213" s="57" t="s">
        <v>3476</v>
      </c>
      <c r="AJ213" s="57" t="s">
        <v>3476</v>
      </c>
      <c r="AK213" s="57" t="s">
        <v>1292</v>
      </c>
      <c r="AL213" s="57" t="s">
        <v>4148</v>
      </c>
      <c r="AM213" s="57" t="s">
        <v>3476</v>
      </c>
      <c r="AN213" s="57" t="s">
        <v>3830</v>
      </c>
      <c r="AO213" s="57" t="s">
        <v>3476</v>
      </c>
      <c r="AP213" s="58">
        <v>45768.6981134259</v>
      </c>
      <c r="AQ213" s="57" t="s">
        <v>3476</v>
      </c>
      <c r="AR213" s="57" t="s">
        <v>3806</v>
      </c>
      <c r="AS213" s="57" t="s">
        <v>3502</v>
      </c>
      <c r="AT213" s="57" t="s">
        <v>3745</v>
      </c>
      <c r="AU213" s="57" t="s">
        <v>4149</v>
      </c>
      <c r="AV213" s="57" t="s">
        <v>3476</v>
      </c>
      <c r="AW213" s="58">
        <v>45701.6948148148</v>
      </c>
      <c r="AX213" s="57" t="s">
        <v>4148</v>
      </c>
      <c r="AY213" s="57" t="s">
        <v>3747</v>
      </c>
      <c r="AZ213" s="57" t="s">
        <v>3476</v>
      </c>
      <c r="BA213" s="57" t="s">
        <v>3476</v>
      </c>
      <c r="BB213" s="57" t="s">
        <v>3476</v>
      </c>
      <c r="BC213" s="57" t="s">
        <v>1787</v>
      </c>
      <c r="BD213" s="57" t="s">
        <v>3659</v>
      </c>
      <c r="BE213" s="57" t="s">
        <v>4150</v>
      </c>
      <c r="BF213" s="57" t="s">
        <v>3749</v>
      </c>
      <c r="BG213" s="57" t="s">
        <v>3476</v>
      </c>
      <c r="BH213" s="57" t="s">
        <v>3476</v>
      </c>
      <c r="BI213" s="57" t="s">
        <v>2809</v>
      </c>
      <c r="BJ213" s="57" t="s">
        <v>3476</v>
      </c>
      <c r="BK213" s="57" t="s">
        <v>3476</v>
      </c>
      <c r="BL213" s="57">
        <v>3431117</v>
      </c>
      <c r="BM213" s="57" t="s">
        <v>4151</v>
      </c>
      <c r="BN213" s="57" t="s">
        <v>3476</v>
      </c>
      <c r="BO213" s="57">
        <v>372</v>
      </c>
      <c r="BP213" s="57" t="s">
        <v>3810</v>
      </c>
      <c r="BQ213" s="57" t="s">
        <v>3476</v>
      </c>
      <c r="BR213" s="57" t="s">
        <v>4152</v>
      </c>
      <c r="BS213" s="57" t="s">
        <v>1292</v>
      </c>
      <c r="BT213" s="57" t="s">
        <v>3476</v>
      </c>
      <c r="BU213" s="57" t="s">
        <v>3476</v>
      </c>
      <c r="BV213" s="57" t="s">
        <v>3753</v>
      </c>
      <c r="BW213" s="57" t="s">
        <v>3476</v>
      </c>
      <c r="BX213" s="57">
        <v>372</v>
      </c>
      <c r="BY213" s="57" t="s">
        <v>3476</v>
      </c>
      <c r="BZ213" s="57" t="s">
        <v>3476</v>
      </c>
      <c r="CA213" s="57" t="s">
        <v>3476</v>
      </c>
      <c r="CB213" s="57" t="s">
        <v>3476</v>
      </c>
      <c r="CC213" s="57" t="s">
        <v>3476</v>
      </c>
      <c r="CD213" s="57" t="s">
        <v>3476</v>
      </c>
    </row>
    <row r="214" spans="1:82">
      <c r="A214" s="57">
        <v>21030</v>
      </c>
      <c r="B214" s="57" t="s">
        <v>3476</v>
      </c>
      <c r="C214" s="57" t="s">
        <v>4144</v>
      </c>
      <c r="D214" s="57" t="s">
        <v>3476</v>
      </c>
      <c r="E214" s="57" t="s">
        <v>3730</v>
      </c>
      <c r="F214" s="57" t="s">
        <v>4145</v>
      </c>
      <c r="G214" s="57" t="s">
        <v>721</v>
      </c>
      <c r="H214" s="57" t="s">
        <v>2874</v>
      </c>
      <c r="I214" s="57">
        <v>112308</v>
      </c>
      <c r="J214" s="57" t="s">
        <v>3476</v>
      </c>
      <c r="K214" s="57" t="s">
        <v>3476</v>
      </c>
      <c r="L214" s="57" t="s">
        <v>3732</v>
      </c>
      <c r="M214" s="57" t="s">
        <v>4146</v>
      </c>
      <c r="N214" s="57" t="s">
        <v>4146</v>
      </c>
      <c r="O214" s="57" t="s">
        <v>3476</v>
      </c>
      <c r="P214" s="57" t="s">
        <v>3476</v>
      </c>
      <c r="Q214" s="57" t="s">
        <v>2874</v>
      </c>
      <c r="R214" s="57" t="s">
        <v>3781</v>
      </c>
      <c r="S214" s="57" t="s">
        <v>3782</v>
      </c>
      <c r="T214" s="57" t="s">
        <v>3736</v>
      </c>
      <c r="U214" s="57" t="s">
        <v>3476</v>
      </c>
      <c r="V214" s="57" t="s">
        <v>3469</v>
      </c>
      <c r="W214" s="57" t="s">
        <v>3476</v>
      </c>
      <c r="X214" s="57" t="s">
        <v>4021</v>
      </c>
      <c r="Y214" s="57" t="s">
        <v>3738</v>
      </c>
      <c r="Z214" s="57" t="s">
        <v>4147</v>
      </c>
      <c r="AA214" s="57" t="s">
        <v>3733</v>
      </c>
      <c r="AB214" s="57" t="s">
        <v>3476</v>
      </c>
      <c r="AC214" s="57" t="s">
        <v>3741</v>
      </c>
      <c r="AD214" s="57" t="s">
        <v>3476</v>
      </c>
      <c r="AE214" s="57" t="s">
        <v>3476</v>
      </c>
      <c r="AF214" s="57" t="s">
        <v>3476</v>
      </c>
      <c r="AG214" s="57" t="s">
        <v>3476</v>
      </c>
      <c r="AH214" s="57" t="s">
        <v>3476</v>
      </c>
      <c r="AI214" s="57" t="s">
        <v>3476</v>
      </c>
      <c r="AJ214" s="57" t="s">
        <v>3476</v>
      </c>
      <c r="AK214" s="57" t="s">
        <v>1292</v>
      </c>
      <c r="AL214" s="57" t="s">
        <v>4148</v>
      </c>
      <c r="AM214" s="57" t="s">
        <v>3476</v>
      </c>
      <c r="AN214" s="57" t="s">
        <v>3830</v>
      </c>
      <c r="AO214" s="57" t="s">
        <v>3476</v>
      </c>
      <c r="AP214" s="58">
        <v>45768.6981134259</v>
      </c>
      <c r="AQ214" s="57" t="s">
        <v>3476</v>
      </c>
      <c r="AR214" s="57" t="s">
        <v>3806</v>
      </c>
      <c r="AS214" s="57" t="s">
        <v>3502</v>
      </c>
      <c r="AT214" s="57" t="s">
        <v>3745</v>
      </c>
      <c r="AU214" s="57" t="s">
        <v>4149</v>
      </c>
      <c r="AV214" s="57" t="s">
        <v>3476</v>
      </c>
      <c r="AW214" s="58">
        <v>45701.6948148148</v>
      </c>
      <c r="AX214" s="57" t="s">
        <v>4148</v>
      </c>
      <c r="AY214" s="57" t="s">
        <v>3747</v>
      </c>
      <c r="AZ214" s="57" t="s">
        <v>3476</v>
      </c>
      <c r="BA214" s="57" t="s">
        <v>3476</v>
      </c>
      <c r="BB214" s="57" t="s">
        <v>3476</v>
      </c>
      <c r="BC214" s="57" t="s">
        <v>3790</v>
      </c>
      <c r="BD214" s="57" t="s">
        <v>3659</v>
      </c>
      <c r="BE214" s="57" t="s">
        <v>4150</v>
      </c>
      <c r="BF214" s="57" t="s">
        <v>3749</v>
      </c>
      <c r="BG214" s="57" t="s">
        <v>3476</v>
      </c>
      <c r="BH214" s="57" t="s">
        <v>3476</v>
      </c>
      <c r="BI214" s="57" t="s">
        <v>2809</v>
      </c>
      <c r="BJ214" s="57" t="s">
        <v>3476</v>
      </c>
      <c r="BK214" s="57" t="s">
        <v>3476</v>
      </c>
      <c r="BL214" s="57">
        <v>3431118</v>
      </c>
      <c r="BM214" s="57" t="s">
        <v>4151</v>
      </c>
      <c r="BN214" s="57" t="s">
        <v>3476</v>
      </c>
      <c r="BO214" s="57">
        <v>644</v>
      </c>
      <c r="BP214" s="57" t="s">
        <v>3810</v>
      </c>
      <c r="BQ214" s="57" t="s">
        <v>3476</v>
      </c>
      <c r="BR214" s="57" t="s">
        <v>4152</v>
      </c>
      <c r="BS214" s="57" t="s">
        <v>1292</v>
      </c>
      <c r="BT214" s="57" t="s">
        <v>3476</v>
      </c>
      <c r="BU214" s="57" t="s">
        <v>3476</v>
      </c>
      <c r="BV214" s="57" t="s">
        <v>3753</v>
      </c>
      <c r="BW214" s="57" t="s">
        <v>3476</v>
      </c>
      <c r="BX214" s="57">
        <v>644</v>
      </c>
      <c r="BY214" s="57" t="s">
        <v>3476</v>
      </c>
      <c r="BZ214" s="57" t="s">
        <v>3476</v>
      </c>
      <c r="CA214" s="57" t="s">
        <v>3476</v>
      </c>
      <c r="CB214" s="57" t="s">
        <v>3476</v>
      </c>
      <c r="CC214" s="57" t="s">
        <v>3476</v>
      </c>
      <c r="CD214" s="57" t="s">
        <v>3476</v>
      </c>
    </row>
    <row r="215" spans="1:82">
      <c r="A215" s="57">
        <v>21031</v>
      </c>
      <c r="B215" s="57" t="s">
        <v>3476</v>
      </c>
      <c r="C215" s="57" t="s">
        <v>4144</v>
      </c>
      <c r="D215" s="57" t="s">
        <v>3476</v>
      </c>
      <c r="E215" s="57" t="s">
        <v>3730</v>
      </c>
      <c r="F215" s="57" t="s">
        <v>4145</v>
      </c>
      <c r="G215" s="57" t="s">
        <v>721</v>
      </c>
      <c r="H215" s="57" t="s">
        <v>2874</v>
      </c>
      <c r="I215" s="57">
        <v>112308</v>
      </c>
      <c r="J215" s="57" t="s">
        <v>3476</v>
      </c>
      <c r="K215" s="57" t="s">
        <v>3476</v>
      </c>
      <c r="L215" s="57" t="s">
        <v>3732</v>
      </c>
      <c r="M215" s="57" t="s">
        <v>4146</v>
      </c>
      <c r="N215" s="57" t="s">
        <v>4146</v>
      </c>
      <c r="O215" s="57" t="s">
        <v>3476</v>
      </c>
      <c r="P215" s="57" t="s">
        <v>3476</v>
      </c>
      <c r="Q215" s="57" t="s">
        <v>2874</v>
      </c>
      <c r="R215" s="57" t="s">
        <v>3781</v>
      </c>
      <c r="S215" s="57" t="s">
        <v>3782</v>
      </c>
      <c r="T215" s="57" t="s">
        <v>3736</v>
      </c>
      <c r="U215" s="57" t="s">
        <v>3476</v>
      </c>
      <c r="V215" s="57" t="s">
        <v>3469</v>
      </c>
      <c r="W215" s="57" t="s">
        <v>3476</v>
      </c>
      <c r="X215" s="57" t="s">
        <v>4021</v>
      </c>
      <c r="Y215" s="57" t="s">
        <v>3738</v>
      </c>
      <c r="Z215" s="57" t="s">
        <v>4147</v>
      </c>
      <c r="AA215" s="57" t="s">
        <v>3733</v>
      </c>
      <c r="AB215" s="57" t="s">
        <v>3476</v>
      </c>
      <c r="AC215" s="57" t="s">
        <v>3741</v>
      </c>
      <c r="AD215" s="57" t="s">
        <v>3476</v>
      </c>
      <c r="AE215" s="57" t="s">
        <v>3476</v>
      </c>
      <c r="AF215" s="57" t="s">
        <v>3476</v>
      </c>
      <c r="AG215" s="57" t="s">
        <v>3476</v>
      </c>
      <c r="AH215" s="57" t="s">
        <v>3476</v>
      </c>
      <c r="AI215" s="57" t="s">
        <v>3476</v>
      </c>
      <c r="AJ215" s="57" t="s">
        <v>3476</v>
      </c>
      <c r="AK215" s="57" t="s">
        <v>1292</v>
      </c>
      <c r="AL215" s="57" t="s">
        <v>4148</v>
      </c>
      <c r="AM215" s="57" t="s">
        <v>3476</v>
      </c>
      <c r="AN215" s="57" t="s">
        <v>3830</v>
      </c>
      <c r="AO215" s="57" t="s">
        <v>3476</v>
      </c>
      <c r="AP215" s="58">
        <v>45768.6981134259</v>
      </c>
      <c r="AQ215" s="57" t="s">
        <v>3476</v>
      </c>
      <c r="AR215" s="57" t="s">
        <v>3806</v>
      </c>
      <c r="AS215" s="57" t="s">
        <v>3502</v>
      </c>
      <c r="AT215" s="57" t="s">
        <v>3745</v>
      </c>
      <c r="AU215" s="57" t="s">
        <v>4149</v>
      </c>
      <c r="AV215" s="57" t="s">
        <v>3476</v>
      </c>
      <c r="AW215" s="58">
        <v>45701.6948148148</v>
      </c>
      <c r="AX215" s="57" t="s">
        <v>4148</v>
      </c>
      <c r="AY215" s="57" t="s">
        <v>3747</v>
      </c>
      <c r="AZ215" s="57" t="s">
        <v>3476</v>
      </c>
      <c r="BA215" s="57" t="s">
        <v>3476</v>
      </c>
      <c r="BB215" s="57" t="s">
        <v>3476</v>
      </c>
      <c r="BC215" s="57" t="s">
        <v>3791</v>
      </c>
      <c r="BD215" s="57" t="s">
        <v>3659</v>
      </c>
      <c r="BE215" s="57" t="s">
        <v>4150</v>
      </c>
      <c r="BF215" s="57" t="s">
        <v>3749</v>
      </c>
      <c r="BG215" s="57" t="s">
        <v>3476</v>
      </c>
      <c r="BH215" s="57" t="s">
        <v>3476</v>
      </c>
      <c r="BI215" s="57" t="s">
        <v>2809</v>
      </c>
      <c r="BJ215" s="57" t="s">
        <v>3476</v>
      </c>
      <c r="BK215" s="57" t="s">
        <v>3476</v>
      </c>
      <c r="BL215" s="57">
        <v>3431119</v>
      </c>
      <c r="BM215" s="57" t="s">
        <v>4151</v>
      </c>
      <c r="BN215" s="57" t="s">
        <v>3476</v>
      </c>
      <c r="BO215" s="57">
        <v>170</v>
      </c>
      <c r="BP215" s="57" t="s">
        <v>3810</v>
      </c>
      <c r="BQ215" s="57" t="s">
        <v>3476</v>
      </c>
      <c r="BR215" s="57" t="s">
        <v>4152</v>
      </c>
      <c r="BS215" s="57" t="s">
        <v>1292</v>
      </c>
      <c r="BT215" s="57" t="s">
        <v>3476</v>
      </c>
      <c r="BU215" s="57" t="s">
        <v>3476</v>
      </c>
      <c r="BV215" s="57" t="s">
        <v>3753</v>
      </c>
      <c r="BW215" s="57" t="s">
        <v>3476</v>
      </c>
      <c r="BX215" s="57">
        <v>170</v>
      </c>
      <c r="BY215" s="57" t="s">
        <v>3476</v>
      </c>
      <c r="BZ215" s="57" t="s">
        <v>3476</v>
      </c>
      <c r="CA215" s="57" t="s">
        <v>3476</v>
      </c>
      <c r="CB215" s="57" t="s">
        <v>3476</v>
      </c>
      <c r="CC215" s="57" t="s">
        <v>3476</v>
      </c>
      <c r="CD215" s="57" t="s">
        <v>3476</v>
      </c>
    </row>
    <row r="216" spans="1:82">
      <c r="A216" s="57">
        <v>21032</v>
      </c>
      <c r="B216" s="57" t="s">
        <v>3476</v>
      </c>
      <c r="C216" s="57" t="s">
        <v>4144</v>
      </c>
      <c r="D216" s="57" t="s">
        <v>3476</v>
      </c>
      <c r="E216" s="57" t="s">
        <v>3730</v>
      </c>
      <c r="F216" s="57" t="s">
        <v>4145</v>
      </c>
      <c r="G216" s="57" t="s">
        <v>721</v>
      </c>
      <c r="H216" s="57" t="s">
        <v>2874</v>
      </c>
      <c r="I216" s="57">
        <v>112308</v>
      </c>
      <c r="J216" s="57" t="s">
        <v>3476</v>
      </c>
      <c r="K216" s="57" t="s">
        <v>3476</v>
      </c>
      <c r="L216" s="57" t="s">
        <v>3732</v>
      </c>
      <c r="M216" s="57" t="s">
        <v>4146</v>
      </c>
      <c r="N216" s="57" t="s">
        <v>4146</v>
      </c>
      <c r="O216" s="57" t="s">
        <v>3476</v>
      </c>
      <c r="P216" s="57" t="s">
        <v>3476</v>
      </c>
      <c r="Q216" s="57" t="s">
        <v>2874</v>
      </c>
      <c r="R216" s="57" t="s">
        <v>3781</v>
      </c>
      <c r="S216" s="57" t="s">
        <v>3782</v>
      </c>
      <c r="T216" s="57" t="s">
        <v>3736</v>
      </c>
      <c r="U216" s="57" t="s">
        <v>3476</v>
      </c>
      <c r="V216" s="57" t="s">
        <v>3469</v>
      </c>
      <c r="W216" s="57" t="s">
        <v>3476</v>
      </c>
      <c r="X216" s="57" t="s">
        <v>4021</v>
      </c>
      <c r="Y216" s="57" t="s">
        <v>3738</v>
      </c>
      <c r="Z216" s="57" t="s">
        <v>4147</v>
      </c>
      <c r="AA216" s="57" t="s">
        <v>3733</v>
      </c>
      <c r="AB216" s="57" t="s">
        <v>3476</v>
      </c>
      <c r="AC216" s="57" t="s">
        <v>3741</v>
      </c>
      <c r="AD216" s="57" t="s">
        <v>3476</v>
      </c>
      <c r="AE216" s="57" t="s">
        <v>3476</v>
      </c>
      <c r="AF216" s="57" t="s">
        <v>3476</v>
      </c>
      <c r="AG216" s="57" t="s">
        <v>3476</v>
      </c>
      <c r="AH216" s="57" t="s">
        <v>3476</v>
      </c>
      <c r="AI216" s="57" t="s">
        <v>3476</v>
      </c>
      <c r="AJ216" s="57" t="s">
        <v>3476</v>
      </c>
      <c r="AK216" s="57" t="s">
        <v>1292</v>
      </c>
      <c r="AL216" s="57" t="s">
        <v>4148</v>
      </c>
      <c r="AM216" s="57" t="s">
        <v>3476</v>
      </c>
      <c r="AN216" s="57" t="s">
        <v>3830</v>
      </c>
      <c r="AO216" s="57" t="s">
        <v>3476</v>
      </c>
      <c r="AP216" s="58">
        <v>45768.6981134259</v>
      </c>
      <c r="AQ216" s="57" t="s">
        <v>3476</v>
      </c>
      <c r="AR216" s="57" t="s">
        <v>3806</v>
      </c>
      <c r="AS216" s="57" t="s">
        <v>3502</v>
      </c>
      <c r="AT216" s="57" t="s">
        <v>3745</v>
      </c>
      <c r="AU216" s="57" t="s">
        <v>4149</v>
      </c>
      <c r="AV216" s="57" t="s">
        <v>3476</v>
      </c>
      <c r="AW216" s="58">
        <v>45701.6948148148</v>
      </c>
      <c r="AX216" s="57" t="s">
        <v>4148</v>
      </c>
      <c r="AY216" s="57" t="s">
        <v>3747</v>
      </c>
      <c r="AZ216" s="57" t="s">
        <v>3476</v>
      </c>
      <c r="BA216" s="57" t="s">
        <v>3476</v>
      </c>
      <c r="BB216" s="57" t="s">
        <v>3476</v>
      </c>
      <c r="BC216" s="57" t="s">
        <v>3791</v>
      </c>
      <c r="BD216" s="57" t="s">
        <v>3659</v>
      </c>
      <c r="BE216" s="57" t="s">
        <v>4150</v>
      </c>
      <c r="BF216" s="57" t="s">
        <v>3749</v>
      </c>
      <c r="BG216" s="57" t="s">
        <v>3476</v>
      </c>
      <c r="BH216" s="57" t="s">
        <v>3476</v>
      </c>
      <c r="BI216" s="57" t="s">
        <v>2809</v>
      </c>
      <c r="BJ216" s="57" t="s">
        <v>3476</v>
      </c>
      <c r="BK216" s="57" t="s">
        <v>3476</v>
      </c>
      <c r="BL216" s="57">
        <v>3431120</v>
      </c>
      <c r="BM216" s="57" t="s">
        <v>4151</v>
      </c>
      <c r="BN216" s="57" t="s">
        <v>3476</v>
      </c>
      <c r="BO216" s="57">
        <v>51</v>
      </c>
      <c r="BP216" s="57" t="s">
        <v>3810</v>
      </c>
      <c r="BQ216" s="57" t="s">
        <v>3476</v>
      </c>
      <c r="BR216" s="57" t="s">
        <v>4152</v>
      </c>
      <c r="BS216" s="57" t="s">
        <v>1292</v>
      </c>
      <c r="BT216" s="57" t="s">
        <v>3476</v>
      </c>
      <c r="BU216" s="57" t="s">
        <v>3476</v>
      </c>
      <c r="BV216" s="57" t="s">
        <v>3753</v>
      </c>
      <c r="BW216" s="57" t="s">
        <v>3476</v>
      </c>
      <c r="BX216" s="57">
        <v>51</v>
      </c>
      <c r="BY216" s="57" t="s">
        <v>3476</v>
      </c>
      <c r="BZ216" s="57" t="s">
        <v>3476</v>
      </c>
      <c r="CA216" s="57" t="s">
        <v>3476</v>
      </c>
      <c r="CB216" s="57" t="s">
        <v>3476</v>
      </c>
      <c r="CC216" s="57" t="s">
        <v>3476</v>
      </c>
      <c r="CD216" s="57" t="s">
        <v>3476</v>
      </c>
    </row>
    <row r="217" spans="1:82">
      <c r="A217" s="57">
        <v>21033</v>
      </c>
      <c r="B217" s="57" t="s">
        <v>3476</v>
      </c>
      <c r="C217" s="57" t="s">
        <v>4144</v>
      </c>
      <c r="D217" s="57" t="s">
        <v>3476</v>
      </c>
      <c r="E217" s="57" t="s">
        <v>3730</v>
      </c>
      <c r="F217" s="57" t="s">
        <v>4145</v>
      </c>
      <c r="G217" s="57" t="s">
        <v>721</v>
      </c>
      <c r="H217" s="57" t="s">
        <v>2874</v>
      </c>
      <c r="I217" s="57">
        <v>112308</v>
      </c>
      <c r="J217" s="57" t="s">
        <v>3476</v>
      </c>
      <c r="K217" s="57" t="s">
        <v>3476</v>
      </c>
      <c r="L217" s="57" t="s">
        <v>3732</v>
      </c>
      <c r="M217" s="57" t="s">
        <v>4146</v>
      </c>
      <c r="N217" s="57" t="s">
        <v>4146</v>
      </c>
      <c r="O217" s="57" t="s">
        <v>3476</v>
      </c>
      <c r="P217" s="57" t="s">
        <v>3476</v>
      </c>
      <c r="Q217" s="57" t="s">
        <v>2874</v>
      </c>
      <c r="R217" s="57" t="s">
        <v>3781</v>
      </c>
      <c r="S217" s="57" t="s">
        <v>3782</v>
      </c>
      <c r="T217" s="57" t="s">
        <v>3736</v>
      </c>
      <c r="U217" s="57" t="s">
        <v>3476</v>
      </c>
      <c r="V217" s="57" t="s">
        <v>3469</v>
      </c>
      <c r="W217" s="57" t="s">
        <v>3476</v>
      </c>
      <c r="X217" s="57" t="s">
        <v>4021</v>
      </c>
      <c r="Y217" s="57" t="s">
        <v>3738</v>
      </c>
      <c r="Z217" s="57" t="s">
        <v>4147</v>
      </c>
      <c r="AA217" s="57" t="s">
        <v>3733</v>
      </c>
      <c r="AB217" s="57" t="s">
        <v>3476</v>
      </c>
      <c r="AC217" s="57" t="s">
        <v>3741</v>
      </c>
      <c r="AD217" s="57" t="s">
        <v>3476</v>
      </c>
      <c r="AE217" s="57" t="s">
        <v>3476</v>
      </c>
      <c r="AF217" s="57" t="s">
        <v>3476</v>
      </c>
      <c r="AG217" s="57" t="s">
        <v>3476</v>
      </c>
      <c r="AH217" s="57" t="s">
        <v>3476</v>
      </c>
      <c r="AI217" s="57" t="s">
        <v>3476</v>
      </c>
      <c r="AJ217" s="57" t="s">
        <v>3476</v>
      </c>
      <c r="AK217" s="57" t="s">
        <v>1292</v>
      </c>
      <c r="AL217" s="57" t="s">
        <v>4148</v>
      </c>
      <c r="AM217" s="57" t="s">
        <v>3476</v>
      </c>
      <c r="AN217" s="57" t="s">
        <v>3830</v>
      </c>
      <c r="AO217" s="57" t="s">
        <v>3476</v>
      </c>
      <c r="AP217" s="58">
        <v>45768.6981134259</v>
      </c>
      <c r="AQ217" s="57" t="s">
        <v>3476</v>
      </c>
      <c r="AR217" s="57" t="s">
        <v>3806</v>
      </c>
      <c r="AS217" s="57" t="s">
        <v>3502</v>
      </c>
      <c r="AT217" s="57" t="s">
        <v>3745</v>
      </c>
      <c r="AU217" s="57" t="s">
        <v>4149</v>
      </c>
      <c r="AV217" s="57" t="s">
        <v>3476</v>
      </c>
      <c r="AW217" s="58">
        <v>45701.6948148148</v>
      </c>
      <c r="AX217" s="57" t="s">
        <v>4148</v>
      </c>
      <c r="AY217" s="57" t="s">
        <v>3747</v>
      </c>
      <c r="AZ217" s="57" t="s">
        <v>3476</v>
      </c>
      <c r="BA217" s="57" t="s">
        <v>3476</v>
      </c>
      <c r="BB217" s="57" t="s">
        <v>3476</v>
      </c>
      <c r="BC217" s="57" t="s">
        <v>3791</v>
      </c>
      <c r="BD217" s="57" t="s">
        <v>3659</v>
      </c>
      <c r="BE217" s="57" t="s">
        <v>4150</v>
      </c>
      <c r="BF217" s="57" t="s">
        <v>3749</v>
      </c>
      <c r="BG217" s="57" t="s">
        <v>3476</v>
      </c>
      <c r="BH217" s="57" t="s">
        <v>3476</v>
      </c>
      <c r="BI217" s="57" t="s">
        <v>2809</v>
      </c>
      <c r="BJ217" s="57" t="s">
        <v>3476</v>
      </c>
      <c r="BK217" s="57" t="s">
        <v>3476</v>
      </c>
      <c r="BL217" s="57">
        <v>3431121</v>
      </c>
      <c r="BM217" s="57" t="s">
        <v>4151</v>
      </c>
      <c r="BN217" s="57" t="s">
        <v>3476</v>
      </c>
      <c r="BO217" s="57">
        <v>1620</v>
      </c>
      <c r="BP217" s="57" t="s">
        <v>3810</v>
      </c>
      <c r="BQ217" s="57" t="s">
        <v>3476</v>
      </c>
      <c r="BR217" s="57" t="s">
        <v>4152</v>
      </c>
      <c r="BS217" s="57" t="s">
        <v>1292</v>
      </c>
      <c r="BT217" s="57" t="s">
        <v>3476</v>
      </c>
      <c r="BU217" s="57" t="s">
        <v>3476</v>
      </c>
      <c r="BV217" s="57" t="s">
        <v>3753</v>
      </c>
      <c r="BW217" s="57" t="s">
        <v>3476</v>
      </c>
      <c r="BX217" s="57">
        <v>1620</v>
      </c>
      <c r="BY217" s="57" t="s">
        <v>3476</v>
      </c>
      <c r="BZ217" s="57" t="s">
        <v>3476</v>
      </c>
      <c r="CA217" s="57" t="s">
        <v>3476</v>
      </c>
      <c r="CB217" s="57" t="s">
        <v>3476</v>
      </c>
      <c r="CC217" s="57" t="s">
        <v>3476</v>
      </c>
      <c r="CD217" s="57" t="s">
        <v>3476</v>
      </c>
    </row>
    <row r="218" spans="1:82">
      <c r="A218" s="57">
        <v>21034</v>
      </c>
      <c r="B218" s="57" t="s">
        <v>3476</v>
      </c>
      <c r="C218" s="57" t="s">
        <v>4144</v>
      </c>
      <c r="D218" s="57" t="s">
        <v>3476</v>
      </c>
      <c r="E218" s="57" t="s">
        <v>3730</v>
      </c>
      <c r="F218" s="57" t="s">
        <v>4145</v>
      </c>
      <c r="G218" s="57" t="s">
        <v>721</v>
      </c>
      <c r="H218" s="57" t="s">
        <v>2874</v>
      </c>
      <c r="I218" s="57">
        <v>112308</v>
      </c>
      <c r="J218" s="57" t="s">
        <v>3476</v>
      </c>
      <c r="K218" s="57" t="s">
        <v>3476</v>
      </c>
      <c r="L218" s="57" t="s">
        <v>3732</v>
      </c>
      <c r="M218" s="57" t="s">
        <v>4146</v>
      </c>
      <c r="N218" s="57" t="s">
        <v>4146</v>
      </c>
      <c r="O218" s="57" t="s">
        <v>3476</v>
      </c>
      <c r="P218" s="57" t="s">
        <v>3476</v>
      </c>
      <c r="Q218" s="57" t="s">
        <v>2874</v>
      </c>
      <c r="R218" s="57" t="s">
        <v>3781</v>
      </c>
      <c r="S218" s="57" t="s">
        <v>3782</v>
      </c>
      <c r="T218" s="57" t="s">
        <v>3736</v>
      </c>
      <c r="U218" s="57" t="s">
        <v>3476</v>
      </c>
      <c r="V218" s="57" t="s">
        <v>3469</v>
      </c>
      <c r="W218" s="57" t="s">
        <v>3476</v>
      </c>
      <c r="X218" s="57" t="s">
        <v>4021</v>
      </c>
      <c r="Y218" s="57" t="s">
        <v>3738</v>
      </c>
      <c r="Z218" s="57" t="s">
        <v>4147</v>
      </c>
      <c r="AA218" s="57" t="s">
        <v>3733</v>
      </c>
      <c r="AB218" s="57" t="s">
        <v>3476</v>
      </c>
      <c r="AC218" s="57" t="s">
        <v>3741</v>
      </c>
      <c r="AD218" s="57" t="s">
        <v>3476</v>
      </c>
      <c r="AE218" s="57" t="s">
        <v>3476</v>
      </c>
      <c r="AF218" s="57" t="s">
        <v>3476</v>
      </c>
      <c r="AG218" s="57" t="s">
        <v>3476</v>
      </c>
      <c r="AH218" s="57" t="s">
        <v>3476</v>
      </c>
      <c r="AI218" s="57" t="s">
        <v>3476</v>
      </c>
      <c r="AJ218" s="57" t="s">
        <v>3476</v>
      </c>
      <c r="AK218" s="57" t="s">
        <v>1292</v>
      </c>
      <c r="AL218" s="57" t="s">
        <v>4148</v>
      </c>
      <c r="AM218" s="57" t="s">
        <v>3476</v>
      </c>
      <c r="AN218" s="57" t="s">
        <v>3830</v>
      </c>
      <c r="AO218" s="57" t="s">
        <v>3476</v>
      </c>
      <c r="AP218" s="58">
        <v>45768.6981134259</v>
      </c>
      <c r="AQ218" s="57" t="s">
        <v>3476</v>
      </c>
      <c r="AR218" s="57" t="s">
        <v>3806</v>
      </c>
      <c r="AS218" s="57" t="s">
        <v>3502</v>
      </c>
      <c r="AT218" s="57" t="s">
        <v>3745</v>
      </c>
      <c r="AU218" s="57" t="s">
        <v>4149</v>
      </c>
      <c r="AV218" s="57" t="s">
        <v>3476</v>
      </c>
      <c r="AW218" s="58">
        <v>45701.6948148148</v>
      </c>
      <c r="AX218" s="57" t="s">
        <v>4148</v>
      </c>
      <c r="AY218" s="57" t="s">
        <v>3747</v>
      </c>
      <c r="AZ218" s="57" t="s">
        <v>3476</v>
      </c>
      <c r="BA218" s="57" t="s">
        <v>3476</v>
      </c>
      <c r="BB218" s="57" t="s">
        <v>3476</v>
      </c>
      <c r="BC218" s="57" t="s">
        <v>3791</v>
      </c>
      <c r="BD218" s="57" t="s">
        <v>3659</v>
      </c>
      <c r="BE218" s="57" t="s">
        <v>4150</v>
      </c>
      <c r="BF218" s="57" t="s">
        <v>3749</v>
      </c>
      <c r="BG218" s="57" t="s">
        <v>3476</v>
      </c>
      <c r="BH218" s="57" t="s">
        <v>3476</v>
      </c>
      <c r="BI218" s="57" t="s">
        <v>2809</v>
      </c>
      <c r="BJ218" s="57" t="s">
        <v>3476</v>
      </c>
      <c r="BK218" s="57" t="s">
        <v>3476</v>
      </c>
      <c r="BL218" s="57">
        <v>3431122</v>
      </c>
      <c r="BM218" s="57" t="s">
        <v>4151</v>
      </c>
      <c r="BN218" s="57" t="s">
        <v>3476</v>
      </c>
      <c r="BO218" s="57">
        <v>132.6</v>
      </c>
      <c r="BP218" s="57" t="s">
        <v>3810</v>
      </c>
      <c r="BQ218" s="57" t="s">
        <v>3476</v>
      </c>
      <c r="BR218" s="57" t="s">
        <v>4152</v>
      </c>
      <c r="BS218" s="57" t="s">
        <v>1292</v>
      </c>
      <c r="BT218" s="57" t="s">
        <v>3476</v>
      </c>
      <c r="BU218" s="57" t="s">
        <v>3476</v>
      </c>
      <c r="BV218" s="57" t="s">
        <v>3753</v>
      </c>
      <c r="BW218" s="57" t="s">
        <v>3476</v>
      </c>
      <c r="BX218" s="57">
        <v>132.6</v>
      </c>
      <c r="BY218" s="57" t="s">
        <v>3476</v>
      </c>
      <c r="BZ218" s="57" t="s">
        <v>3476</v>
      </c>
      <c r="CA218" s="57" t="s">
        <v>3476</v>
      </c>
      <c r="CB218" s="57" t="s">
        <v>3476</v>
      </c>
      <c r="CC218" s="57" t="s">
        <v>3476</v>
      </c>
      <c r="CD218" s="57" t="s">
        <v>3476</v>
      </c>
    </row>
    <row r="219" spans="1:82">
      <c r="A219" s="57">
        <v>21035</v>
      </c>
      <c r="B219" s="57" t="s">
        <v>3476</v>
      </c>
      <c r="C219" s="57" t="s">
        <v>4144</v>
      </c>
      <c r="D219" s="57" t="s">
        <v>3476</v>
      </c>
      <c r="E219" s="57" t="s">
        <v>3730</v>
      </c>
      <c r="F219" s="57" t="s">
        <v>4145</v>
      </c>
      <c r="G219" s="57" t="s">
        <v>721</v>
      </c>
      <c r="H219" s="57" t="s">
        <v>2874</v>
      </c>
      <c r="I219" s="57">
        <v>112308</v>
      </c>
      <c r="J219" s="57" t="s">
        <v>3476</v>
      </c>
      <c r="K219" s="57" t="s">
        <v>3476</v>
      </c>
      <c r="L219" s="57" t="s">
        <v>3732</v>
      </c>
      <c r="M219" s="57" t="s">
        <v>4146</v>
      </c>
      <c r="N219" s="57" t="s">
        <v>4146</v>
      </c>
      <c r="O219" s="57" t="s">
        <v>3476</v>
      </c>
      <c r="P219" s="57" t="s">
        <v>3476</v>
      </c>
      <c r="Q219" s="57" t="s">
        <v>2874</v>
      </c>
      <c r="R219" s="57" t="s">
        <v>3781</v>
      </c>
      <c r="S219" s="57" t="s">
        <v>3782</v>
      </c>
      <c r="T219" s="57" t="s">
        <v>3736</v>
      </c>
      <c r="U219" s="57" t="s">
        <v>3476</v>
      </c>
      <c r="V219" s="57" t="s">
        <v>3469</v>
      </c>
      <c r="W219" s="57" t="s">
        <v>3476</v>
      </c>
      <c r="X219" s="57" t="s">
        <v>4021</v>
      </c>
      <c r="Y219" s="57" t="s">
        <v>3738</v>
      </c>
      <c r="Z219" s="57" t="s">
        <v>4147</v>
      </c>
      <c r="AA219" s="57" t="s">
        <v>3733</v>
      </c>
      <c r="AB219" s="57" t="s">
        <v>3476</v>
      </c>
      <c r="AC219" s="57" t="s">
        <v>3741</v>
      </c>
      <c r="AD219" s="57" t="s">
        <v>3476</v>
      </c>
      <c r="AE219" s="57" t="s">
        <v>3476</v>
      </c>
      <c r="AF219" s="57" t="s">
        <v>3476</v>
      </c>
      <c r="AG219" s="57" t="s">
        <v>3476</v>
      </c>
      <c r="AH219" s="57" t="s">
        <v>3476</v>
      </c>
      <c r="AI219" s="57" t="s">
        <v>3476</v>
      </c>
      <c r="AJ219" s="57" t="s">
        <v>3476</v>
      </c>
      <c r="AK219" s="57" t="s">
        <v>1292</v>
      </c>
      <c r="AL219" s="57" t="s">
        <v>4148</v>
      </c>
      <c r="AM219" s="57" t="s">
        <v>3476</v>
      </c>
      <c r="AN219" s="57" t="s">
        <v>3830</v>
      </c>
      <c r="AO219" s="57" t="s">
        <v>3476</v>
      </c>
      <c r="AP219" s="58">
        <v>45768.6981134259</v>
      </c>
      <c r="AQ219" s="57" t="s">
        <v>3476</v>
      </c>
      <c r="AR219" s="57" t="s">
        <v>3806</v>
      </c>
      <c r="AS219" s="57" t="s">
        <v>3502</v>
      </c>
      <c r="AT219" s="57" t="s">
        <v>3745</v>
      </c>
      <c r="AU219" s="57" t="s">
        <v>4149</v>
      </c>
      <c r="AV219" s="57" t="s">
        <v>3476</v>
      </c>
      <c r="AW219" s="58">
        <v>45701.6948148148</v>
      </c>
      <c r="AX219" s="57" t="s">
        <v>4148</v>
      </c>
      <c r="AY219" s="57" t="s">
        <v>3747</v>
      </c>
      <c r="AZ219" s="57" t="s">
        <v>3476</v>
      </c>
      <c r="BA219" s="57" t="s">
        <v>3476</v>
      </c>
      <c r="BB219" s="57" t="s">
        <v>3476</v>
      </c>
      <c r="BC219" s="57" t="s">
        <v>3791</v>
      </c>
      <c r="BD219" s="57" t="s">
        <v>3659</v>
      </c>
      <c r="BE219" s="57" t="s">
        <v>4150</v>
      </c>
      <c r="BF219" s="57" t="s">
        <v>3749</v>
      </c>
      <c r="BG219" s="57" t="s">
        <v>3476</v>
      </c>
      <c r="BH219" s="57" t="s">
        <v>3476</v>
      </c>
      <c r="BI219" s="57" t="s">
        <v>2809</v>
      </c>
      <c r="BJ219" s="57" t="s">
        <v>3476</v>
      </c>
      <c r="BK219" s="57" t="s">
        <v>3476</v>
      </c>
      <c r="BL219" s="57">
        <v>3431123</v>
      </c>
      <c r="BM219" s="57" t="s">
        <v>4151</v>
      </c>
      <c r="BN219" s="57" t="s">
        <v>3476</v>
      </c>
      <c r="BO219" s="57">
        <v>184.5</v>
      </c>
      <c r="BP219" s="57" t="s">
        <v>3810</v>
      </c>
      <c r="BQ219" s="57" t="s">
        <v>3476</v>
      </c>
      <c r="BR219" s="57" t="s">
        <v>4152</v>
      </c>
      <c r="BS219" s="57" t="s">
        <v>1292</v>
      </c>
      <c r="BT219" s="57" t="s">
        <v>3476</v>
      </c>
      <c r="BU219" s="57" t="s">
        <v>3476</v>
      </c>
      <c r="BV219" s="57" t="s">
        <v>3753</v>
      </c>
      <c r="BW219" s="57" t="s">
        <v>3476</v>
      </c>
      <c r="BX219" s="57">
        <v>184.5</v>
      </c>
      <c r="BY219" s="57" t="s">
        <v>3476</v>
      </c>
      <c r="BZ219" s="57" t="s">
        <v>3476</v>
      </c>
      <c r="CA219" s="57" t="s">
        <v>3476</v>
      </c>
      <c r="CB219" s="57" t="s">
        <v>3476</v>
      </c>
      <c r="CC219" s="57" t="s">
        <v>3476</v>
      </c>
      <c r="CD219" s="57" t="s">
        <v>3476</v>
      </c>
    </row>
    <row r="220" spans="1:82">
      <c r="A220" s="57">
        <v>21036</v>
      </c>
      <c r="B220" s="57" t="s">
        <v>3476</v>
      </c>
      <c r="C220" s="57" t="s">
        <v>4144</v>
      </c>
      <c r="D220" s="57" t="s">
        <v>3476</v>
      </c>
      <c r="E220" s="57" t="s">
        <v>3730</v>
      </c>
      <c r="F220" s="57" t="s">
        <v>4145</v>
      </c>
      <c r="G220" s="57" t="s">
        <v>721</v>
      </c>
      <c r="H220" s="57" t="s">
        <v>2874</v>
      </c>
      <c r="I220" s="57">
        <v>112308</v>
      </c>
      <c r="J220" s="57" t="s">
        <v>3476</v>
      </c>
      <c r="K220" s="57" t="s">
        <v>3476</v>
      </c>
      <c r="L220" s="57" t="s">
        <v>3732</v>
      </c>
      <c r="M220" s="57" t="s">
        <v>4146</v>
      </c>
      <c r="N220" s="57" t="s">
        <v>4146</v>
      </c>
      <c r="O220" s="57" t="s">
        <v>3476</v>
      </c>
      <c r="P220" s="57" t="s">
        <v>3476</v>
      </c>
      <c r="Q220" s="57" t="s">
        <v>2874</v>
      </c>
      <c r="R220" s="57" t="s">
        <v>3781</v>
      </c>
      <c r="S220" s="57" t="s">
        <v>3782</v>
      </c>
      <c r="T220" s="57" t="s">
        <v>3736</v>
      </c>
      <c r="U220" s="57" t="s">
        <v>3476</v>
      </c>
      <c r="V220" s="57" t="s">
        <v>3469</v>
      </c>
      <c r="W220" s="57" t="s">
        <v>3476</v>
      </c>
      <c r="X220" s="57" t="s">
        <v>4021</v>
      </c>
      <c r="Y220" s="57" t="s">
        <v>3738</v>
      </c>
      <c r="Z220" s="57" t="s">
        <v>4147</v>
      </c>
      <c r="AA220" s="57" t="s">
        <v>3733</v>
      </c>
      <c r="AB220" s="57" t="s">
        <v>3476</v>
      </c>
      <c r="AC220" s="57" t="s">
        <v>3741</v>
      </c>
      <c r="AD220" s="57" t="s">
        <v>3476</v>
      </c>
      <c r="AE220" s="57" t="s">
        <v>3476</v>
      </c>
      <c r="AF220" s="57" t="s">
        <v>3476</v>
      </c>
      <c r="AG220" s="57" t="s">
        <v>3476</v>
      </c>
      <c r="AH220" s="57" t="s">
        <v>3476</v>
      </c>
      <c r="AI220" s="57" t="s">
        <v>3476</v>
      </c>
      <c r="AJ220" s="57" t="s">
        <v>3476</v>
      </c>
      <c r="AK220" s="57" t="s">
        <v>1292</v>
      </c>
      <c r="AL220" s="57" t="s">
        <v>4148</v>
      </c>
      <c r="AM220" s="57" t="s">
        <v>3476</v>
      </c>
      <c r="AN220" s="57" t="s">
        <v>3830</v>
      </c>
      <c r="AO220" s="57" t="s">
        <v>3476</v>
      </c>
      <c r="AP220" s="58">
        <v>45768.6981134259</v>
      </c>
      <c r="AQ220" s="57" t="s">
        <v>3476</v>
      </c>
      <c r="AR220" s="57" t="s">
        <v>3806</v>
      </c>
      <c r="AS220" s="57" t="s">
        <v>3502</v>
      </c>
      <c r="AT220" s="57" t="s">
        <v>3745</v>
      </c>
      <c r="AU220" s="57" t="s">
        <v>4149</v>
      </c>
      <c r="AV220" s="57" t="s">
        <v>3476</v>
      </c>
      <c r="AW220" s="58">
        <v>45701.6948148148</v>
      </c>
      <c r="AX220" s="57" t="s">
        <v>4148</v>
      </c>
      <c r="AY220" s="57" t="s">
        <v>3747</v>
      </c>
      <c r="AZ220" s="57" t="s">
        <v>3476</v>
      </c>
      <c r="BA220" s="57" t="s">
        <v>3476</v>
      </c>
      <c r="BB220" s="57" t="s">
        <v>3476</v>
      </c>
      <c r="BC220" s="57" t="s">
        <v>3791</v>
      </c>
      <c r="BD220" s="57" t="s">
        <v>3659</v>
      </c>
      <c r="BE220" s="57" t="s">
        <v>4150</v>
      </c>
      <c r="BF220" s="57" t="s">
        <v>3749</v>
      </c>
      <c r="BG220" s="57" t="s">
        <v>3476</v>
      </c>
      <c r="BH220" s="57" t="s">
        <v>3476</v>
      </c>
      <c r="BI220" s="57" t="s">
        <v>2809</v>
      </c>
      <c r="BJ220" s="57" t="s">
        <v>3476</v>
      </c>
      <c r="BK220" s="57" t="s">
        <v>3476</v>
      </c>
      <c r="BL220" s="57">
        <v>3431124</v>
      </c>
      <c r="BM220" s="57" t="s">
        <v>4151</v>
      </c>
      <c r="BN220" s="57" t="s">
        <v>3476</v>
      </c>
      <c r="BO220" s="57">
        <v>84</v>
      </c>
      <c r="BP220" s="57" t="s">
        <v>3810</v>
      </c>
      <c r="BQ220" s="57" t="s">
        <v>3476</v>
      </c>
      <c r="BR220" s="57" t="s">
        <v>4152</v>
      </c>
      <c r="BS220" s="57" t="s">
        <v>1292</v>
      </c>
      <c r="BT220" s="57" t="s">
        <v>3476</v>
      </c>
      <c r="BU220" s="57" t="s">
        <v>3476</v>
      </c>
      <c r="BV220" s="57" t="s">
        <v>3753</v>
      </c>
      <c r="BW220" s="57" t="s">
        <v>3476</v>
      </c>
      <c r="BX220" s="57">
        <v>84</v>
      </c>
      <c r="BY220" s="57" t="s">
        <v>3476</v>
      </c>
      <c r="BZ220" s="57" t="s">
        <v>3476</v>
      </c>
      <c r="CA220" s="57" t="s">
        <v>3476</v>
      </c>
      <c r="CB220" s="57" t="s">
        <v>3476</v>
      </c>
      <c r="CC220" s="57" t="s">
        <v>3476</v>
      </c>
      <c r="CD220" s="57" t="s">
        <v>3476</v>
      </c>
    </row>
    <row r="221" spans="1:82">
      <c r="A221" s="57">
        <v>21037</v>
      </c>
      <c r="B221" s="57" t="s">
        <v>3476</v>
      </c>
      <c r="C221" s="57" t="s">
        <v>4144</v>
      </c>
      <c r="D221" s="57" t="s">
        <v>3476</v>
      </c>
      <c r="E221" s="57" t="s">
        <v>3730</v>
      </c>
      <c r="F221" s="57" t="s">
        <v>4145</v>
      </c>
      <c r="G221" s="57" t="s">
        <v>721</v>
      </c>
      <c r="H221" s="57" t="s">
        <v>2874</v>
      </c>
      <c r="I221" s="57">
        <v>112308</v>
      </c>
      <c r="J221" s="57" t="s">
        <v>3476</v>
      </c>
      <c r="K221" s="57" t="s">
        <v>3476</v>
      </c>
      <c r="L221" s="57" t="s">
        <v>3732</v>
      </c>
      <c r="M221" s="57" t="s">
        <v>4146</v>
      </c>
      <c r="N221" s="57" t="s">
        <v>4146</v>
      </c>
      <c r="O221" s="57" t="s">
        <v>3476</v>
      </c>
      <c r="P221" s="57" t="s">
        <v>3476</v>
      </c>
      <c r="Q221" s="57" t="s">
        <v>2874</v>
      </c>
      <c r="R221" s="57" t="s">
        <v>3781</v>
      </c>
      <c r="S221" s="57" t="s">
        <v>3782</v>
      </c>
      <c r="T221" s="57" t="s">
        <v>3736</v>
      </c>
      <c r="U221" s="57" t="s">
        <v>3476</v>
      </c>
      <c r="V221" s="57" t="s">
        <v>3469</v>
      </c>
      <c r="W221" s="57" t="s">
        <v>3476</v>
      </c>
      <c r="X221" s="57" t="s">
        <v>4021</v>
      </c>
      <c r="Y221" s="57" t="s">
        <v>3738</v>
      </c>
      <c r="Z221" s="57" t="s">
        <v>4147</v>
      </c>
      <c r="AA221" s="57" t="s">
        <v>3733</v>
      </c>
      <c r="AB221" s="57" t="s">
        <v>3476</v>
      </c>
      <c r="AC221" s="57" t="s">
        <v>3741</v>
      </c>
      <c r="AD221" s="57" t="s">
        <v>3476</v>
      </c>
      <c r="AE221" s="57" t="s">
        <v>3476</v>
      </c>
      <c r="AF221" s="57" t="s">
        <v>3476</v>
      </c>
      <c r="AG221" s="57" t="s">
        <v>3476</v>
      </c>
      <c r="AH221" s="57" t="s">
        <v>3476</v>
      </c>
      <c r="AI221" s="57" t="s">
        <v>3476</v>
      </c>
      <c r="AJ221" s="57" t="s">
        <v>3476</v>
      </c>
      <c r="AK221" s="57" t="s">
        <v>1292</v>
      </c>
      <c r="AL221" s="57" t="s">
        <v>4148</v>
      </c>
      <c r="AM221" s="57" t="s">
        <v>3476</v>
      </c>
      <c r="AN221" s="57" t="s">
        <v>3830</v>
      </c>
      <c r="AO221" s="57" t="s">
        <v>3476</v>
      </c>
      <c r="AP221" s="58">
        <v>45768.6981134259</v>
      </c>
      <c r="AQ221" s="57" t="s">
        <v>3476</v>
      </c>
      <c r="AR221" s="57" t="s">
        <v>3806</v>
      </c>
      <c r="AS221" s="57" t="s">
        <v>3502</v>
      </c>
      <c r="AT221" s="57" t="s">
        <v>3745</v>
      </c>
      <c r="AU221" s="57" t="s">
        <v>4149</v>
      </c>
      <c r="AV221" s="57" t="s">
        <v>3476</v>
      </c>
      <c r="AW221" s="58">
        <v>45701.6948148148</v>
      </c>
      <c r="AX221" s="57" t="s">
        <v>4148</v>
      </c>
      <c r="AY221" s="57" t="s">
        <v>3747</v>
      </c>
      <c r="AZ221" s="57" t="s">
        <v>3476</v>
      </c>
      <c r="BA221" s="57" t="s">
        <v>3476</v>
      </c>
      <c r="BB221" s="57" t="s">
        <v>3476</v>
      </c>
      <c r="BC221" s="57" t="s">
        <v>3791</v>
      </c>
      <c r="BD221" s="57" t="s">
        <v>3659</v>
      </c>
      <c r="BE221" s="57" t="s">
        <v>4150</v>
      </c>
      <c r="BF221" s="57" t="s">
        <v>3749</v>
      </c>
      <c r="BG221" s="57" t="s">
        <v>3476</v>
      </c>
      <c r="BH221" s="57" t="s">
        <v>3476</v>
      </c>
      <c r="BI221" s="57" t="s">
        <v>2809</v>
      </c>
      <c r="BJ221" s="57" t="s">
        <v>3476</v>
      </c>
      <c r="BK221" s="57" t="s">
        <v>3476</v>
      </c>
      <c r="BL221" s="57">
        <v>3431125</v>
      </c>
      <c r="BM221" s="57" t="s">
        <v>4151</v>
      </c>
      <c r="BN221" s="57" t="s">
        <v>3476</v>
      </c>
      <c r="BO221" s="57">
        <v>25</v>
      </c>
      <c r="BP221" s="57" t="s">
        <v>3810</v>
      </c>
      <c r="BQ221" s="57" t="s">
        <v>3476</v>
      </c>
      <c r="BR221" s="57" t="s">
        <v>4152</v>
      </c>
      <c r="BS221" s="57" t="s">
        <v>1292</v>
      </c>
      <c r="BT221" s="57" t="s">
        <v>3476</v>
      </c>
      <c r="BU221" s="57" t="s">
        <v>3476</v>
      </c>
      <c r="BV221" s="57" t="s">
        <v>3753</v>
      </c>
      <c r="BW221" s="57" t="s">
        <v>3476</v>
      </c>
      <c r="BX221" s="57">
        <v>25</v>
      </c>
      <c r="BY221" s="57" t="s">
        <v>3476</v>
      </c>
      <c r="BZ221" s="57" t="s">
        <v>3476</v>
      </c>
      <c r="CA221" s="57" t="s">
        <v>3476</v>
      </c>
      <c r="CB221" s="57" t="s">
        <v>3476</v>
      </c>
      <c r="CC221" s="57" t="s">
        <v>3476</v>
      </c>
      <c r="CD221" s="57" t="s">
        <v>3476</v>
      </c>
    </row>
    <row r="222" spans="1:82">
      <c r="A222" s="57">
        <v>21038</v>
      </c>
      <c r="B222" s="57" t="s">
        <v>3476</v>
      </c>
      <c r="C222" s="57" t="s">
        <v>4144</v>
      </c>
      <c r="D222" s="57" t="s">
        <v>3476</v>
      </c>
      <c r="E222" s="57" t="s">
        <v>3730</v>
      </c>
      <c r="F222" s="57" t="s">
        <v>4145</v>
      </c>
      <c r="G222" s="57" t="s">
        <v>721</v>
      </c>
      <c r="H222" s="57" t="s">
        <v>2874</v>
      </c>
      <c r="I222" s="57">
        <v>112308</v>
      </c>
      <c r="J222" s="57" t="s">
        <v>3476</v>
      </c>
      <c r="K222" s="57" t="s">
        <v>3476</v>
      </c>
      <c r="L222" s="57" t="s">
        <v>3732</v>
      </c>
      <c r="M222" s="57" t="s">
        <v>4146</v>
      </c>
      <c r="N222" s="57" t="s">
        <v>4146</v>
      </c>
      <c r="O222" s="57" t="s">
        <v>3476</v>
      </c>
      <c r="P222" s="57" t="s">
        <v>3476</v>
      </c>
      <c r="Q222" s="57" t="s">
        <v>2874</v>
      </c>
      <c r="R222" s="57" t="s">
        <v>3781</v>
      </c>
      <c r="S222" s="57" t="s">
        <v>3782</v>
      </c>
      <c r="T222" s="57" t="s">
        <v>3736</v>
      </c>
      <c r="U222" s="57" t="s">
        <v>3476</v>
      </c>
      <c r="V222" s="57" t="s">
        <v>3469</v>
      </c>
      <c r="W222" s="57" t="s">
        <v>3476</v>
      </c>
      <c r="X222" s="57" t="s">
        <v>4021</v>
      </c>
      <c r="Y222" s="57" t="s">
        <v>3738</v>
      </c>
      <c r="Z222" s="57" t="s">
        <v>4147</v>
      </c>
      <c r="AA222" s="57" t="s">
        <v>3733</v>
      </c>
      <c r="AB222" s="57" t="s">
        <v>3476</v>
      </c>
      <c r="AC222" s="57" t="s">
        <v>3741</v>
      </c>
      <c r="AD222" s="57" t="s">
        <v>3476</v>
      </c>
      <c r="AE222" s="57" t="s">
        <v>3476</v>
      </c>
      <c r="AF222" s="57" t="s">
        <v>3476</v>
      </c>
      <c r="AG222" s="57" t="s">
        <v>3476</v>
      </c>
      <c r="AH222" s="57" t="s">
        <v>3476</v>
      </c>
      <c r="AI222" s="57" t="s">
        <v>3476</v>
      </c>
      <c r="AJ222" s="57" t="s">
        <v>3476</v>
      </c>
      <c r="AK222" s="57" t="s">
        <v>1292</v>
      </c>
      <c r="AL222" s="57" t="s">
        <v>4148</v>
      </c>
      <c r="AM222" s="57" t="s">
        <v>3476</v>
      </c>
      <c r="AN222" s="57" t="s">
        <v>3830</v>
      </c>
      <c r="AO222" s="57" t="s">
        <v>3476</v>
      </c>
      <c r="AP222" s="58">
        <v>45768.6981134259</v>
      </c>
      <c r="AQ222" s="57" t="s">
        <v>3476</v>
      </c>
      <c r="AR222" s="57" t="s">
        <v>3806</v>
      </c>
      <c r="AS222" s="57" t="s">
        <v>3502</v>
      </c>
      <c r="AT222" s="57" t="s">
        <v>3745</v>
      </c>
      <c r="AU222" s="57" t="s">
        <v>4149</v>
      </c>
      <c r="AV222" s="57" t="s">
        <v>3476</v>
      </c>
      <c r="AW222" s="58">
        <v>45701.6948148148</v>
      </c>
      <c r="AX222" s="57" t="s">
        <v>4148</v>
      </c>
      <c r="AY222" s="57" t="s">
        <v>3747</v>
      </c>
      <c r="AZ222" s="57" t="s">
        <v>3476</v>
      </c>
      <c r="BA222" s="57" t="s">
        <v>3476</v>
      </c>
      <c r="BB222" s="57" t="s">
        <v>3476</v>
      </c>
      <c r="BC222" s="57" t="s">
        <v>3791</v>
      </c>
      <c r="BD222" s="57" t="s">
        <v>3659</v>
      </c>
      <c r="BE222" s="57" t="s">
        <v>4150</v>
      </c>
      <c r="BF222" s="57" t="s">
        <v>3749</v>
      </c>
      <c r="BG222" s="57" t="s">
        <v>3476</v>
      </c>
      <c r="BH222" s="57" t="s">
        <v>3476</v>
      </c>
      <c r="BI222" s="57" t="s">
        <v>2809</v>
      </c>
      <c r="BJ222" s="57" t="s">
        <v>3476</v>
      </c>
      <c r="BK222" s="57" t="s">
        <v>3476</v>
      </c>
      <c r="BL222" s="57">
        <v>3431126</v>
      </c>
      <c r="BM222" s="57" t="s">
        <v>4151</v>
      </c>
      <c r="BN222" s="57" t="s">
        <v>3476</v>
      </c>
      <c r="BO222" s="57">
        <v>120</v>
      </c>
      <c r="BP222" s="57" t="s">
        <v>3810</v>
      </c>
      <c r="BQ222" s="57" t="s">
        <v>3476</v>
      </c>
      <c r="BR222" s="57" t="s">
        <v>4152</v>
      </c>
      <c r="BS222" s="57" t="s">
        <v>1292</v>
      </c>
      <c r="BT222" s="57" t="s">
        <v>3476</v>
      </c>
      <c r="BU222" s="57" t="s">
        <v>3476</v>
      </c>
      <c r="BV222" s="57" t="s">
        <v>3753</v>
      </c>
      <c r="BW222" s="57" t="s">
        <v>3476</v>
      </c>
      <c r="BX222" s="57">
        <v>120</v>
      </c>
      <c r="BY222" s="57" t="s">
        <v>3476</v>
      </c>
      <c r="BZ222" s="57" t="s">
        <v>3476</v>
      </c>
      <c r="CA222" s="57" t="s">
        <v>3476</v>
      </c>
      <c r="CB222" s="57" t="s">
        <v>3476</v>
      </c>
      <c r="CC222" s="57" t="s">
        <v>3476</v>
      </c>
      <c r="CD222" s="57" t="s">
        <v>3476</v>
      </c>
    </row>
    <row r="223" spans="1:82">
      <c r="A223" s="57">
        <v>21039</v>
      </c>
      <c r="B223" s="57" t="s">
        <v>3476</v>
      </c>
      <c r="C223" s="57" t="s">
        <v>4144</v>
      </c>
      <c r="D223" s="57" t="s">
        <v>3476</v>
      </c>
      <c r="E223" s="57" t="s">
        <v>3730</v>
      </c>
      <c r="F223" s="57" t="s">
        <v>4145</v>
      </c>
      <c r="G223" s="57" t="s">
        <v>721</v>
      </c>
      <c r="H223" s="57" t="s">
        <v>2874</v>
      </c>
      <c r="I223" s="57">
        <v>112308</v>
      </c>
      <c r="J223" s="57" t="s">
        <v>3476</v>
      </c>
      <c r="K223" s="57" t="s">
        <v>3476</v>
      </c>
      <c r="L223" s="57" t="s">
        <v>3732</v>
      </c>
      <c r="M223" s="57" t="s">
        <v>4146</v>
      </c>
      <c r="N223" s="57" t="s">
        <v>4146</v>
      </c>
      <c r="O223" s="57" t="s">
        <v>3476</v>
      </c>
      <c r="P223" s="57" t="s">
        <v>3476</v>
      </c>
      <c r="Q223" s="57" t="s">
        <v>2874</v>
      </c>
      <c r="R223" s="57" t="s">
        <v>3781</v>
      </c>
      <c r="S223" s="57" t="s">
        <v>3782</v>
      </c>
      <c r="T223" s="57" t="s">
        <v>3736</v>
      </c>
      <c r="U223" s="57" t="s">
        <v>3476</v>
      </c>
      <c r="V223" s="57" t="s">
        <v>3469</v>
      </c>
      <c r="W223" s="57" t="s">
        <v>3476</v>
      </c>
      <c r="X223" s="57" t="s">
        <v>4021</v>
      </c>
      <c r="Y223" s="57" t="s">
        <v>3738</v>
      </c>
      <c r="Z223" s="57" t="s">
        <v>4147</v>
      </c>
      <c r="AA223" s="57" t="s">
        <v>3733</v>
      </c>
      <c r="AB223" s="57" t="s">
        <v>3476</v>
      </c>
      <c r="AC223" s="57" t="s">
        <v>3741</v>
      </c>
      <c r="AD223" s="57" t="s">
        <v>3476</v>
      </c>
      <c r="AE223" s="57" t="s">
        <v>3476</v>
      </c>
      <c r="AF223" s="57" t="s">
        <v>3476</v>
      </c>
      <c r="AG223" s="57" t="s">
        <v>3476</v>
      </c>
      <c r="AH223" s="57" t="s">
        <v>3476</v>
      </c>
      <c r="AI223" s="57" t="s">
        <v>3476</v>
      </c>
      <c r="AJ223" s="57" t="s">
        <v>3476</v>
      </c>
      <c r="AK223" s="57" t="s">
        <v>1292</v>
      </c>
      <c r="AL223" s="57" t="s">
        <v>4148</v>
      </c>
      <c r="AM223" s="57" t="s">
        <v>3476</v>
      </c>
      <c r="AN223" s="57" t="s">
        <v>3830</v>
      </c>
      <c r="AO223" s="57" t="s">
        <v>3476</v>
      </c>
      <c r="AP223" s="58">
        <v>45768.6981134259</v>
      </c>
      <c r="AQ223" s="57" t="s">
        <v>3476</v>
      </c>
      <c r="AR223" s="57" t="s">
        <v>3806</v>
      </c>
      <c r="AS223" s="57" t="s">
        <v>3502</v>
      </c>
      <c r="AT223" s="57" t="s">
        <v>3745</v>
      </c>
      <c r="AU223" s="57" t="s">
        <v>4149</v>
      </c>
      <c r="AV223" s="57" t="s">
        <v>3476</v>
      </c>
      <c r="AW223" s="58">
        <v>45701.6948148148</v>
      </c>
      <c r="AX223" s="57" t="s">
        <v>4148</v>
      </c>
      <c r="AY223" s="57" t="s">
        <v>3747</v>
      </c>
      <c r="AZ223" s="57" t="s">
        <v>3476</v>
      </c>
      <c r="BA223" s="57" t="s">
        <v>3476</v>
      </c>
      <c r="BB223" s="57" t="s">
        <v>3476</v>
      </c>
      <c r="BC223" s="57" t="s">
        <v>3791</v>
      </c>
      <c r="BD223" s="57" t="s">
        <v>3659</v>
      </c>
      <c r="BE223" s="57" t="s">
        <v>4150</v>
      </c>
      <c r="BF223" s="57" t="s">
        <v>3749</v>
      </c>
      <c r="BG223" s="57" t="s">
        <v>3476</v>
      </c>
      <c r="BH223" s="57" t="s">
        <v>3476</v>
      </c>
      <c r="BI223" s="57" t="s">
        <v>2809</v>
      </c>
      <c r="BJ223" s="57" t="s">
        <v>3476</v>
      </c>
      <c r="BK223" s="57" t="s">
        <v>3476</v>
      </c>
      <c r="BL223" s="57">
        <v>3431127</v>
      </c>
      <c r="BM223" s="57" t="s">
        <v>4151</v>
      </c>
      <c r="BN223" s="57" t="s">
        <v>3476</v>
      </c>
      <c r="BO223" s="57">
        <v>2580</v>
      </c>
      <c r="BP223" s="57" t="s">
        <v>3810</v>
      </c>
      <c r="BQ223" s="57" t="s">
        <v>3476</v>
      </c>
      <c r="BR223" s="57" t="s">
        <v>4152</v>
      </c>
      <c r="BS223" s="57" t="s">
        <v>1292</v>
      </c>
      <c r="BT223" s="57" t="s">
        <v>3476</v>
      </c>
      <c r="BU223" s="57" t="s">
        <v>3476</v>
      </c>
      <c r="BV223" s="57" t="s">
        <v>3753</v>
      </c>
      <c r="BW223" s="57" t="s">
        <v>3476</v>
      </c>
      <c r="BX223" s="57">
        <v>2580</v>
      </c>
      <c r="BY223" s="57" t="s">
        <v>3476</v>
      </c>
      <c r="BZ223" s="57" t="s">
        <v>3476</v>
      </c>
      <c r="CA223" s="57" t="s">
        <v>3476</v>
      </c>
      <c r="CB223" s="57" t="s">
        <v>3476</v>
      </c>
      <c r="CC223" s="57" t="s">
        <v>3476</v>
      </c>
      <c r="CD223" s="57" t="s">
        <v>3476</v>
      </c>
    </row>
    <row r="224" spans="1:82">
      <c r="A224" s="57">
        <v>21040</v>
      </c>
      <c r="B224" s="57" t="s">
        <v>3476</v>
      </c>
      <c r="C224" s="57" t="s">
        <v>4144</v>
      </c>
      <c r="D224" s="57" t="s">
        <v>3476</v>
      </c>
      <c r="E224" s="57" t="s">
        <v>3730</v>
      </c>
      <c r="F224" s="57" t="s">
        <v>4145</v>
      </c>
      <c r="G224" s="57" t="s">
        <v>721</v>
      </c>
      <c r="H224" s="57" t="s">
        <v>2874</v>
      </c>
      <c r="I224" s="57">
        <v>112308</v>
      </c>
      <c r="J224" s="57" t="s">
        <v>3476</v>
      </c>
      <c r="K224" s="57" t="s">
        <v>3476</v>
      </c>
      <c r="L224" s="57" t="s">
        <v>3732</v>
      </c>
      <c r="M224" s="57" t="s">
        <v>4146</v>
      </c>
      <c r="N224" s="57" t="s">
        <v>4146</v>
      </c>
      <c r="O224" s="57" t="s">
        <v>3476</v>
      </c>
      <c r="P224" s="57" t="s">
        <v>3476</v>
      </c>
      <c r="Q224" s="57" t="s">
        <v>2874</v>
      </c>
      <c r="R224" s="57" t="s">
        <v>3781</v>
      </c>
      <c r="S224" s="57" t="s">
        <v>3782</v>
      </c>
      <c r="T224" s="57" t="s">
        <v>3736</v>
      </c>
      <c r="U224" s="57" t="s">
        <v>3476</v>
      </c>
      <c r="V224" s="57" t="s">
        <v>3469</v>
      </c>
      <c r="W224" s="57" t="s">
        <v>3476</v>
      </c>
      <c r="X224" s="57" t="s">
        <v>4021</v>
      </c>
      <c r="Y224" s="57" t="s">
        <v>3738</v>
      </c>
      <c r="Z224" s="57" t="s">
        <v>4147</v>
      </c>
      <c r="AA224" s="57" t="s">
        <v>3733</v>
      </c>
      <c r="AB224" s="57" t="s">
        <v>3476</v>
      </c>
      <c r="AC224" s="57" t="s">
        <v>3741</v>
      </c>
      <c r="AD224" s="57" t="s">
        <v>3476</v>
      </c>
      <c r="AE224" s="57" t="s">
        <v>3476</v>
      </c>
      <c r="AF224" s="57" t="s">
        <v>3476</v>
      </c>
      <c r="AG224" s="57" t="s">
        <v>3476</v>
      </c>
      <c r="AH224" s="57" t="s">
        <v>3476</v>
      </c>
      <c r="AI224" s="57" t="s">
        <v>3476</v>
      </c>
      <c r="AJ224" s="57" t="s">
        <v>3476</v>
      </c>
      <c r="AK224" s="57" t="s">
        <v>1292</v>
      </c>
      <c r="AL224" s="57" t="s">
        <v>4148</v>
      </c>
      <c r="AM224" s="57" t="s">
        <v>3476</v>
      </c>
      <c r="AN224" s="57" t="s">
        <v>3830</v>
      </c>
      <c r="AO224" s="57" t="s">
        <v>3476</v>
      </c>
      <c r="AP224" s="58">
        <v>45768.6981134259</v>
      </c>
      <c r="AQ224" s="57" t="s">
        <v>3476</v>
      </c>
      <c r="AR224" s="57" t="s">
        <v>3806</v>
      </c>
      <c r="AS224" s="57" t="s">
        <v>3502</v>
      </c>
      <c r="AT224" s="57" t="s">
        <v>3745</v>
      </c>
      <c r="AU224" s="57" t="s">
        <v>4149</v>
      </c>
      <c r="AV224" s="57" t="s">
        <v>3476</v>
      </c>
      <c r="AW224" s="58">
        <v>45701.6948148148</v>
      </c>
      <c r="AX224" s="57" t="s">
        <v>4148</v>
      </c>
      <c r="AY224" s="57" t="s">
        <v>3747</v>
      </c>
      <c r="AZ224" s="57" t="s">
        <v>3476</v>
      </c>
      <c r="BA224" s="57" t="s">
        <v>3476</v>
      </c>
      <c r="BB224" s="57" t="s">
        <v>3476</v>
      </c>
      <c r="BC224" s="57" t="s">
        <v>3791</v>
      </c>
      <c r="BD224" s="57" t="s">
        <v>3659</v>
      </c>
      <c r="BE224" s="57" t="s">
        <v>4150</v>
      </c>
      <c r="BF224" s="57" t="s">
        <v>3749</v>
      </c>
      <c r="BG224" s="57" t="s">
        <v>3476</v>
      </c>
      <c r="BH224" s="57" t="s">
        <v>3476</v>
      </c>
      <c r="BI224" s="57" t="s">
        <v>2809</v>
      </c>
      <c r="BJ224" s="57" t="s">
        <v>3476</v>
      </c>
      <c r="BK224" s="57" t="s">
        <v>3476</v>
      </c>
      <c r="BL224" s="57">
        <v>3431128</v>
      </c>
      <c r="BM224" s="57" t="s">
        <v>4151</v>
      </c>
      <c r="BN224" s="57" t="s">
        <v>3476</v>
      </c>
      <c r="BO224" s="57">
        <v>2280</v>
      </c>
      <c r="BP224" s="57" t="s">
        <v>3810</v>
      </c>
      <c r="BQ224" s="57" t="s">
        <v>3476</v>
      </c>
      <c r="BR224" s="57" t="s">
        <v>4152</v>
      </c>
      <c r="BS224" s="57" t="s">
        <v>1292</v>
      </c>
      <c r="BT224" s="57" t="s">
        <v>3476</v>
      </c>
      <c r="BU224" s="57" t="s">
        <v>3476</v>
      </c>
      <c r="BV224" s="57" t="s">
        <v>3753</v>
      </c>
      <c r="BW224" s="57" t="s">
        <v>3476</v>
      </c>
      <c r="BX224" s="57">
        <v>2280</v>
      </c>
      <c r="BY224" s="57" t="s">
        <v>3476</v>
      </c>
      <c r="BZ224" s="57" t="s">
        <v>3476</v>
      </c>
      <c r="CA224" s="57" t="s">
        <v>3476</v>
      </c>
      <c r="CB224" s="57" t="s">
        <v>3476</v>
      </c>
      <c r="CC224" s="57" t="s">
        <v>3476</v>
      </c>
      <c r="CD224" s="57" t="s">
        <v>3476</v>
      </c>
    </row>
    <row r="225" spans="1:82">
      <c r="A225" s="57">
        <v>21041</v>
      </c>
      <c r="B225" s="57" t="s">
        <v>3476</v>
      </c>
      <c r="C225" s="57" t="s">
        <v>4144</v>
      </c>
      <c r="D225" s="57" t="s">
        <v>3476</v>
      </c>
      <c r="E225" s="57" t="s">
        <v>3730</v>
      </c>
      <c r="F225" s="57" t="s">
        <v>4145</v>
      </c>
      <c r="G225" s="57" t="s">
        <v>721</v>
      </c>
      <c r="H225" s="57" t="s">
        <v>2874</v>
      </c>
      <c r="I225" s="57">
        <v>112308</v>
      </c>
      <c r="J225" s="57" t="s">
        <v>3476</v>
      </c>
      <c r="K225" s="57" t="s">
        <v>3476</v>
      </c>
      <c r="L225" s="57" t="s">
        <v>3732</v>
      </c>
      <c r="M225" s="57" t="s">
        <v>4146</v>
      </c>
      <c r="N225" s="57" t="s">
        <v>4146</v>
      </c>
      <c r="O225" s="57" t="s">
        <v>3476</v>
      </c>
      <c r="P225" s="57" t="s">
        <v>3476</v>
      </c>
      <c r="Q225" s="57" t="s">
        <v>2874</v>
      </c>
      <c r="R225" s="57" t="s">
        <v>3781</v>
      </c>
      <c r="S225" s="57" t="s">
        <v>3782</v>
      </c>
      <c r="T225" s="57" t="s">
        <v>3736</v>
      </c>
      <c r="U225" s="57" t="s">
        <v>3476</v>
      </c>
      <c r="V225" s="57" t="s">
        <v>3469</v>
      </c>
      <c r="W225" s="57" t="s">
        <v>3476</v>
      </c>
      <c r="X225" s="57" t="s">
        <v>4021</v>
      </c>
      <c r="Y225" s="57" t="s">
        <v>3738</v>
      </c>
      <c r="Z225" s="57" t="s">
        <v>4147</v>
      </c>
      <c r="AA225" s="57" t="s">
        <v>3733</v>
      </c>
      <c r="AB225" s="57" t="s">
        <v>3476</v>
      </c>
      <c r="AC225" s="57" t="s">
        <v>3741</v>
      </c>
      <c r="AD225" s="57" t="s">
        <v>3476</v>
      </c>
      <c r="AE225" s="57" t="s">
        <v>3476</v>
      </c>
      <c r="AF225" s="57" t="s">
        <v>3476</v>
      </c>
      <c r="AG225" s="57" t="s">
        <v>3476</v>
      </c>
      <c r="AH225" s="57" t="s">
        <v>3476</v>
      </c>
      <c r="AI225" s="57" t="s">
        <v>3476</v>
      </c>
      <c r="AJ225" s="57" t="s">
        <v>3476</v>
      </c>
      <c r="AK225" s="57" t="s">
        <v>1292</v>
      </c>
      <c r="AL225" s="57" t="s">
        <v>4148</v>
      </c>
      <c r="AM225" s="57" t="s">
        <v>3476</v>
      </c>
      <c r="AN225" s="57" t="s">
        <v>3830</v>
      </c>
      <c r="AO225" s="57" t="s">
        <v>3476</v>
      </c>
      <c r="AP225" s="58">
        <v>45768.6981134259</v>
      </c>
      <c r="AQ225" s="57" t="s">
        <v>3476</v>
      </c>
      <c r="AR225" s="57" t="s">
        <v>3806</v>
      </c>
      <c r="AS225" s="57" t="s">
        <v>3502</v>
      </c>
      <c r="AT225" s="57" t="s">
        <v>3745</v>
      </c>
      <c r="AU225" s="57" t="s">
        <v>4149</v>
      </c>
      <c r="AV225" s="57" t="s">
        <v>3476</v>
      </c>
      <c r="AW225" s="58">
        <v>45701.6948148148</v>
      </c>
      <c r="AX225" s="57" t="s">
        <v>4148</v>
      </c>
      <c r="AY225" s="57" t="s">
        <v>3747</v>
      </c>
      <c r="AZ225" s="57" t="s">
        <v>3476</v>
      </c>
      <c r="BA225" s="57" t="s">
        <v>3476</v>
      </c>
      <c r="BB225" s="57" t="s">
        <v>3476</v>
      </c>
      <c r="BC225" s="57" t="s">
        <v>3791</v>
      </c>
      <c r="BD225" s="57" t="s">
        <v>3659</v>
      </c>
      <c r="BE225" s="57" t="s">
        <v>4150</v>
      </c>
      <c r="BF225" s="57" t="s">
        <v>3749</v>
      </c>
      <c r="BG225" s="57" t="s">
        <v>3476</v>
      </c>
      <c r="BH225" s="57" t="s">
        <v>3476</v>
      </c>
      <c r="BI225" s="57" t="s">
        <v>2809</v>
      </c>
      <c r="BJ225" s="57" t="s">
        <v>3476</v>
      </c>
      <c r="BK225" s="57" t="s">
        <v>3476</v>
      </c>
      <c r="BL225" s="57">
        <v>3431129</v>
      </c>
      <c r="BM225" s="57" t="s">
        <v>4151</v>
      </c>
      <c r="BN225" s="57" t="s">
        <v>3476</v>
      </c>
      <c r="BO225" s="57">
        <v>168</v>
      </c>
      <c r="BP225" s="57" t="s">
        <v>3810</v>
      </c>
      <c r="BQ225" s="57" t="s">
        <v>3476</v>
      </c>
      <c r="BR225" s="57" t="s">
        <v>4152</v>
      </c>
      <c r="BS225" s="57" t="s">
        <v>1292</v>
      </c>
      <c r="BT225" s="57" t="s">
        <v>3476</v>
      </c>
      <c r="BU225" s="57" t="s">
        <v>3476</v>
      </c>
      <c r="BV225" s="57" t="s">
        <v>3753</v>
      </c>
      <c r="BW225" s="57" t="s">
        <v>3476</v>
      </c>
      <c r="BX225" s="57">
        <v>168</v>
      </c>
      <c r="BY225" s="57" t="s">
        <v>3476</v>
      </c>
      <c r="BZ225" s="57" t="s">
        <v>3476</v>
      </c>
      <c r="CA225" s="57" t="s">
        <v>3476</v>
      </c>
      <c r="CB225" s="57" t="s">
        <v>3476</v>
      </c>
      <c r="CC225" s="57" t="s">
        <v>3476</v>
      </c>
      <c r="CD225" s="57" t="s">
        <v>3476</v>
      </c>
    </row>
    <row r="226" spans="1:82">
      <c r="A226" s="57">
        <v>21042</v>
      </c>
      <c r="B226" s="57" t="s">
        <v>3476</v>
      </c>
      <c r="C226" s="57" t="s">
        <v>4144</v>
      </c>
      <c r="D226" s="57" t="s">
        <v>3476</v>
      </c>
      <c r="E226" s="57" t="s">
        <v>3730</v>
      </c>
      <c r="F226" s="57" t="s">
        <v>4145</v>
      </c>
      <c r="G226" s="57" t="s">
        <v>721</v>
      </c>
      <c r="H226" s="57" t="s">
        <v>2874</v>
      </c>
      <c r="I226" s="57">
        <v>112308</v>
      </c>
      <c r="J226" s="57" t="s">
        <v>3476</v>
      </c>
      <c r="K226" s="57" t="s">
        <v>3476</v>
      </c>
      <c r="L226" s="57" t="s">
        <v>3732</v>
      </c>
      <c r="M226" s="57" t="s">
        <v>4146</v>
      </c>
      <c r="N226" s="57" t="s">
        <v>4146</v>
      </c>
      <c r="O226" s="57" t="s">
        <v>3476</v>
      </c>
      <c r="P226" s="57" t="s">
        <v>3476</v>
      </c>
      <c r="Q226" s="57" t="s">
        <v>2874</v>
      </c>
      <c r="R226" s="57" t="s">
        <v>3781</v>
      </c>
      <c r="S226" s="57" t="s">
        <v>3782</v>
      </c>
      <c r="T226" s="57" t="s">
        <v>3736</v>
      </c>
      <c r="U226" s="57" t="s">
        <v>3476</v>
      </c>
      <c r="V226" s="57" t="s">
        <v>3469</v>
      </c>
      <c r="W226" s="57" t="s">
        <v>3476</v>
      </c>
      <c r="X226" s="57" t="s">
        <v>4021</v>
      </c>
      <c r="Y226" s="57" t="s">
        <v>3738</v>
      </c>
      <c r="Z226" s="57" t="s">
        <v>4147</v>
      </c>
      <c r="AA226" s="57" t="s">
        <v>3733</v>
      </c>
      <c r="AB226" s="57" t="s">
        <v>3476</v>
      </c>
      <c r="AC226" s="57" t="s">
        <v>3741</v>
      </c>
      <c r="AD226" s="57" t="s">
        <v>3476</v>
      </c>
      <c r="AE226" s="57" t="s">
        <v>3476</v>
      </c>
      <c r="AF226" s="57" t="s">
        <v>3476</v>
      </c>
      <c r="AG226" s="57" t="s">
        <v>3476</v>
      </c>
      <c r="AH226" s="57" t="s">
        <v>3476</v>
      </c>
      <c r="AI226" s="57" t="s">
        <v>3476</v>
      </c>
      <c r="AJ226" s="57" t="s">
        <v>3476</v>
      </c>
      <c r="AK226" s="57" t="s">
        <v>1292</v>
      </c>
      <c r="AL226" s="57" t="s">
        <v>4148</v>
      </c>
      <c r="AM226" s="57" t="s">
        <v>3476</v>
      </c>
      <c r="AN226" s="57" t="s">
        <v>3830</v>
      </c>
      <c r="AO226" s="57" t="s">
        <v>3476</v>
      </c>
      <c r="AP226" s="58">
        <v>45768.6981134259</v>
      </c>
      <c r="AQ226" s="57" t="s">
        <v>3476</v>
      </c>
      <c r="AR226" s="57" t="s">
        <v>3806</v>
      </c>
      <c r="AS226" s="57" t="s">
        <v>3502</v>
      </c>
      <c r="AT226" s="57" t="s">
        <v>3745</v>
      </c>
      <c r="AU226" s="57" t="s">
        <v>4149</v>
      </c>
      <c r="AV226" s="57" t="s">
        <v>3476</v>
      </c>
      <c r="AW226" s="58">
        <v>45701.6948148148</v>
      </c>
      <c r="AX226" s="57" t="s">
        <v>4148</v>
      </c>
      <c r="AY226" s="57" t="s">
        <v>3747</v>
      </c>
      <c r="AZ226" s="57" t="s">
        <v>3476</v>
      </c>
      <c r="BA226" s="57" t="s">
        <v>3476</v>
      </c>
      <c r="BB226" s="57" t="s">
        <v>3476</v>
      </c>
      <c r="BC226" s="57" t="s">
        <v>3791</v>
      </c>
      <c r="BD226" s="57" t="s">
        <v>3659</v>
      </c>
      <c r="BE226" s="57" t="s">
        <v>4150</v>
      </c>
      <c r="BF226" s="57" t="s">
        <v>3749</v>
      </c>
      <c r="BG226" s="57" t="s">
        <v>3476</v>
      </c>
      <c r="BH226" s="57" t="s">
        <v>3476</v>
      </c>
      <c r="BI226" s="57" t="s">
        <v>2809</v>
      </c>
      <c r="BJ226" s="57" t="s">
        <v>3476</v>
      </c>
      <c r="BK226" s="57" t="s">
        <v>3476</v>
      </c>
      <c r="BL226" s="57">
        <v>3431130</v>
      </c>
      <c r="BM226" s="57" t="s">
        <v>4151</v>
      </c>
      <c r="BN226" s="57" t="s">
        <v>3476</v>
      </c>
      <c r="BO226" s="57">
        <v>56</v>
      </c>
      <c r="BP226" s="57" t="s">
        <v>3810</v>
      </c>
      <c r="BQ226" s="57" t="s">
        <v>3476</v>
      </c>
      <c r="BR226" s="57" t="s">
        <v>4152</v>
      </c>
      <c r="BS226" s="57" t="s">
        <v>1292</v>
      </c>
      <c r="BT226" s="57" t="s">
        <v>3476</v>
      </c>
      <c r="BU226" s="57" t="s">
        <v>3476</v>
      </c>
      <c r="BV226" s="57" t="s">
        <v>3753</v>
      </c>
      <c r="BW226" s="57" t="s">
        <v>3476</v>
      </c>
      <c r="BX226" s="57">
        <v>56</v>
      </c>
      <c r="BY226" s="57" t="s">
        <v>3476</v>
      </c>
      <c r="BZ226" s="57" t="s">
        <v>3476</v>
      </c>
      <c r="CA226" s="57" t="s">
        <v>3476</v>
      </c>
      <c r="CB226" s="57" t="s">
        <v>3476</v>
      </c>
      <c r="CC226" s="57" t="s">
        <v>3476</v>
      </c>
      <c r="CD226" s="57" t="s">
        <v>3476</v>
      </c>
    </row>
    <row r="227" spans="1:82">
      <c r="A227" s="57">
        <v>21043</v>
      </c>
      <c r="B227" s="57" t="s">
        <v>3476</v>
      </c>
      <c r="C227" s="57" t="s">
        <v>4144</v>
      </c>
      <c r="D227" s="57" t="s">
        <v>3476</v>
      </c>
      <c r="E227" s="57" t="s">
        <v>3730</v>
      </c>
      <c r="F227" s="57" t="s">
        <v>4145</v>
      </c>
      <c r="G227" s="57" t="s">
        <v>721</v>
      </c>
      <c r="H227" s="57" t="s">
        <v>2874</v>
      </c>
      <c r="I227" s="57">
        <v>112308</v>
      </c>
      <c r="J227" s="57" t="s">
        <v>3476</v>
      </c>
      <c r="K227" s="57" t="s">
        <v>3476</v>
      </c>
      <c r="L227" s="57" t="s">
        <v>3732</v>
      </c>
      <c r="M227" s="57" t="s">
        <v>4146</v>
      </c>
      <c r="N227" s="57" t="s">
        <v>4146</v>
      </c>
      <c r="O227" s="57" t="s">
        <v>3476</v>
      </c>
      <c r="P227" s="57" t="s">
        <v>3476</v>
      </c>
      <c r="Q227" s="57" t="s">
        <v>2874</v>
      </c>
      <c r="R227" s="57" t="s">
        <v>3781</v>
      </c>
      <c r="S227" s="57" t="s">
        <v>3782</v>
      </c>
      <c r="T227" s="57" t="s">
        <v>3736</v>
      </c>
      <c r="U227" s="57" t="s">
        <v>3476</v>
      </c>
      <c r="V227" s="57" t="s">
        <v>3469</v>
      </c>
      <c r="W227" s="57" t="s">
        <v>3476</v>
      </c>
      <c r="X227" s="57" t="s">
        <v>4021</v>
      </c>
      <c r="Y227" s="57" t="s">
        <v>3738</v>
      </c>
      <c r="Z227" s="57" t="s">
        <v>4147</v>
      </c>
      <c r="AA227" s="57" t="s">
        <v>3733</v>
      </c>
      <c r="AB227" s="57" t="s">
        <v>3476</v>
      </c>
      <c r="AC227" s="57" t="s">
        <v>3741</v>
      </c>
      <c r="AD227" s="57" t="s">
        <v>3476</v>
      </c>
      <c r="AE227" s="57" t="s">
        <v>3476</v>
      </c>
      <c r="AF227" s="57" t="s">
        <v>3476</v>
      </c>
      <c r="AG227" s="57" t="s">
        <v>3476</v>
      </c>
      <c r="AH227" s="57" t="s">
        <v>3476</v>
      </c>
      <c r="AI227" s="57" t="s">
        <v>3476</v>
      </c>
      <c r="AJ227" s="57" t="s">
        <v>3476</v>
      </c>
      <c r="AK227" s="57" t="s">
        <v>1292</v>
      </c>
      <c r="AL227" s="57" t="s">
        <v>4148</v>
      </c>
      <c r="AM227" s="57" t="s">
        <v>3476</v>
      </c>
      <c r="AN227" s="57" t="s">
        <v>3830</v>
      </c>
      <c r="AO227" s="57" t="s">
        <v>3476</v>
      </c>
      <c r="AP227" s="58">
        <v>45768.6981134259</v>
      </c>
      <c r="AQ227" s="57" t="s">
        <v>3476</v>
      </c>
      <c r="AR227" s="57" t="s">
        <v>3806</v>
      </c>
      <c r="AS227" s="57" t="s">
        <v>3502</v>
      </c>
      <c r="AT227" s="57" t="s">
        <v>3745</v>
      </c>
      <c r="AU227" s="57" t="s">
        <v>4149</v>
      </c>
      <c r="AV227" s="57" t="s">
        <v>3476</v>
      </c>
      <c r="AW227" s="58">
        <v>45701.6948148148</v>
      </c>
      <c r="AX227" s="57" t="s">
        <v>4148</v>
      </c>
      <c r="AY227" s="57" t="s">
        <v>3747</v>
      </c>
      <c r="AZ227" s="57" t="s">
        <v>3476</v>
      </c>
      <c r="BA227" s="57" t="s">
        <v>3476</v>
      </c>
      <c r="BB227" s="57" t="s">
        <v>3476</v>
      </c>
      <c r="BC227" s="57" t="s">
        <v>3791</v>
      </c>
      <c r="BD227" s="57" t="s">
        <v>3659</v>
      </c>
      <c r="BE227" s="57" t="s">
        <v>4150</v>
      </c>
      <c r="BF227" s="57" t="s">
        <v>3749</v>
      </c>
      <c r="BG227" s="57" t="s">
        <v>3476</v>
      </c>
      <c r="BH227" s="57" t="s">
        <v>3476</v>
      </c>
      <c r="BI227" s="57" t="s">
        <v>2809</v>
      </c>
      <c r="BJ227" s="57" t="s">
        <v>3476</v>
      </c>
      <c r="BK227" s="57" t="s">
        <v>3476</v>
      </c>
      <c r="BL227" s="57">
        <v>3431131</v>
      </c>
      <c r="BM227" s="57" t="s">
        <v>4151</v>
      </c>
      <c r="BN227" s="57" t="s">
        <v>3476</v>
      </c>
      <c r="BO227" s="57">
        <v>462</v>
      </c>
      <c r="BP227" s="57" t="s">
        <v>3810</v>
      </c>
      <c r="BQ227" s="57" t="s">
        <v>3476</v>
      </c>
      <c r="BR227" s="57" t="s">
        <v>4152</v>
      </c>
      <c r="BS227" s="57" t="s">
        <v>1292</v>
      </c>
      <c r="BT227" s="57" t="s">
        <v>3476</v>
      </c>
      <c r="BU227" s="57" t="s">
        <v>3476</v>
      </c>
      <c r="BV227" s="57" t="s">
        <v>3753</v>
      </c>
      <c r="BW227" s="57" t="s">
        <v>3476</v>
      </c>
      <c r="BX227" s="57">
        <v>462</v>
      </c>
      <c r="BY227" s="57" t="s">
        <v>3476</v>
      </c>
      <c r="BZ227" s="57" t="s">
        <v>3476</v>
      </c>
      <c r="CA227" s="57" t="s">
        <v>3476</v>
      </c>
      <c r="CB227" s="57" t="s">
        <v>3476</v>
      </c>
      <c r="CC227" s="57" t="s">
        <v>3476</v>
      </c>
      <c r="CD227" s="57" t="s">
        <v>3476</v>
      </c>
    </row>
    <row r="228" spans="1:82">
      <c r="A228" s="57">
        <v>21044</v>
      </c>
      <c r="B228" s="57" t="s">
        <v>3476</v>
      </c>
      <c r="C228" s="57" t="s">
        <v>4144</v>
      </c>
      <c r="D228" s="57" t="s">
        <v>3476</v>
      </c>
      <c r="E228" s="57" t="s">
        <v>3730</v>
      </c>
      <c r="F228" s="57" t="s">
        <v>4145</v>
      </c>
      <c r="G228" s="57" t="s">
        <v>721</v>
      </c>
      <c r="H228" s="57" t="s">
        <v>2874</v>
      </c>
      <c r="I228" s="57">
        <v>112308</v>
      </c>
      <c r="J228" s="57" t="s">
        <v>3476</v>
      </c>
      <c r="K228" s="57" t="s">
        <v>3476</v>
      </c>
      <c r="L228" s="57" t="s">
        <v>3732</v>
      </c>
      <c r="M228" s="57" t="s">
        <v>4146</v>
      </c>
      <c r="N228" s="57" t="s">
        <v>4146</v>
      </c>
      <c r="O228" s="57" t="s">
        <v>3476</v>
      </c>
      <c r="P228" s="57" t="s">
        <v>3476</v>
      </c>
      <c r="Q228" s="57" t="s">
        <v>2874</v>
      </c>
      <c r="R228" s="57" t="s">
        <v>3781</v>
      </c>
      <c r="S228" s="57" t="s">
        <v>3782</v>
      </c>
      <c r="T228" s="57" t="s">
        <v>3736</v>
      </c>
      <c r="U228" s="57" t="s">
        <v>3476</v>
      </c>
      <c r="V228" s="57" t="s">
        <v>3469</v>
      </c>
      <c r="W228" s="57" t="s">
        <v>3476</v>
      </c>
      <c r="X228" s="57" t="s">
        <v>4021</v>
      </c>
      <c r="Y228" s="57" t="s">
        <v>3738</v>
      </c>
      <c r="Z228" s="57" t="s">
        <v>4147</v>
      </c>
      <c r="AA228" s="57" t="s">
        <v>3733</v>
      </c>
      <c r="AB228" s="57" t="s">
        <v>3476</v>
      </c>
      <c r="AC228" s="57" t="s">
        <v>3741</v>
      </c>
      <c r="AD228" s="57" t="s">
        <v>3476</v>
      </c>
      <c r="AE228" s="57" t="s">
        <v>3476</v>
      </c>
      <c r="AF228" s="57" t="s">
        <v>3476</v>
      </c>
      <c r="AG228" s="57" t="s">
        <v>3476</v>
      </c>
      <c r="AH228" s="57" t="s">
        <v>3476</v>
      </c>
      <c r="AI228" s="57" t="s">
        <v>3476</v>
      </c>
      <c r="AJ228" s="57" t="s">
        <v>3476</v>
      </c>
      <c r="AK228" s="57" t="s">
        <v>1292</v>
      </c>
      <c r="AL228" s="57" t="s">
        <v>4148</v>
      </c>
      <c r="AM228" s="57" t="s">
        <v>3476</v>
      </c>
      <c r="AN228" s="57" t="s">
        <v>3830</v>
      </c>
      <c r="AO228" s="57" t="s">
        <v>3476</v>
      </c>
      <c r="AP228" s="58">
        <v>45768.6981134259</v>
      </c>
      <c r="AQ228" s="57" t="s">
        <v>3476</v>
      </c>
      <c r="AR228" s="57" t="s">
        <v>3806</v>
      </c>
      <c r="AS228" s="57" t="s">
        <v>3502</v>
      </c>
      <c r="AT228" s="57" t="s">
        <v>3745</v>
      </c>
      <c r="AU228" s="57" t="s">
        <v>4149</v>
      </c>
      <c r="AV228" s="57" t="s">
        <v>3476</v>
      </c>
      <c r="AW228" s="58">
        <v>45701.6948148148</v>
      </c>
      <c r="AX228" s="57" t="s">
        <v>4148</v>
      </c>
      <c r="AY228" s="57" t="s">
        <v>3747</v>
      </c>
      <c r="AZ228" s="57" t="s">
        <v>3476</v>
      </c>
      <c r="BA228" s="57" t="s">
        <v>3476</v>
      </c>
      <c r="BB228" s="57" t="s">
        <v>3476</v>
      </c>
      <c r="BC228" s="57" t="s">
        <v>3791</v>
      </c>
      <c r="BD228" s="57" t="s">
        <v>3659</v>
      </c>
      <c r="BE228" s="57" t="s">
        <v>4150</v>
      </c>
      <c r="BF228" s="57" t="s">
        <v>3749</v>
      </c>
      <c r="BG228" s="57" t="s">
        <v>3476</v>
      </c>
      <c r="BH228" s="57" t="s">
        <v>3476</v>
      </c>
      <c r="BI228" s="57" t="s">
        <v>2809</v>
      </c>
      <c r="BJ228" s="57" t="s">
        <v>3476</v>
      </c>
      <c r="BK228" s="57" t="s">
        <v>3476</v>
      </c>
      <c r="BL228" s="57">
        <v>3431132</v>
      </c>
      <c r="BM228" s="57" t="s">
        <v>4151</v>
      </c>
      <c r="BN228" s="57" t="s">
        <v>3476</v>
      </c>
      <c r="BO228" s="57">
        <v>2472</v>
      </c>
      <c r="BP228" s="57" t="s">
        <v>3810</v>
      </c>
      <c r="BQ228" s="57" t="s">
        <v>3476</v>
      </c>
      <c r="BR228" s="57" t="s">
        <v>4152</v>
      </c>
      <c r="BS228" s="57" t="s">
        <v>1292</v>
      </c>
      <c r="BT228" s="57" t="s">
        <v>3476</v>
      </c>
      <c r="BU228" s="57" t="s">
        <v>3476</v>
      </c>
      <c r="BV228" s="57" t="s">
        <v>3753</v>
      </c>
      <c r="BW228" s="57" t="s">
        <v>3476</v>
      </c>
      <c r="BX228" s="57">
        <v>2472</v>
      </c>
      <c r="BY228" s="57" t="s">
        <v>3476</v>
      </c>
      <c r="BZ228" s="57" t="s">
        <v>3476</v>
      </c>
      <c r="CA228" s="57" t="s">
        <v>3476</v>
      </c>
      <c r="CB228" s="57" t="s">
        <v>3476</v>
      </c>
      <c r="CC228" s="57" t="s">
        <v>3476</v>
      </c>
      <c r="CD228" s="57" t="s">
        <v>3476</v>
      </c>
    </row>
    <row r="229" spans="1:82">
      <c r="A229" s="57">
        <v>21045</v>
      </c>
      <c r="B229" s="57" t="s">
        <v>3476</v>
      </c>
      <c r="C229" s="57" t="s">
        <v>4144</v>
      </c>
      <c r="D229" s="57" t="s">
        <v>3476</v>
      </c>
      <c r="E229" s="57" t="s">
        <v>3730</v>
      </c>
      <c r="F229" s="57" t="s">
        <v>4145</v>
      </c>
      <c r="G229" s="57" t="s">
        <v>721</v>
      </c>
      <c r="H229" s="57" t="s">
        <v>2874</v>
      </c>
      <c r="I229" s="57">
        <v>112308</v>
      </c>
      <c r="J229" s="57" t="s">
        <v>3476</v>
      </c>
      <c r="K229" s="57" t="s">
        <v>3476</v>
      </c>
      <c r="L229" s="57" t="s">
        <v>3732</v>
      </c>
      <c r="M229" s="57" t="s">
        <v>4146</v>
      </c>
      <c r="N229" s="57" t="s">
        <v>4146</v>
      </c>
      <c r="O229" s="57" t="s">
        <v>3476</v>
      </c>
      <c r="P229" s="57" t="s">
        <v>3476</v>
      </c>
      <c r="Q229" s="57" t="s">
        <v>2874</v>
      </c>
      <c r="R229" s="57" t="s">
        <v>3781</v>
      </c>
      <c r="S229" s="57" t="s">
        <v>3782</v>
      </c>
      <c r="T229" s="57" t="s">
        <v>3736</v>
      </c>
      <c r="U229" s="57" t="s">
        <v>3476</v>
      </c>
      <c r="V229" s="57" t="s">
        <v>3469</v>
      </c>
      <c r="W229" s="57" t="s">
        <v>3476</v>
      </c>
      <c r="X229" s="57" t="s">
        <v>4021</v>
      </c>
      <c r="Y229" s="57" t="s">
        <v>3738</v>
      </c>
      <c r="Z229" s="57" t="s">
        <v>4147</v>
      </c>
      <c r="AA229" s="57" t="s">
        <v>3733</v>
      </c>
      <c r="AB229" s="57" t="s">
        <v>3476</v>
      </c>
      <c r="AC229" s="57" t="s">
        <v>3741</v>
      </c>
      <c r="AD229" s="57" t="s">
        <v>3476</v>
      </c>
      <c r="AE229" s="57" t="s">
        <v>3476</v>
      </c>
      <c r="AF229" s="57" t="s">
        <v>3476</v>
      </c>
      <c r="AG229" s="57" t="s">
        <v>3476</v>
      </c>
      <c r="AH229" s="57" t="s">
        <v>3476</v>
      </c>
      <c r="AI229" s="57" t="s">
        <v>3476</v>
      </c>
      <c r="AJ229" s="57" t="s">
        <v>3476</v>
      </c>
      <c r="AK229" s="57" t="s">
        <v>1292</v>
      </c>
      <c r="AL229" s="57" t="s">
        <v>4148</v>
      </c>
      <c r="AM229" s="57" t="s">
        <v>3476</v>
      </c>
      <c r="AN229" s="57" t="s">
        <v>3830</v>
      </c>
      <c r="AO229" s="57" t="s">
        <v>3476</v>
      </c>
      <c r="AP229" s="58">
        <v>45768.6981134259</v>
      </c>
      <c r="AQ229" s="57" t="s">
        <v>3476</v>
      </c>
      <c r="AR229" s="57" t="s">
        <v>3806</v>
      </c>
      <c r="AS229" s="57" t="s">
        <v>3502</v>
      </c>
      <c r="AT229" s="57" t="s">
        <v>3745</v>
      </c>
      <c r="AU229" s="57" t="s">
        <v>4149</v>
      </c>
      <c r="AV229" s="57" t="s">
        <v>3476</v>
      </c>
      <c r="AW229" s="58">
        <v>45701.6948148148</v>
      </c>
      <c r="AX229" s="57" t="s">
        <v>4148</v>
      </c>
      <c r="AY229" s="57" t="s">
        <v>3747</v>
      </c>
      <c r="AZ229" s="57" t="s">
        <v>3476</v>
      </c>
      <c r="BA229" s="57" t="s">
        <v>3476</v>
      </c>
      <c r="BB229" s="57" t="s">
        <v>3476</v>
      </c>
      <c r="BC229" s="57" t="s">
        <v>3791</v>
      </c>
      <c r="BD229" s="57" t="s">
        <v>3659</v>
      </c>
      <c r="BE229" s="57" t="s">
        <v>4150</v>
      </c>
      <c r="BF229" s="57" t="s">
        <v>3749</v>
      </c>
      <c r="BG229" s="57" t="s">
        <v>3476</v>
      </c>
      <c r="BH229" s="57" t="s">
        <v>3476</v>
      </c>
      <c r="BI229" s="57" t="s">
        <v>2809</v>
      </c>
      <c r="BJ229" s="57" t="s">
        <v>3476</v>
      </c>
      <c r="BK229" s="57" t="s">
        <v>3476</v>
      </c>
      <c r="BL229" s="57">
        <v>3431133</v>
      </c>
      <c r="BM229" s="57" t="s">
        <v>4151</v>
      </c>
      <c r="BN229" s="57" t="s">
        <v>3476</v>
      </c>
      <c r="BO229" s="57">
        <v>540</v>
      </c>
      <c r="BP229" s="57" t="s">
        <v>3810</v>
      </c>
      <c r="BQ229" s="57" t="s">
        <v>3476</v>
      </c>
      <c r="BR229" s="57" t="s">
        <v>4152</v>
      </c>
      <c r="BS229" s="57" t="s">
        <v>1292</v>
      </c>
      <c r="BT229" s="57" t="s">
        <v>3476</v>
      </c>
      <c r="BU229" s="57" t="s">
        <v>3476</v>
      </c>
      <c r="BV229" s="57" t="s">
        <v>3753</v>
      </c>
      <c r="BW229" s="57" t="s">
        <v>3476</v>
      </c>
      <c r="BX229" s="57">
        <v>540</v>
      </c>
      <c r="BY229" s="57" t="s">
        <v>3476</v>
      </c>
      <c r="BZ229" s="57" t="s">
        <v>3476</v>
      </c>
      <c r="CA229" s="57" t="s">
        <v>3476</v>
      </c>
      <c r="CB229" s="57" t="s">
        <v>3476</v>
      </c>
      <c r="CC229" s="57" t="s">
        <v>3476</v>
      </c>
      <c r="CD229" s="57" t="s">
        <v>3476</v>
      </c>
    </row>
    <row r="230" spans="1:82">
      <c r="A230" s="57">
        <v>21046</v>
      </c>
      <c r="B230" s="57" t="s">
        <v>3476</v>
      </c>
      <c r="C230" s="57" t="s">
        <v>4144</v>
      </c>
      <c r="D230" s="57" t="s">
        <v>3476</v>
      </c>
      <c r="E230" s="57" t="s">
        <v>3730</v>
      </c>
      <c r="F230" s="57" t="s">
        <v>4145</v>
      </c>
      <c r="G230" s="57" t="s">
        <v>721</v>
      </c>
      <c r="H230" s="57" t="s">
        <v>2874</v>
      </c>
      <c r="I230" s="57">
        <v>112308</v>
      </c>
      <c r="J230" s="57" t="s">
        <v>3476</v>
      </c>
      <c r="K230" s="57" t="s">
        <v>3476</v>
      </c>
      <c r="L230" s="57" t="s">
        <v>3732</v>
      </c>
      <c r="M230" s="57" t="s">
        <v>4146</v>
      </c>
      <c r="N230" s="57" t="s">
        <v>4146</v>
      </c>
      <c r="O230" s="57" t="s">
        <v>3476</v>
      </c>
      <c r="P230" s="57" t="s">
        <v>3476</v>
      </c>
      <c r="Q230" s="57" t="s">
        <v>2874</v>
      </c>
      <c r="R230" s="57" t="s">
        <v>3781</v>
      </c>
      <c r="S230" s="57" t="s">
        <v>3782</v>
      </c>
      <c r="T230" s="57" t="s">
        <v>3736</v>
      </c>
      <c r="U230" s="57" t="s">
        <v>3476</v>
      </c>
      <c r="V230" s="57" t="s">
        <v>3469</v>
      </c>
      <c r="W230" s="57" t="s">
        <v>3476</v>
      </c>
      <c r="X230" s="57" t="s">
        <v>4021</v>
      </c>
      <c r="Y230" s="57" t="s">
        <v>3738</v>
      </c>
      <c r="Z230" s="57" t="s">
        <v>4147</v>
      </c>
      <c r="AA230" s="57" t="s">
        <v>3733</v>
      </c>
      <c r="AB230" s="57" t="s">
        <v>3476</v>
      </c>
      <c r="AC230" s="57" t="s">
        <v>3741</v>
      </c>
      <c r="AD230" s="57" t="s">
        <v>3476</v>
      </c>
      <c r="AE230" s="57" t="s">
        <v>3476</v>
      </c>
      <c r="AF230" s="57" t="s">
        <v>3476</v>
      </c>
      <c r="AG230" s="57" t="s">
        <v>3476</v>
      </c>
      <c r="AH230" s="57" t="s">
        <v>3476</v>
      </c>
      <c r="AI230" s="57" t="s">
        <v>3476</v>
      </c>
      <c r="AJ230" s="57" t="s">
        <v>3476</v>
      </c>
      <c r="AK230" s="57" t="s">
        <v>1292</v>
      </c>
      <c r="AL230" s="57" t="s">
        <v>4148</v>
      </c>
      <c r="AM230" s="57" t="s">
        <v>3476</v>
      </c>
      <c r="AN230" s="57" t="s">
        <v>3830</v>
      </c>
      <c r="AO230" s="57" t="s">
        <v>3476</v>
      </c>
      <c r="AP230" s="58">
        <v>45768.6981134259</v>
      </c>
      <c r="AQ230" s="57" t="s">
        <v>3476</v>
      </c>
      <c r="AR230" s="57" t="s">
        <v>3806</v>
      </c>
      <c r="AS230" s="57" t="s">
        <v>3502</v>
      </c>
      <c r="AT230" s="57" t="s">
        <v>3745</v>
      </c>
      <c r="AU230" s="57" t="s">
        <v>4149</v>
      </c>
      <c r="AV230" s="57" t="s">
        <v>3476</v>
      </c>
      <c r="AW230" s="58">
        <v>45701.6948148148</v>
      </c>
      <c r="AX230" s="57" t="s">
        <v>4148</v>
      </c>
      <c r="AY230" s="57" t="s">
        <v>3747</v>
      </c>
      <c r="AZ230" s="57" t="s">
        <v>3476</v>
      </c>
      <c r="BA230" s="57" t="s">
        <v>3476</v>
      </c>
      <c r="BB230" s="57" t="s">
        <v>3476</v>
      </c>
      <c r="BC230" s="57" t="s">
        <v>3791</v>
      </c>
      <c r="BD230" s="57" t="s">
        <v>3659</v>
      </c>
      <c r="BE230" s="57" t="s">
        <v>4150</v>
      </c>
      <c r="BF230" s="57" t="s">
        <v>3749</v>
      </c>
      <c r="BG230" s="57" t="s">
        <v>3476</v>
      </c>
      <c r="BH230" s="57" t="s">
        <v>3476</v>
      </c>
      <c r="BI230" s="57" t="s">
        <v>2809</v>
      </c>
      <c r="BJ230" s="57" t="s">
        <v>3476</v>
      </c>
      <c r="BK230" s="57" t="s">
        <v>3476</v>
      </c>
      <c r="BL230" s="57">
        <v>3431134</v>
      </c>
      <c r="BM230" s="57" t="s">
        <v>4151</v>
      </c>
      <c r="BN230" s="57" t="s">
        <v>3476</v>
      </c>
      <c r="BO230" s="57">
        <v>1150</v>
      </c>
      <c r="BP230" s="57" t="s">
        <v>3810</v>
      </c>
      <c r="BQ230" s="57" t="s">
        <v>3476</v>
      </c>
      <c r="BR230" s="57" t="s">
        <v>4152</v>
      </c>
      <c r="BS230" s="57" t="s">
        <v>1292</v>
      </c>
      <c r="BT230" s="57" t="s">
        <v>3476</v>
      </c>
      <c r="BU230" s="57" t="s">
        <v>3476</v>
      </c>
      <c r="BV230" s="57" t="s">
        <v>3753</v>
      </c>
      <c r="BW230" s="57" t="s">
        <v>3476</v>
      </c>
      <c r="BX230" s="57">
        <v>1150</v>
      </c>
      <c r="BY230" s="57" t="s">
        <v>3476</v>
      </c>
      <c r="BZ230" s="57" t="s">
        <v>3476</v>
      </c>
      <c r="CA230" s="57" t="s">
        <v>3476</v>
      </c>
      <c r="CB230" s="57" t="s">
        <v>3476</v>
      </c>
      <c r="CC230" s="57" t="s">
        <v>3476</v>
      </c>
      <c r="CD230" s="57" t="s">
        <v>3476</v>
      </c>
    </row>
    <row r="231" spans="1:82">
      <c r="A231" s="57">
        <v>21047</v>
      </c>
      <c r="B231" s="57" t="s">
        <v>3476</v>
      </c>
      <c r="C231" s="57" t="s">
        <v>4144</v>
      </c>
      <c r="D231" s="57" t="s">
        <v>3476</v>
      </c>
      <c r="E231" s="57" t="s">
        <v>3730</v>
      </c>
      <c r="F231" s="57" t="s">
        <v>4145</v>
      </c>
      <c r="G231" s="57" t="s">
        <v>721</v>
      </c>
      <c r="H231" s="57" t="s">
        <v>2874</v>
      </c>
      <c r="I231" s="57">
        <v>112308</v>
      </c>
      <c r="J231" s="57" t="s">
        <v>3476</v>
      </c>
      <c r="K231" s="57" t="s">
        <v>3476</v>
      </c>
      <c r="L231" s="57" t="s">
        <v>3732</v>
      </c>
      <c r="M231" s="57" t="s">
        <v>4146</v>
      </c>
      <c r="N231" s="57" t="s">
        <v>4146</v>
      </c>
      <c r="O231" s="57" t="s">
        <v>3476</v>
      </c>
      <c r="P231" s="57" t="s">
        <v>3476</v>
      </c>
      <c r="Q231" s="57" t="s">
        <v>2874</v>
      </c>
      <c r="R231" s="57" t="s">
        <v>3781</v>
      </c>
      <c r="S231" s="57" t="s">
        <v>3782</v>
      </c>
      <c r="T231" s="57" t="s">
        <v>3736</v>
      </c>
      <c r="U231" s="57" t="s">
        <v>3476</v>
      </c>
      <c r="V231" s="57" t="s">
        <v>3469</v>
      </c>
      <c r="W231" s="57" t="s">
        <v>3476</v>
      </c>
      <c r="X231" s="57" t="s">
        <v>4021</v>
      </c>
      <c r="Y231" s="57" t="s">
        <v>3738</v>
      </c>
      <c r="Z231" s="57" t="s">
        <v>4147</v>
      </c>
      <c r="AA231" s="57" t="s">
        <v>3733</v>
      </c>
      <c r="AB231" s="57" t="s">
        <v>3476</v>
      </c>
      <c r="AC231" s="57" t="s">
        <v>3741</v>
      </c>
      <c r="AD231" s="57" t="s">
        <v>3476</v>
      </c>
      <c r="AE231" s="57" t="s">
        <v>3476</v>
      </c>
      <c r="AF231" s="57" t="s">
        <v>3476</v>
      </c>
      <c r="AG231" s="57" t="s">
        <v>3476</v>
      </c>
      <c r="AH231" s="57" t="s">
        <v>3476</v>
      </c>
      <c r="AI231" s="57" t="s">
        <v>3476</v>
      </c>
      <c r="AJ231" s="57" t="s">
        <v>3476</v>
      </c>
      <c r="AK231" s="57" t="s">
        <v>1292</v>
      </c>
      <c r="AL231" s="57" t="s">
        <v>4148</v>
      </c>
      <c r="AM231" s="57" t="s">
        <v>3476</v>
      </c>
      <c r="AN231" s="57" t="s">
        <v>3830</v>
      </c>
      <c r="AO231" s="57" t="s">
        <v>3476</v>
      </c>
      <c r="AP231" s="58">
        <v>45768.6981134259</v>
      </c>
      <c r="AQ231" s="57" t="s">
        <v>3476</v>
      </c>
      <c r="AR231" s="57" t="s">
        <v>3806</v>
      </c>
      <c r="AS231" s="57" t="s">
        <v>3502</v>
      </c>
      <c r="AT231" s="57" t="s">
        <v>3745</v>
      </c>
      <c r="AU231" s="57" t="s">
        <v>4149</v>
      </c>
      <c r="AV231" s="57" t="s">
        <v>3476</v>
      </c>
      <c r="AW231" s="58">
        <v>45701.6948148148</v>
      </c>
      <c r="AX231" s="57" t="s">
        <v>4148</v>
      </c>
      <c r="AY231" s="57" t="s">
        <v>3747</v>
      </c>
      <c r="AZ231" s="57" t="s">
        <v>3476</v>
      </c>
      <c r="BA231" s="57" t="s">
        <v>3476</v>
      </c>
      <c r="BB231" s="57" t="s">
        <v>3476</v>
      </c>
      <c r="BC231" s="57" t="s">
        <v>3791</v>
      </c>
      <c r="BD231" s="57" t="s">
        <v>3659</v>
      </c>
      <c r="BE231" s="57" t="s">
        <v>4150</v>
      </c>
      <c r="BF231" s="57" t="s">
        <v>3749</v>
      </c>
      <c r="BG231" s="57" t="s">
        <v>3476</v>
      </c>
      <c r="BH231" s="57" t="s">
        <v>3476</v>
      </c>
      <c r="BI231" s="57" t="s">
        <v>2809</v>
      </c>
      <c r="BJ231" s="57" t="s">
        <v>3476</v>
      </c>
      <c r="BK231" s="57" t="s">
        <v>3476</v>
      </c>
      <c r="BL231" s="57">
        <v>3431135</v>
      </c>
      <c r="BM231" s="57" t="s">
        <v>4151</v>
      </c>
      <c r="BN231" s="57" t="s">
        <v>3476</v>
      </c>
      <c r="BO231" s="57">
        <v>416</v>
      </c>
      <c r="BP231" s="57" t="s">
        <v>3810</v>
      </c>
      <c r="BQ231" s="57" t="s">
        <v>3476</v>
      </c>
      <c r="BR231" s="57" t="s">
        <v>4152</v>
      </c>
      <c r="BS231" s="57" t="s">
        <v>1292</v>
      </c>
      <c r="BT231" s="57" t="s">
        <v>3476</v>
      </c>
      <c r="BU231" s="57" t="s">
        <v>3476</v>
      </c>
      <c r="BV231" s="57" t="s">
        <v>3753</v>
      </c>
      <c r="BW231" s="57" t="s">
        <v>3476</v>
      </c>
      <c r="BX231" s="57">
        <v>416</v>
      </c>
      <c r="BY231" s="57" t="s">
        <v>3476</v>
      </c>
      <c r="BZ231" s="57" t="s">
        <v>3476</v>
      </c>
      <c r="CA231" s="57" t="s">
        <v>3476</v>
      </c>
      <c r="CB231" s="57" t="s">
        <v>3476</v>
      </c>
      <c r="CC231" s="57" t="s">
        <v>3476</v>
      </c>
      <c r="CD231" s="57" t="s">
        <v>3476</v>
      </c>
    </row>
    <row r="232" spans="1:82">
      <c r="A232" s="57">
        <v>21048</v>
      </c>
      <c r="B232" s="57" t="s">
        <v>3476</v>
      </c>
      <c r="C232" s="57" t="s">
        <v>4144</v>
      </c>
      <c r="D232" s="57" t="s">
        <v>3476</v>
      </c>
      <c r="E232" s="57" t="s">
        <v>3730</v>
      </c>
      <c r="F232" s="57" t="s">
        <v>4145</v>
      </c>
      <c r="G232" s="57" t="s">
        <v>721</v>
      </c>
      <c r="H232" s="57" t="s">
        <v>2874</v>
      </c>
      <c r="I232" s="57">
        <v>112308</v>
      </c>
      <c r="J232" s="57" t="s">
        <v>3476</v>
      </c>
      <c r="K232" s="57" t="s">
        <v>3476</v>
      </c>
      <c r="L232" s="57" t="s">
        <v>3732</v>
      </c>
      <c r="M232" s="57" t="s">
        <v>4146</v>
      </c>
      <c r="N232" s="57" t="s">
        <v>4146</v>
      </c>
      <c r="O232" s="57" t="s">
        <v>3476</v>
      </c>
      <c r="P232" s="57" t="s">
        <v>3476</v>
      </c>
      <c r="Q232" s="57" t="s">
        <v>2874</v>
      </c>
      <c r="R232" s="57" t="s">
        <v>3781</v>
      </c>
      <c r="S232" s="57" t="s">
        <v>3782</v>
      </c>
      <c r="T232" s="57" t="s">
        <v>3736</v>
      </c>
      <c r="U232" s="57" t="s">
        <v>3476</v>
      </c>
      <c r="V232" s="57" t="s">
        <v>3469</v>
      </c>
      <c r="W232" s="57" t="s">
        <v>3476</v>
      </c>
      <c r="X232" s="57" t="s">
        <v>4021</v>
      </c>
      <c r="Y232" s="57" t="s">
        <v>3738</v>
      </c>
      <c r="Z232" s="57" t="s">
        <v>4147</v>
      </c>
      <c r="AA232" s="57" t="s">
        <v>3733</v>
      </c>
      <c r="AB232" s="57" t="s">
        <v>3476</v>
      </c>
      <c r="AC232" s="57" t="s">
        <v>3741</v>
      </c>
      <c r="AD232" s="57" t="s">
        <v>3476</v>
      </c>
      <c r="AE232" s="57" t="s">
        <v>3476</v>
      </c>
      <c r="AF232" s="57" t="s">
        <v>3476</v>
      </c>
      <c r="AG232" s="57" t="s">
        <v>3476</v>
      </c>
      <c r="AH232" s="57" t="s">
        <v>3476</v>
      </c>
      <c r="AI232" s="57" t="s">
        <v>3476</v>
      </c>
      <c r="AJ232" s="57" t="s">
        <v>3476</v>
      </c>
      <c r="AK232" s="57" t="s">
        <v>1292</v>
      </c>
      <c r="AL232" s="57" t="s">
        <v>4148</v>
      </c>
      <c r="AM232" s="57" t="s">
        <v>3476</v>
      </c>
      <c r="AN232" s="57" t="s">
        <v>3830</v>
      </c>
      <c r="AO232" s="57" t="s">
        <v>3476</v>
      </c>
      <c r="AP232" s="58">
        <v>45768.6981134259</v>
      </c>
      <c r="AQ232" s="57" t="s">
        <v>3476</v>
      </c>
      <c r="AR232" s="57" t="s">
        <v>3806</v>
      </c>
      <c r="AS232" s="57" t="s">
        <v>3502</v>
      </c>
      <c r="AT232" s="57" t="s">
        <v>3745</v>
      </c>
      <c r="AU232" s="57" t="s">
        <v>4149</v>
      </c>
      <c r="AV232" s="57" t="s">
        <v>3476</v>
      </c>
      <c r="AW232" s="58">
        <v>45701.6948148148</v>
      </c>
      <c r="AX232" s="57" t="s">
        <v>4148</v>
      </c>
      <c r="AY232" s="57" t="s">
        <v>3747</v>
      </c>
      <c r="AZ232" s="57" t="s">
        <v>3476</v>
      </c>
      <c r="BA232" s="57" t="s">
        <v>3476</v>
      </c>
      <c r="BB232" s="57" t="s">
        <v>3476</v>
      </c>
      <c r="BC232" s="57" t="s">
        <v>3791</v>
      </c>
      <c r="BD232" s="57" t="s">
        <v>3659</v>
      </c>
      <c r="BE232" s="57" t="s">
        <v>4150</v>
      </c>
      <c r="BF232" s="57" t="s">
        <v>3749</v>
      </c>
      <c r="BG232" s="57" t="s">
        <v>3476</v>
      </c>
      <c r="BH232" s="57" t="s">
        <v>3476</v>
      </c>
      <c r="BI232" s="57" t="s">
        <v>2809</v>
      </c>
      <c r="BJ232" s="57" t="s">
        <v>3476</v>
      </c>
      <c r="BK232" s="57" t="s">
        <v>3476</v>
      </c>
      <c r="BL232" s="57">
        <v>3431136</v>
      </c>
      <c r="BM232" s="57" t="s">
        <v>4151</v>
      </c>
      <c r="BN232" s="57" t="s">
        <v>3476</v>
      </c>
      <c r="BO232" s="57">
        <v>4090</v>
      </c>
      <c r="BP232" s="57" t="s">
        <v>3810</v>
      </c>
      <c r="BQ232" s="57" t="s">
        <v>3476</v>
      </c>
      <c r="BR232" s="57" t="s">
        <v>4152</v>
      </c>
      <c r="BS232" s="57" t="s">
        <v>1292</v>
      </c>
      <c r="BT232" s="57" t="s">
        <v>3476</v>
      </c>
      <c r="BU232" s="57" t="s">
        <v>3476</v>
      </c>
      <c r="BV232" s="57" t="s">
        <v>3753</v>
      </c>
      <c r="BW232" s="57" t="s">
        <v>3476</v>
      </c>
      <c r="BX232" s="57">
        <v>4090</v>
      </c>
      <c r="BY232" s="57" t="s">
        <v>3476</v>
      </c>
      <c r="BZ232" s="57" t="s">
        <v>3476</v>
      </c>
      <c r="CA232" s="57" t="s">
        <v>3476</v>
      </c>
      <c r="CB232" s="57" t="s">
        <v>3476</v>
      </c>
      <c r="CC232" s="57" t="s">
        <v>3476</v>
      </c>
      <c r="CD232" s="57" t="s">
        <v>3476</v>
      </c>
    </row>
    <row r="233" spans="1:82">
      <c r="A233" s="57">
        <v>21049</v>
      </c>
      <c r="B233" s="57" t="s">
        <v>3476</v>
      </c>
      <c r="C233" s="57" t="s">
        <v>4144</v>
      </c>
      <c r="D233" s="57" t="s">
        <v>3476</v>
      </c>
      <c r="E233" s="57" t="s">
        <v>3730</v>
      </c>
      <c r="F233" s="57" t="s">
        <v>4145</v>
      </c>
      <c r="G233" s="57" t="s">
        <v>721</v>
      </c>
      <c r="H233" s="57" t="s">
        <v>2874</v>
      </c>
      <c r="I233" s="57">
        <v>112308</v>
      </c>
      <c r="J233" s="57" t="s">
        <v>3476</v>
      </c>
      <c r="K233" s="57" t="s">
        <v>3476</v>
      </c>
      <c r="L233" s="57" t="s">
        <v>3732</v>
      </c>
      <c r="M233" s="57" t="s">
        <v>4146</v>
      </c>
      <c r="N233" s="57" t="s">
        <v>4146</v>
      </c>
      <c r="O233" s="57" t="s">
        <v>3476</v>
      </c>
      <c r="P233" s="57" t="s">
        <v>3476</v>
      </c>
      <c r="Q233" s="57" t="s">
        <v>2874</v>
      </c>
      <c r="R233" s="57" t="s">
        <v>3781</v>
      </c>
      <c r="S233" s="57" t="s">
        <v>3782</v>
      </c>
      <c r="T233" s="57" t="s">
        <v>3736</v>
      </c>
      <c r="U233" s="57" t="s">
        <v>3476</v>
      </c>
      <c r="V233" s="57" t="s">
        <v>3469</v>
      </c>
      <c r="W233" s="57" t="s">
        <v>3476</v>
      </c>
      <c r="X233" s="57" t="s">
        <v>4021</v>
      </c>
      <c r="Y233" s="57" t="s">
        <v>3738</v>
      </c>
      <c r="Z233" s="57" t="s">
        <v>4147</v>
      </c>
      <c r="AA233" s="57" t="s">
        <v>3733</v>
      </c>
      <c r="AB233" s="57" t="s">
        <v>3476</v>
      </c>
      <c r="AC233" s="57" t="s">
        <v>3741</v>
      </c>
      <c r="AD233" s="57" t="s">
        <v>3476</v>
      </c>
      <c r="AE233" s="57" t="s">
        <v>3476</v>
      </c>
      <c r="AF233" s="57" t="s">
        <v>3476</v>
      </c>
      <c r="AG233" s="57" t="s">
        <v>3476</v>
      </c>
      <c r="AH233" s="57" t="s">
        <v>3476</v>
      </c>
      <c r="AI233" s="57" t="s">
        <v>3476</v>
      </c>
      <c r="AJ233" s="57" t="s">
        <v>3476</v>
      </c>
      <c r="AK233" s="57" t="s">
        <v>1292</v>
      </c>
      <c r="AL233" s="57" t="s">
        <v>4148</v>
      </c>
      <c r="AM233" s="57" t="s">
        <v>3476</v>
      </c>
      <c r="AN233" s="57" t="s">
        <v>3830</v>
      </c>
      <c r="AO233" s="57" t="s">
        <v>3476</v>
      </c>
      <c r="AP233" s="58">
        <v>45768.6981134259</v>
      </c>
      <c r="AQ233" s="57" t="s">
        <v>3476</v>
      </c>
      <c r="AR233" s="57" t="s">
        <v>3806</v>
      </c>
      <c r="AS233" s="57" t="s">
        <v>3502</v>
      </c>
      <c r="AT233" s="57" t="s">
        <v>3745</v>
      </c>
      <c r="AU233" s="57" t="s">
        <v>4149</v>
      </c>
      <c r="AV233" s="57" t="s">
        <v>3476</v>
      </c>
      <c r="AW233" s="58">
        <v>45701.6948148148</v>
      </c>
      <c r="AX233" s="57" t="s">
        <v>4148</v>
      </c>
      <c r="AY233" s="57" t="s">
        <v>3747</v>
      </c>
      <c r="AZ233" s="57" t="s">
        <v>3476</v>
      </c>
      <c r="BA233" s="57" t="s">
        <v>3476</v>
      </c>
      <c r="BB233" s="57" t="s">
        <v>3476</v>
      </c>
      <c r="BC233" s="57" t="s">
        <v>3791</v>
      </c>
      <c r="BD233" s="57" t="s">
        <v>3659</v>
      </c>
      <c r="BE233" s="57" t="s">
        <v>4150</v>
      </c>
      <c r="BF233" s="57" t="s">
        <v>3749</v>
      </c>
      <c r="BG233" s="57" t="s">
        <v>3476</v>
      </c>
      <c r="BH233" s="57" t="s">
        <v>3476</v>
      </c>
      <c r="BI233" s="57" t="s">
        <v>2809</v>
      </c>
      <c r="BJ233" s="57" t="s">
        <v>3476</v>
      </c>
      <c r="BK233" s="57" t="s">
        <v>3476</v>
      </c>
      <c r="BL233" s="57">
        <v>3431137</v>
      </c>
      <c r="BM233" s="57" t="s">
        <v>4151</v>
      </c>
      <c r="BN233" s="57" t="s">
        <v>3476</v>
      </c>
      <c r="BO233" s="57">
        <v>8944</v>
      </c>
      <c r="BP233" s="57" t="s">
        <v>3810</v>
      </c>
      <c r="BQ233" s="57" t="s">
        <v>3476</v>
      </c>
      <c r="BR233" s="57" t="s">
        <v>4152</v>
      </c>
      <c r="BS233" s="57" t="s">
        <v>1292</v>
      </c>
      <c r="BT233" s="57" t="s">
        <v>3476</v>
      </c>
      <c r="BU233" s="57" t="s">
        <v>3476</v>
      </c>
      <c r="BV233" s="57" t="s">
        <v>3753</v>
      </c>
      <c r="BW233" s="57" t="s">
        <v>3476</v>
      </c>
      <c r="BX233" s="57">
        <v>8944</v>
      </c>
      <c r="BY233" s="57" t="s">
        <v>3476</v>
      </c>
      <c r="BZ233" s="57" t="s">
        <v>3476</v>
      </c>
      <c r="CA233" s="57" t="s">
        <v>3476</v>
      </c>
      <c r="CB233" s="57" t="s">
        <v>3476</v>
      </c>
      <c r="CC233" s="57" t="s">
        <v>3476</v>
      </c>
      <c r="CD233" s="57" t="s">
        <v>3476</v>
      </c>
    </row>
    <row r="234" spans="1:82">
      <c r="A234" s="57">
        <v>21050</v>
      </c>
      <c r="B234" s="57" t="s">
        <v>3476</v>
      </c>
      <c r="C234" s="57" t="s">
        <v>4144</v>
      </c>
      <c r="D234" s="57" t="s">
        <v>3476</v>
      </c>
      <c r="E234" s="57" t="s">
        <v>3730</v>
      </c>
      <c r="F234" s="57" t="s">
        <v>4145</v>
      </c>
      <c r="G234" s="57" t="s">
        <v>721</v>
      </c>
      <c r="H234" s="57" t="s">
        <v>2874</v>
      </c>
      <c r="I234" s="57">
        <v>112308</v>
      </c>
      <c r="J234" s="57" t="s">
        <v>3476</v>
      </c>
      <c r="K234" s="57" t="s">
        <v>3476</v>
      </c>
      <c r="L234" s="57" t="s">
        <v>3732</v>
      </c>
      <c r="M234" s="57" t="s">
        <v>4146</v>
      </c>
      <c r="N234" s="57" t="s">
        <v>4146</v>
      </c>
      <c r="O234" s="57" t="s">
        <v>3476</v>
      </c>
      <c r="P234" s="57" t="s">
        <v>3476</v>
      </c>
      <c r="Q234" s="57" t="s">
        <v>2874</v>
      </c>
      <c r="R234" s="57" t="s">
        <v>3781</v>
      </c>
      <c r="S234" s="57" t="s">
        <v>3782</v>
      </c>
      <c r="T234" s="57" t="s">
        <v>3736</v>
      </c>
      <c r="U234" s="57" t="s">
        <v>3476</v>
      </c>
      <c r="V234" s="57" t="s">
        <v>3469</v>
      </c>
      <c r="W234" s="57" t="s">
        <v>3476</v>
      </c>
      <c r="X234" s="57" t="s">
        <v>4021</v>
      </c>
      <c r="Y234" s="57" t="s">
        <v>3738</v>
      </c>
      <c r="Z234" s="57" t="s">
        <v>4147</v>
      </c>
      <c r="AA234" s="57" t="s">
        <v>3733</v>
      </c>
      <c r="AB234" s="57" t="s">
        <v>3476</v>
      </c>
      <c r="AC234" s="57" t="s">
        <v>3741</v>
      </c>
      <c r="AD234" s="57" t="s">
        <v>3476</v>
      </c>
      <c r="AE234" s="57" t="s">
        <v>3476</v>
      </c>
      <c r="AF234" s="57" t="s">
        <v>3476</v>
      </c>
      <c r="AG234" s="57" t="s">
        <v>3476</v>
      </c>
      <c r="AH234" s="57" t="s">
        <v>3476</v>
      </c>
      <c r="AI234" s="57" t="s">
        <v>3476</v>
      </c>
      <c r="AJ234" s="57" t="s">
        <v>3476</v>
      </c>
      <c r="AK234" s="57" t="s">
        <v>1292</v>
      </c>
      <c r="AL234" s="57" t="s">
        <v>4148</v>
      </c>
      <c r="AM234" s="57" t="s">
        <v>3476</v>
      </c>
      <c r="AN234" s="57" t="s">
        <v>3830</v>
      </c>
      <c r="AO234" s="57" t="s">
        <v>3476</v>
      </c>
      <c r="AP234" s="58">
        <v>45768.6981134259</v>
      </c>
      <c r="AQ234" s="57" t="s">
        <v>3476</v>
      </c>
      <c r="AR234" s="57" t="s">
        <v>3806</v>
      </c>
      <c r="AS234" s="57" t="s">
        <v>3502</v>
      </c>
      <c r="AT234" s="57" t="s">
        <v>3745</v>
      </c>
      <c r="AU234" s="57" t="s">
        <v>4149</v>
      </c>
      <c r="AV234" s="57" t="s">
        <v>3476</v>
      </c>
      <c r="AW234" s="58">
        <v>45701.6948148148</v>
      </c>
      <c r="AX234" s="57" t="s">
        <v>4148</v>
      </c>
      <c r="AY234" s="57" t="s">
        <v>3747</v>
      </c>
      <c r="AZ234" s="57" t="s">
        <v>3476</v>
      </c>
      <c r="BA234" s="57" t="s">
        <v>3476</v>
      </c>
      <c r="BB234" s="57" t="s">
        <v>3476</v>
      </c>
      <c r="BC234" s="57" t="s">
        <v>3791</v>
      </c>
      <c r="BD234" s="57" t="s">
        <v>3659</v>
      </c>
      <c r="BE234" s="57" t="s">
        <v>4150</v>
      </c>
      <c r="BF234" s="57" t="s">
        <v>3749</v>
      </c>
      <c r="BG234" s="57" t="s">
        <v>3476</v>
      </c>
      <c r="BH234" s="57" t="s">
        <v>3476</v>
      </c>
      <c r="BI234" s="57" t="s">
        <v>2809</v>
      </c>
      <c r="BJ234" s="57" t="s">
        <v>3476</v>
      </c>
      <c r="BK234" s="57" t="s">
        <v>3476</v>
      </c>
      <c r="BL234" s="57">
        <v>3431138</v>
      </c>
      <c r="BM234" s="57" t="s">
        <v>4151</v>
      </c>
      <c r="BN234" s="57" t="s">
        <v>3476</v>
      </c>
      <c r="BO234" s="57">
        <v>2355.2</v>
      </c>
      <c r="BP234" s="57" t="s">
        <v>3810</v>
      </c>
      <c r="BQ234" s="57" t="s">
        <v>3476</v>
      </c>
      <c r="BR234" s="57" t="s">
        <v>4152</v>
      </c>
      <c r="BS234" s="57" t="s">
        <v>1292</v>
      </c>
      <c r="BT234" s="57" t="s">
        <v>3476</v>
      </c>
      <c r="BU234" s="57" t="s">
        <v>3476</v>
      </c>
      <c r="BV234" s="57" t="s">
        <v>3753</v>
      </c>
      <c r="BW234" s="57" t="s">
        <v>3476</v>
      </c>
      <c r="BX234" s="57">
        <v>2355.2</v>
      </c>
      <c r="BY234" s="57" t="s">
        <v>3476</v>
      </c>
      <c r="BZ234" s="57" t="s">
        <v>3476</v>
      </c>
      <c r="CA234" s="57" t="s">
        <v>3476</v>
      </c>
      <c r="CB234" s="57" t="s">
        <v>3476</v>
      </c>
      <c r="CC234" s="57" t="s">
        <v>3476</v>
      </c>
      <c r="CD234" s="57" t="s">
        <v>3476</v>
      </c>
    </row>
    <row r="235" spans="1:82">
      <c r="A235" s="57">
        <v>21051</v>
      </c>
      <c r="B235" s="57" t="s">
        <v>3476</v>
      </c>
      <c r="C235" s="57" t="s">
        <v>4144</v>
      </c>
      <c r="D235" s="57" t="s">
        <v>3476</v>
      </c>
      <c r="E235" s="57" t="s">
        <v>3730</v>
      </c>
      <c r="F235" s="57" t="s">
        <v>4145</v>
      </c>
      <c r="G235" s="57" t="s">
        <v>721</v>
      </c>
      <c r="H235" s="57" t="s">
        <v>2874</v>
      </c>
      <c r="I235" s="57">
        <v>112308</v>
      </c>
      <c r="J235" s="57" t="s">
        <v>3476</v>
      </c>
      <c r="K235" s="57" t="s">
        <v>3476</v>
      </c>
      <c r="L235" s="57" t="s">
        <v>3732</v>
      </c>
      <c r="M235" s="57" t="s">
        <v>4146</v>
      </c>
      <c r="N235" s="57" t="s">
        <v>4146</v>
      </c>
      <c r="O235" s="57" t="s">
        <v>3476</v>
      </c>
      <c r="P235" s="57" t="s">
        <v>3476</v>
      </c>
      <c r="Q235" s="57" t="s">
        <v>2874</v>
      </c>
      <c r="R235" s="57" t="s">
        <v>3781</v>
      </c>
      <c r="S235" s="57" t="s">
        <v>3782</v>
      </c>
      <c r="T235" s="57" t="s">
        <v>3736</v>
      </c>
      <c r="U235" s="57" t="s">
        <v>3476</v>
      </c>
      <c r="V235" s="57" t="s">
        <v>3469</v>
      </c>
      <c r="W235" s="57" t="s">
        <v>3476</v>
      </c>
      <c r="X235" s="57" t="s">
        <v>4021</v>
      </c>
      <c r="Y235" s="57" t="s">
        <v>3738</v>
      </c>
      <c r="Z235" s="57" t="s">
        <v>4147</v>
      </c>
      <c r="AA235" s="57" t="s">
        <v>3733</v>
      </c>
      <c r="AB235" s="57" t="s">
        <v>3476</v>
      </c>
      <c r="AC235" s="57" t="s">
        <v>3741</v>
      </c>
      <c r="AD235" s="57" t="s">
        <v>3476</v>
      </c>
      <c r="AE235" s="57" t="s">
        <v>3476</v>
      </c>
      <c r="AF235" s="57" t="s">
        <v>3476</v>
      </c>
      <c r="AG235" s="57" t="s">
        <v>3476</v>
      </c>
      <c r="AH235" s="57" t="s">
        <v>3476</v>
      </c>
      <c r="AI235" s="57" t="s">
        <v>3476</v>
      </c>
      <c r="AJ235" s="57" t="s">
        <v>3476</v>
      </c>
      <c r="AK235" s="57" t="s">
        <v>1292</v>
      </c>
      <c r="AL235" s="57" t="s">
        <v>4148</v>
      </c>
      <c r="AM235" s="57" t="s">
        <v>3476</v>
      </c>
      <c r="AN235" s="57" t="s">
        <v>3830</v>
      </c>
      <c r="AO235" s="57" t="s">
        <v>3476</v>
      </c>
      <c r="AP235" s="58">
        <v>45768.6981134259</v>
      </c>
      <c r="AQ235" s="57" t="s">
        <v>3476</v>
      </c>
      <c r="AR235" s="57" t="s">
        <v>3806</v>
      </c>
      <c r="AS235" s="57" t="s">
        <v>3502</v>
      </c>
      <c r="AT235" s="57" t="s">
        <v>3745</v>
      </c>
      <c r="AU235" s="57" t="s">
        <v>4149</v>
      </c>
      <c r="AV235" s="57" t="s">
        <v>3476</v>
      </c>
      <c r="AW235" s="58">
        <v>45701.6948148148</v>
      </c>
      <c r="AX235" s="57" t="s">
        <v>4148</v>
      </c>
      <c r="AY235" s="57" t="s">
        <v>3747</v>
      </c>
      <c r="AZ235" s="57" t="s">
        <v>3476</v>
      </c>
      <c r="BA235" s="57" t="s">
        <v>3476</v>
      </c>
      <c r="BB235" s="57" t="s">
        <v>3476</v>
      </c>
      <c r="BC235" s="57" t="s">
        <v>3791</v>
      </c>
      <c r="BD235" s="57" t="s">
        <v>3659</v>
      </c>
      <c r="BE235" s="57" t="s">
        <v>4150</v>
      </c>
      <c r="BF235" s="57" t="s">
        <v>3749</v>
      </c>
      <c r="BG235" s="57" t="s">
        <v>3476</v>
      </c>
      <c r="BH235" s="57" t="s">
        <v>3476</v>
      </c>
      <c r="BI235" s="57" t="s">
        <v>2809</v>
      </c>
      <c r="BJ235" s="57" t="s">
        <v>3476</v>
      </c>
      <c r="BK235" s="57" t="s">
        <v>3476</v>
      </c>
      <c r="BL235" s="57">
        <v>3431139</v>
      </c>
      <c r="BM235" s="57" t="s">
        <v>4151</v>
      </c>
      <c r="BN235" s="57" t="s">
        <v>3476</v>
      </c>
      <c r="BO235" s="57">
        <v>1888</v>
      </c>
      <c r="BP235" s="57" t="s">
        <v>3810</v>
      </c>
      <c r="BQ235" s="57" t="s">
        <v>3476</v>
      </c>
      <c r="BR235" s="57" t="s">
        <v>4152</v>
      </c>
      <c r="BS235" s="57" t="s">
        <v>1292</v>
      </c>
      <c r="BT235" s="57" t="s">
        <v>3476</v>
      </c>
      <c r="BU235" s="57" t="s">
        <v>3476</v>
      </c>
      <c r="BV235" s="57" t="s">
        <v>3753</v>
      </c>
      <c r="BW235" s="57" t="s">
        <v>3476</v>
      </c>
      <c r="BX235" s="57">
        <v>1888</v>
      </c>
      <c r="BY235" s="57" t="s">
        <v>3476</v>
      </c>
      <c r="BZ235" s="57" t="s">
        <v>3476</v>
      </c>
      <c r="CA235" s="57" t="s">
        <v>3476</v>
      </c>
      <c r="CB235" s="57" t="s">
        <v>3476</v>
      </c>
      <c r="CC235" s="57" t="s">
        <v>3476</v>
      </c>
      <c r="CD235" s="57" t="s">
        <v>3476</v>
      </c>
    </row>
    <row r="236" spans="1:82">
      <c r="A236" s="57">
        <v>21052</v>
      </c>
      <c r="B236" s="57" t="s">
        <v>3476</v>
      </c>
      <c r="C236" s="57" t="s">
        <v>4144</v>
      </c>
      <c r="D236" s="57" t="s">
        <v>3476</v>
      </c>
      <c r="E236" s="57" t="s">
        <v>3730</v>
      </c>
      <c r="F236" s="57" t="s">
        <v>4145</v>
      </c>
      <c r="G236" s="57" t="s">
        <v>721</v>
      </c>
      <c r="H236" s="57" t="s">
        <v>2874</v>
      </c>
      <c r="I236" s="57">
        <v>112308</v>
      </c>
      <c r="J236" s="57" t="s">
        <v>3476</v>
      </c>
      <c r="K236" s="57" t="s">
        <v>3476</v>
      </c>
      <c r="L236" s="57" t="s">
        <v>3732</v>
      </c>
      <c r="M236" s="57" t="s">
        <v>4146</v>
      </c>
      <c r="N236" s="57" t="s">
        <v>4146</v>
      </c>
      <c r="O236" s="57" t="s">
        <v>3476</v>
      </c>
      <c r="P236" s="57" t="s">
        <v>3476</v>
      </c>
      <c r="Q236" s="57" t="s">
        <v>2874</v>
      </c>
      <c r="R236" s="57" t="s">
        <v>3781</v>
      </c>
      <c r="S236" s="57" t="s">
        <v>3782</v>
      </c>
      <c r="T236" s="57" t="s">
        <v>3736</v>
      </c>
      <c r="U236" s="57" t="s">
        <v>3476</v>
      </c>
      <c r="V236" s="57" t="s">
        <v>3469</v>
      </c>
      <c r="W236" s="57" t="s">
        <v>3476</v>
      </c>
      <c r="X236" s="57" t="s">
        <v>4021</v>
      </c>
      <c r="Y236" s="57" t="s">
        <v>3738</v>
      </c>
      <c r="Z236" s="57" t="s">
        <v>4147</v>
      </c>
      <c r="AA236" s="57" t="s">
        <v>3733</v>
      </c>
      <c r="AB236" s="57" t="s">
        <v>3476</v>
      </c>
      <c r="AC236" s="57" t="s">
        <v>3741</v>
      </c>
      <c r="AD236" s="57" t="s">
        <v>3476</v>
      </c>
      <c r="AE236" s="57" t="s">
        <v>3476</v>
      </c>
      <c r="AF236" s="57" t="s">
        <v>3476</v>
      </c>
      <c r="AG236" s="57" t="s">
        <v>3476</v>
      </c>
      <c r="AH236" s="57" t="s">
        <v>3476</v>
      </c>
      <c r="AI236" s="57" t="s">
        <v>3476</v>
      </c>
      <c r="AJ236" s="57" t="s">
        <v>3476</v>
      </c>
      <c r="AK236" s="57" t="s">
        <v>1292</v>
      </c>
      <c r="AL236" s="57" t="s">
        <v>4148</v>
      </c>
      <c r="AM236" s="57" t="s">
        <v>3476</v>
      </c>
      <c r="AN236" s="57" t="s">
        <v>3830</v>
      </c>
      <c r="AO236" s="57" t="s">
        <v>3476</v>
      </c>
      <c r="AP236" s="58">
        <v>45768.6981134259</v>
      </c>
      <c r="AQ236" s="57" t="s">
        <v>3476</v>
      </c>
      <c r="AR236" s="57" t="s">
        <v>3806</v>
      </c>
      <c r="AS236" s="57" t="s">
        <v>3502</v>
      </c>
      <c r="AT236" s="57" t="s">
        <v>3745</v>
      </c>
      <c r="AU236" s="57" t="s">
        <v>4149</v>
      </c>
      <c r="AV236" s="57" t="s">
        <v>3476</v>
      </c>
      <c r="AW236" s="58">
        <v>45701.6948148148</v>
      </c>
      <c r="AX236" s="57" t="s">
        <v>4148</v>
      </c>
      <c r="AY236" s="57" t="s">
        <v>3747</v>
      </c>
      <c r="AZ236" s="57" t="s">
        <v>3476</v>
      </c>
      <c r="BA236" s="57" t="s">
        <v>3476</v>
      </c>
      <c r="BB236" s="57" t="s">
        <v>3476</v>
      </c>
      <c r="BC236" s="57" t="s">
        <v>3791</v>
      </c>
      <c r="BD236" s="57" t="s">
        <v>3659</v>
      </c>
      <c r="BE236" s="57" t="s">
        <v>4150</v>
      </c>
      <c r="BF236" s="57" t="s">
        <v>3749</v>
      </c>
      <c r="BG236" s="57" t="s">
        <v>3476</v>
      </c>
      <c r="BH236" s="57" t="s">
        <v>3476</v>
      </c>
      <c r="BI236" s="57" t="s">
        <v>2809</v>
      </c>
      <c r="BJ236" s="57" t="s">
        <v>3476</v>
      </c>
      <c r="BK236" s="57" t="s">
        <v>3476</v>
      </c>
      <c r="BL236" s="57">
        <v>3431140</v>
      </c>
      <c r="BM236" s="57" t="s">
        <v>4151</v>
      </c>
      <c r="BN236" s="57" t="s">
        <v>3476</v>
      </c>
      <c r="BO236" s="57">
        <v>9597.6</v>
      </c>
      <c r="BP236" s="57" t="s">
        <v>3810</v>
      </c>
      <c r="BQ236" s="57" t="s">
        <v>3476</v>
      </c>
      <c r="BR236" s="57" t="s">
        <v>4152</v>
      </c>
      <c r="BS236" s="57" t="s">
        <v>1292</v>
      </c>
      <c r="BT236" s="57" t="s">
        <v>3476</v>
      </c>
      <c r="BU236" s="57" t="s">
        <v>3476</v>
      </c>
      <c r="BV236" s="57" t="s">
        <v>3753</v>
      </c>
      <c r="BW236" s="57" t="s">
        <v>3476</v>
      </c>
      <c r="BX236" s="57">
        <v>9597.6</v>
      </c>
      <c r="BY236" s="57" t="s">
        <v>3476</v>
      </c>
      <c r="BZ236" s="57" t="s">
        <v>3476</v>
      </c>
      <c r="CA236" s="57" t="s">
        <v>3476</v>
      </c>
      <c r="CB236" s="57" t="s">
        <v>3476</v>
      </c>
      <c r="CC236" s="57" t="s">
        <v>3476</v>
      </c>
      <c r="CD236" s="57" t="s">
        <v>3476</v>
      </c>
    </row>
    <row r="237" spans="1:82">
      <c r="A237" s="57">
        <v>21053</v>
      </c>
      <c r="B237" s="57" t="s">
        <v>3476</v>
      </c>
      <c r="C237" s="57" t="s">
        <v>4144</v>
      </c>
      <c r="D237" s="57" t="s">
        <v>3476</v>
      </c>
      <c r="E237" s="57" t="s">
        <v>3730</v>
      </c>
      <c r="F237" s="57" t="s">
        <v>4145</v>
      </c>
      <c r="G237" s="57" t="s">
        <v>721</v>
      </c>
      <c r="H237" s="57" t="s">
        <v>2874</v>
      </c>
      <c r="I237" s="57">
        <v>112308</v>
      </c>
      <c r="J237" s="57" t="s">
        <v>3476</v>
      </c>
      <c r="K237" s="57" t="s">
        <v>3476</v>
      </c>
      <c r="L237" s="57" t="s">
        <v>3732</v>
      </c>
      <c r="M237" s="57" t="s">
        <v>4146</v>
      </c>
      <c r="N237" s="57" t="s">
        <v>4146</v>
      </c>
      <c r="O237" s="57" t="s">
        <v>3476</v>
      </c>
      <c r="P237" s="57" t="s">
        <v>3476</v>
      </c>
      <c r="Q237" s="57" t="s">
        <v>2874</v>
      </c>
      <c r="R237" s="57" t="s">
        <v>3781</v>
      </c>
      <c r="S237" s="57" t="s">
        <v>3782</v>
      </c>
      <c r="T237" s="57" t="s">
        <v>3736</v>
      </c>
      <c r="U237" s="57" t="s">
        <v>3476</v>
      </c>
      <c r="V237" s="57" t="s">
        <v>3469</v>
      </c>
      <c r="W237" s="57" t="s">
        <v>3476</v>
      </c>
      <c r="X237" s="57" t="s">
        <v>4021</v>
      </c>
      <c r="Y237" s="57" t="s">
        <v>3738</v>
      </c>
      <c r="Z237" s="57" t="s">
        <v>4147</v>
      </c>
      <c r="AA237" s="57" t="s">
        <v>3733</v>
      </c>
      <c r="AB237" s="57" t="s">
        <v>3476</v>
      </c>
      <c r="AC237" s="57" t="s">
        <v>3741</v>
      </c>
      <c r="AD237" s="57" t="s">
        <v>3476</v>
      </c>
      <c r="AE237" s="57" t="s">
        <v>3476</v>
      </c>
      <c r="AF237" s="57" t="s">
        <v>3476</v>
      </c>
      <c r="AG237" s="57" t="s">
        <v>3476</v>
      </c>
      <c r="AH237" s="57" t="s">
        <v>3476</v>
      </c>
      <c r="AI237" s="57" t="s">
        <v>3476</v>
      </c>
      <c r="AJ237" s="57" t="s">
        <v>3476</v>
      </c>
      <c r="AK237" s="57" t="s">
        <v>1292</v>
      </c>
      <c r="AL237" s="57" t="s">
        <v>4148</v>
      </c>
      <c r="AM237" s="57" t="s">
        <v>3476</v>
      </c>
      <c r="AN237" s="57" t="s">
        <v>3830</v>
      </c>
      <c r="AO237" s="57" t="s">
        <v>3476</v>
      </c>
      <c r="AP237" s="58">
        <v>45768.6981134259</v>
      </c>
      <c r="AQ237" s="57" t="s">
        <v>3476</v>
      </c>
      <c r="AR237" s="57" t="s">
        <v>3806</v>
      </c>
      <c r="AS237" s="57" t="s">
        <v>3502</v>
      </c>
      <c r="AT237" s="57" t="s">
        <v>3745</v>
      </c>
      <c r="AU237" s="57" t="s">
        <v>4149</v>
      </c>
      <c r="AV237" s="57" t="s">
        <v>3476</v>
      </c>
      <c r="AW237" s="58">
        <v>45701.6948148148</v>
      </c>
      <c r="AX237" s="57" t="s">
        <v>4148</v>
      </c>
      <c r="AY237" s="57" t="s">
        <v>3747</v>
      </c>
      <c r="AZ237" s="57" t="s">
        <v>3476</v>
      </c>
      <c r="BA237" s="57" t="s">
        <v>3476</v>
      </c>
      <c r="BB237" s="57" t="s">
        <v>3476</v>
      </c>
      <c r="BC237" s="57" t="s">
        <v>3794</v>
      </c>
      <c r="BD237" s="57" t="s">
        <v>3659</v>
      </c>
      <c r="BE237" s="57" t="s">
        <v>4150</v>
      </c>
      <c r="BF237" s="57" t="s">
        <v>3749</v>
      </c>
      <c r="BG237" s="57" t="s">
        <v>3476</v>
      </c>
      <c r="BH237" s="57" t="s">
        <v>3476</v>
      </c>
      <c r="BI237" s="57" t="s">
        <v>2809</v>
      </c>
      <c r="BJ237" s="57" t="s">
        <v>3476</v>
      </c>
      <c r="BK237" s="57" t="s">
        <v>3476</v>
      </c>
      <c r="BL237" s="57">
        <v>3431142</v>
      </c>
      <c r="BM237" s="57" t="s">
        <v>4151</v>
      </c>
      <c r="BN237" s="57" t="s">
        <v>3476</v>
      </c>
      <c r="BO237" s="57">
        <v>6930</v>
      </c>
      <c r="BP237" s="57" t="s">
        <v>3810</v>
      </c>
      <c r="BQ237" s="57" t="s">
        <v>3476</v>
      </c>
      <c r="BR237" s="57" t="s">
        <v>4152</v>
      </c>
      <c r="BS237" s="57" t="s">
        <v>1292</v>
      </c>
      <c r="BT237" s="57" t="s">
        <v>3476</v>
      </c>
      <c r="BU237" s="57" t="s">
        <v>3476</v>
      </c>
      <c r="BV237" s="57" t="s">
        <v>3753</v>
      </c>
      <c r="BW237" s="57" t="s">
        <v>3476</v>
      </c>
      <c r="BX237" s="57">
        <v>6930</v>
      </c>
      <c r="BY237" s="57" t="s">
        <v>3476</v>
      </c>
      <c r="BZ237" s="57" t="s">
        <v>3476</v>
      </c>
      <c r="CA237" s="57" t="s">
        <v>3476</v>
      </c>
      <c r="CB237" s="57" t="s">
        <v>3476</v>
      </c>
      <c r="CC237" s="57" t="s">
        <v>3476</v>
      </c>
      <c r="CD237" s="57" t="s">
        <v>3476</v>
      </c>
    </row>
    <row r="238" spans="1:82">
      <c r="A238" s="57">
        <v>21054</v>
      </c>
      <c r="B238" s="57" t="s">
        <v>3476</v>
      </c>
      <c r="C238" s="57" t="s">
        <v>4144</v>
      </c>
      <c r="D238" s="57" t="s">
        <v>3476</v>
      </c>
      <c r="E238" s="57" t="s">
        <v>3730</v>
      </c>
      <c r="F238" s="57" t="s">
        <v>4145</v>
      </c>
      <c r="G238" s="57" t="s">
        <v>721</v>
      </c>
      <c r="H238" s="57" t="s">
        <v>2874</v>
      </c>
      <c r="I238" s="57">
        <v>112308</v>
      </c>
      <c r="J238" s="57" t="s">
        <v>3476</v>
      </c>
      <c r="K238" s="57" t="s">
        <v>3476</v>
      </c>
      <c r="L238" s="57" t="s">
        <v>3732</v>
      </c>
      <c r="M238" s="57" t="s">
        <v>4146</v>
      </c>
      <c r="N238" s="57" t="s">
        <v>4146</v>
      </c>
      <c r="O238" s="57" t="s">
        <v>3476</v>
      </c>
      <c r="P238" s="57" t="s">
        <v>3476</v>
      </c>
      <c r="Q238" s="57" t="s">
        <v>2874</v>
      </c>
      <c r="R238" s="57" t="s">
        <v>3781</v>
      </c>
      <c r="S238" s="57" t="s">
        <v>3782</v>
      </c>
      <c r="T238" s="57" t="s">
        <v>3736</v>
      </c>
      <c r="U238" s="57" t="s">
        <v>3476</v>
      </c>
      <c r="V238" s="57" t="s">
        <v>3469</v>
      </c>
      <c r="W238" s="57" t="s">
        <v>3476</v>
      </c>
      <c r="X238" s="57" t="s">
        <v>4021</v>
      </c>
      <c r="Y238" s="57" t="s">
        <v>3738</v>
      </c>
      <c r="Z238" s="57" t="s">
        <v>4147</v>
      </c>
      <c r="AA238" s="57" t="s">
        <v>3733</v>
      </c>
      <c r="AB238" s="57" t="s">
        <v>3476</v>
      </c>
      <c r="AC238" s="57" t="s">
        <v>3741</v>
      </c>
      <c r="AD238" s="57" t="s">
        <v>3476</v>
      </c>
      <c r="AE238" s="57" t="s">
        <v>3476</v>
      </c>
      <c r="AF238" s="57" t="s">
        <v>3476</v>
      </c>
      <c r="AG238" s="57" t="s">
        <v>3476</v>
      </c>
      <c r="AH238" s="57" t="s">
        <v>3476</v>
      </c>
      <c r="AI238" s="57" t="s">
        <v>3476</v>
      </c>
      <c r="AJ238" s="57" t="s">
        <v>3476</v>
      </c>
      <c r="AK238" s="57" t="s">
        <v>1292</v>
      </c>
      <c r="AL238" s="57" t="s">
        <v>4148</v>
      </c>
      <c r="AM238" s="57" t="s">
        <v>3476</v>
      </c>
      <c r="AN238" s="57" t="s">
        <v>3830</v>
      </c>
      <c r="AO238" s="57" t="s">
        <v>3476</v>
      </c>
      <c r="AP238" s="58">
        <v>45768.6981134259</v>
      </c>
      <c r="AQ238" s="57" t="s">
        <v>3476</v>
      </c>
      <c r="AR238" s="57" t="s">
        <v>3806</v>
      </c>
      <c r="AS238" s="57" t="s">
        <v>3502</v>
      </c>
      <c r="AT238" s="57" t="s">
        <v>3745</v>
      </c>
      <c r="AU238" s="57" t="s">
        <v>4149</v>
      </c>
      <c r="AV238" s="57" t="s">
        <v>3476</v>
      </c>
      <c r="AW238" s="58">
        <v>45701.6948148148</v>
      </c>
      <c r="AX238" s="57" t="s">
        <v>4148</v>
      </c>
      <c r="AY238" s="57" t="s">
        <v>3747</v>
      </c>
      <c r="AZ238" s="57" t="s">
        <v>3476</v>
      </c>
      <c r="BA238" s="57" t="s">
        <v>3476</v>
      </c>
      <c r="BB238" s="57" t="s">
        <v>3476</v>
      </c>
      <c r="BC238" s="57" t="s">
        <v>3794</v>
      </c>
      <c r="BD238" s="57" t="s">
        <v>3659</v>
      </c>
      <c r="BE238" s="57" t="s">
        <v>4150</v>
      </c>
      <c r="BF238" s="57" t="s">
        <v>3749</v>
      </c>
      <c r="BG238" s="57" t="s">
        <v>3476</v>
      </c>
      <c r="BH238" s="57" t="s">
        <v>3476</v>
      </c>
      <c r="BI238" s="57" t="s">
        <v>2809</v>
      </c>
      <c r="BJ238" s="57" t="s">
        <v>3476</v>
      </c>
      <c r="BK238" s="57" t="s">
        <v>3476</v>
      </c>
      <c r="BL238" s="57">
        <v>3431143</v>
      </c>
      <c r="BM238" s="57" t="s">
        <v>4151</v>
      </c>
      <c r="BN238" s="57" t="s">
        <v>3476</v>
      </c>
      <c r="BO238" s="57">
        <v>8000</v>
      </c>
      <c r="BP238" s="57" t="s">
        <v>3810</v>
      </c>
      <c r="BQ238" s="57" t="s">
        <v>3476</v>
      </c>
      <c r="BR238" s="57" t="s">
        <v>4152</v>
      </c>
      <c r="BS238" s="57" t="s">
        <v>1292</v>
      </c>
      <c r="BT238" s="57" t="s">
        <v>3476</v>
      </c>
      <c r="BU238" s="57" t="s">
        <v>3476</v>
      </c>
      <c r="BV238" s="57" t="s">
        <v>3753</v>
      </c>
      <c r="BW238" s="57" t="s">
        <v>3476</v>
      </c>
      <c r="BX238" s="57">
        <v>8000</v>
      </c>
      <c r="BY238" s="57" t="s">
        <v>3476</v>
      </c>
      <c r="BZ238" s="57" t="s">
        <v>3476</v>
      </c>
      <c r="CA238" s="57" t="s">
        <v>3476</v>
      </c>
      <c r="CB238" s="57" t="s">
        <v>3476</v>
      </c>
      <c r="CC238" s="57" t="s">
        <v>3476</v>
      </c>
      <c r="CD238" s="57" t="s">
        <v>3476</v>
      </c>
    </row>
    <row r="239" spans="1:82">
      <c r="A239" s="57">
        <v>21055</v>
      </c>
      <c r="B239" s="57" t="s">
        <v>3476</v>
      </c>
      <c r="C239" s="57" t="s">
        <v>4144</v>
      </c>
      <c r="D239" s="57" t="s">
        <v>3476</v>
      </c>
      <c r="E239" s="57" t="s">
        <v>3730</v>
      </c>
      <c r="F239" s="57" t="s">
        <v>4145</v>
      </c>
      <c r="G239" s="57" t="s">
        <v>721</v>
      </c>
      <c r="H239" s="57" t="s">
        <v>2874</v>
      </c>
      <c r="I239" s="57">
        <v>112308</v>
      </c>
      <c r="J239" s="57" t="s">
        <v>3476</v>
      </c>
      <c r="K239" s="57" t="s">
        <v>3476</v>
      </c>
      <c r="L239" s="57" t="s">
        <v>3732</v>
      </c>
      <c r="M239" s="57" t="s">
        <v>4146</v>
      </c>
      <c r="N239" s="57" t="s">
        <v>4146</v>
      </c>
      <c r="O239" s="57" t="s">
        <v>3476</v>
      </c>
      <c r="P239" s="57" t="s">
        <v>3476</v>
      </c>
      <c r="Q239" s="57" t="s">
        <v>2874</v>
      </c>
      <c r="R239" s="57" t="s">
        <v>3781</v>
      </c>
      <c r="S239" s="57" t="s">
        <v>3782</v>
      </c>
      <c r="T239" s="57" t="s">
        <v>3736</v>
      </c>
      <c r="U239" s="57" t="s">
        <v>3476</v>
      </c>
      <c r="V239" s="57" t="s">
        <v>3469</v>
      </c>
      <c r="W239" s="57" t="s">
        <v>3476</v>
      </c>
      <c r="X239" s="57" t="s">
        <v>4021</v>
      </c>
      <c r="Y239" s="57" t="s">
        <v>3738</v>
      </c>
      <c r="Z239" s="57" t="s">
        <v>4147</v>
      </c>
      <c r="AA239" s="57" t="s">
        <v>3733</v>
      </c>
      <c r="AB239" s="57" t="s">
        <v>3476</v>
      </c>
      <c r="AC239" s="57" t="s">
        <v>3741</v>
      </c>
      <c r="AD239" s="57" t="s">
        <v>3476</v>
      </c>
      <c r="AE239" s="57" t="s">
        <v>3476</v>
      </c>
      <c r="AF239" s="57" t="s">
        <v>3476</v>
      </c>
      <c r="AG239" s="57" t="s">
        <v>3476</v>
      </c>
      <c r="AH239" s="57" t="s">
        <v>3476</v>
      </c>
      <c r="AI239" s="57" t="s">
        <v>3476</v>
      </c>
      <c r="AJ239" s="57" t="s">
        <v>3476</v>
      </c>
      <c r="AK239" s="57" t="s">
        <v>1292</v>
      </c>
      <c r="AL239" s="57" t="s">
        <v>4148</v>
      </c>
      <c r="AM239" s="57" t="s">
        <v>3476</v>
      </c>
      <c r="AN239" s="57" t="s">
        <v>3830</v>
      </c>
      <c r="AO239" s="57" t="s">
        <v>3476</v>
      </c>
      <c r="AP239" s="58">
        <v>45768.6981134259</v>
      </c>
      <c r="AQ239" s="57" t="s">
        <v>3476</v>
      </c>
      <c r="AR239" s="57" t="s">
        <v>3806</v>
      </c>
      <c r="AS239" s="57" t="s">
        <v>3502</v>
      </c>
      <c r="AT239" s="57" t="s">
        <v>3745</v>
      </c>
      <c r="AU239" s="57" t="s">
        <v>4149</v>
      </c>
      <c r="AV239" s="57" t="s">
        <v>3476</v>
      </c>
      <c r="AW239" s="58">
        <v>45701.6948148148</v>
      </c>
      <c r="AX239" s="57" t="s">
        <v>4148</v>
      </c>
      <c r="AY239" s="57" t="s">
        <v>3747</v>
      </c>
      <c r="AZ239" s="57" t="s">
        <v>3476</v>
      </c>
      <c r="BA239" s="57" t="s">
        <v>3476</v>
      </c>
      <c r="BB239" s="57" t="s">
        <v>3476</v>
      </c>
      <c r="BC239" s="57" t="s">
        <v>3794</v>
      </c>
      <c r="BD239" s="57" t="s">
        <v>3659</v>
      </c>
      <c r="BE239" s="57" t="s">
        <v>4150</v>
      </c>
      <c r="BF239" s="57" t="s">
        <v>3749</v>
      </c>
      <c r="BG239" s="57" t="s">
        <v>3476</v>
      </c>
      <c r="BH239" s="57" t="s">
        <v>3476</v>
      </c>
      <c r="BI239" s="57" t="s">
        <v>2809</v>
      </c>
      <c r="BJ239" s="57" t="s">
        <v>3476</v>
      </c>
      <c r="BK239" s="57" t="s">
        <v>3476</v>
      </c>
      <c r="BL239" s="57">
        <v>3431144</v>
      </c>
      <c r="BM239" s="57" t="s">
        <v>4151</v>
      </c>
      <c r="BN239" s="57" t="s">
        <v>3476</v>
      </c>
      <c r="BO239" s="57">
        <v>14630</v>
      </c>
      <c r="BP239" s="57" t="s">
        <v>3810</v>
      </c>
      <c r="BQ239" s="57" t="s">
        <v>3476</v>
      </c>
      <c r="BR239" s="57" t="s">
        <v>4152</v>
      </c>
      <c r="BS239" s="57" t="s">
        <v>1292</v>
      </c>
      <c r="BT239" s="57" t="s">
        <v>3476</v>
      </c>
      <c r="BU239" s="57" t="s">
        <v>3476</v>
      </c>
      <c r="BV239" s="57" t="s">
        <v>3753</v>
      </c>
      <c r="BW239" s="57" t="s">
        <v>3476</v>
      </c>
      <c r="BX239" s="57">
        <v>14630</v>
      </c>
      <c r="BY239" s="57" t="s">
        <v>3476</v>
      </c>
      <c r="BZ239" s="57" t="s">
        <v>3476</v>
      </c>
      <c r="CA239" s="57" t="s">
        <v>3476</v>
      </c>
      <c r="CB239" s="57" t="s">
        <v>3476</v>
      </c>
      <c r="CC239" s="57" t="s">
        <v>3476</v>
      </c>
      <c r="CD239" s="57" t="s">
        <v>3476</v>
      </c>
    </row>
    <row r="240" spans="1:82">
      <c r="A240" s="57">
        <v>21056</v>
      </c>
      <c r="B240" s="57" t="s">
        <v>3476</v>
      </c>
      <c r="C240" s="57" t="s">
        <v>4144</v>
      </c>
      <c r="D240" s="57" t="s">
        <v>3476</v>
      </c>
      <c r="E240" s="57" t="s">
        <v>3730</v>
      </c>
      <c r="F240" s="57" t="s">
        <v>4145</v>
      </c>
      <c r="G240" s="57" t="s">
        <v>721</v>
      </c>
      <c r="H240" s="57" t="s">
        <v>2874</v>
      </c>
      <c r="I240" s="57">
        <v>112308</v>
      </c>
      <c r="J240" s="57" t="s">
        <v>3476</v>
      </c>
      <c r="K240" s="57" t="s">
        <v>3476</v>
      </c>
      <c r="L240" s="57" t="s">
        <v>3732</v>
      </c>
      <c r="M240" s="57" t="s">
        <v>4146</v>
      </c>
      <c r="N240" s="57" t="s">
        <v>4146</v>
      </c>
      <c r="O240" s="57" t="s">
        <v>3476</v>
      </c>
      <c r="P240" s="57" t="s">
        <v>3476</v>
      </c>
      <c r="Q240" s="57" t="s">
        <v>2874</v>
      </c>
      <c r="R240" s="57" t="s">
        <v>3781</v>
      </c>
      <c r="S240" s="57" t="s">
        <v>3782</v>
      </c>
      <c r="T240" s="57" t="s">
        <v>3736</v>
      </c>
      <c r="U240" s="57" t="s">
        <v>3476</v>
      </c>
      <c r="V240" s="57" t="s">
        <v>3469</v>
      </c>
      <c r="W240" s="57" t="s">
        <v>3476</v>
      </c>
      <c r="X240" s="57" t="s">
        <v>4021</v>
      </c>
      <c r="Y240" s="57" t="s">
        <v>3738</v>
      </c>
      <c r="Z240" s="57" t="s">
        <v>4147</v>
      </c>
      <c r="AA240" s="57" t="s">
        <v>3733</v>
      </c>
      <c r="AB240" s="57" t="s">
        <v>3476</v>
      </c>
      <c r="AC240" s="57" t="s">
        <v>3741</v>
      </c>
      <c r="AD240" s="57" t="s">
        <v>3476</v>
      </c>
      <c r="AE240" s="57" t="s">
        <v>3476</v>
      </c>
      <c r="AF240" s="57" t="s">
        <v>3476</v>
      </c>
      <c r="AG240" s="57" t="s">
        <v>3476</v>
      </c>
      <c r="AH240" s="57" t="s">
        <v>3476</v>
      </c>
      <c r="AI240" s="57" t="s">
        <v>3476</v>
      </c>
      <c r="AJ240" s="57" t="s">
        <v>3476</v>
      </c>
      <c r="AK240" s="57" t="s">
        <v>1292</v>
      </c>
      <c r="AL240" s="57" t="s">
        <v>4148</v>
      </c>
      <c r="AM240" s="57" t="s">
        <v>3476</v>
      </c>
      <c r="AN240" s="57" t="s">
        <v>3830</v>
      </c>
      <c r="AO240" s="57" t="s">
        <v>3476</v>
      </c>
      <c r="AP240" s="58">
        <v>45768.6981134259</v>
      </c>
      <c r="AQ240" s="57" t="s">
        <v>3476</v>
      </c>
      <c r="AR240" s="57" t="s">
        <v>3806</v>
      </c>
      <c r="AS240" s="57" t="s">
        <v>3502</v>
      </c>
      <c r="AT240" s="57" t="s">
        <v>3745</v>
      </c>
      <c r="AU240" s="57" t="s">
        <v>4149</v>
      </c>
      <c r="AV240" s="57" t="s">
        <v>3476</v>
      </c>
      <c r="AW240" s="58">
        <v>45701.6948148148</v>
      </c>
      <c r="AX240" s="57" t="s">
        <v>4148</v>
      </c>
      <c r="AY240" s="57" t="s">
        <v>3747</v>
      </c>
      <c r="AZ240" s="57" t="s">
        <v>3476</v>
      </c>
      <c r="BA240" s="57" t="s">
        <v>3476</v>
      </c>
      <c r="BB240" s="57" t="s">
        <v>3476</v>
      </c>
      <c r="BC240" s="57" t="s">
        <v>3794</v>
      </c>
      <c r="BD240" s="57" t="s">
        <v>3659</v>
      </c>
      <c r="BE240" s="57" t="s">
        <v>4150</v>
      </c>
      <c r="BF240" s="57" t="s">
        <v>3749</v>
      </c>
      <c r="BG240" s="57" t="s">
        <v>3476</v>
      </c>
      <c r="BH240" s="57" t="s">
        <v>3476</v>
      </c>
      <c r="BI240" s="57" t="s">
        <v>2809</v>
      </c>
      <c r="BJ240" s="57" t="s">
        <v>3476</v>
      </c>
      <c r="BK240" s="57" t="s">
        <v>3476</v>
      </c>
      <c r="BL240" s="57">
        <v>3431145</v>
      </c>
      <c r="BM240" s="57" t="s">
        <v>4151</v>
      </c>
      <c r="BN240" s="57" t="s">
        <v>3476</v>
      </c>
      <c r="BO240" s="57">
        <v>9187.5</v>
      </c>
      <c r="BP240" s="57" t="s">
        <v>3810</v>
      </c>
      <c r="BQ240" s="57" t="s">
        <v>3476</v>
      </c>
      <c r="BR240" s="57" t="s">
        <v>4152</v>
      </c>
      <c r="BS240" s="57" t="s">
        <v>1292</v>
      </c>
      <c r="BT240" s="57" t="s">
        <v>3476</v>
      </c>
      <c r="BU240" s="57" t="s">
        <v>3476</v>
      </c>
      <c r="BV240" s="57" t="s">
        <v>3753</v>
      </c>
      <c r="BW240" s="57" t="s">
        <v>3476</v>
      </c>
      <c r="BX240" s="57">
        <v>9187.5</v>
      </c>
      <c r="BY240" s="57" t="s">
        <v>3476</v>
      </c>
      <c r="BZ240" s="57" t="s">
        <v>3476</v>
      </c>
      <c r="CA240" s="57" t="s">
        <v>3476</v>
      </c>
      <c r="CB240" s="57" t="s">
        <v>3476</v>
      </c>
      <c r="CC240" s="57" t="s">
        <v>3476</v>
      </c>
      <c r="CD240" s="57" t="s">
        <v>3476</v>
      </c>
    </row>
    <row r="241" spans="1:82">
      <c r="A241" s="57">
        <v>21057</v>
      </c>
      <c r="B241" s="57" t="s">
        <v>3476</v>
      </c>
      <c r="C241" s="57" t="s">
        <v>4144</v>
      </c>
      <c r="D241" s="57" t="s">
        <v>3476</v>
      </c>
      <c r="E241" s="57" t="s">
        <v>3730</v>
      </c>
      <c r="F241" s="57" t="s">
        <v>4145</v>
      </c>
      <c r="G241" s="57" t="s">
        <v>721</v>
      </c>
      <c r="H241" s="57" t="s">
        <v>2874</v>
      </c>
      <c r="I241" s="57">
        <v>112308</v>
      </c>
      <c r="J241" s="57" t="s">
        <v>3476</v>
      </c>
      <c r="K241" s="57" t="s">
        <v>3476</v>
      </c>
      <c r="L241" s="57" t="s">
        <v>3732</v>
      </c>
      <c r="M241" s="57" t="s">
        <v>4146</v>
      </c>
      <c r="N241" s="57" t="s">
        <v>4146</v>
      </c>
      <c r="O241" s="57" t="s">
        <v>3476</v>
      </c>
      <c r="P241" s="57" t="s">
        <v>3476</v>
      </c>
      <c r="Q241" s="57" t="s">
        <v>2874</v>
      </c>
      <c r="R241" s="57" t="s">
        <v>3781</v>
      </c>
      <c r="S241" s="57" t="s">
        <v>3782</v>
      </c>
      <c r="T241" s="57" t="s">
        <v>3736</v>
      </c>
      <c r="U241" s="57" t="s">
        <v>3476</v>
      </c>
      <c r="V241" s="57" t="s">
        <v>3469</v>
      </c>
      <c r="W241" s="57" t="s">
        <v>3476</v>
      </c>
      <c r="X241" s="57" t="s">
        <v>4021</v>
      </c>
      <c r="Y241" s="57" t="s">
        <v>3738</v>
      </c>
      <c r="Z241" s="57" t="s">
        <v>4147</v>
      </c>
      <c r="AA241" s="57" t="s">
        <v>3733</v>
      </c>
      <c r="AB241" s="57" t="s">
        <v>3476</v>
      </c>
      <c r="AC241" s="57" t="s">
        <v>3741</v>
      </c>
      <c r="AD241" s="57" t="s">
        <v>3476</v>
      </c>
      <c r="AE241" s="57" t="s">
        <v>3476</v>
      </c>
      <c r="AF241" s="57" t="s">
        <v>3476</v>
      </c>
      <c r="AG241" s="57" t="s">
        <v>3476</v>
      </c>
      <c r="AH241" s="57" t="s">
        <v>3476</v>
      </c>
      <c r="AI241" s="57" t="s">
        <v>3476</v>
      </c>
      <c r="AJ241" s="57" t="s">
        <v>3476</v>
      </c>
      <c r="AK241" s="57" t="s">
        <v>1292</v>
      </c>
      <c r="AL241" s="57" t="s">
        <v>4148</v>
      </c>
      <c r="AM241" s="57" t="s">
        <v>3476</v>
      </c>
      <c r="AN241" s="57" t="s">
        <v>3830</v>
      </c>
      <c r="AO241" s="57" t="s">
        <v>3476</v>
      </c>
      <c r="AP241" s="58">
        <v>45768.6981134259</v>
      </c>
      <c r="AQ241" s="57" t="s">
        <v>3476</v>
      </c>
      <c r="AR241" s="57" t="s">
        <v>3806</v>
      </c>
      <c r="AS241" s="57" t="s">
        <v>3502</v>
      </c>
      <c r="AT241" s="57" t="s">
        <v>3745</v>
      </c>
      <c r="AU241" s="57" t="s">
        <v>4149</v>
      </c>
      <c r="AV241" s="57" t="s">
        <v>3476</v>
      </c>
      <c r="AW241" s="58">
        <v>45701.6948148148</v>
      </c>
      <c r="AX241" s="57" t="s">
        <v>4148</v>
      </c>
      <c r="AY241" s="57" t="s">
        <v>3747</v>
      </c>
      <c r="AZ241" s="57" t="s">
        <v>3476</v>
      </c>
      <c r="BA241" s="57" t="s">
        <v>3476</v>
      </c>
      <c r="BB241" s="57" t="s">
        <v>3476</v>
      </c>
      <c r="BC241" s="57" t="s">
        <v>3794</v>
      </c>
      <c r="BD241" s="57" t="s">
        <v>3659</v>
      </c>
      <c r="BE241" s="57" t="s">
        <v>4150</v>
      </c>
      <c r="BF241" s="57" t="s">
        <v>3749</v>
      </c>
      <c r="BG241" s="57" t="s">
        <v>3476</v>
      </c>
      <c r="BH241" s="57" t="s">
        <v>3476</v>
      </c>
      <c r="BI241" s="57" t="s">
        <v>2809</v>
      </c>
      <c r="BJ241" s="57" t="s">
        <v>3476</v>
      </c>
      <c r="BK241" s="57" t="s">
        <v>3476</v>
      </c>
      <c r="BL241" s="57">
        <v>3431146</v>
      </c>
      <c r="BM241" s="57" t="s">
        <v>4151</v>
      </c>
      <c r="BN241" s="57" t="s">
        <v>3476</v>
      </c>
      <c r="BO241" s="57">
        <v>7400</v>
      </c>
      <c r="BP241" s="57" t="s">
        <v>3810</v>
      </c>
      <c r="BQ241" s="57" t="s">
        <v>3476</v>
      </c>
      <c r="BR241" s="57" t="s">
        <v>4152</v>
      </c>
      <c r="BS241" s="57" t="s">
        <v>1292</v>
      </c>
      <c r="BT241" s="57" t="s">
        <v>3476</v>
      </c>
      <c r="BU241" s="57" t="s">
        <v>3476</v>
      </c>
      <c r="BV241" s="57" t="s">
        <v>3753</v>
      </c>
      <c r="BW241" s="57" t="s">
        <v>3476</v>
      </c>
      <c r="BX241" s="57">
        <v>7400</v>
      </c>
      <c r="BY241" s="57" t="s">
        <v>3476</v>
      </c>
      <c r="BZ241" s="57" t="s">
        <v>3476</v>
      </c>
      <c r="CA241" s="57" t="s">
        <v>3476</v>
      </c>
      <c r="CB241" s="57" t="s">
        <v>3476</v>
      </c>
      <c r="CC241" s="57" t="s">
        <v>3476</v>
      </c>
      <c r="CD241" s="57" t="s">
        <v>3476</v>
      </c>
    </row>
    <row r="242" spans="1:82">
      <c r="A242" s="57">
        <v>21058</v>
      </c>
      <c r="B242" s="57" t="s">
        <v>3476</v>
      </c>
      <c r="C242" s="57" t="s">
        <v>4144</v>
      </c>
      <c r="D242" s="57" t="s">
        <v>3476</v>
      </c>
      <c r="E242" s="57" t="s">
        <v>3730</v>
      </c>
      <c r="F242" s="57" t="s">
        <v>4145</v>
      </c>
      <c r="G242" s="57" t="s">
        <v>721</v>
      </c>
      <c r="H242" s="57" t="s">
        <v>2874</v>
      </c>
      <c r="I242" s="57">
        <v>112308</v>
      </c>
      <c r="J242" s="57" t="s">
        <v>3476</v>
      </c>
      <c r="K242" s="57" t="s">
        <v>3476</v>
      </c>
      <c r="L242" s="57" t="s">
        <v>3732</v>
      </c>
      <c r="M242" s="57" t="s">
        <v>4146</v>
      </c>
      <c r="N242" s="57" t="s">
        <v>4146</v>
      </c>
      <c r="O242" s="57" t="s">
        <v>3476</v>
      </c>
      <c r="P242" s="57" t="s">
        <v>3476</v>
      </c>
      <c r="Q242" s="57" t="s">
        <v>2874</v>
      </c>
      <c r="R242" s="57" t="s">
        <v>3781</v>
      </c>
      <c r="S242" s="57" t="s">
        <v>3782</v>
      </c>
      <c r="T242" s="57" t="s">
        <v>3736</v>
      </c>
      <c r="U242" s="57" t="s">
        <v>3476</v>
      </c>
      <c r="V242" s="57" t="s">
        <v>3469</v>
      </c>
      <c r="W242" s="57" t="s">
        <v>3476</v>
      </c>
      <c r="X242" s="57" t="s">
        <v>4021</v>
      </c>
      <c r="Y242" s="57" t="s">
        <v>3738</v>
      </c>
      <c r="Z242" s="57" t="s">
        <v>4147</v>
      </c>
      <c r="AA242" s="57" t="s">
        <v>3733</v>
      </c>
      <c r="AB242" s="57" t="s">
        <v>3476</v>
      </c>
      <c r="AC242" s="57" t="s">
        <v>3741</v>
      </c>
      <c r="AD242" s="57" t="s">
        <v>3476</v>
      </c>
      <c r="AE242" s="57" t="s">
        <v>3476</v>
      </c>
      <c r="AF242" s="57" t="s">
        <v>3476</v>
      </c>
      <c r="AG242" s="57" t="s">
        <v>3476</v>
      </c>
      <c r="AH242" s="57" t="s">
        <v>3476</v>
      </c>
      <c r="AI242" s="57" t="s">
        <v>3476</v>
      </c>
      <c r="AJ242" s="57" t="s">
        <v>3476</v>
      </c>
      <c r="AK242" s="57" t="s">
        <v>1292</v>
      </c>
      <c r="AL242" s="57" t="s">
        <v>4148</v>
      </c>
      <c r="AM242" s="57" t="s">
        <v>3476</v>
      </c>
      <c r="AN242" s="57" t="s">
        <v>3830</v>
      </c>
      <c r="AO242" s="57" t="s">
        <v>3476</v>
      </c>
      <c r="AP242" s="58">
        <v>45768.6981134259</v>
      </c>
      <c r="AQ242" s="57" t="s">
        <v>3476</v>
      </c>
      <c r="AR242" s="57" t="s">
        <v>3806</v>
      </c>
      <c r="AS242" s="57" t="s">
        <v>3502</v>
      </c>
      <c r="AT242" s="57" t="s">
        <v>3745</v>
      </c>
      <c r="AU242" s="57" t="s">
        <v>4149</v>
      </c>
      <c r="AV242" s="57" t="s">
        <v>3476</v>
      </c>
      <c r="AW242" s="58">
        <v>45701.6948148148</v>
      </c>
      <c r="AX242" s="57" t="s">
        <v>4148</v>
      </c>
      <c r="AY242" s="57" t="s">
        <v>3747</v>
      </c>
      <c r="AZ242" s="57" t="s">
        <v>3476</v>
      </c>
      <c r="BA242" s="57" t="s">
        <v>3476</v>
      </c>
      <c r="BB242" s="57" t="s">
        <v>3476</v>
      </c>
      <c r="BC242" s="57" t="s">
        <v>3794</v>
      </c>
      <c r="BD242" s="57" t="s">
        <v>3659</v>
      </c>
      <c r="BE242" s="57" t="s">
        <v>4150</v>
      </c>
      <c r="BF242" s="57" t="s">
        <v>3749</v>
      </c>
      <c r="BG242" s="57" t="s">
        <v>3476</v>
      </c>
      <c r="BH242" s="57" t="s">
        <v>3476</v>
      </c>
      <c r="BI242" s="57" t="s">
        <v>2809</v>
      </c>
      <c r="BJ242" s="57" t="s">
        <v>3476</v>
      </c>
      <c r="BK242" s="57" t="s">
        <v>3476</v>
      </c>
      <c r="BL242" s="57">
        <v>3431147</v>
      </c>
      <c r="BM242" s="57" t="s">
        <v>4151</v>
      </c>
      <c r="BN242" s="57" t="s">
        <v>3476</v>
      </c>
      <c r="BO242" s="57">
        <v>18590</v>
      </c>
      <c r="BP242" s="57" t="s">
        <v>3810</v>
      </c>
      <c r="BQ242" s="57" t="s">
        <v>3476</v>
      </c>
      <c r="BR242" s="57" t="s">
        <v>4152</v>
      </c>
      <c r="BS242" s="57" t="s">
        <v>1292</v>
      </c>
      <c r="BT242" s="57" t="s">
        <v>3476</v>
      </c>
      <c r="BU242" s="57" t="s">
        <v>3476</v>
      </c>
      <c r="BV242" s="57" t="s">
        <v>3753</v>
      </c>
      <c r="BW242" s="57" t="s">
        <v>3476</v>
      </c>
      <c r="BX242" s="57">
        <v>18590</v>
      </c>
      <c r="BY242" s="57" t="s">
        <v>3476</v>
      </c>
      <c r="BZ242" s="57" t="s">
        <v>3476</v>
      </c>
      <c r="CA242" s="57" t="s">
        <v>3476</v>
      </c>
      <c r="CB242" s="57" t="s">
        <v>3476</v>
      </c>
      <c r="CC242" s="57" t="s">
        <v>3476</v>
      </c>
      <c r="CD242" s="57" t="s">
        <v>3476</v>
      </c>
    </row>
    <row r="243" spans="1:82">
      <c r="A243" s="57">
        <v>21864</v>
      </c>
      <c r="B243" s="57" t="s">
        <v>3476</v>
      </c>
      <c r="C243" s="57" t="s">
        <v>4153</v>
      </c>
      <c r="D243" s="57" t="s">
        <v>3476</v>
      </c>
      <c r="E243" s="57" t="s">
        <v>3730</v>
      </c>
      <c r="F243" s="57" t="s">
        <v>4154</v>
      </c>
      <c r="G243" s="57" t="s">
        <v>721</v>
      </c>
      <c r="H243" s="57" t="s">
        <v>3562</v>
      </c>
      <c r="I243" s="57">
        <v>29055</v>
      </c>
      <c r="J243" s="57" t="s">
        <v>3476</v>
      </c>
      <c r="K243" s="57" t="s">
        <v>3476</v>
      </c>
      <c r="L243" s="57" t="s">
        <v>3732</v>
      </c>
      <c r="M243" s="57" t="s">
        <v>4155</v>
      </c>
      <c r="N243" s="57" t="s">
        <v>4043</v>
      </c>
      <c r="O243" s="57" t="s">
        <v>3476</v>
      </c>
      <c r="P243" s="57" t="s">
        <v>3476</v>
      </c>
      <c r="Q243" s="57" t="s">
        <v>3562</v>
      </c>
      <c r="R243" s="57" t="s">
        <v>3996</v>
      </c>
      <c r="S243" s="57" t="s">
        <v>3997</v>
      </c>
      <c r="T243" s="57" t="s">
        <v>3736</v>
      </c>
      <c r="U243" s="57" t="s">
        <v>3476</v>
      </c>
      <c r="V243" s="57" t="s">
        <v>3469</v>
      </c>
      <c r="W243" s="57" t="s">
        <v>3476</v>
      </c>
      <c r="X243" s="57" t="s">
        <v>4021</v>
      </c>
      <c r="Y243" s="57" t="s">
        <v>3738</v>
      </c>
      <c r="Z243" s="57" t="s">
        <v>4044</v>
      </c>
      <c r="AA243" s="57" t="s">
        <v>4155</v>
      </c>
      <c r="AB243" s="57" t="s">
        <v>3476</v>
      </c>
      <c r="AC243" s="57" t="s">
        <v>3741</v>
      </c>
      <c r="AD243" s="57" t="s">
        <v>3476</v>
      </c>
      <c r="AE243" s="57" t="s">
        <v>3476</v>
      </c>
      <c r="AF243" s="57" t="s">
        <v>3476</v>
      </c>
      <c r="AG243" s="57" t="s">
        <v>3476</v>
      </c>
      <c r="AH243" s="57" t="s">
        <v>3476</v>
      </c>
      <c r="AI243" s="57" t="s">
        <v>3476</v>
      </c>
      <c r="AJ243" s="57" t="s">
        <v>3476</v>
      </c>
      <c r="AK243" s="57" t="s">
        <v>1292</v>
      </c>
      <c r="AL243" s="57" t="s">
        <v>4156</v>
      </c>
      <c r="AM243" s="57" t="s">
        <v>3476</v>
      </c>
      <c r="AN243" s="57" t="s">
        <v>4157</v>
      </c>
      <c r="AO243" s="57" t="s">
        <v>3476</v>
      </c>
      <c r="AP243" s="58">
        <v>45667.8147222222</v>
      </c>
      <c r="AQ243" s="57" t="s">
        <v>3476</v>
      </c>
      <c r="AR243" s="57" t="s">
        <v>4158</v>
      </c>
      <c r="AS243" s="57" t="s">
        <v>3502</v>
      </c>
      <c r="AT243" s="57" t="s">
        <v>3745</v>
      </c>
      <c r="AU243" s="57" t="s">
        <v>4159</v>
      </c>
      <c r="AV243" s="57" t="s">
        <v>3476</v>
      </c>
      <c r="AW243" s="58">
        <v>45660.5778703704</v>
      </c>
      <c r="AX243" s="57" t="s">
        <v>4156</v>
      </c>
      <c r="AY243" s="57" t="s">
        <v>3747</v>
      </c>
      <c r="AZ243" s="57" t="s">
        <v>3476</v>
      </c>
      <c r="BA243" s="57" t="s">
        <v>3476</v>
      </c>
      <c r="BB243" s="57" t="s">
        <v>3476</v>
      </c>
      <c r="BC243" s="57" t="s">
        <v>3551</v>
      </c>
      <c r="BD243" s="57" t="s">
        <v>4003</v>
      </c>
      <c r="BE243" s="57" t="s">
        <v>2829</v>
      </c>
      <c r="BF243" s="57" t="s">
        <v>3749</v>
      </c>
      <c r="BG243" s="57" t="s">
        <v>3476</v>
      </c>
      <c r="BH243" s="57" t="s">
        <v>3476</v>
      </c>
      <c r="BI243" s="57" t="s">
        <v>2809</v>
      </c>
      <c r="BJ243" s="57" t="s">
        <v>3476</v>
      </c>
      <c r="BK243" s="57" t="s">
        <v>3476</v>
      </c>
      <c r="BL243" s="57">
        <v>3338569</v>
      </c>
      <c r="BM243" s="57" t="s">
        <v>4160</v>
      </c>
      <c r="BN243" s="57" t="s">
        <v>3476</v>
      </c>
      <c r="BO243" s="57">
        <v>9685</v>
      </c>
      <c r="BP243" s="57" t="s">
        <v>4161</v>
      </c>
      <c r="BQ243" s="57" t="s">
        <v>3476</v>
      </c>
      <c r="BR243" s="57" t="s">
        <v>4162</v>
      </c>
      <c r="BS243" s="57" t="s">
        <v>1292</v>
      </c>
      <c r="BT243" s="57" t="s">
        <v>3476</v>
      </c>
      <c r="BU243" s="57" t="s">
        <v>3476</v>
      </c>
      <c r="BV243" s="57" t="s">
        <v>3753</v>
      </c>
      <c r="BW243" s="57" t="s">
        <v>3476</v>
      </c>
      <c r="BX243" s="57">
        <v>9685</v>
      </c>
      <c r="BY243" s="57" t="s">
        <v>3476</v>
      </c>
      <c r="BZ243" s="57" t="s">
        <v>3476</v>
      </c>
      <c r="CA243" s="57" t="s">
        <v>3476</v>
      </c>
      <c r="CB243" s="57" t="s">
        <v>3476</v>
      </c>
      <c r="CC243" s="57" t="s">
        <v>3476</v>
      </c>
      <c r="CD243" s="57" t="s">
        <v>3476</v>
      </c>
    </row>
    <row r="244" spans="1:82">
      <c r="A244" s="57">
        <v>21865</v>
      </c>
      <c r="B244" s="57" t="s">
        <v>3476</v>
      </c>
      <c r="C244" s="57" t="s">
        <v>4153</v>
      </c>
      <c r="D244" s="57" t="s">
        <v>3476</v>
      </c>
      <c r="E244" s="57" t="s">
        <v>3730</v>
      </c>
      <c r="F244" s="57" t="s">
        <v>4154</v>
      </c>
      <c r="G244" s="57" t="s">
        <v>721</v>
      </c>
      <c r="H244" s="57" t="s">
        <v>3562</v>
      </c>
      <c r="I244" s="57">
        <v>29055</v>
      </c>
      <c r="J244" s="57" t="s">
        <v>3476</v>
      </c>
      <c r="K244" s="57" t="s">
        <v>3476</v>
      </c>
      <c r="L244" s="57" t="s">
        <v>3732</v>
      </c>
      <c r="M244" s="57" t="s">
        <v>4155</v>
      </c>
      <c r="N244" s="57" t="s">
        <v>4043</v>
      </c>
      <c r="O244" s="57" t="s">
        <v>3476</v>
      </c>
      <c r="P244" s="57" t="s">
        <v>3476</v>
      </c>
      <c r="Q244" s="57" t="s">
        <v>3562</v>
      </c>
      <c r="R244" s="57" t="s">
        <v>3996</v>
      </c>
      <c r="S244" s="57" t="s">
        <v>3997</v>
      </c>
      <c r="T244" s="57" t="s">
        <v>3736</v>
      </c>
      <c r="U244" s="57" t="s">
        <v>3476</v>
      </c>
      <c r="V244" s="57" t="s">
        <v>3469</v>
      </c>
      <c r="W244" s="57" t="s">
        <v>3476</v>
      </c>
      <c r="X244" s="57" t="s">
        <v>4021</v>
      </c>
      <c r="Y244" s="57" t="s">
        <v>3738</v>
      </c>
      <c r="Z244" s="57" t="s">
        <v>4044</v>
      </c>
      <c r="AA244" s="57" t="s">
        <v>4155</v>
      </c>
      <c r="AB244" s="57" t="s">
        <v>3476</v>
      </c>
      <c r="AC244" s="57" t="s">
        <v>3741</v>
      </c>
      <c r="AD244" s="57" t="s">
        <v>3476</v>
      </c>
      <c r="AE244" s="57" t="s">
        <v>3476</v>
      </c>
      <c r="AF244" s="57" t="s">
        <v>3476</v>
      </c>
      <c r="AG244" s="57" t="s">
        <v>3476</v>
      </c>
      <c r="AH244" s="57" t="s">
        <v>3476</v>
      </c>
      <c r="AI244" s="57" t="s">
        <v>3476</v>
      </c>
      <c r="AJ244" s="57" t="s">
        <v>3476</v>
      </c>
      <c r="AK244" s="57" t="s">
        <v>1292</v>
      </c>
      <c r="AL244" s="57" t="s">
        <v>4156</v>
      </c>
      <c r="AM244" s="57" t="s">
        <v>3476</v>
      </c>
      <c r="AN244" s="57" t="s">
        <v>4157</v>
      </c>
      <c r="AO244" s="57" t="s">
        <v>3476</v>
      </c>
      <c r="AP244" s="58">
        <v>45667.8147222222</v>
      </c>
      <c r="AQ244" s="57" t="s">
        <v>3476</v>
      </c>
      <c r="AR244" s="57" t="s">
        <v>4158</v>
      </c>
      <c r="AS244" s="57" t="s">
        <v>3502</v>
      </c>
      <c r="AT244" s="57" t="s">
        <v>3745</v>
      </c>
      <c r="AU244" s="57" t="s">
        <v>4159</v>
      </c>
      <c r="AV244" s="57" t="s">
        <v>3476</v>
      </c>
      <c r="AW244" s="58">
        <v>45660.5778703704</v>
      </c>
      <c r="AX244" s="57" t="s">
        <v>4156</v>
      </c>
      <c r="AY244" s="57" t="s">
        <v>3747</v>
      </c>
      <c r="AZ244" s="57" t="s">
        <v>3476</v>
      </c>
      <c r="BA244" s="57" t="s">
        <v>3476</v>
      </c>
      <c r="BB244" s="57" t="s">
        <v>3476</v>
      </c>
      <c r="BC244" s="57" t="s">
        <v>3551</v>
      </c>
      <c r="BD244" s="57" t="s">
        <v>4003</v>
      </c>
      <c r="BE244" s="57" t="s">
        <v>2829</v>
      </c>
      <c r="BF244" s="57" t="s">
        <v>3749</v>
      </c>
      <c r="BG244" s="57" t="s">
        <v>3476</v>
      </c>
      <c r="BH244" s="57" t="s">
        <v>3476</v>
      </c>
      <c r="BI244" s="57" t="s">
        <v>2809</v>
      </c>
      <c r="BJ244" s="57" t="s">
        <v>3476</v>
      </c>
      <c r="BK244" s="57" t="s">
        <v>3476</v>
      </c>
      <c r="BL244" s="57">
        <v>3338569</v>
      </c>
      <c r="BM244" s="57" t="s">
        <v>4163</v>
      </c>
      <c r="BN244" s="57" t="s">
        <v>3476</v>
      </c>
      <c r="BO244" s="57">
        <v>19370</v>
      </c>
      <c r="BP244" s="57" t="s">
        <v>4161</v>
      </c>
      <c r="BQ244" s="57" t="s">
        <v>3476</v>
      </c>
      <c r="BR244" s="57" t="s">
        <v>4162</v>
      </c>
      <c r="BS244" s="57" t="s">
        <v>1292</v>
      </c>
      <c r="BT244" s="57" t="s">
        <v>3476</v>
      </c>
      <c r="BU244" s="57" t="s">
        <v>3476</v>
      </c>
      <c r="BV244" s="57" t="s">
        <v>3753</v>
      </c>
      <c r="BW244" s="57" t="s">
        <v>3476</v>
      </c>
      <c r="BX244" s="57">
        <v>19370</v>
      </c>
      <c r="BY244" s="57" t="s">
        <v>3476</v>
      </c>
      <c r="BZ244" s="57" t="s">
        <v>3476</v>
      </c>
      <c r="CA244" s="57" t="s">
        <v>3476</v>
      </c>
      <c r="CB244" s="57" t="s">
        <v>3476</v>
      </c>
      <c r="CC244" s="57" t="s">
        <v>3476</v>
      </c>
      <c r="CD244" s="57" t="s">
        <v>3476</v>
      </c>
    </row>
    <row r="245" spans="1:82">
      <c r="A245" s="57">
        <v>21994</v>
      </c>
      <c r="B245" s="57" t="s">
        <v>3476</v>
      </c>
      <c r="C245" s="57" t="s">
        <v>4164</v>
      </c>
      <c r="D245" s="57" t="s">
        <v>3476</v>
      </c>
      <c r="E245" s="57" t="s">
        <v>3730</v>
      </c>
      <c r="F245" s="57" t="s">
        <v>4165</v>
      </c>
      <c r="G245" s="57" t="s">
        <v>721</v>
      </c>
      <c r="H245" s="57" t="s">
        <v>3580</v>
      </c>
      <c r="I245" s="57">
        <v>12500</v>
      </c>
      <c r="J245" s="57" t="s">
        <v>3476</v>
      </c>
      <c r="K245" s="57" t="s">
        <v>3476</v>
      </c>
      <c r="L245" s="57" t="s">
        <v>3732</v>
      </c>
      <c r="M245" s="57" t="s">
        <v>4060</v>
      </c>
      <c r="N245" s="57" t="s">
        <v>4060</v>
      </c>
      <c r="O245" s="57" t="s">
        <v>3476</v>
      </c>
      <c r="P245" s="57" t="s">
        <v>3476</v>
      </c>
      <c r="Q245" s="57" t="s">
        <v>3580</v>
      </c>
      <c r="R245" s="57" t="s">
        <v>3825</v>
      </c>
      <c r="S245" s="57" t="s">
        <v>3826</v>
      </c>
      <c r="T245" s="57" t="s">
        <v>3736</v>
      </c>
      <c r="U245" s="57" t="s">
        <v>3476</v>
      </c>
      <c r="V245" s="57" t="s">
        <v>3469</v>
      </c>
      <c r="W245" s="57" t="s">
        <v>3476</v>
      </c>
      <c r="X245" s="57" t="s">
        <v>4021</v>
      </c>
      <c r="Y245" s="57" t="s">
        <v>3738</v>
      </c>
      <c r="Z245" s="57" t="s">
        <v>4166</v>
      </c>
      <c r="AA245" s="57" t="s">
        <v>3740</v>
      </c>
      <c r="AB245" s="57" t="s">
        <v>3476</v>
      </c>
      <c r="AC245" s="57" t="s">
        <v>3741</v>
      </c>
      <c r="AD245" s="57" t="s">
        <v>3476</v>
      </c>
      <c r="AE245" s="57" t="s">
        <v>3476</v>
      </c>
      <c r="AF245" s="57" t="s">
        <v>3476</v>
      </c>
      <c r="AG245" s="57" t="s">
        <v>3476</v>
      </c>
      <c r="AH245" s="57" t="s">
        <v>3476</v>
      </c>
      <c r="AI245" s="57" t="s">
        <v>3476</v>
      </c>
      <c r="AJ245" s="57" t="s">
        <v>3476</v>
      </c>
      <c r="AK245" s="57" t="s">
        <v>1292</v>
      </c>
      <c r="AL245" s="57" t="s">
        <v>4167</v>
      </c>
      <c r="AM245" s="57" t="s">
        <v>3476</v>
      </c>
      <c r="AN245" s="57" t="s">
        <v>3937</v>
      </c>
      <c r="AO245" s="57" t="s">
        <v>3476</v>
      </c>
      <c r="AP245" s="58">
        <v>45821.7293865741</v>
      </c>
      <c r="AQ245" s="57" t="s">
        <v>3476</v>
      </c>
      <c r="AR245" s="57" t="s">
        <v>3744</v>
      </c>
      <c r="AS245" s="57" t="s">
        <v>3502</v>
      </c>
      <c r="AT245" s="57" t="s">
        <v>3745</v>
      </c>
      <c r="AU245" s="57" t="s">
        <v>4168</v>
      </c>
      <c r="AV245" s="57" t="s">
        <v>3476</v>
      </c>
      <c r="AW245" s="58">
        <v>45666.6226041667</v>
      </c>
      <c r="AX245" s="57" t="s">
        <v>4167</v>
      </c>
      <c r="AY245" s="57" t="s">
        <v>3747</v>
      </c>
      <c r="AZ245" s="57" t="s">
        <v>3476</v>
      </c>
      <c r="BA245" s="57" t="s">
        <v>3476</v>
      </c>
      <c r="BB245" s="57" t="s">
        <v>3476</v>
      </c>
      <c r="BC245" s="57" t="s">
        <v>3569</v>
      </c>
      <c r="BD245" s="57" t="s">
        <v>3833</v>
      </c>
      <c r="BE245" s="57" t="s">
        <v>2826</v>
      </c>
      <c r="BF245" s="57" t="s">
        <v>3749</v>
      </c>
      <c r="BG245" s="57" t="s">
        <v>3476</v>
      </c>
      <c r="BH245" s="57" t="s">
        <v>3476</v>
      </c>
      <c r="BI245" s="57" t="s">
        <v>2809</v>
      </c>
      <c r="BJ245" s="57" t="s">
        <v>3476</v>
      </c>
      <c r="BK245" s="57" t="s">
        <v>3476</v>
      </c>
      <c r="BL245" s="57">
        <v>3328317</v>
      </c>
      <c r="BM245" s="57" t="s">
        <v>4169</v>
      </c>
      <c r="BN245" s="57" t="s">
        <v>3476</v>
      </c>
      <c r="BO245" s="57">
        <v>3500</v>
      </c>
      <c r="BP245" s="57" t="s">
        <v>3751</v>
      </c>
      <c r="BQ245" s="57" t="s">
        <v>3476</v>
      </c>
      <c r="BR245" s="57" t="s">
        <v>4170</v>
      </c>
      <c r="BS245" s="57" t="s">
        <v>1292</v>
      </c>
      <c r="BT245" s="57" t="s">
        <v>3476</v>
      </c>
      <c r="BU245" s="57" t="s">
        <v>3476</v>
      </c>
      <c r="BV245" s="57" t="s">
        <v>3753</v>
      </c>
      <c r="BW245" s="57" t="s">
        <v>3476</v>
      </c>
      <c r="BX245" s="57">
        <v>3500</v>
      </c>
      <c r="BY245" s="57" t="s">
        <v>3476</v>
      </c>
      <c r="BZ245" s="57" t="s">
        <v>3476</v>
      </c>
      <c r="CA245" s="57" t="s">
        <v>3753</v>
      </c>
      <c r="CB245" s="57" t="s">
        <v>3476</v>
      </c>
      <c r="CC245" s="57" t="s">
        <v>3476</v>
      </c>
      <c r="CD245" s="57" t="s">
        <v>3476</v>
      </c>
    </row>
    <row r="246" spans="1:82">
      <c r="A246" s="57">
        <v>21995</v>
      </c>
      <c r="B246" s="57" t="s">
        <v>3476</v>
      </c>
      <c r="C246" s="57" t="s">
        <v>4164</v>
      </c>
      <c r="D246" s="57" t="s">
        <v>3476</v>
      </c>
      <c r="E246" s="57" t="s">
        <v>3730</v>
      </c>
      <c r="F246" s="57" t="s">
        <v>4165</v>
      </c>
      <c r="G246" s="57" t="s">
        <v>721</v>
      </c>
      <c r="H246" s="57" t="s">
        <v>3580</v>
      </c>
      <c r="I246" s="57">
        <v>12500</v>
      </c>
      <c r="J246" s="57" t="s">
        <v>3476</v>
      </c>
      <c r="K246" s="57" t="s">
        <v>3476</v>
      </c>
      <c r="L246" s="57" t="s">
        <v>3732</v>
      </c>
      <c r="M246" s="57" t="s">
        <v>4060</v>
      </c>
      <c r="N246" s="57" t="s">
        <v>4060</v>
      </c>
      <c r="O246" s="57" t="s">
        <v>3476</v>
      </c>
      <c r="P246" s="57" t="s">
        <v>3476</v>
      </c>
      <c r="Q246" s="57" t="s">
        <v>3580</v>
      </c>
      <c r="R246" s="57" t="s">
        <v>3825</v>
      </c>
      <c r="S246" s="57" t="s">
        <v>3826</v>
      </c>
      <c r="T246" s="57" t="s">
        <v>3736</v>
      </c>
      <c r="U246" s="57" t="s">
        <v>3476</v>
      </c>
      <c r="V246" s="57" t="s">
        <v>3469</v>
      </c>
      <c r="W246" s="57" t="s">
        <v>3476</v>
      </c>
      <c r="X246" s="57" t="s">
        <v>4021</v>
      </c>
      <c r="Y246" s="57" t="s">
        <v>3738</v>
      </c>
      <c r="Z246" s="57" t="s">
        <v>4166</v>
      </c>
      <c r="AA246" s="57" t="s">
        <v>3740</v>
      </c>
      <c r="AB246" s="57" t="s">
        <v>3476</v>
      </c>
      <c r="AC246" s="57" t="s">
        <v>3741</v>
      </c>
      <c r="AD246" s="57" t="s">
        <v>3476</v>
      </c>
      <c r="AE246" s="57" t="s">
        <v>3476</v>
      </c>
      <c r="AF246" s="57" t="s">
        <v>3476</v>
      </c>
      <c r="AG246" s="57" t="s">
        <v>3476</v>
      </c>
      <c r="AH246" s="57" t="s">
        <v>3476</v>
      </c>
      <c r="AI246" s="57" t="s">
        <v>3476</v>
      </c>
      <c r="AJ246" s="57" t="s">
        <v>3476</v>
      </c>
      <c r="AK246" s="57" t="s">
        <v>1292</v>
      </c>
      <c r="AL246" s="57" t="s">
        <v>4167</v>
      </c>
      <c r="AM246" s="57" t="s">
        <v>3476</v>
      </c>
      <c r="AN246" s="57" t="s">
        <v>3937</v>
      </c>
      <c r="AO246" s="57" t="s">
        <v>3476</v>
      </c>
      <c r="AP246" s="58">
        <v>45821.7293865741</v>
      </c>
      <c r="AQ246" s="57" t="s">
        <v>3476</v>
      </c>
      <c r="AR246" s="57" t="s">
        <v>3744</v>
      </c>
      <c r="AS246" s="57" t="s">
        <v>3502</v>
      </c>
      <c r="AT246" s="57" t="s">
        <v>3745</v>
      </c>
      <c r="AU246" s="57" t="s">
        <v>4168</v>
      </c>
      <c r="AV246" s="57" t="s">
        <v>3476</v>
      </c>
      <c r="AW246" s="58">
        <v>45666.6226041667</v>
      </c>
      <c r="AX246" s="57" t="s">
        <v>4167</v>
      </c>
      <c r="AY246" s="57" t="s">
        <v>3747</v>
      </c>
      <c r="AZ246" s="57" t="s">
        <v>3476</v>
      </c>
      <c r="BA246" s="57" t="s">
        <v>3476</v>
      </c>
      <c r="BB246" s="57" t="s">
        <v>3476</v>
      </c>
      <c r="BC246" s="57" t="s">
        <v>3569</v>
      </c>
      <c r="BD246" s="57" t="s">
        <v>3833</v>
      </c>
      <c r="BE246" s="57" t="s">
        <v>2826</v>
      </c>
      <c r="BF246" s="57" t="s">
        <v>3749</v>
      </c>
      <c r="BG246" s="57" t="s">
        <v>3476</v>
      </c>
      <c r="BH246" s="57" t="s">
        <v>3476</v>
      </c>
      <c r="BI246" s="57" t="s">
        <v>2809</v>
      </c>
      <c r="BJ246" s="57" t="s">
        <v>3476</v>
      </c>
      <c r="BK246" s="57" t="s">
        <v>3476</v>
      </c>
      <c r="BL246" s="57">
        <v>3328317</v>
      </c>
      <c r="BM246" s="57" t="s">
        <v>4171</v>
      </c>
      <c r="BN246" s="57" t="s">
        <v>3476</v>
      </c>
      <c r="BO246" s="57">
        <v>9000</v>
      </c>
      <c r="BP246" s="57" t="s">
        <v>3751</v>
      </c>
      <c r="BQ246" s="57" t="s">
        <v>3476</v>
      </c>
      <c r="BR246" s="57" t="s">
        <v>4170</v>
      </c>
      <c r="BS246" s="57" t="s">
        <v>1292</v>
      </c>
      <c r="BT246" s="57" t="s">
        <v>3476</v>
      </c>
      <c r="BU246" s="57" t="s">
        <v>3476</v>
      </c>
      <c r="BV246" s="57" t="s">
        <v>3753</v>
      </c>
      <c r="BW246" s="57" t="s">
        <v>3476</v>
      </c>
      <c r="BX246" s="57">
        <v>9000</v>
      </c>
      <c r="BY246" s="57" t="s">
        <v>3476</v>
      </c>
      <c r="BZ246" s="57" t="s">
        <v>3476</v>
      </c>
      <c r="CA246" s="57" t="s">
        <v>3753</v>
      </c>
      <c r="CB246" s="57" t="s">
        <v>3476</v>
      </c>
      <c r="CC246" s="57" t="s">
        <v>3476</v>
      </c>
      <c r="CD246" s="57" t="s">
        <v>3476</v>
      </c>
    </row>
    <row r="247" spans="1:82">
      <c r="A247" s="57">
        <v>21997</v>
      </c>
      <c r="B247" s="57" t="s">
        <v>3476</v>
      </c>
      <c r="C247" s="57" t="s">
        <v>4172</v>
      </c>
      <c r="D247" s="57" t="s">
        <v>3476</v>
      </c>
      <c r="E247" s="57" t="s">
        <v>3730</v>
      </c>
      <c r="F247" s="57" t="s">
        <v>4173</v>
      </c>
      <c r="G247" s="57" t="s">
        <v>721</v>
      </c>
      <c r="H247" s="57" t="s">
        <v>3546</v>
      </c>
      <c r="I247" s="57">
        <v>22360</v>
      </c>
      <c r="J247" s="57" t="s">
        <v>3476</v>
      </c>
      <c r="K247" s="57" t="s">
        <v>3476</v>
      </c>
      <c r="L247" s="57" t="s">
        <v>3732</v>
      </c>
      <c r="M247" s="57" t="s">
        <v>4060</v>
      </c>
      <c r="N247" s="57" t="s">
        <v>4060</v>
      </c>
      <c r="O247" s="57" t="s">
        <v>3476</v>
      </c>
      <c r="P247" s="57" t="s">
        <v>3476</v>
      </c>
      <c r="Q247" s="57" t="s">
        <v>3546</v>
      </c>
      <c r="R247" s="57" t="s">
        <v>3734</v>
      </c>
      <c r="S247" s="57" t="s">
        <v>3735</v>
      </c>
      <c r="T247" s="57" t="s">
        <v>3736</v>
      </c>
      <c r="U247" s="57" t="s">
        <v>3476</v>
      </c>
      <c r="V247" s="57" t="s">
        <v>3469</v>
      </c>
      <c r="W247" s="57" t="s">
        <v>3476</v>
      </c>
      <c r="X247" s="57" t="s">
        <v>4021</v>
      </c>
      <c r="Y247" s="57" t="s">
        <v>3738</v>
      </c>
      <c r="Z247" s="57" t="s">
        <v>4174</v>
      </c>
      <c r="AA247" s="57" t="s">
        <v>3944</v>
      </c>
      <c r="AB247" s="57" t="s">
        <v>3476</v>
      </c>
      <c r="AC247" s="57" t="s">
        <v>3741</v>
      </c>
      <c r="AD247" s="57" t="s">
        <v>3476</v>
      </c>
      <c r="AE247" s="57" t="s">
        <v>3476</v>
      </c>
      <c r="AF247" s="57" t="s">
        <v>3476</v>
      </c>
      <c r="AG247" s="57" t="s">
        <v>3476</v>
      </c>
      <c r="AH247" s="57" t="s">
        <v>3476</v>
      </c>
      <c r="AI247" s="57" t="s">
        <v>3476</v>
      </c>
      <c r="AJ247" s="57" t="s">
        <v>3476</v>
      </c>
      <c r="AK247" s="57" t="s">
        <v>1292</v>
      </c>
      <c r="AL247" s="57" t="s">
        <v>4175</v>
      </c>
      <c r="AM247" s="57" t="s">
        <v>3476</v>
      </c>
      <c r="AN247" s="57" t="s">
        <v>4176</v>
      </c>
      <c r="AO247" s="57" t="s">
        <v>3476</v>
      </c>
      <c r="AP247" s="58">
        <v>45729.7319791667</v>
      </c>
      <c r="AQ247" s="57" t="s">
        <v>3476</v>
      </c>
      <c r="AR247" s="57" t="s">
        <v>3507</v>
      </c>
      <c r="AS247" s="57" t="s">
        <v>3502</v>
      </c>
      <c r="AT247" s="57" t="s">
        <v>3745</v>
      </c>
      <c r="AU247" s="57" t="s">
        <v>4177</v>
      </c>
      <c r="AV247" s="57" t="s">
        <v>3476</v>
      </c>
      <c r="AW247" s="58">
        <v>45665.8584606482</v>
      </c>
      <c r="AX247" s="57" t="s">
        <v>4175</v>
      </c>
      <c r="AY247" s="57" t="s">
        <v>3747</v>
      </c>
      <c r="AZ247" s="57" t="s">
        <v>3476</v>
      </c>
      <c r="BA247" s="57" t="s">
        <v>3476</v>
      </c>
      <c r="BB247" s="57" t="s">
        <v>3476</v>
      </c>
      <c r="BC247" s="57" t="s">
        <v>3535</v>
      </c>
      <c r="BD247" s="57" t="s">
        <v>3748</v>
      </c>
      <c r="BE247" s="57" t="s">
        <v>2831</v>
      </c>
      <c r="BF247" s="57" t="s">
        <v>3749</v>
      </c>
      <c r="BG247" s="57" t="s">
        <v>3476</v>
      </c>
      <c r="BH247" s="57" t="s">
        <v>3476</v>
      </c>
      <c r="BI247" s="57" t="s">
        <v>2809</v>
      </c>
      <c r="BJ247" s="57" t="s">
        <v>3476</v>
      </c>
      <c r="BK247" s="57" t="s">
        <v>3476</v>
      </c>
      <c r="BL247" s="57">
        <v>3364787</v>
      </c>
      <c r="BM247" s="57" t="s">
        <v>4178</v>
      </c>
      <c r="BN247" s="57" t="s">
        <v>3476</v>
      </c>
      <c r="BO247" s="57">
        <v>22360</v>
      </c>
      <c r="BP247" s="57" t="s">
        <v>3930</v>
      </c>
      <c r="BQ247" s="57" t="s">
        <v>3476</v>
      </c>
      <c r="BR247" s="57" t="s">
        <v>4179</v>
      </c>
      <c r="BS247" s="57" t="s">
        <v>1292</v>
      </c>
      <c r="BT247" s="57" t="s">
        <v>3476</v>
      </c>
      <c r="BU247" s="57" t="s">
        <v>3476</v>
      </c>
      <c r="BV247" s="57" t="s">
        <v>3753</v>
      </c>
      <c r="BW247" s="57" t="s">
        <v>3476</v>
      </c>
      <c r="BX247" s="57">
        <v>22360</v>
      </c>
      <c r="BY247" s="57" t="s">
        <v>3476</v>
      </c>
      <c r="BZ247" s="57" t="s">
        <v>3476</v>
      </c>
      <c r="CA247" s="57" t="s">
        <v>3753</v>
      </c>
      <c r="CB247" s="57" t="s">
        <v>3476</v>
      </c>
      <c r="CC247" s="57" t="s">
        <v>3476</v>
      </c>
      <c r="CD247" s="57" t="s">
        <v>3476</v>
      </c>
    </row>
    <row r="248" spans="1:82">
      <c r="A248" s="57">
        <v>21998</v>
      </c>
      <c r="B248" s="57" t="s">
        <v>3476</v>
      </c>
      <c r="C248" s="57" t="s">
        <v>4180</v>
      </c>
      <c r="D248" s="57" t="s">
        <v>3476</v>
      </c>
      <c r="E248" s="57" t="s">
        <v>3730</v>
      </c>
      <c r="F248" s="57" t="s">
        <v>4181</v>
      </c>
      <c r="G248" s="57" t="s">
        <v>721</v>
      </c>
      <c r="H248" s="57" t="s">
        <v>3580</v>
      </c>
      <c r="I248" s="57">
        <v>14000</v>
      </c>
      <c r="J248" s="57" t="s">
        <v>3476</v>
      </c>
      <c r="K248" s="57" t="s">
        <v>3476</v>
      </c>
      <c r="L248" s="57" t="s">
        <v>3732</v>
      </c>
      <c r="M248" s="57" t="s">
        <v>4060</v>
      </c>
      <c r="N248" s="57" t="s">
        <v>4060</v>
      </c>
      <c r="O248" s="57" t="s">
        <v>3476</v>
      </c>
      <c r="P248" s="57" t="s">
        <v>3476</v>
      </c>
      <c r="Q248" s="57" t="s">
        <v>3580</v>
      </c>
      <c r="R248" s="57" t="s">
        <v>3825</v>
      </c>
      <c r="S248" s="57" t="s">
        <v>3826</v>
      </c>
      <c r="T248" s="57" t="s">
        <v>3736</v>
      </c>
      <c r="U248" s="57" t="s">
        <v>3476</v>
      </c>
      <c r="V248" s="57" t="s">
        <v>3469</v>
      </c>
      <c r="W248" s="57" t="s">
        <v>3476</v>
      </c>
      <c r="X248" s="57" t="s">
        <v>4021</v>
      </c>
      <c r="Y248" s="57" t="s">
        <v>3738</v>
      </c>
      <c r="Z248" s="57" t="s">
        <v>4174</v>
      </c>
      <c r="AA248" s="57" t="s">
        <v>3944</v>
      </c>
      <c r="AB248" s="57" t="s">
        <v>3476</v>
      </c>
      <c r="AC248" s="57" t="s">
        <v>3741</v>
      </c>
      <c r="AD248" s="57" t="s">
        <v>3476</v>
      </c>
      <c r="AE248" s="57" t="s">
        <v>3476</v>
      </c>
      <c r="AF248" s="57" t="s">
        <v>3476</v>
      </c>
      <c r="AG248" s="57" t="s">
        <v>3476</v>
      </c>
      <c r="AH248" s="57" t="s">
        <v>3476</v>
      </c>
      <c r="AI248" s="57" t="s">
        <v>3476</v>
      </c>
      <c r="AJ248" s="57" t="s">
        <v>3476</v>
      </c>
      <c r="AK248" s="57" t="s">
        <v>1292</v>
      </c>
      <c r="AL248" s="57" t="s">
        <v>4182</v>
      </c>
      <c r="AM248" s="57" t="s">
        <v>3476</v>
      </c>
      <c r="AN248" s="57" t="s">
        <v>3830</v>
      </c>
      <c r="AO248" s="57" t="s">
        <v>3476</v>
      </c>
      <c r="AP248" s="58">
        <v>45729.7319444444</v>
      </c>
      <c r="AQ248" s="57" t="s">
        <v>3476</v>
      </c>
      <c r="AR248" s="57" t="s">
        <v>3507</v>
      </c>
      <c r="AS248" s="57" t="s">
        <v>3502</v>
      </c>
      <c r="AT248" s="57" t="s">
        <v>3745</v>
      </c>
      <c r="AU248" s="57" t="s">
        <v>4183</v>
      </c>
      <c r="AV248" s="57" t="s">
        <v>3476</v>
      </c>
      <c r="AW248" s="58">
        <v>45665.8590393519</v>
      </c>
      <c r="AX248" s="57" t="s">
        <v>4182</v>
      </c>
      <c r="AY248" s="57" t="s">
        <v>3747</v>
      </c>
      <c r="AZ248" s="57" t="s">
        <v>3476</v>
      </c>
      <c r="BA248" s="57" t="s">
        <v>3476</v>
      </c>
      <c r="BB248" s="57" t="s">
        <v>3476</v>
      </c>
      <c r="BC248" s="57" t="s">
        <v>3569</v>
      </c>
      <c r="BD248" s="57" t="s">
        <v>3833</v>
      </c>
      <c r="BE248" s="57" t="s">
        <v>2826</v>
      </c>
      <c r="BF248" s="57" t="s">
        <v>3749</v>
      </c>
      <c r="BG248" s="57" t="s">
        <v>3476</v>
      </c>
      <c r="BH248" s="57" t="s">
        <v>3476</v>
      </c>
      <c r="BI248" s="57" t="s">
        <v>2809</v>
      </c>
      <c r="BJ248" s="57" t="s">
        <v>3476</v>
      </c>
      <c r="BK248" s="57" t="s">
        <v>3476</v>
      </c>
      <c r="BL248" s="57">
        <v>3328317</v>
      </c>
      <c r="BM248" s="57" t="s">
        <v>4184</v>
      </c>
      <c r="BN248" s="57" t="s">
        <v>3476</v>
      </c>
      <c r="BO248" s="57">
        <v>7000</v>
      </c>
      <c r="BP248" s="57" t="s">
        <v>3930</v>
      </c>
      <c r="BQ248" s="57" t="s">
        <v>3476</v>
      </c>
      <c r="BR248" s="57" t="s">
        <v>4185</v>
      </c>
      <c r="BS248" s="57" t="s">
        <v>1292</v>
      </c>
      <c r="BT248" s="57" t="s">
        <v>3476</v>
      </c>
      <c r="BU248" s="57" t="s">
        <v>3476</v>
      </c>
      <c r="BV248" s="57" t="s">
        <v>3753</v>
      </c>
      <c r="BW248" s="57" t="s">
        <v>3476</v>
      </c>
      <c r="BX248" s="57">
        <v>7000</v>
      </c>
      <c r="BY248" s="57" t="s">
        <v>3476</v>
      </c>
      <c r="BZ248" s="57" t="s">
        <v>3476</v>
      </c>
      <c r="CA248" s="57" t="s">
        <v>3753</v>
      </c>
      <c r="CB248" s="57" t="s">
        <v>3476</v>
      </c>
      <c r="CC248" s="57" t="s">
        <v>3476</v>
      </c>
      <c r="CD248" s="57" t="s">
        <v>3476</v>
      </c>
    </row>
    <row r="249" spans="1:82">
      <c r="A249" s="57">
        <v>21999</v>
      </c>
      <c r="B249" s="57" t="s">
        <v>3476</v>
      </c>
      <c r="C249" s="57" t="s">
        <v>4180</v>
      </c>
      <c r="D249" s="57" t="s">
        <v>3476</v>
      </c>
      <c r="E249" s="57" t="s">
        <v>3730</v>
      </c>
      <c r="F249" s="57" t="s">
        <v>4181</v>
      </c>
      <c r="G249" s="57" t="s">
        <v>721</v>
      </c>
      <c r="H249" s="57" t="s">
        <v>3580</v>
      </c>
      <c r="I249" s="57">
        <v>14000</v>
      </c>
      <c r="J249" s="57" t="s">
        <v>3476</v>
      </c>
      <c r="K249" s="57" t="s">
        <v>3476</v>
      </c>
      <c r="L249" s="57" t="s">
        <v>3732</v>
      </c>
      <c r="M249" s="57" t="s">
        <v>4060</v>
      </c>
      <c r="N249" s="57" t="s">
        <v>4060</v>
      </c>
      <c r="O249" s="57" t="s">
        <v>3476</v>
      </c>
      <c r="P249" s="57" t="s">
        <v>3476</v>
      </c>
      <c r="Q249" s="57" t="s">
        <v>3580</v>
      </c>
      <c r="R249" s="57" t="s">
        <v>3825</v>
      </c>
      <c r="S249" s="57" t="s">
        <v>3826</v>
      </c>
      <c r="T249" s="57" t="s">
        <v>3736</v>
      </c>
      <c r="U249" s="57" t="s">
        <v>3476</v>
      </c>
      <c r="V249" s="57" t="s">
        <v>3469</v>
      </c>
      <c r="W249" s="57" t="s">
        <v>3476</v>
      </c>
      <c r="X249" s="57" t="s">
        <v>4021</v>
      </c>
      <c r="Y249" s="57" t="s">
        <v>3738</v>
      </c>
      <c r="Z249" s="57" t="s">
        <v>4174</v>
      </c>
      <c r="AA249" s="57" t="s">
        <v>3944</v>
      </c>
      <c r="AB249" s="57" t="s">
        <v>3476</v>
      </c>
      <c r="AC249" s="57" t="s">
        <v>3741</v>
      </c>
      <c r="AD249" s="57" t="s">
        <v>3476</v>
      </c>
      <c r="AE249" s="57" t="s">
        <v>3476</v>
      </c>
      <c r="AF249" s="57" t="s">
        <v>3476</v>
      </c>
      <c r="AG249" s="57" t="s">
        <v>3476</v>
      </c>
      <c r="AH249" s="57" t="s">
        <v>3476</v>
      </c>
      <c r="AI249" s="57" t="s">
        <v>3476</v>
      </c>
      <c r="AJ249" s="57" t="s">
        <v>3476</v>
      </c>
      <c r="AK249" s="57" t="s">
        <v>1292</v>
      </c>
      <c r="AL249" s="57" t="s">
        <v>4182</v>
      </c>
      <c r="AM249" s="57" t="s">
        <v>3476</v>
      </c>
      <c r="AN249" s="57" t="s">
        <v>3830</v>
      </c>
      <c r="AO249" s="57" t="s">
        <v>3476</v>
      </c>
      <c r="AP249" s="58">
        <v>45729.7319444444</v>
      </c>
      <c r="AQ249" s="57" t="s">
        <v>3476</v>
      </c>
      <c r="AR249" s="57" t="s">
        <v>3507</v>
      </c>
      <c r="AS249" s="57" t="s">
        <v>3502</v>
      </c>
      <c r="AT249" s="57" t="s">
        <v>3745</v>
      </c>
      <c r="AU249" s="57" t="s">
        <v>4183</v>
      </c>
      <c r="AV249" s="57" t="s">
        <v>3476</v>
      </c>
      <c r="AW249" s="58">
        <v>45665.8590393519</v>
      </c>
      <c r="AX249" s="57" t="s">
        <v>4182</v>
      </c>
      <c r="AY249" s="57" t="s">
        <v>3747</v>
      </c>
      <c r="AZ249" s="57" t="s">
        <v>3476</v>
      </c>
      <c r="BA249" s="57" t="s">
        <v>3476</v>
      </c>
      <c r="BB249" s="57" t="s">
        <v>3476</v>
      </c>
      <c r="BC249" s="57" t="s">
        <v>3569</v>
      </c>
      <c r="BD249" s="57" t="s">
        <v>3833</v>
      </c>
      <c r="BE249" s="57" t="s">
        <v>2826</v>
      </c>
      <c r="BF249" s="57" t="s">
        <v>3749</v>
      </c>
      <c r="BG249" s="57" t="s">
        <v>3476</v>
      </c>
      <c r="BH249" s="57" t="s">
        <v>3476</v>
      </c>
      <c r="BI249" s="57" t="s">
        <v>2809</v>
      </c>
      <c r="BJ249" s="57" t="s">
        <v>3476</v>
      </c>
      <c r="BK249" s="57" t="s">
        <v>3476</v>
      </c>
      <c r="BL249" s="57">
        <v>3328317</v>
      </c>
      <c r="BM249" s="57" t="s">
        <v>4186</v>
      </c>
      <c r="BN249" s="57" t="s">
        <v>3476</v>
      </c>
      <c r="BO249" s="57">
        <v>7000</v>
      </c>
      <c r="BP249" s="57" t="s">
        <v>3930</v>
      </c>
      <c r="BQ249" s="57" t="s">
        <v>3476</v>
      </c>
      <c r="BR249" s="57" t="s">
        <v>4185</v>
      </c>
      <c r="BS249" s="57" t="s">
        <v>1292</v>
      </c>
      <c r="BT249" s="57" t="s">
        <v>3476</v>
      </c>
      <c r="BU249" s="57" t="s">
        <v>3476</v>
      </c>
      <c r="BV249" s="57" t="s">
        <v>3753</v>
      </c>
      <c r="BW249" s="57" t="s">
        <v>3476</v>
      </c>
      <c r="BX249" s="57">
        <v>7000</v>
      </c>
      <c r="BY249" s="57" t="s">
        <v>3476</v>
      </c>
      <c r="BZ249" s="57" t="s">
        <v>3476</v>
      </c>
      <c r="CA249" s="57" t="s">
        <v>3753</v>
      </c>
      <c r="CB249" s="57" t="s">
        <v>3476</v>
      </c>
      <c r="CC249" s="57" t="s">
        <v>3476</v>
      </c>
      <c r="CD249" s="57" t="s">
        <v>3476</v>
      </c>
    </row>
    <row r="250" spans="1:82">
      <c r="A250" s="57">
        <v>22428</v>
      </c>
      <c r="B250" s="57" t="s">
        <v>3476</v>
      </c>
      <c r="C250" s="57" t="s">
        <v>4187</v>
      </c>
      <c r="D250" s="57" t="s">
        <v>3476</v>
      </c>
      <c r="E250" s="57" t="s">
        <v>3730</v>
      </c>
      <c r="F250" s="57" t="s">
        <v>4188</v>
      </c>
      <c r="G250" s="57" t="s">
        <v>721</v>
      </c>
      <c r="H250" s="57" t="s">
        <v>2874</v>
      </c>
      <c r="I250" s="57">
        <v>48115.48</v>
      </c>
      <c r="J250" s="57" t="s">
        <v>3476</v>
      </c>
      <c r="K250" s="57" t="s">
        <v>3476</v>
      </c>
      <c r="L250" s="57" t="s">
        <v>3730</v>
      </c>
      <c r="M250" s="57" t="s">
        <v>4189</v>
      </c>
      <c r="N250" s="57" t="s">
        <v>4189</v>
      </c>
      <c r="O250" s="57" t="s">
        <v>3476</v>
      </c>
      <c r="P250" s="57" t="s">
        <v>3476</v>
      </c>
      <c r="Q250" s="57" t="s">
        <v>2874</v>
      </c>
      <c r="R250" s="57" t="s">
        <v>3781</v>
      </c>
      <c r="S250" s="57" t="s">
        <v>3782</v>
      </c>
      <c r="T250" s="57" t="s">
        <v>3736</v>
      </c>
      <c r="U250" s="57" t="s">
        <v>3476</v>
      </c>
      <c r="V250" s="57" t="s">
        <v>3469</v>
      </c>
      <c r="W250" s="57" t="s">
        <v>3476</v>
      </c>
      <c r="X250" s="57" t="s">
        <v>4190</v>
      </c>
      <c r="Y250" s="57" t="s">
        <v>3738</v>
      </c>
      <c r="Z250" s="57" t="s">
        <v>4122</v>
      </c>
      <c r="AA250" s="57" t="s">
        <v>3476</v>
      </c>
      <c r="AB250" s="57" t="s">
        <v>3476</v>
      </c>
      <c r="AC250" s="57" t="s">
        <v>3476</v>
      </c>
      <c r="AD250" s="57" t="s">
        <v>3476</v>
      </c>
      <c r="AE250" s="57" t="s">
        <v>3476</v>
      </c>
      <c r="AF250" s="57" t="s">
        <v>3476</v>
      </c>
      <c r="AG250" s="57" t="s">
        <v>3476</v>
      </c>
      <c r="AH250" s="57" t="s">
        <v>3476</v>
      </c>
      <c r="AI250" s="57" t="s">
        <v>3476</v>
      </c>
      <c r="AJ250" s="57" t="s">
        <v>3476</v>
      </c>
      <c r="AK250" s="57" t="s">
        <v>3476</v>
      </c>
      <c r="AL250" s="57" t="s">
        <v>3476</v>
      </c>
      <c r="AM250" s="57" t="s">
        <v>3476</v>
      </c>
      <c r="AN250" s="57" t="s">
        <v>3476</v>
      </c>
      <c r="AO250" s="57" t="s">
        <v>3476</v>
      </c>
      <c r="AP250" s="58">
        <v>45853.4481018518</v>
      </c>
      <c r="AQ250" s="57" t="s">
        <v>3476</v>
      </c>
      <c r="AR250" s="57" t="s">
        <v>3476</v>
      </c>
      <c r="AS250" s="57" t="s">
        <v>3502</v>
      </c>
      <c r="AT250" s="57" t="s">
        <v>3745</v>
      </c>
      <c r="AU250" s="57" t="s">
        <v>3476</v>
      </c>
      <c r="AV250" s="57" t="s">
        <v>3476</v>
      </c>
      <c r="AW250" s="58">
        <v>45853.3918287037</v>
      </c>
      <c r="AX250" s="57" t="s">
        <v>3476</v>
      </c>
      <c r="AY250" s="57" t="s">
        <v>3747</v>
      </c>
      <c r="AZ250" s="57" t="s">
        <v>3476</v>
      </c>
      <c r="BA250" s="57" t="s">
        <v>3476</v>
      </c>
      <c r="BB250" s="57" t="s">
        <v>3476</v>
      </c>
      <c r="BC250" s="57" t="s">
        <v>3791</v>
      </c>
      <c r="BD250" s="57" t="s">
        <v>3659</v>
      </c>
      <c r="BE250" s="57" t="s">
        <v>3787</v>
      </c>
      <c r="BF250" s="57" t="s">
        <v>3749</v>
      </c>
      <c r="BG250" s="57" t="s">
        <v>3476</v>
      </c>
      <c r="BH250" s="57" t="s">
        <v>3476</v>
      </c>
      <c r="BI250" s="57" t="s">
        <v>2809</v>
      </c>
      <c r="BJ250" s="57" t="s">
        <v>3476</v>
      </c>
      <c r="BK250" s="57" t="s">
        <v>3476</v>
      </c>
      <c r="BL250" s="57">
        <v>3586333</v>
      </c>
      <c r="BM250" s="57" t="s">
        <v>4191</v>
      </c>
      <c r="BN250" s="57">
        <v>2355.32</v>
      </c>
      <c r="BO250" s="57" t="s">
        <v>3476</v>
      </c>
      <c r="BP250" s="57" t="s">
        <v>3476</v>
      </c>
      <c r="BQ250" s="57" t="s">
        <v>3476</v>
      </c>
      <c r="BR250" s="57" t="s">
        <v>4192</v>
      </c>
      <c r="BS250" s="57" t="s">
        <v>1292</v>
      </c>
      <c r="BT250" s="57" t="s">
        <v>3476</v>
      </c>
      <c r="BU250" s="57" t="s">
        <v>3476</v>
      </c>
      <c r="BV250" s="57" t="s">
        <v>3753</v>
      </c>
      <c r="BW250" s="57" t="s">
        <v>3476</v>
      </c>
      <c r="BX250" s="57">
        <v>2355.32</v>
      </c>
      <c r="BY250" s="57" t="s">
        <v>3476</v>
      </c>
      <c r="BZ250" s="57" t="s">
        <v>3476</v>
      </c>
      <c r="CA250" s="57" t="s">
        <v>3476</v>
      </c>
      <c r="CB250" s="57" t="s">
        <v>3476</v>
      </c>
      <c r="CC250" s="57" t="s">
        <v>3476</v>
      </c>
      <c r="CD250" s="57" t="s">
        <v>3476</v>
      </c>
    </row>
    <row r="251" spans="1:82">
      <c r="A251" s="57">
        <v>22429</v>
      </c>
      <c r="B251" s="57" t="s">
        <v>3476</v>
      </c>
      <c r="C251" s="57" t="s">
        <v>4187</v>
      </c>
      <c r="D251" s="57" t="s">
        <v>3476</v>
      </c>
      <c r="E251" s="57" t="s">
        <v>3730</v>
      </c>
      <c r="F251" s="57" t="s">
        <v>4188</v>
      </c>
      <c r="G251" s="57" t="s">
        <v>721</v>
      </c>
      <c r="H251" s="57" t="s">
        <v>2874</v>
      </c>
      <c r="I251" s="57">
        <v>48115.48</v>
      </c>
      <c r="J251" s="57" t="s">
        <v>3476</v>
      </c>
      <c r="K251" s="57" t="s">
        <v>3476</v>
      </c>
      <c r="L251" s="57" t="s">
        <v>3730</v>
      </c>
      <c r="M251" s="57" t="s">
        <v>4189</v>
      </c>
      <c r="N251" s="57" t="s">
        <v>4189</v>
      </c>
      <c r="O251" s="57" t="s">
        <v>3476</v>
      </c>
      <c r="P251" s="57" t="s">
        <v>3476</v>
      </c>
      <c r="Q251" s="57" t="s">
        <v>2874</v>
      </c>
      <c r="R251" s="57" t="s">
        <v>3781</v>
      </c>
      <c r="S251" s="57" t="s">
        <v>3782</v>
      </c>
      <c r="T251" s="57" t="s">
        <v>3736</v>
      </c>
      <c r="U251" s="57" t="s">
        <v>3476</v>
      </c>
      <c r="V251" s="57" t="s">
        <v>3469</v>
      </c>
      <c r="W251" s="57" t="s">
        <v>3476</v>
      </c>
      <c r="X251" s="57" t="s">
        <v>4190</v>
      </c>
      <c r="Y251" s="57" t="s">
        <v>3738</v>
      </c>
      <c r="Z251" s="57" t="s">
        <v>4122</v>
      </c>
      <c r="AA251" s="57" t="s">
        <v>3476</v>
      </c>
      <c r="AB251" s="57" t="s">
        <v>3476</v>
      </c>
      <c r="AC251" s="57" t="s">
        <v>3476</v>
      </c>
      <c r="AD251" s="57" t="s">
        <v>3476</v>
      </c>
      <c r="AE251" s="57" t="s">
        <v>3476</v>
      </c>
      <c r="AF251" s="57" t="s">
        <v>3476</v>
      </c>
      <c r="AG251" s="57" t="s">
        <v>3476</v>
      </c>
      <c r="AH251" s="57" t="s">
        <v>3476</v>
      </c>
      <c r="AI251" s="57" t="s">
        <v>3476</v>
      </c>
      <c r="AJ251" s="57" t="s">
        <v>3476</v>
      </c>
      <c r="AK251" s="57" t="s">
        <v>3476</v>
      </c>
      <c r="AL251" s="57" t="s">
        <v>3476</v>
      </c>
      <c r="AM251" s="57" t="s">
        <v>3476</v>
      </c>
      <c r="AN251" s="57" t="s">
        <v>3476</v>
      </c>
      <c r="AO251" s="57" t="s">
        <v>3476</v>
      </c>
      <c r="AP251" s="58">
        <v>45853.4481018518</v>
      </c>
      <c r="AQ251" s="57" t="s">
        <v>3476</v>
      </c>
      <c r="AR251" s="57" t="s">
        <v>3476</v>
      </c>
      <c r="AS251" s="57" t="s">
        <v>3502</v>
      </c>
      <c r="AT251" s="57" t="s">
        <v>3745</v>
      </c>
      <c r="AU251" s="57" t="s">
        <v>3476</v>
      </c>
      <c r="AV251" s="57" t="s">
        <v>3476</v>
      </c>
      <c r="AW251" s="58">
        <v>45853.3918287037</v>
      </c>
      <c r="AX251" s="57" t="s">
        <v>3476</v>
      </c>
      <c r="AY251" s="57" t="s">
        <v>3747</v>
      </c>
      <c r="AZ251" s="57" t="s">
        <v>3476</v>
      </c>
      <c r="BA251" s="57" t="s">
        <v>3476</v>
      </c>
      <c r="BB251" s="57" t="s">
        <v>3476</v>
      </c>
      <c r="BC251" s="57" t="s">
        <v>3794</v>
      </c>
      <c r="BD251" s="57" t="s">
        <v>3659</v>
      </c>
      <c r="BE251" s="57" t="s">
        <v>3787</v>
      </c>
      <c r="BF251" s="57" t="s">
        <v>3749</v>
      </c>
      <c r="BG251" s="57" t="s">
        <v>3476</v>
      </c>
      <c r="BH251" s="57" t="s">
        <v>3476</v>
      </c>
      <c r="BI251" s="57" t="s">
        <v>2809</v>
      </c>
      <c r="BJ251" s="57" t="s">
        <v>3476</v>
      </c>
      <c r="BK251" s="57" t="s">
        <v>3476</v>
      </c>
      <c r="BL251" s="57">
        <v>3586334</v>
      </c>
      <c r="BM251" s="57" t="s">
        <v>4191</v>
      </c>
      <c r="BN251" s="57">
        <v>11960</v>
      </c>
      <c r="BO251" s="57" t="s">
        <v>3476</v>
      </c>
      <c r="BP251" s="57" t="s">
        <v>3476</v>
      </c>
      <c r="BQ251" s="57" t="s">
        <v>3476</v>
      </c>
      <c r="BR251" s="57" t="s">
        <v>4192</v>
      </c>
      <c r="BS251" s="57" t="s">
        <v>1292</v>
      </c>
      <c r="BT251" s="57" t="s">
        <v>3476</v>
      </c>
      <c r="BU251" s="57" t="s">
        <v>3476</v>
      </c>
      <c r="BV251" s="57" t="s">
        <v>3753</v>
      </c>
      <c r="BW251" s="57" t="s">
        <v>3476</v>
      </c>
      <c r="BX251" s="57">
        <v>11960</v>
      </c>
      <c r="BY251" s="57" t="s">
        <v>3476</v>
      </c>
      <c r="BZ251" s="57" t="s">
        <v>3476</v>
      </c>
      <c r="CA251" s="57" t="s">
        <v>3476</v>
      </c>
      <c r="CB251" s="57" t="s">
        <v>3476</v>
      </c>
      <c r="CC251" s="57" t="s">
        <v>3476</v>
      </c>
      <c r="CD251" s="57" t="s">
        <v>3476</v>
      </c>
    </row>
    <row r="252" spans="1:82">
      <c r="A252" s="57">
        <v>22430</v>
      </c>
      <c r="B252" s="57" t="s">
        <v>3476</v>
      </c>
      <c r="C252" s="57" t="s">
        <v>4187</v>
      </c>
      <c r="D252" s="57" t="s">
        <v>3476</v>
      </c>
      <c r="E252" s="57" t="s">
        <v>3730</v>
      </c>
      <c r="F252" s="57" t="s">
        <v>4188</v>
      </c>
      <c r="G252" s="57" t="s">
        <v>721</v>
      </c>
      <c r="H252" s="57" t="s">
        <v>2874</v>
      </c>
      <c r="I252" s="57">
        <v>48115.48</v>
      </c>
      <c r="J252" s="57" t="s">
        <v>3476</v>
      </c>
      <c r="K252" s="57" t="s">
        <v>3476</v>
      </c>
      <c r="L252" s="57" t="s">
        <v>3730</v>
      </c>
      <c r="M252" s="57" t="s">
        <v>4189</v>
      </c>
      <c r="N252" s="57" t="s">
        <v>4189</v>
      </c>
      <c r="O252" s="57" t="s">
        <v>3476</v>
      </c>
      <c r="P252" s="57" t="s">
        <v>3476</v>
      </c>
      <c r="Q252" s="57" t="s">
        <v>2874</v>
      </c>
      <c r="R252" s="57" t="s">
        <v>3781</v>
      </c>
      <c r="S252" s="57" t="s">
        <v>3782</v>
      </c>
      <c r="T252" s="57" t="s">
        <v>3736</v>
      </c>
      <c r="U252" s="57" t="s">
        <v>3476</v>
      </c>
      <c r="V252" s="57" t="s">
        <v>3469</v>
      </c>
      <c r="W252" s="57" t="s">
        <v>3476</v>
      </c>
      <c r="X252" s="57" t="s">
        <v>4190</v>
      </c>
      <c r="Y252" s="57" t="s">
        <v>3738</v>
      </c>
      <c r="Z252" s="57" t="s">
        <v>4122</v>
      </c>
      <c r="AA252" s="57" t="s">
        <v>3476</v>
      </c>
      <c r="AB252" s="57" t="s">
        <v>3476</v>
      </c>
      <c r="AC252" s="57" t="s">
        <v>3476</v>
      </c>
      <c r="AD252" s="57" t="s">
        <v>3476</v>
      </c>
      <c r="AE252" s="57" t="s">
        <v>3476</v>
      </c>
      <c r="AF252" s="57" t="s">
        <v>3476</v>
      </c>
      <c r="AG252" s="57" t="s">
        <v>3476</v>
      </c>
      <c r="AH252" s="57" t="s">
        <v>3476</v>
      </c>
      <c r="AI252" s="57" t="s">
        <v>3476</v>
      </c>
      <c r="AJ252" s="57" t="s">
        <v>3476</v>
      </c>
      <c r="AK252" s="57" t="s">
        <v>3476</v>
      </c>
      <c r="AL252" s="57" t="s">
        <v>3476</v>
      </c>
      <c r="AM252" s="57" t="s">
        <v>3476</v>
      </c>
      <c r="AN252" s="57" t="s">
        <v>3476</v>
      </c>
      <c r="AO252" s="57" t="s">
        <v>3476</v>
      </c>
      <c r="AP252" s="58">
        <v>45853.4481018518</v>
      </c>
      <c r="AQ252" s="57" t="s">
        <v>3476</v>
      </c>
      <c r="AR252" s="57" t="s">
        <v>3476</v>
      </c>
      <c r="AS252" s="57" t="s">
        <v>3502</v>
      </c>
      <c r="AT252" s="57" t="s">
        <v>3745</v>
      </c>
      <c r="AU252" s="57" t="s">
        <v>3476</v>
      </c>
      <c r="AV252" s="57" t="s">
        <v>3476</v>
      </c>
      <c r="AW252" s="58">
        <v>45853.3918287037</v>
      </c>
      <c r="AX252" s="57" t="s">
        <v>3476</v>
      </c>
      <c r="AY252" s="57" t="s">
        <v>3747</v>
      </c>
      <c r="AZ252" s="57" t="s">
        <v>3476</v>
      </c>
      <c r="BA252" s="57" t="s">
        <v>3476</v>
      </c>
      <c r="BB252" s="57" t="s">
        <v>3476</v>
      </c>
      <c r="BC252" s="57" t="s">
        <v>3791</v>
      </c>
      <c r="BD252" s="57" t="s">
        <v>3659</v>
      </c>
      <c r="BE252" s="57" t="s">
        <v>3787</v>
      </c>
      <c r="BF252" s="57" t="s">
        <v>3749</v>
      </c>
      <c r="BG252" s="57" t="s">
        <v>3476</v>
      </c>
      <c r="BH252" s="57" t="s">
        <v>3476</v>
      </c>
      <c r="BI252" s="57" t="s">
        <v>2809</v>
      </c>
      <c r="BJ252" s="57" t="s">
        <v>3476</v>
      </c>
      <c r="BK252" s="57" t="s">
        <v>3476</v>
      </c>
      <c r="BL252" s="57">
        <v>3586335</v>
      </c>
      <c r="BM252" s="57" t="s">
        <v>4191</v>
      </c>
      <c r="BN252" s="57">
        <v>2025</v>
      </c>
      <c r="BO252" s="57" t="s">
        <v>3476</v>
      </c>
      <c r="BP252" s="57" t="s">
        <v>3476</v>
      </c>
      <c r="BQ252" s="57" t="s">
        <v>3476</v>
      </c>
      <c r="BR252" s="57" t="s">
        <v>4192</v>
      </c>
      <c r="BS252" s="57" t="s">
        <v>1292</v>
      </c>
      <c r="BT252" s="57" t="s">
        <v>3476</v>
      </c>
      <c r="BU252" s="57" t="s">
        <v>3476</v>
      </c>
      <c r="BV252" s="57" t="s">
        <v>3753</v>
      </c>
      <c r="BW252" s="57" t="s">
        <v>3476</v>
      </c>
      <c r="BX252" s="57">
        <v>2025</v>
      </c>
      <c r="BY252" s="57" t="s">
        <v>3476</v>
      </c>
      <c r="BZ252" s="57" t="s">
        <v>3476</v>
      </c>
      <c r="CA252" s="57" t="s">
        <v>3476</v>
      </c>
      <c r="CB252" s="57" t="s">
        <v>3476</v>
      </c>
      <c r="CC252" s="57" t="s">
        <v>3476</v>
      </c>
      <c r="CD252" s="57" t="s">
        <v>3476</v>
      </c>
    </row>
    <row r="253" spans="1:82">
      <c r="A253" s="57">
        <v>22431</v>
      </c>
      <c r="B253" s="57" t="s">
        <v>3476</v>
      </c>
      <c r="C253" s="57" t="s">
        <v>4187</v>
      </c>
      <c r="D253" s="57" t="s">
        <v>3476</v>
      </c>
      <c r="E253" s="57" t="s">
        <v>3730</v>
      </c>
      <c r="F253" s="57" t="s">
        <v>4188</v>
      </c>
      <c r="G253" s="57" t="s">
        <v>721</v>
      </c>
      <c r="H253" s="57" t="s">
        <v>2874</v>
      </c>
      <c r="I253" s="57">
        <v>48115.48</v>
      </c>
      <c r="J253" s="57" t="s">
        <v>3476</v>
      </c>
      <c r="K253" s="57" t="s">
        <v>3476</v>
      </c>
      <c r="L253" s="57" t="s">
        <v>3730</v>
      </c>
      <c r="M253" s="57" t="s">
        <v>4189</v>
      </c>
      <c r="N253" s="57" t="s">
        <v>4189</v>
      </c>
      <c r="O253" s="57" t="s">
        <v>3476</v>
      </c>
      <c r="P253" s="57" t="s">
        <v>3476</v>
      </c>
      <c r="Q253" s="57" t="s">
        <v>2874</v>
      </c>
      <c r="R253" s="57" t="s">
        <v>3781</v>
      </c>
      <c r="S253" s="57" t="s">
        <v>3782</v>
      </c>
      <c r="T253" s="57" t="s">
        <v>3736</v>
      </c>
      <c r="U253" s="57" t="s">
        <v>3476</v>
      </c>
      <c r="V253" s="57" t="s">
        <v>3469</v>
      </c>
      <c r="W253" s="57" t="s">
        <v>3476</v>
      </c>
      <c r="X253" s="57" t="s">
        <v>4190</v>
      </c>
      <c r="Y253" s="57" t="s">
        <v>3738</v>
      </c>
      <c r="Z253" s="57" t="s">
        <v>4122</v>
      </c>
      <c r="AA253" s="57" t="s">
        <v>3476</v>
      </c>
      <c r="AB253" s="57" t="s">
        <v>3476</v>
      </c>
      <c r="AC253" s="57" t="s">
        <v>3476</v>
      </c>
      <c r="AD253" s="57" t="s">
        <v>3476</v>
      </c>
      <c r="AE253" s="57" t="s">
        <v>3476</v>
      </c>
      <c r="AF253" s="57" t="s">
        <v>3476</v>
      </c>
      <c r="AG253" s="57" t="s">
        <v>3476</v>
      </c>
      <c r="AH253" s="57" t="s">
        <v>3476</v>
      </c>
      <c r="AI253" s="57" t="s">
        <v>3476</v>
      </c>
      <c r="AJ253" s="57" t="s">
        <v>3476</v>
      </c>
      <c r="AK253" s="57" t="s">
        <v>3476</v>
      </c>
      <c r="AL253" s="57" t="s">
        <v>3476</v>
      </c>
      <c r="AM253" s="57" t="s">
        <v>3476</v>
      </c>
      <c r="AN253" s="57" t="s">
        <v>3476</v>
      </c>
      <c r="AO253" s="57" t="s">
        <v>3476</v>
      </c>
      <c r="AP253" s="58">
        <v>45853.4481018518</v>
      </c>
      <c r="AQ253" s="57" t="s">
        <v>3476</v>
      </c>
      <c r="AR253" s="57" t="s">
        <v>3476</v>
      </c>
      <c r="AS253" s="57" t="s">
        <v>3502</v>
      </c>
      <c r="AT253" s="57" t="s">
        <v>3745</v>
      </c>
      <c r="AU253" s="57" t="s">
        <v>3476</v>
      </c>
      <c r="AV253" s="57" t="s">
        <v>3476</v>
      </c>
      <c r="AW253" s="58">
        <v>45853.3918287037</v>
      </c>
      <c r="AX253" s="57" t="s">
        <v>3476</v>
      </c>
      <c r="AY253" s="57" t="s">
        <v>3747</v>
      </c>
      <c r="AZ253" s="57" t="s">
        <v>3476</v>
      </c>
      <c r="BA253" s="57" t="s">
        <v>3476</v>
      </c>
      <c r="BB253" s="57" t="s">
        <v>3476</v>
      </c>
      <c r="BC253" s="57" t="s">
        <v>3794</v>
      </c>
      <c r="BD253" s="57" t="s">
        <v>3659</v>
      </c>
      <c r="BE253" s="57" t="s">
        <v>3787</v>
      </c>
      <c r="BF253" s="57" t="s">
        <v>3749</v>
      </c>
      <c r="BG253" s="57" t="s">
        <v>3476</v>
      </c>
      <c r="BH253" s="57" t="s">
        <v>3476</v>
      </c>
      <c r="BI253" s="57" t="s">
        <v>2809</v>
      </c>
      <c r="BJ253" s="57" t="s">
        <v>3476</v>
      </c>
      <c r="BK253" s="57" t="s">
        <v>3476</v>
      </c>
      <c r="BL253" s="57">
        <v>3586336</v>
      </c>
      <c r="BM253" s="57" t="s">
        <v>4191</v>
      </c>
      <c r="BN253" s="57">
        <v>7400</v>
      </c>
      <c r="BO253" s="57" t="s">
        <v>3476</v>
      </c>
      <c r="BP253" s="57" t="s">
        <v>3476</v>
      </c>
      <c r="BQ253" s="57" t="s">
        <v>3476</v>
      </c>
      <c r="BR253" s="57" t="s">
        <v>4192</v>
      </c>
      <c r="BS253" s="57" t="s">
        <v>1292</v>
      </c>
      <c r="BT253" s="57" t="s">
        <v>3476</v>
      </c>
      <c r="BU253" s="57" t="s">
        <v>3476</v>
      </c>
      <c r="BV253" s="57" t="s">
        <v>3753</v>
      </c>
      <c r="BW253" s="57" t="s">
        <v>3476</v>
      </c>
      <c r="BX253" s="57">
        <v>7400</v>
      </c>
      <c r="BY253" s="57" t="s">
        <v>3476</v>
      </c>
      <c r="BZ253" s="57" t="s">
        <v>3476</v>
      </c>
      <c r="CA253" s="57" t="s">
        <v>3476</v>
      </c>
      <c r="CB253" s="57" t="s">
        <v>3476</v>
      </c>
      <c r="CC253" s="57" t="s">
        <v>3476</v>
      </c>
      <c r="CD253" s="57" t="s">
        <v>3476</v>
      </c>
    </row>
    <row r="254" spans="1:82">
      <c r="A254" s="57">
        <v>22432</v>
      </c>
      <c r="B254" s="57" t="s">
        <v>3476</v>
      </c>
      <c r="C254" s="57" t="s">
        <v>4187</v>
      </c>
      <c r="D254" s="57" t="s">
        <v>3476</v>
      </c>
      <c r="E254" s="57" t="s">
        <v>3730</v>
      </c>
      <c r="F254" s="57" t="s">
        <v>4188</v>
      </c>
      <c r="G254" s="57" t="s">
        <v>721</v>
      </c>
      <c r="H254" s="57" t="s">
        <v>2874</v>
      </c>
      <c r="I254" s="57">
        <v>48115.48</v>
      </c>
      <c r="J254" s="57" t="s">
        <v>3476</v>
      </c>
      <c r="K254" s="57" t="s">
        <v>3476</v>
      </c>
      <c r="L254" s="57" t="s">
        <v>3730</v>
      </c>
      <c r="M254" s="57" t="s">
        <v>4189</v>
      </c>
      <c r="N254" s="57" t="s">
        <v>4189</v>
      </c>
      <c r="O254" s="57" t="s">
        <v>3476</v>
      </c>
      <c r="P254" s="57" t="s">
        <v>3476</v>
      </c>
      <c r="Q254" s="57" t="s">
        <v>2874</v>
      </c>
      <c r="R254" s="57" t="s">
        <v>3781</v>
      </c>
      <c r="S254" s="57" t="s">
        <v>3782</v>
      </c>
      <c r="T254" s="57" t="s">
        <v>3736</v>
      </c>
      <c r="U254" s="57" t="s">
        <v>3476</v>
      </c>
      <c r="V254" s="57" t="s">
        <v>3469</v>
      </c>
      <c r="W254" s="57" t="s">
        <v>3476</v>
      </c>
      <c r="X254" s="57" t="s">
        <v>4190</v>
      </c>
      <c r="Y254" s="57" t="s">
        <v>3738</v>
      </c>
      <c r="Z254" s="57" t="s">
        <v>4122</v>
      </c>
      <c r="AA254" s="57" t="s">
        <v>3476</v>
      </c>
      <c r="AB254" s="57" t="s">
        <v>3476</v>
      </c>
      <c r="AC254" s="57" t="s">
        <v>3476</v>
      </c>
      <c r="AD254" s="57" t="s">
        <v>3476</v>
      </c>
      <c r="AE254" s="57" t="s">
        <v>3476</v>
      </c>
      <c r="AF254" s="57" t="s">
        <v>3476</v>
      </c>
      <c r="AG254" s="57" t="s">
        <v>3476</v>
      </c>
      <c r="AH254" s="57" t="s">
        <v>3476</v>
      </c>
      <c r="AI254" s="57" t="s">
        <v>3476</v>
      </c>
      <c r="AJ254" s="57" t="s">
        <v>3476</v>
      </c>
      <c r="AK254" s="57" t="s">
        <v>3476</v>
      </c>
      <c r="AL254" s="57" t="s">
        <v>3476</v>
      </c>
      <c r="AM254" s="57" t="s">
        <v>3476</v>
      </c>
      <c r="AN254" s="57" t="s">
        <v>3476</v>
      </c>
      <c r="AO254" s="57" t="s">
        <v>3476</v>
      </c>
      <c r="AP254" s="58">
        <v>45853.4481018518</v>
      </c>
      <c r="AQ254" s="57" t="s">
        <v>3476</v>
      </c>
      <c r="AR254" s="57" t="s">
        <v>3476</v>
      </c>
      <c r="AS254" s="57" t="s">
        <v>3502</v>
      </c>
      <c r="AT254" s="57" t="s">
        <v>3745</v>
      </c>
      <c r="AU254" s="57" t="s">
        <v>3476</v>
      </c>
      <c r="AV254" s="57" t="s">
        <v>3476</v>
      </c>
      <c r="AW254" s="58">
        <v>45853.3918287037</v>
      </c>
      <c r="AX254" s="57" t="s">
        <v>3476</v>
      </c>
      <c r="AY254" s="57" t="s">
        <v>3747</v>
      </c>
      <c r="AZ254" s="57" t="s">
        <v>3476</v>
      </c>
      <c r="BA254" s="57" t="s">
        <v>3476</v>
      </c>
      <c r="BB254" s="57" t="s">
        <v>3476</v>
      </c>
      <c r="BC254" s="57" t="s">
        <v>3794</v>
      </c>
      <c r="BD254" s="57" t="s">
        <v>3659</v>
      </c>
      <c r="BE254" s="57" t="s">
        <v>3787</v>
      </c>
      <c r="BF254" s="57" t="s">
        <v>3749</v>
      </c>
      <c r="BG254" s="57" t="s">
        <v>3476</v>
      </c>
      <c r="BH254" s="57" t="s">
        <v>3476</v>
      </c>
      <c r="BI254" s="57" t="s">
        <v>2809</v>
      </c>
      <c r="BJ254" s="57" t="s">
        <v>3476</v>
      </c>
      <c r="BK254" s="57" t="s">
        <v>3476</v>
      </c>
      <c r="BL254" s="57">
        <v>3586337</v>
      </c>
      <c r="BM254" s="57" t="s">
        <v>4191</v>
      </c>
      <c r="BN254" s="57">
        <v>10560</v>
      </c>
      <c r="BO254" s="57" t="s">
        <v>3476</v>
      </c>
      <c r="BP254" s="57" t="s">
        <v>3476</v>
      </c>
      <c r="BQ254" s="57" t="s">
        <v>3476</v>
      </c>
      <c r="BR254" s="57" t="s">
        <v>4192</v>
      </c>
      <c r="BS254" s="57" t="s">
        <v>1292</v>
      </c>
      <c r="BT254" s="57" t="s">
        <v>3476</v>
      </c>
      <c r="BU254" s="57" t="s">
        <v>3476</v>
      </c>
      <c r="BV254" s="57" t="s">
        <v>3753</v>
      </c>
      <c r="BW254" s="57" t="s">
        <v>3476</v>
      </c>
      <c r="BX254" s="57">
        <v>10560</v>
      </c>
      <c r="BY254" s="57" t="s">
        <v>3476</v>
      </c>
      <c r="BZ254" s="57" t="s">
        <v>3476</v>
      </c>
      <c r="CA254" s="57" t="s">
        <v>3476</v>
      </c>
      <c r="CB254" s="57" t="s">
        <v>3476</v>
      </c>
      <c r="CC254" s="57" t="s">
        <v>3476</v>
      </c>
      <c r="CD254" s="57" t="s">
        <v>3476</v>
      </c>
    </row>
    <row r="255" spans="1:82">
      <c r="A255" s="57">
        <v>22433</v>
      </c>
      <c r="B255" s="57" t="s">
        <v>3476</v>
      </c>
      <c r="C255" s="57" t="s">
        <v>4187</v>
      </c>
      <c r="D255" s="57" t="s">
        <v>3476</v>
      </c>
      <c r="E255" s="57" t="s">
        <v>3730</v>
      </c>
      <c r="F255" s="57" t="s">
        <v>4188</v>
      </c>
      <c r="G255" s="57" t="s">
        <v>721</v>
      </c>
      <c r="H255" s="57" t="s">
        <v>2874</v>
      </c>
      <c r="I255" s="57">
        <v>48115.48</v>
      </c>
      <c r="J255" s="57" t="s">
        <v>3476</v>
      </c>
      <c r="K255" s="57" t="s">
        <v>3476</v>
      </c>
      <c r="L255" s="57" t="s">
        <v>3730</v>
      </c>
      <c r="M255" s="57" t="s">
        <v>4189</v>
      </c>
      <c r="N255" s="57" t="s">
        <v>4189</v>
      </c>
      <c r="O255" s="57" t="s">
        <v>3476</v>
      </c>
      <c r="P255" s="57" t="s">
        <v>3476</v>
      </c>
      <c r="Q255" s="57" t="s">
        <v>2874</v>
      </c>
      <c r="R255" s="57" t="s">
        <v>3781</v>
      </c>
      <c r="S255" s="57" t="s">
        <v>3782</v>
      </c>
      <c r="T255" s="57" t="s">
        <v>3736</v>
      </c>
      <c r="U255" s="57" t="s">
        <v>3476</v>
      </c>
      <c r="V255" s="57" t="s">
        <v>3469</v>
      </c>
      <c r="W255" s="57" t="s">
        <v>3476</v>
      </c>
      <c r="X255" s="57" t="s">
        <v>4190</v>
      </c>
      <c r="Y255" s="57" t="s">
        <v>3738</v>
      </c>
      <c r="Z255" s="57" t="s">
        <v>4122</v>
      </c>
      <c r="AA255" s="57" t="s">
        <v>3476</v>
      </c>
      <c r="AB255" s="57" t="s">
        <v>3476</v>
      </c>
      <c r="AC255" s="57" t="s">
        <v>3476</v>
      </c>
      <c r="AD255" s="57" t="s">
        <v>3476</v>
      </c>
      <c r="AE255" s="57" t="s">
        <v>3476</v>
      </c>
      <c r="AF255" s="57" t="s">
        <v>3476</v>
      </c>
      <c r="AG255" s="57" t="s">
        <v>3476</v>
      </c>
      <c r="AH255" s="57" t="s">
        <v>3476</v>
      </c>
      <c r="AI255" s="57" t="s">
        <v>3476</v>
      </c>
      <c r="AJ255" s="57" t="s">
        <v>3476</v>
      </c>
      <c r="AK255" s="57" t="s">
        <v>3476</v>
      </c>
      <c r="AL255" s="57" t="s">
        <v>3476</v>
      </c>
      <c r="AM255" s="57" t="s">
        <v>3476</v>
      </c>
      <c r="AN255" s="57" t="s">
        <v>3476</v>
      </c>
      <c r="AO255" s="57" t="s">
        <v>3476</v>
      </c>
      <c r="AP255" s="58">
        <v>45853.4481018518</v>
      </c>
      <c r="AQ255" s="57" t="s">
        <v>3476</v>
      </c>
      <c r="AR255" s="57" t="s">
        <v>3476</v>
      </c>
      <c r="AS255" s="57" t="s">
        <v>3502</v>
      </c>
      <c r="AT255" s="57" t="s">
        <v>3745</v>
      </c>
      <c r="AU255" s="57" t="s">
        <v>3476</v>
      </c>
      <c r="AV255" s="57" t="s">
        <v>3476</v>
      </c>
      <c r="AW255" s="58">
        <v>45853.3918287037</v>
      </c>
      <c r="AX255" s="57" t="s">
        <v>3476</v>
      </c>
      <c r="AY255" s="57" t="s">
        <v>3747</v>
      </c>
      <c r="AZ255" s="57" t="s">
        <v>3476</v>
      </c>
      <c r="BA255" s="57" t="s">
        <v>3476</v>
      </c>
      <c r="BB255" s="57" t="s">
        <v>3476</v>
      </c>
      <c r="BC255" s="57" t="s">
        <v>1787</v>
      </c>
      <c r="BD255" s="57" t="s">
        <v>3659</v>
      </c>
      <c r="BE255" s="57" t="s">
        <v>3787</v>
      </c>
      <c r="BF255" s="57" t="s">
        <v>3749</v>
      </c>
      <c r="BG255" s="57" t="s">
        <v>3476</v>
      </c>
      <c r="BH255" s="57" t="s">
        <v>3476</v>
      </c>
      <c r="BI255" s="57" t="s">
        <v>2809</v>
      </c>
      <c r="BJ255" s="57" t="s">
        <v>3476</v>
      </c>
      <c r="BK255" s="57" t="s">
        <v>3476</v>
      </c>
      <c r="BL255" s="57">
        <v>3586338</v>
      </c>
      <c r="BM255" s="57" t="s">
        <v>4191</v>
      </c>
      <c r="BN255" s="57">
        <v>12</v>
      </c>
      <c r="BO255" s="57" t="s">
        <v>3476</v>
      </c>
      <c r="BP255" s="57" t="s">
        <v>3476</v>
      </c>
      <c r="BQ255" s="57" t="s">
        <v>3476</v>
      </c>
      <c r="BR255" s="57" t="s">
        <v>4192</v>
      </c>
      <c r="BS255" s="57" t="s">
        <v>1292</v>
      </c>
      <c r="BT255" s="57" t="s">
        <v>3476</v>
      </c>
      <c r="BU255" s="57" t="s">
        <v>3476</v>
      </c>
      <c r="BV255" s="57" t="s">
        <v>3753</v>
      </c>
      <c r="BW255" s="57" t="s">
        <v>3476</v>
      </c>
      <c r="BX255" s="57">
        <v>12</v>
      </c>
      <c r="BY255" s="57" t="s">
        <v>3476</v>
      </c>
      <c r="BZ255" s="57" t="s">
        <v>3476</v>
      </c>
      <c r="CA255" s="57" t="s">
        <v>3476</v>
      </c>
      <c r="CB255" s="57" t="s">
        <v>3476</v>
      </c>
      <c r="CC255" s="57" t="s">
        <v>3476</v>
      </c>
      <c r="CD255" s="57" t="s">
        <v>3476</v>
      </c>
    </row>
    <row r="256" spans="1:82">
      <c r="A256" s="57">
        <v>22434</v>
      </c>
      <c r="B256" s="57" t="s">
        <v>3476</v>
      </c>
      <c r="C256" s="57" t="s">
        <v>4187</v>
      </c>
      <c r="D256" s="57" t="s">
        <v>3476</v>
      </c>
      <c r="E256" s="57" t="s">
        <v>3730</v>
      </c>
      <c r="F256" s="57" t="s">
        <v>4188</v>
      </c>
      <c r="G256" s="57" t="s">
        <v>721</v>
      </c>
      <c r="H256" s="57" t="s">
        <v>2874</v>
      </c>
      <c r="I256" s="57">
        <v>48115.48</v>
      </c>
      <c r="J256" s="57" t="s">
        <v>3476</v>
      </c>
      <c r="K256" s="57" t="s">
        <v>3476</v>
      </c>
      <c r="L256" s="57" t="s">
        <v>3730</v>
      </c>
      <c r="M256" s="57" t="s">
        <v>4189</v>
      </c>
      <c r="N256" s="57" t="s">
        <v>4189</v>
      </c>
      <c r="O256" s="57" t="s">
        <v>3476</v>
      </c>
      <c r="P256" s="57" t="s">
        <v>3476</v>
      </c>
      <c r="Q256" s="57" t="s">
        <v>2874</v>
      </c>
      <c r="R256" s="57" t="s">
        <v>3781</v>
      </c>
      <c r="S256" s="57" t="s">
        <v>3782</v>
      </c>
      <c r="T256" s="57" t="s">
        <v>3736</v>
      </c>
      <c r="U256" s="57" t="s">
        <v>3476</v>
      </c>
      <c r="V256" s="57" t="s">
        <v>3469</v>
      </c>
      <c r="W256" s="57" t="s">
        <v>3476</v>
      </c>
      <c r="X256" s="57" t="s">
        <v>4190</v>
      </c>
      <c r="Y256" s="57" t="s">
        <v>3738</v>
      </c>
      <c r="Z256" s="57" t="s">
        <v>4122</v>
      </c>
      <c r="AA256" s="57" t="s">
        <v>3476</v>
      </c>
      <c r="AB256" s="57" t="s">
        <v>3476</v>
      </c>
      <c r="AC256" s="57" t="s">
        <v>3476</v>
      </c>
      <c r="AD256" s="57" t="s">
        <v>3476</v>
      </c>
      <c r="AE256" s="57" t="s">
        <v>3476</v>
      </c>
      <c r="AF256" s="57" t="s">
        <v>3476</v>
      </c>
      <c r="AG256" s="57" t="s">
        <v>3476</v>
      </c>
      <c r="AH256" s="57" t="s">
        <v>3476</v>
      </c>
      <c r="AI256" s="57" t="s">
        <v>3476</v>
      </c>
      <c r="AJ256" s="57" t="s">
        <v>3476</v>
      </c>
      <c r="AK256" s="57" t="s">
        <v>3476</v>
      </c>
      <c r="AL256" s="57" t="s">
        <v>3476</v>
      </c>
      <c r="AM256" s="57" t="s">
        <v>3476</v>
      </c>
      <c r="AN256" s="57" t="s">
        <v>3476</v>
      </c>
      <c r="AO256" s="57" t="s">
        <v>3476</v>
      </c>
      <c r="AP256" s="58">
        <v>45853.4481018518</v>
      </c>
      <c r="AQ256" s="57" t="s">
        <v>3476</v>
      </c>
      <c r="AR256" s="57" t="s">
        <v>3476</v>
      </c>
      <c r="AS256" s="57" t="s">
        <v>3502</v>
      </c>
      <c r="AT256" s="57" t="s">
        <v>3745</v>
      </c>
      <c r="AU256" s="57" t="s">
        <v>3476</v>
      </c>
      <c r="AV256" s="57" t="s">
        <v>3476</v>
      </c>
      <c r="AW256" s="58">
        <v>45853.3918287037</v>
      </c>
      <c r="AX256" s="57" t="s">
        <v>3476</v>
      </c>
      <c r="AY256" s="57" t="s">
        <v>3747</v>
      </c>
      <c r="AZ256" s="57" t="s">
        <v>3476</v>
      </c>
      <c r="BA256" s="57" t="s">
        <v>3476</v>
      </c>
      <c r="BB256" s="57" t="s">
        <v>3476</v>
      </c>
      <c r="BC256" s="57" t="s">
        <v>1787</v>
      </c>
      <c r="BD256" s="57" t="s">
        <v>3659</v>
      </c>
      <c r="BE256" s="57" t="s">
        <v>3787</v>
      </c>
      <c r="BF256" s="57" t="s">
        <v>3749</v>
      </c>
      <c r="BG256" s="57" t="s">
        <v>3476</v>
      </c>
      <c r="BH256" s="57" t="s">
        <v>3476</v>
      </c>
      <c r="BI256" s="57" t="s">
        <v>2809</v>
      </c>
      <c r="BJ256" s="57" t="s">
        <v>3476</v>
      </c>
      <c r="BK256" s="57" t="s">
        <v>3476</v>
      </c>
      <c r="BL256" s="57">
        <v>3586339</v>
      </c>
      <c r="BM256" s="57" t="s">
        <v>4191</v>
      </c>
      <c r="BN256" s="57">
        <v>108</v>
      </c>
      <c r="BO256" s="57" t="s">
        <v>3476</v>
      </c>
      <c r="BP256" s="57" t="s">
        <v>3476</v>
      </c>
      <c r="BQ256" s="57" t="s">
        <v>3476</v>
      </c>
      <c r="BR256" s="57" t="s">
        <v>4192</v>
      </c>
      <c r="BS256" s="57" t="s">
        <v>1292</v>
      </c>
      <c r="BT256" s="57" t="s">
        <v>3476</v>
      </c>
      <c r="BU256" s="57" t="s">
        <v>3476</v>
      </c>
      <c r="BV256" s="57" t="s">
        <v>3753</v>
      </c>
      <c r="BW256" s="57" t="s">
        <v>3476</v>
      </c>
      <c r="BX256" s="57">
        <v>108</v>
      </c>
      <c r="BY256" s="57" t="s">
        <v>3476</v>
      </c>
      <c r="BZ256" s="57" t="s">
        <v>3476</v>
      </c>
      <c r="CA256" s="57" t="s">
        <v>3476</v>
      </c>
      <c r="CB256" s="57" t="s">
        <v>3476</v>
      </c>
      <c r="CC256" s="57" t="s">
        <v>3476</v>
      </c>
      <c r="CD256" s="57" t="s">
        <v>3476</v>
      </c>
    </row>
    <row r="257" spans="1:82">
      <c r="A257" s="57">
        <v>22435</v>
      </c>
      <c r="B257" s="57" t="s">
        <v>3476</v>
      </c>
      <c r="C257" s="57" t="s">
        <v>4187</v>
      </c>
      <c r="D257" s="57" t="s">
        <v>3476</v>
      </c>
      <c r="E257" s="57" t="s">
        <v>3730</v>
      </c>
      <c r="F257" s="57" t="s">
        <v>4188</v>
      </c>
      <c r="G257" s="57" t="s">
        <v>721</v>
      </c>
      <c r="H257" s="57" t="s">
        <v>2874</v>
      </c>
      <c r="I257" s="57">
        <v>48115.48</v>
      </c>
      <c r="J257" s="57" t="s">
        <v>3476</v>
      </c>
      <c r="K257" s="57" t="s">
        <v>3476</v>
      </c>
      <c r="L257" s="57" t="s">
        <v>3730</v>
      </c>
      <c r="M257" s="57" t="s">
        <v>4189</v>
      </c>
      <c r="N257" s="57" t="s">
        <v>4189</v>
      </c>
      <c r="O257" s="57" t="s">
        <v>3476</v>
      </c>
      <c r="P257" s="57" t="s">
        <v>3476</v>
      </c>
      <c r="Q257" s="57" t="s">
        <v>2874</v>
      </c>
      <c r="R257" s="57" t="s">
        <v>3781</v>
      </c>
      <c r="S257" s="57" t="s">
        <v>3782</v>
      </c>
      <c r="T257" s="57" t="s">
        <v>3736</v>
      </c>
      <c r="U257" s="57" t="s">
        <v>3476</v>
      </c>
      <c r="V257" s="57" t="s">
        <v>3469</v>
      </c>
      <c r="W257" s="57" t="s">
        <v>3476</v>
      </c>
      <c r="X257" s="57" t="s">
        <v>4190</v>
      </c>
      <c r="Y257" s="57" t="s">
        <v>3738</v>
      </c>
      <c r="Z257" s="57" t="s">
        <v>4122</v>
      </c>
      <c r="AA257" s="57" t="s">
        <v>3476</v>
      </c>
      <c r="AB257" s="57" t="s">
        <v>3476</v>
      </c>
      <c r="AC257" s="57" t="s">
        <v>3476</v>
      </c>
      <c r="AD257" s="57" t="s">
        <v>3476</v>
      </c>
      <c r="AE257" s="57" t="s">
        <v>3476</v>
      </c>
      <c r="AF257" s="57" t="s">
        <v>3476</v>
      </c>
      <c r="AG257" s="57" t="s">
        <v>3476</v>
      </c>
      <c r="AH257" s="57" t="s">
        <v>3476</v>
      </c>
      <c r="AI257" s="57" t="s">
        <v>3476</v>
      </c>
      <c r="AJ257" s="57" t="s">
        <v>3476</v>
      </c>
      <c r="AK257" s="57" t="s">
        <v>3476</v>
      </c>
      <c r="AL257" s="57" t="s">
        <v>3476</v>
      </c>
      <c r="AM257" s="57" t="s">
        <v>3476</v>
      </c>
      <c r="AN257" s="57" t="s">
        <v>3476</v>
      </c>
      <c r="AO257" s="57" t="s">
        <v>3476</v>
      </c>
      <c r="AP257" s="58">
        <v>45853.4481018518</v>
      </c>
      <c r="AQ257" s="57" t="s">
        <v>3476</v>
      </c>
      <c r="AR257" s="57" t="s">
        <v>3476</v>
      </c>
      <c r="AS257" s="57" t="s">
        <v>3502</v>
      </c>
      <c r="AT257" s="57" t="s">
        <v>3745</v>
      </c>
      <c r="AU257" s="57" t="s">
        <v>3476</v>
      </c>
      <c r="AV257" s="57" t="s">
        <v>3476</v>
      </c>
      <c r="AW257" s="58">
        <v>45853.3918287037</v>
      </c>
      <c r="AX257" s="57" t="s">
        <v>3476</v>
      </c>
      <c r="AY257" s="57" t="s">
        <v>3747</v>
      </c>
      <c r="AZ257" s="57" t="s">
        <v>3476</v>
      </c>
      <c r="BA257" s="57" t="s">
        <v>3476</v>
      </c>
      <c r="BB257" s="57" t="s">
        <v>3476</v>
      </c>
      <c r="BC257" s="57" t="s">
        <v>1787</v>
      </c>
      <c r="BD257" s="57" t="s">
        <v>3659</v>
      </c>
      <c r="BE257" s="57" t="s">
        <v>3787</v>
      </c>
      <c r="BF257" s="57" t="s">
        <v>3749</v>
      </c>
      <c r="BG257" s="57" t="s">
        <v>3476</v>
      </c>
      <c r="BH257" s="57" t="s">
        <v>3476</v>
      </c>
      <c r="BI257" s="57" t="s">
        <v>2809</v>
      </c>
      <c r="BJ257" s="57" t="s">
        <v>3476</v>
      </c>
      <c r="BK257" s="57" t="s">
        <v>3476</v>
      </c>
      <c r="BL257" s="57">
        <v>3586340</v>
      </c>
      <c r="BM257" s="57" t="s">
        <v>4191</v>
      </c>
      <c r="BN257" s="57">
        <v>40.5</v>
      </c>
      <c r="BO257" s="57" t="s">
        <v>3476</v>
      </c>
      <c r="BP257" s="57" t="s">
        <v>3476</v>
      </c>
      <c r="BQ257" s="57" t="s">
        <v>3476</v>
      </c>
      <c r="BR257" s="57" t="s">
        <v>4192</v>
      </c>
      <c r="BS257" s="57" t="s">
        <v>1292</v>
      </c>
      <c r="BT257" s="57" t="s">
        <v>3476</v>
      </c>
      <c r="BU257" s="57" t="s">
        <v>3476</v>
      </c>
      <c r="BV257" s="57" t="s">
        <v>3753</v>
      </c>
      <c r="BW257" s="57" t="s">
        <v>3476</v>
      </c>
      <c r="BX257" s="57">
        <v>40.5</v>
      </c>
      <c r="BY257" s="57" t="s">
        <v>3476</v>
      </c>
      <c r="BZ257" s="57" t="s">
        <v>3476</v>
      </c>
      <c r="CA257" s="57" t="s">
        <v>3476</v>
      </c>
      <c r="CB257" s="57" t="s">
        <v>3476</v>
      </c>
      <c r="CC257" s="57" t="s">
        <v>3476</v>
      </c>
      <c r="CD257" s="57" t="s">
        <v>3476</v>
      </c>
    </row>
    <row r="258" spans="1:82">
      <c r="A258" s="57">
        <v>22436</v>
      </c>
      <c r="B258" s="57" t="s">
        <v>3476</v>
      </c>
      <c r="C258" s="57" t="s">
        <v>4187</v>
      </c>
      <c r="D258" s="57" t="s">
        <v>3476</v>
      </c>
      <c r="E258" s="57" t="s">
        <v>3730</v>
      </c>
      <c r="F258" s="57" t="s">
        <v>4188</v>
      </c>
      <c r="G258" s="57" t="s">
        <v>721</v>
      </c>
      <c r="H258" s="57" t="s">
        <v>2874</v>
      </c>
      <c r="I258" s="57">
        <v>48115.48</v>
      </c>
      <c r="J258" s="57" t="s">
        <v>3476</v>
      </c>
      <c r="K258" s="57" t="s">
        <v>3476</v>
      </c>
      <c r="L258" s="57" t="s">
        <v>3730</v>
      </c>
      <c r="M258" s="57" t="s">
        <v>4189</v>
      </c>
      <c r="N258" s="57" t="s">
        <v>4189</v>
      </c>
      <c r="O258" s="57" t="s">
        <v>3476</v>
      </c>
      <c r="P258" s="57" t="s">
        <v>3476</v>
      </c>
      <c r="Q258" s="57" t="s">
        <v>2874</v>
      </c>
      <c r="R258" s="57" t="s">
        <v>3781</v>
      </c>
      <c r="S258" s="57" t="s">
        <v>3782</v>
      </c>
      <c r="T258" s="57" t="s">
        <v>3736</v>
      </c>
      <c r="U258" s="57" t="s">
        <v>3476</v>
      </c>
      <c r="V258" s="57" t="s">
        <v>3469</v>
      </c>
      <c r="W258" s="57" t="s">
        <v>3476</v>
      </c>
      <c r="X258" s="57" t="s">
        <v>4190</v>
      </c>
      <c r="Y258" s="57" t="s">
        <v>3738</v>
      </c>
      <c r="Z258" s="57" t="s">
        <v>4122</v>
      </c>
      <c r="AA258" s="57" t="s">
        <v>3476</v>
      </c>
      <c r="AB258" s="57" t="s">
        <v>3476</v>
      </c>
      <c r="AC258" s="57" t="s">
        <v>3476</v>
      </c>
      <c r="AD258" s="57" t="s">
        <v>3476</v>
      </c>
      <c r="AE258" s="57" t="s">
        <v>3476</v>
      </c>
      <c r="AF258" s="57" t="s">
        <v>3476</v>
      </c>
      <c r="AG258" s="57" t="s">
        <v>3476</v>
      </c>
      <c r="AH258" s="57" t="s">
        <v>3476</v>
      </c>
      <c r="AI258" s="57" t="s">
        <v>3476</v>
      </c>
      <c r="AJ258" s="57" t="s">
        <v>3476</v>
      </c>
      <c r="AK258" s="57" t="s">
        <v>3476</v>
      </c>
      <c r="AL258" s="57" t="s">
        <v>3476</v>
      </c>
      <c r="AM258" s="57" t="s">
        <v>3476</v>
      </c>
      <c r="AN258" s="57" t="s">
        <v>3476</v>
      </c>
      <c r="AO258" s="57" t="s">
        <v>3476</v>
      </c>
      <c r="AP258" s="58">
        <v>45853.4481018518</v>
      </c>
      <c r="AQ258" s="57" t="s">
        <v>3476</v>
      </c>
      <c r="AR258" s="57" t="s">
        <v>3476</v>
      </c>
      <c r="AS258" s="57" t="s">
        <v>3502</v>
      </c>
      <c r="AT258" s="57" t="s">
        <v>3745</v>
      </c>
      <c r="AU258" s="57" t="s">
        <v>3476</v>
      </c>
      <c r="AV258" s="57" t="s">
        <v>3476</v>
      </c>
      <c r="AW258" s="58">
        <v>45853.3918287037</v>
      </c>
      <c r="AX258" s="57" t="s">
        <v>3476</v>
      </c>
      <c r="AY258" s="57" t="s">
        <v>3747</v>
      </c>
      <c r="AZ258" s="57" t="s">
        <v>3476</v>
      </c>
      <c r="BA258" s="57" t="s">
        <v>3476</v>
      </c>
      <c r="BB258" s="57" t="s">
        <v>3476</v>
      </c>
      <c r="BC258" s="57" t="s">
        <v>4102</v>
      </c>
      <c r="BD258" s="57" t="s">
        <v>3659</v>
      </c>
      <c r="BE258" s="57" t="s">
        <v>3787</v>
      </c>
      <c r="BF258" s="57" t="s">
        <v>3749</v>
      </c>
      <c r="BG258" s="57" t="s">
        <v>3476</v>
      </c>
      <c r="BH258" s="57" t="s">
        <v>3476</v>
      </c>
      <c r="BI258" s="57" t="s">
        <v>2809</v>
      </c>
      <c r="BJ258" s="57" t="s">
        <v>3476</v>
      </c>
      <c r="BK258" s="57" t="s">
        <v>3476</v>
      </c>
      <c r="BL258" s="57">
        <v>3586341</v>
      </c>
      <c r="BM258" s="57" t="s">
        <v>4191</v>
      </c>
      <c r="BN258" s="57">
        <v>50</v>
      </c>
      <c r="BO258" s="57" t="s">
        <v>3476</v>
      </c>
      <c r="BP258" s="57" t="s">
        <v>3476</v>
      </c>
      <c r="BQ258" s="57" t="s">
        <v>3476</v>
      </c>
      <c r="BR258" s="57" t="s">
        <v>4192</v>
      </c>
      <c r="BS258" s="57" t="s">
        <v>1292</v>
      </c>
      <c r="BT258" s="57" t="s">
        <v>3476</v>
      </c>
      <c r="BU258" s="57" t="s">
        <v>3476</v>
      </c>
      <c r="BV258" s="57" t="s">
        <v>3753</v>
      </c>
      <c r="BW258" s="57" t="s">
        <v>3476</v>
      </c>
      <c r="BX258" s="57">
        <v>50</v>
      </c>
      <c r="BY258" s="57" t="s">
        <v>3476</v>
      </c>
      <c r="BZ258" s="57" t="s">
        <v>3476</v>
      </c>
      <c r="CA258" s="57" t="s">
        <v>3476</v>
      </c>
      <c r="CB258" s="57" t="s">
        <v>3476</v>
      </c>
      <c r="CC258" s="57" t="s">
        <v>3476</v>
      </c>
      <c r="CD258" s="57" t="s">
        <v>3476</v>
      </c>
    </row>
    <row r="259" spans="1:82">
      <c r="A259" s="57">
        <v>22437</v>
      </c>
      <c r="B259" s="57" t="s">
        <v>3476</v>
      </c>
      <c r="C259" s="57" t="s">
        <v>4187</v>
      </c>
      <c r="D259" s="57" t="s">
        <v>3476</v>
      </c>
      <c r="E259" s="57" t="s">
        <v>3730</v>
      </c>
      <c r="F259" s="57" t="s">
        <v>4188</v>
      </c>
      <c r="G259" s="57" t="s">
        <v>721</v>
      </c>
      <c r="H259" s="57" t="s">
        <v>2874</v>
      </c>
      <c r="I259" s="57">
        <v>48115.48</v>
      </c>
      <c r="J259" s="57" t="s">
        <v>3476</v>
      </c>
      <c r="K259" s="57" t="s">
        <v>3476</v>
      </c>
      <c r="L259" s="57" t="s">
        <v>3730</v>
      </c>
      <c r="M259" s="57" t="s">
        <v>4189</v>
      </c>
      <c r="N259" s="57" t="s">
        <v>4189</v>
      </c>
      <c r="O259" s="57" t="s">
        <v>3476</v>
      </c>
      <c r="P259" s="57" t="s">
        <v>3476</v>
      </c>
      <c r="Q259" s="57" t="s">
        <v>2874</v>
      </c>
      <c r="R259" s="57" t="s">
        <v>3781</v>
      </c>
      <c r="S259" s="57" t="s">
        <v>3782</v>
      </c>
      <c r="T259" s="57" t="s">
        <v>3736</v>
      </c>
      <c r="U259" s="57" t="s">
        <v>3476</v>
      </c>
      <c r="V259" s="57" t="s">
        <v>3469</v>
      </c>
      <c r="W259" s="57" t="s">
        <v>3476</v>
      </c>
      <c r="X259" s="57" t="s">
        <v>4190</v>
      </c>
      <c r="Y259" s="57" t="s">
        <v>3738</v>
      </c>
      <c r="Z259" s="57" t="s">
        <v>4122</v>
      </c>
      <c r="AA259" s="57" t="s">
        <v>3476</v>
      </c>
      <c r="AB259" s="57" t="s">
        <v>3476</v>
      </c>
      <c r="AC259" s="57" t="s">
        <v>3476</v>
      </c>
      <c r="AD259" s="57" t="s">
        <v>3476</v>
      </c>
      <c r="AE259" s="57" t="s">
        <v>3476</v>
      </c>
      <c r="AF259" s="57" t="s">
        <v>3476</v>
      </c>
      <c r="AG259" s="57" t="s">
        <v>3476</v>
      </c>
      <c r="AH259" s="57" t="s">
        <v>3476</v>
      </c>
      <c r="AI259" s="57" t="s">
        <v>3476</v>
      </c>
      <c r="AJ259" s="57" t="s">
        <v>3476</v>
      </c>
      <c r="AK259" s="57" t="s">
        <v>3476</v>
      </c>
      <c r="AL259" s="57" t="s">
        <v>3476</v>
      </c>
      <c r="AM259" s="57" t="s">
        <v>3476</v>
      </c>
      <c r="AN259" s="57" t="s">
        <v>3476</v>
      </c>
      <c r="AO259" s="57" t="s">
        <v>3476</v>
      </c>
      <c r="AP259" s="58">
        <v>45853.4481018518</v>
      </c>
      <c r="AQ259" s="57" t="s">
        <v>3476</v>
      </c>
      <c r="AR259" s="57" t="s">
        <v>3476</v>
      </c>
      <c r="AS259" s="57" t="s">
        <v>3502</v>
      </c>
      <c r="AT259" s="57" t="s">
        <v>3745</v>
      </c>
      <c r="AU259" s="57" t="s">
        <v>3476</v>
      </c>
      <c r="AV259" s="57" t="s">
        <v>3476</v>
      </c>
      <c r="AW259" s="58">
        <v>45853.3918287037</v>
      </c>
      <c r="AX259" s="57" t="s">
        <v>3476</v>
      </c>
      <c r="AY259" s="57" t="s">
        <v>3747</v>
      </c>
      <c r="AZ259" s="57" t="s">
        <v>3476</v>
      </c>
      <c r="BA259" s="57" t="s">
        <v>3476</v>
      </c>
      <c r="BB259" s="57" t="s">
        <v>3476</v>
      </c>
      <c r="BC259" s="57" t="s">
        <v>1787</v>
      </c>
      <c r="BD259" s="57" t="s">
        <v>3659</v>
      </c>
      <c r="BE259" s="57" t="s">
        <v>3787</v>
      </c>
      <c r="BF259" s="57" t="s">
        <v>3749</v>
      </c>
      <c r="BG259" s="57" t="s">
        <v>3476</v>
      </c>
      <c r="BH259" s="57" t="s">
        <v>3476</v>
      </c>
      <c r="BI259" s="57" t="s">
        <v>2809</v>
      </c>
      <c r="BJ259" s="57" t="s">
        <v>3476</v>
      </c>
      <c r="BK259" s="57" t="s">
        <v>3476</v>
      </c>
      <c r="BL259" s="57">
        <v>3586342</v>
      </c>
      <c r="BM259" s="57" t="s">
        <v>4191</v>
      </c>
      <c r="BN259" s="57">
        <v>137.6</v>
      </c>
      <c r="BO259" s="57" t="s">
        <v>3476</v>
      </c>
      <c r="BP259" s="57" t="s">
        <v>3476</v>
      </c>
      <c r="BQ259" s="57" t="s">
        <v>3476</v>
      </c>
      <c r="BR259" s="57" t="s">
        <v>4192</v>
      </c>
      <c r="BS259" s="57" t="s">
        <v>1292</v>
      </c>
      <c r="BT259" s="57" t="s">
        <v>3476</v>
      </c>
      <c r="BU259" s="57" t="s">
        <v>3476</v>
      </c>
      <c r="BV259" s="57" t="s">
        <v>3753</v>
      </c>
      <c r="BW259" s="57" t="s">
        <v>3476</v>
      </c>
      <c r="BX259" s="57">
        <v>137.6</v>
      </c>
      <c r="BY259" s="57" t="s">
        <v>3476</v>
      </c>
      <c r="BZ259" s="57" t="s">
        <v>3476</v>
      </c>
      <c r="CA259" s="57" t="s">
        <v>3476</v>
      </c>
      <c r="CB259" s="57" t="s">
        <v>3476</v>
      </c>
      <c r="CC259" s="57" t="s">
        <v>3476</v>
      </c>
      <c r="CD259" s="57" t="s">
        <v>3476</v>
      </c>
    </row>
    <row r="260" spans="1:82">
      <c r="A260" s="57">
        <v>22438</v>
      </c>
      <c r="B260" s="57" t="s">
        <v>3476</v>
      </c>
      <c r="C260" s="57" t="s">
        <v>4187</v>
      </c>
      <c r="D260" s="57" t="s">
        <v>3476</v>
      </c>
      <c r="E260" s="57" t="s">
        <v>3730</v>
      </c>
      <c r="F260" s="57" t="s">
        <v>4188</v>
      </c>
      <c r="G260" s="57" t="s">
        <v>721</v>
      </c>
      <c r="H260" s="57" t="s">
        <v>2874</v>
      </c>
      <c r="I260" s="57">
        <v>48115.48</v>
      </c>
      <c r="J260" s="57" t="s">
        <v>3476</v>
      </c>
      <c r="K260" s="57" t="s">
        <v>3476</v>
      </c>
      <c r="L260" s="57" t="s">
        <v>3730</v>
      </c>
      <c r="M260" s="57" t="s">
        <v>4189</v>
      </c>
      <c r="N260" s="57" t="s">
        <v>4189</v>
      </c>
      <c r="O260" s="57" t="s">
        <v>3476</v>
      </c>
      <c r="P260" s="57" t="s">
        <v>3476</v>
      </c>
      <c r="Q260" s="57" t="s">
        <v>2874</v>
      </c>
      <c r="R260" s="57" t="s">
        <v>3781</v>
      </c>
      <c r="S260" s="57" t="s">
        <v>3782</v>
      </c>
      <c r="T260" s="57" t="s">
        <v>3736</v>
      </c>
      <c r="U260" s="57" t="s">
        <v>3476</v>
      </c>
      <c r="V260" s="57" t="s">
        <v>3469</v>
      </c>
      <c r="W260" s="57" t="s">
        <v>3476</v>
      </c>
      <c r="X260" s="57" t="s">
        <v>4190</v>
      </c>
      <c r="Y260" s="57" t="s">
        <v>3738</v>
      </c>
      <c r="Z260" s="57" t="s">
        <v>4122</v>
      </c>
      <c r="AA260" s="57" t="s">
        <v>3476</v>
      </c>
      <c r="AB260" s="57" t="s">
        <v>3476</v>
      </c>
      <c r="AC260" s="57" t="s">
        <v>3476</v>
      </c>
      <c r="AD260" s="57" t="s">
        <v>3476</v>
      </c>
      <c r="AE260" s="57" t="s">
        <v>3476</v>
      </c>
      <c r="AF260" s="57" t="s">
        <v>3476</v>
      </c>
      <c r="AG260" s="57" t="s">
        <v>3476</v>
      </c>
      <c r="AH260" s="57" t="s">
        <v>3476</v>
      </c>
      <c r="AI260" s="57" t="s">
        <v>3476</v>
      </c>
      <c r="AJ260" s="57" t="s">
        <v>3476</v>
      </c>
      <c r="AK260" s="57" t="s">
        <v>3476</v>
      </c>
      <c r="AL260" s="57" t="s">
        <v>3476</v>
      </c>
      <c r="AM260" s="57" t="s">
        <v>3476</v>
      </c>
      <c r="AN260" s="57" t="s">
        <v>3476</v>
      </c>
      <c r="AO260" s="57" t="s">
        <v>3476</v>
      </c>
      <c r="AP260" s="58">
        <v>45853.4481018518</v>
      </c>
      <c r="AQ260" s="57" t="s">
        <v>3476</v>
      </c>
      <c r="AR260" s="57" t="s">
        <v>3476</v>
      </c>
      <c r="AS260" s="57" t="s">
        <v>3502</v>
      </c>
      <c r="AT260" s="57" t="s">
        <v>3745</v>
      </c>
      <c r="AU260" s="57" t="s">
        <v>3476</v>
      </c>
      <c r="AV260" s="57" t="s">
        <v>3476</v>
      </c>
      <c r="AW260" s="58">
        <v>45853.3918287037</v>
      </c>
      <c r="AX260" s="57" t="s">
        <v>3476</v>
      </c>
      <c r="AY260" s="57" t="s">
        <v>3747</v>
      </c>
      <c r="AZ260" s="57" t="s">
        <v>3476</v>
      </c>
      <c r="BA260" s="57" t="s">
        <v>3476</v>
      </c>
      <c r="BB260" s="57" t="s">
        <v>3476</v>
      </c>
      <c r="BC260" s="57" t="s">
        <v>1787</v>
      </c>
      <c r="BD260" s="57" t="s">
        <v>3659</v>
      </c>
      <c r="BE260" s="57" t="s">
        <v>3787</v>
      </c>
      <c r="BF260" s="57" t="s">
        <v>3749</v>
      </c>
      <c r="BG260" s="57" t="s">
        <v>3476</v>
      </c>
      <c r="BH260" s="57" t="s">
        <v>3476</v>
      </c>
      <c r="BI260" s="57" t="s">
        <v>2809</v>
      </c>
      <c r="BJ260" s="57" t="s">
        <v>3476</v>
      </c>
      <c r="BK260" s="57" t="s">
        <v>3476</v>
      </c>
      <c r="BL260" s="57">
        <v>3586343</v>
      </c>
      <c r="BM260" s="57" t="s">
        <v>4191</v>
      </c>
      <c r="BN260" s="57">
        <v>137.6</v>
      </c>
      <c r="BO260" s="57" t="s">
        <v>3476</v>
      </c>
      <c r="BP260" s="57" t="s">
        <v>3476</v>
      </c>
      <c r="BQ260" s="57" t="s">
        <v>3476</v>
      </c>
      <c r="BR260" s="57" t="s">
        <v>4192</v>
      </c>
      <c r="BS260" s="57" t="s">
        <v>1292</v>
      </c>
      <c r="BT260" s="57" t="s">
        <v>3476</v>
      </c>
      <c r="BU260" s="57" t="s">
        <v>3476</v>
      </c>
      <c r="BV260" s="57" t="s">
        <v>3753</v>
      </c>
      <c r="BW260" s="57" t="s">
        <v>3476</v>
      </c>
      <c r="BX260" s="57">
        <v>137.6</v>
      </c>
      <c r="BY260" s="57" t="s">
        <v>3476</v>
      </c>
      <c r="BZ260" s="57" t="s">
        <v>3476</v>
      </c>
      <c r="CA260" s="57" t="s">
        <v>3476</v>
      </c>
      <c r="CB260" s="57" t="s">
        <v>3476</v>
      </c>
      <c r="CC260" s="57" t="s">
        <v>3476</v>
      </c>
      <c r="CD260" s="57" t="s">
        <v>3476</v>
      </c>
    </row>
    <row r="261" spans="1:82">
      <c r="A261" s="57">
        <v>22439</v>
      </c>
      <c r="B261" s="57" t="s">
        <v>3476</v>
      </c>
      <c r="C261" s="57" t="s">
        <v>4187</v>
      </c>
      <c r="D261" s="57" t="s">
        <v>3476</v>
      </c>
      <c r="E261" s="57" t="s">
        <v>3730</v>
      </c>
      <c r="F261" s="57" t="s">
        <v>4188</v>
      </c>
      <c r="G261" s="57" t="s">
        <v>721</v>
      </c>
      <c r="H261" s="57" t="s">
        <v>2874</v>
      </c>
      <c r="I261" s="57">
        <v>48115.48</v>
      </c>
      <c r="J261" s="57" t="s">
        <v>3476</v>
      </c>
      <c r="K261" s="57" t="s">
        <v>3476</v>
      </c>
      <c r="L261" s="57" t="s">
        <v>3730</v>
      </c>
      <c r="M261" s="57" t="s">
        <v>4189</v>
      </c>
      <c r="N261" s="57" t="s">
        <v>4189</v>
      </c>
      <c r="O261" s="57" t="s">
        <v>3476</v>
      </c>
      <c r="P261" s="57" t="s">
        <v>3476</v>
      </c>
      <c r="Q261" s="57" t="s">
        <v>2874</v>
      </c>
      <c r="R261" s="57" t="s">
        <v>3781</v>
      </c>
      <c r="S261" s="57" t="s">
        <v>3782</v>
      </c>
      <c r="T261" s="57" t="s">
        <v>3736</v>
      </c>
      <c r="U261" s="57" t="s">
        <v>3476</v>
      </c>
      <c r="V261" s="57" t="s">
        <v>3469</v>
      </c>
      <c r="W261" s="57" t="s">
        <v>3476</v>
      </c>
      <c r="X261" s="57" t="s">
        <v>4190</v>
      </c>
      <c r="Y261" s="57" t="s">
        <v>3738</v>
      </c>
      <c r="Z261" s="57" t="s">
        <v>4122</v>
      </c>
      <c r="AA261" s="57" t="s">
        <v>3476</v>
      </c>
      <c r="AB261" s="57" t="s">
        <v>3476</v>
      </c>
      <c r="AC261" s="57" t="s">
        <v>3476</v>
      </c>
      <c r="AD261" s="57" t="s">
        <v>3476</v>
      </c>
      <c r="AE261" s="57" t="s">
        <v>3476</v>
      </c>
      <c r="AF261" s="57" t="s">
        <v>3476</v>
      </c>
      <c r="AG261" s="57" t="s">
        <v>3476</v>
      </c>
      <c r="AH261" s="57" t="s">
        <v>3476</v>
      </c>
      <c r="AI261" s="57" t="s">
        <v>3476</v>
      </c>
      <c r="AJ261" s="57" t="s">
        <v>3476</v>
      </c>
      <c r="AK261" s="57" t="s">
        <v>3476</v>
      </c>
      <c r="AL261" s="57" t="s">
        <v>3476</v>
      </c>
      <c r="AM261" s="57" t="s">
        <v>3476</v>
      </c>
      <c r="AN261" s="57" t="s">
        <v>3476</v>
      </c>
      <c r="AO261" s="57" t="s">
        <v>3476</v>
      </c>
      <c r="AP261" s="58">
        <v>45853.4481018518</v>
      </c>
      <c r="AQ261" s="57" t="s">
        <v>3476</v>
      </c>
      <c r="AR261" s="57" t="s">
        <v>3476</v>
      </c>
      <c r="AS261" s="57" t="s">
        <v>3502</v>
      </c>
      <c r="AT261" s="57" t="s">
        <v>3745</v>
      </c>
      <c r="AU261" s="57" t="s">
        <v>3476</v>
      </c>
      <c r="AV261" s="57" t="s">
        <v>3476</v>
      </c>
      <c r="AW261" s="58">
        <v>45853.3918287037</v>
      </c>
      <c r="AX261" s="57" t="s">
        <v>3476</v>
      </c>
      <c r="AY261" s="57" t="s">
        <v>3747</v>
      </c>
      <c r="AZ261" s="57" t="s">
        <v>3476</v>
      </c>
      <c r="BA261" s="57" t="s">
        <v>3476</v>
      </c>
      <c r="BB261" s="57" t="s">
        <v>3476</v>
      </c>
      <c r="BC261" s="57" t="s">
        <v>1787</v>
      </c>
      <c r="BD261" s="57" t="s">
        <v>3659</v>
      </c>
      <c r="BE261" s="57" t="s">
        <v>3787</v>
      </c>
      <c r="BF261" s="57" t="s">
        <v>3749</v>
      </c>
      <c r="BG261" s="57" t="s">
        <v>3476</v>
      </c>
      <c r="BH261" s="57" t="s">
        <v>3476</v>
      </c>
      <c r="BI261" s="57" t="s">
        <v>2809</v>
      </c>
      <c r="BJ261" s="57" t="s">
        <v>3476</v>
      </c>
      <c r="BK261" s="57" t="s">
        <v>3476</v>
      </c>
      <c r="BL261" s="57">
        <v>3586344</v>
      </c>
      <c r="BM261" s="57" t="s">
        <v>4191</v>
      </c>
      <c r="BN261" s="57">
        <v>150</v>
      </c>
      <c r="BO261" s="57" t="s">
        <v>3476</v>
      </c>
      <c r="BP261" s="57" t="s">
        <v>3476</v>
      </c>
      <c r="BQ261" s="57" t="s">
        <v>3476</v>
      </c>
      <c r="BR261" s="57" t="s">
        <v>4192</v>
      </c>
      <c r="BS261" s="57" t="s">
        <v>1292</v>
      </c>
      <c r="BT261" s="57" t="s">
        <v>3476</v>
      </c>
      <c r="BU261" s="57" t="s">
        <v>3476</v>
      </c>
      <c r="BV261" s="57" t="s">
        <v>3753</v>
      </c>
      <c r="BW261" s="57" t="s">
        <v>3476</v>
      </c>
      <c r="BX261" s="57">
        <v>150</v>
      </c>
      <c r="BY261" s="57" t="s">
        <v>3476</v>
      </c>
      <c r="BZ261" s="57" t="s">
        <v>3476</v>
      </c>
      <c r="CA261" s="57" t="s">
        <v>3476</v>
      </c>
      <c r="CB261" s="57" t="s">
        <v>3476</v>
      </c>
      <c r="CC261" s="57" t="s">
        <v>3476</v>
      </c>
      <c r="CD261" s="57" t="s">
        <v>3476</v>
      </c>
    </row>
    <row r="262" spans="1:82">
      <c r="A262" s="57">
        <v>22440</v>
      </c>
      <c r="B262" s="57" t="s">
        <v>3476</v>
      </c>
      <c r="C262" s="57" t="s">
        <v>4187</v>
      </c>
      <c r="D262" s="57" t="s">
        <v>3476</v>
      </c>
      <c r="E262" s="57" t="s">
        <v>3730</v>
      </c>
      <c r="F262" s="57" t="s">
        <v>4188</v>
      </c>
      <c r="G262" s="57" t="s">
        <v>721</v>
      </c>
      <c r="H262" s="57" t="s">
        <v>2874</v>
      </c>
      <c r="I262" s="57">
        <v>48115.48</v>
      </c>
      <c r="J262" s="57" t="s">
        <v>3476</v>
      </c>
      <c r="K262" s="57" t="s">
        <v>3476</v>
      </c>
      <c r="L262" s="57" t="s">
        <v>3730</v>
      </c>
      <c r="M262" s="57" t="s">
        <v>4189</v>
      </c>
      <c r="N262" s="57" t="s">
        <v>4189</v>
      </c>
      <c r="O262" s="57" t="s">
        <v>3476</v>
      </c>
      <c r="P262" s="57" t="s">
        <v>3476</v>
      </c>
      <c r="Q262" s="57" t="s">
        <v>2874</v>
      </c>
      <c r="R262" s="57" t="s">
        <v>3781</v>
      </c>
      <c r="S262" s="57" t="s">
        <v>3782</v>
      </c>
      <c r="T262" s="57" t="s">
        <v>3736</v>
      </c>
      <c r="U262" s="57" t="s">
        <v>3476</v>
      </c>
      <c r="V262" s="57" t="s">
        <v>3469</v>
      </c>
      <c r="W262" s="57" t="s">
        <v>3476</v>
      </c>
      <c r="X262" s="57" t="s">
        <v>4190</v>
      </c>
      <c r="Y262" s="57" t="s">
        <v>3738</v>
      </c>
      <c r="Z262" s="57" t="s">
        <v>4122</v>
      </c>
      <c r="AA262" s="57" t="s">
        <v>3476</v>
      </c>
      <c r="AB262" s="57" t="s">
        <v>3476</v>
      </c>
      <c r="AC262" s="57" t="s">
        <v>3476</v>
      </c>
      <c r="AD262" s="57" t="s">
        <v>3476</v>
      </c>
      <c r="AE262" s="57" t="s">
        <v>3476</v>
      </c>
      <c r="AF262" s="57" t="s">
        <v>3476</v>
      </c>
      <c r="AG262" s="57" t="s">
        <v>3476</v>
      </c>
      <c r="AH262" s="57" t="s">
        <v>3476</v>
      </c>
      <c r="AI262" s="57" t="s">
        <v>3476</v>
      </c>
      <c r="AJ262" s="57" t="s">
        <v>3476</v>
      </c>
      <c r="AK262" s="57" t="s">
        <v>3476</v>
      </c>
      <c r="AL262" s="57" t="s">
        <v>3476</v>
      </c>
      <c r="AM262" s="57" t="s">
        <v>3476</v>
      </c>
      <c r="AN262" s="57" t="s">
        <v>3476</v>
      </c>
      <c r="AO262" s="57" t="s">
        <v>3476</v>
      </c>
      <c r="AP262" s="58">
        <v>45853.4481018518</v>
      </c>
      <c r="AQ262" s="57" t="s">
        <v>3476</v>
      </c>
      <c r="AR262" s="57" t="s">
        <v>3476</v>
      </c>
      <c r="AS262" s="57" t="s">
        <v>3502</v>
      </c>
      <c r="AT262" s="57" t="s">
        <v>3745</v>
      </c>
      <c r="AU262" s="57" t="s">
        <v>3476</v>
      </c>
      <c r="AV262" s="57" t="s">
        <v>3476</v>
      </c>
      <c r="AW262" s="58">
        <v>45853.3918287037</v>
      </c>
      <c r="AX262" s="57" t="s">
        <v>3476</v>
      </c>
      <c r="AY262" s="57" t="s">
        <v>3747</v>
      </c>
      <c r="AZ262" s="57" t="s">
        <v>3476</v>
      </c>
      <c r="BA262" s="57" t="s">
        <v>3476</v>
      </c>
      <c r="BB262" s="57" t="s">
        <v>3476</v>
      </c>
      <c r="BC262" s="57" t="s">
        <v>1787</v>
      </c>
      <c r="BD262" s="57" t="s">
        <v>3659</v>
      </c>
      <c r="BE262" s="57" t="s">
        <v>3787</v>
      </c>
      <c r="BF262" s="57" t="s">
        <v>3749</v>
      </c>
      <c r="BG262" s="57" t="s">
        <v>3476</v>
      </c>
      <c r="BH262" s="57" t="s">
        <v>3476</v>
      </c>
      <c r="BI262" s="57" t="s">
        <v>2809</v>
      </c>
      <c r="BJ262" s="57" t="s">
        <v>3476</v>
      </c>
      <c r="BK262" s="57" t="s">
        <v>3476</v>
      </c>
      <c r="BL262" s="57">
        <v>3586345</v>
      </c>
      <c r="BM262" s="57" t="s">
        <v>4191</v>
      </c>
      <c r="BN262" s="57">
        <v>18</v>
      </c>
      <c r="BO262" s="57" t="s">
        <v>3476</v>
      </c>
      <c r="BP262" s="57" t="s">
        <v>3476</v>
      </c>
      <c r="BQ262" s="57" t="s">
        <v>3476</v>
      </c>
      <c r="BR262" s="57" t="s">
        <v>4192</v>
      </c>
      <c r="BS262" s="57" t="s">
        <v>1292</v>
      </c>
      <c r="BT262" s="57" t="s">
        <v>3476</v>
      </c>
      <c r="BU262" s="57" t="s">
        <v>3476</v>
      </c>
      <c r="BV262" s="57" t="s">
        <v>3753</v>
      </c>
      <c r="BW262" s="57" t="s">
        <v>3476</v>
      </c>
      <c r="BX262" s="57">
        <v>18</v>
      </c>
      <c r="BY262" s="57" t="s">
        <v>3476</v>
      </c>
      <c r="BZ262" s="57" t="s">
        <v>3476</v>
      </c>
      <c r="CA262" s="57" t="s">
        <v>3476</v>
      </c>
      <c r="CB262" s="57" t="s">
        <v>3476</v>
      </c>
      <c r="CC262" s="57" t="s">
        <v>3476</v>
      </c>
      <c r="CD262" s="57" t="s">
        <v>3476</v>
      </c>
    </row>
    <row r="263" spans="1:82">
      <c r="A263" s="57">
        <v>22441</v>
      </c>
      <c r="B263" s="57" t="s">
        <v>3476</v>
      </c>
      <c r="C263" s="57" t="s">
        <v>4187</v>
      </c>
      <c r="D263" s="57" t="s">
        <v>3476</v>
      </c>
      <c r="E263" s="57" t="s">
        <v>3730</v>
      </c>
      <c r="F263" s="57" t="s">
        <v>4188</v>
      </c>
      <c r="G263" s="57" t="s">
        <v>721</v>
      </c>
      <c r="H263" s="57" t="s">
        <v>2874</v>
      </c>
      <c r="I263" s="57">
        <v>48115.48</v>
      </c>
      <c r="J263" s="57" t="s">
        <v>3476</v>
      </c>
      <c r="K263" s="57" t="s">
        <v>3476</v>
      </c>
      <c r="L263" s="57" t="s">
        <v>3730</v>
      </c>
      <c r="M263" s="57" t="s">
        <v>4189</v>
      </c>
      <c r="N263" s="57" t="s">
        <v>4189</v>
      </c>
      <c r="O263" s="57" t="s">
        <v>3476</v>
      </c>
      <c r="P263" s="57" t="s">
        <v>3476</v>
      </c>
      <c r="Q263" s="57" t="s">
        <v>2874</v>
      </c>
      <c r="R263" s="57" t="s">
        <v>3781</v>
      </c>
      <c r="S263" s="57" t="s">
        <v>3782</v>
      </c>
      <c r="T263" s="57" t="s">
        <v>3736</v>
      </c>
      <c r="U263" s="57" t="s">
        <v>3476</v>
      </c>
      <c r="V263" s="57" t="s">
        <v>3469</v>
      </c>
      <c r="W263" s="57" t="s">
        <v>3476</v>
      </c>
      <c r="X263" s="57" t="s">
        <v>4190</v>
      </c>
      <c r="Y263" s="57" t="s">
        <v>3738</v>
      </c>
      <c r="Z263" s="57" t="s">
        <v>4122</v>
      </c>
      <c r="AA263" s="57" t="s">
        <v>3476</v>
      </c>
      <c r="AB263" s="57" t="s">
        <v>3476</v>
      </c>
      <c r="AC263" s="57" t="s">
        <v>3476</v>
      </c>
      <c r="AD263" s="57" t="s">
        <v>3476</v>
      </c>
      <c r="AE263" s="57" t="s">
        <v>3476</v>
      </c>
      <c r="AF263" s="57" t="s">
        <v>3476</v>
      </c>
      <c r="AG263" s="57" t="s">
        <v>3476</v>
      </c>
      <c r="AH263" s="57" t="s">
        <v>3476</v>
      </c>
      <c r="AI263" s="57" t="s">
        <v>3476</v>
      </c>
      <c r="AJ263" s="57" t="s">
        <v>3476</v>
      </c>
      <c r="AK263" s="57" t="s">
        <v>3476</v>
      </c>
      <c r="AL263" s="57" t="s">
        <v>3476</v>
      </c>
      <c r="AM263" s="57" t="s">
        <v>3476</v>
      </c>
      <c r="AN263" s="57" t="s">
        <v>3476</v>
      </c>
      <c r="AO263" s="57" t="s">
        <v>3476</v>
      </c>
      <c r="AP263" s="58">
        <v>45853.4481018518</v>
      </c>
      <c r="AQ263" s="57" t="s">
        <v>3476</v>
      </c>
      <c r="AR263" s="57" t="s">
        <v>3476</v>
      </c>
      <c r="AS263" s="57" t="s">
        <v>3502</v>
      </c>
      <c r="AT263" s="57" t="s">
        <v>3745</v>
      </c>
      <c r="AU263" s="57" t="s">
        <v>3476</v>
      </c>
      <c r="AV263" s="57" t="s">
        <v>3476</v>
      </c>
      <c r="AW263" s="58">
        <v>45853.3918287037</v>
      </c>
      <c r="AX263" s="57" t="s">
        <v>3476</v>
      </c>
      <c r="AY263" s="57" t="s">
        <v>3747</v>
      </c>
      <c r="AZ263" s="57" t="s">
        <v>3476</v>
      </c>
      <c r="BA263" s="57" t="s">
        <v>3476</v>
      </c>
      <c r="BB263" s="57" t="s">
        <v>3476</v>
      </c>
      <c r="BC263" s="57" t="s">
        <v>1787</v>
      </c>
      <c r="BD263" s="57" t="s">
        <v>3659</v>
      </c>
      <c r="BE263" s="57" t="s">
        <v>3787</v>
      </c>
      <c r="BF263" s="57" t="s">
        <v>3749</v>
      </c>
      <c r="BG263" s="57" t="s">
        <v>3476</v>
      </c>
      <c r="BH263" s="57" t="s">
        <v>3476</v>
      </c>
      <c r="BI263" s="57" t="s">
        <v>2809</v>
      </c>
      <c r="BJ263" s="57" t="s">
        <v>3476</v>
      </c>
      <c r="BK263" s="57" t="s">
        <v>3476</v>
      </c>
      <c r="BL263" s="57">
        <v>3586346</v>
      </c>
      <c r="BM263" s="57" t="s">
        <v>4191</v>
      </c>
      <c r="BN263" s="57">
        <v>151.9</v>
      </c>
      <c r="BO263" s="57" t="s">
        <v>3476</v>
      </c>
      <c r="BP263" s="57" t="s">
        <v>3476</v>
      </c>
      <c r="BQ263" s="57" t="s">
        <v>3476</v>
      </c>
      <c r="BR263" s="57" t="s">
        <v>4192</v>
      </c>
      <c r="BS263" s="57" t="s">
        <v>1292</v>
      </c>
      <c r="BT263" s="57" t="s">
        <v>3476</v>
      </c>
      <c r="BU263" s="57" t="s">
        <v>3476</v>
      </c>
      <c r="BV263" s="57" t="s">
        <v>3753</v>
      </c>
      <c r="BW263" s="57" t="s">
        <v>3476</v>
      </c>
      <c r="BX263" s="57">
        <v>151.9</v>
      </c>
      <c r="BY263" s="57" t="s">
        <v>3476</v>
      </c>
      <c r="BZ263" s="57" t="s">
        <v>3476</v>
      </c>
      <c r="CA263" s="57" t="s">
        <v>3476</v>
      </c>
      <c r="CB263" s="57" t="s">
        <v>3476</v>
      </c>
      <c r="CC263" s="57" t="s">
        <v>3476</v>
      </c>
      <c r="CD263" s="57" t="s">
        <v>3476</v>
      </c>
    </row>
    <row r="264" spans="1:82">
      <c r="A264" s="57">
        <v>22442</v>
      </c>
      <c r="B264" s="57" t="s">
        <v>3476</v>
      </c>
      <c r="C264" s="57" t="s">
        <v>4187</v>
      </c>
      <c r="D264" s="57" t="s">
        <v>3476</v>
      </c>
      <c r="E264" s="57" t="s">
        <v>3730</v>
      </c>
      <c r="F264" s="57" t="s">
        <v>4188</v>
      </c>
      <c r="G264" s="57" t="s">
        <v>721</v>
      </c>
      <c r="H264" s="57" t="s">
        <v>2874</v>
      </c>
      <c r="I264" s="57">
        <v>48115.48</v>
      </c>
      <c r="J264" s="57" t="s">
        <v>3476</v>
      </c>
      <c r="K264" s="57" t="s">
        <v>3476</v>
      </c>
      <c r="L264" s="57" t="s">
        <v>3730</v>
      </c>
      <c r="M264" s="57" t="s">
        <v>4189</v>
      </c>
      <c r="N264" s="57" t="s">
        <v>4189</v>
      </c>
      <c r="O264" s="57" t="s">
        <v>3476</v>
      </c>
      <c r="P264" s="57" t="s">
        <v>3476</v>
      </c>
      <c r="Q264" s="57" t="s">
        <v>2874</v>
      </c>
      <c r="R264" s="57" t="s">
        <v>3781</v>
      </c>
      <c r="S264" s="57" t="s">
        <v>3782</v>
      </c>
      <c r="T264" s="57" t="s">
        <v>3736</v>
      </c>
      <c r="U264" s="57" t="s">
        <v>3476</v>
      </c>
      <c r="V264" s="57" t="s">
        <v>3469</v>
      </c>
      <c r="W264" s="57" t="s">
        <v>3476</v>
      </c>
      <c r="X264" s="57" t="s">
        <v>4190</v>
      </c>
      <c r="Y264" s="57" t="s">
        <v>3738</v>
      </c>
      <c r="Z264" s="57" t="s">
        <v>4122</v>
      </c>
      <c r="AA264" s="57" t="s">
        <v>3476</v>
      </c>
      <c r="AB264" s="57" t="s">
        <v>3476</v>
      </c>
      <c r="AC264" s="57" t="s">
        <v>3476</v>
      </c>
      <c r="AD264" s="57" t="s">
        <v>3476</v>
      </c>
      <c r="AE264" s="57" t="s">
        <v>3476</v>
      </c>
      <c r="AF264" s="57" t="s">
        <v>3476</v>
      </c>
      <c r="AG264" s="57" t="s">
        <v>3476</v>
      </c>
      <c r="AH264" s="57" t="s">
        <v>3476</v>
      </c>
      <c r="AI264" s="57" t="s">
        <v>3476</v>
      </c>
      <c r="AJ264" s="57" t="s">
        <v>3476</v>
      </c>
      <c r="AK264" s="57" t="s">
        <v>3476</v>
      </c>
      <c r="AL264" s="57" t="s">
        <v>3476</v>
      </c>
      <c r="AM264" s="57" t="s">
        <v>3476</v>
      </c>
      <c r="AN264" s="57" t="s">
        <v>3476</v>
      </c>
      <c r="AO264" s="57" t="s">
        <v>3476</v>
      </c>
      <c r="AP264" s="58">
        <v>45853.4481018518</v>
      </c>
      <c r="AQ264" s="57" t="s">
        <v>3476</v>
      </c>
      <c r="AR264" s="57" t="s">
        <v>3476</v>
      </c>
      <c r="AS264" s="57" t="s">
        <v>3502</v>
      </c>
      <c r="AT264" s="57" t="s">
        <v>3745</v>
      </c>
      <c r="AU264" s="57" t="s">
        <v>3476</v>
      </c>
      <c r="AV264" s="57" t="s">
        <v>3476</v>
      </c>
      <c r="AW264" s="58">
        <v>45853.3918287037</v>
      </c>
      <c r="AX264" s="57" t="s">
        <v>3476</v>
      </c>
      <c r="AY264" s="57" t="s">
        <v>3747</v>
      </c>
      <c r="AZ264" s="57" t="s">
        <v>3476</v>
      </c>
      <c r="BA264" s="57" t="s">
        <v>3476</v>
      </c>
      <c r="BB264" s="57" t="s">
        <v>3476</v>
      </c>
      <c r="BC264" s="57" t="s">
        <v>1787</v>
      </c>
      <c r="BD264" s="57" t="s">
        <v>3659</v>
      </c>
      <c r="BE264" s="57" t="s">
        <v>3787</v>
      </c>
      <c r="BF264" s="57" t="s">
        <v>3749</v>
      </c>
      <c r="BG264" s="57" t="s">
        <v>3476</v>
      </c>
      <c r="BH264" s="57" t="s">
        <v>3476</v>
      </c>
      <c r="BI264" s="57" t="s">
        <v>2809</v>
      </c>
      <c r="BJ264" s="57" t="s">
        <v>3476</v>
      </c>
      <c r="BK264" s="57" t="s">
        <v>3476</v>
      </c>
      <c r="BL264" s="57">
        <v>3586347</v>
      </c>
      <c r="BM264" s="57" t="s">
        <v>4191</v>
      </c>
      <c r="BN264" s="57">
        <v>180</v>
      </c>
      <c r="BO264" s="57" t="s">
        <v>3476</v>
      </c>
      <c r="BP264" s="57" t="s">
        <v>3476</v>
      </c>
      <c r="BQ264" s="57" t="s">
        <v>3476</v>
      </c>
      <c r="BR264" s="57" t="s">
        <v>4192</v>
      </c>
      <c r="BS264" s="57" t="s">
        <v>1292</v>
      </c>
      <c r="BT264" s="57" t="s">
        <v>3476</v>
      </c>
      <c r="BU264" s="57" t="s">
        <v>3476</v>
      </c>
      <c r="BV264" s="57" t="s">
        <v>3753</v>
      </c>
      <c r="BW264" s="57" t="s">
        <v>3476</v>
      </c>
      <c r="BX264" s="57">
        <v>180</v>
      </c>
      <c r="BY264" s="57" t="s">
        <v>3476</v>
      </c>
      <c r="BZ264" s="57" t="s">
        <v>3476</v>
      </c>
      <c r="CA264" s="57" t="s">
        <v>3476</v>
      </c>
      <c r="CB264" s="57" t="s">
        <v>3476</v>
      </c>
      <c r="CC264" s="57" t="s">
        <v>3476</v>
      </c>
      <c r="CD264" s="57" t="s">
        <v>3476</v>
      </c>
    </row>
    <row r="265" spans="1:82">
      <c r="A265" s="57">
        <v>22443</v>
      </c>
      <c r="B265" s="57" t="s">
        <v>3476</v>
      </c>
      <c r="C265" s="57" t="s">
        <v>4187</v>
      </c>
      <c r="D265" s="57" t="s">
        <v>3476</v>
      </c>
      <c r="E265" s="57" t="s">
        <v>3730</v>
      </c>
      <c r="F265" s="57" t="s">
        <v>4188</v>
      </c>
      <c r="G265" s="57" t="s">
        <v>721</v>
      </c>
      <c r="H265" s="57" t="s">
        <v>2874</v>
      </c>
      <c r="I265" s="57">
        <v>48115.48</v>
      </c>
      <c r="J265" s="57" t="s">
        <v>3476</v>
      </c>
      <c r="K265" s="57" t="s">
        <v>3476</v>
      </c>
      <c r="L265" s="57" t="s">
        <v>3730</v>
      </c>
      <c r="M265" s="57" t="s">
        <v>4189</v>
      </c>
      <c r="N265" s="57" t="s">
        <v>4189</v>
      </c>
      <c r="O265" s="57" t="s">
        <v>3476</v>
      </c>
      <c r="P265" s="57" t="s">
        <v>3476</v>
      </c>
      <c r="Q265" s="57" t="s">
        <v>2874</v>
      </c>
      <c r="R265" s="57" t="s">
        <v>3781</v>
      </c>
      <c r="S265" s="57" t="s">
        <v>3782</v>
      </c>
      <c r="T265" s="57" t="s">
        <v>3736</v>
      </c>
      <c r="U265" s="57" t="s">
        <v>3476</v>
      </c>
      <c r="V265" s="57" t="s">
        <v>3469</v>
      </c>
      <c r="W265" s="57" t="s">
        <v>3476</v>
      </c>
      <c r="X265" s="57" t="s">
        <v>4190</v>
      </c>
      <c r="Y265" s="57" t="s">
        <v>3738</v>
      </c>
      <c r="Z265" s="57" t="s">
        <v>4122</v>
      </c>
      <c r="AA265" s="57" t="s">
        <v>3476</v>
      </c>
      <c r="AB265" s="57" t="s">
        <v>3476</v>
      </c>
      <c r="AC265" s="57" t="s">
        <v>3476</v>
      </c>
      <c r="AD265" s="57" t="s">
        <v>3476</v>
      </c>
      <c r="AE265" s="57" t="s">
        <v>3476</v>
      </c>
      <c r="AF265" s="57" t="s">
        <v>3476</v>
      </c>
      <c r="AG265" s="57" t="s">
        <v>3476</v>
      </c>
      <c r="AH265" s="57" t="s">
        <v>3476</v>
      </c>
      <c r="AI265" s="57" t="s">
        <v>3476</v>
      </c>
      <c r="AJ265" s="57" t="s">
        <v>3476</v>
      </c>
      <c r="AK265" s="57" t="s">
        <v>3476</v>
      </c>
      <c r="AL265" s="57" t="s">
        <v>3476</v>
      </c>
      <c r="AM265" s="57" t="s">
        <v>3476</v>
      </c>
      <c r="AN265" s="57" t="s">
        <v>3476</v>
      </c>
      <c r="AO265" s="57" t="s">
        <v>3476</v>
      </c>
      <c r="AP265" s="58">
        <v>45853.4481018518</v>
      </c>
      <c r="AQ265" s="57" t="s">
        <v>3476</v>
      </c>
      <c r="AR265" s="57" t="s">
        <v>3476</v>
      </c>
      <c r="AS265" s="57" t="s">
        <v>3502</v>
      </c>
      <c r="AT265" s="57" t="s">
        <v>3745</v>
      </c>
      <c r="AU265" s="57" t="s">
        <v>3476</v>
      </c>
      <c r="AV265" s="57" t="s">
        <v>3476</v>
      </c>
      <c r="AW265" s="58">
        <v>45853.3918287037</v>
      </c>
      <c r="AX265" s="57" t="s">
        <v>3476</v>
      </c>
      <c r="AY265" s="57" t="s">
        <v>3747</v>
      </c>
      <c r="AZ265" s="57" t="s">
        <v>3476</v>
      </c>
      <c r="BA265" s="57" t="s">
        <v>3476</v>
      </c>
      <c r="BB265" s="57" t="s">
        <v>3476</v>
      </c>
      <c r="BC265" s="57" t="s">
        <v>3791</v>
      </c>
      <c r="BD265" s="57" t="s">
        <v>3659</v>
      </c>
      <c r="BE265" s="57" t="s">
        <v>3787</v>
      </c>
      <c r="BF265" s="57" t="s">
        <v>3749</v>
      </c>
      <c r="BG265" s="57" t="s">
        <v>3476</v>
      </c>
      <c r="BH265" s="57" t="s">
        <v>3476</v>
      </c>
      <c r="BI265" s="57" t="s">
        <v>2809</v>
      </c>
      <c r="BJ265" s="57" t="s">
        <v>3476</v>
      </c>
      <c r="BK265" s="57" t="s">
        <v>3476</v>
      </c>
      <c r="BL265" s="57">
        <v>3586348</v>
      </c>
      <c r="BM265" s="57" t="s">
        <v>4191</v>
      </c>
      <c r="BN265" s="57">
        <v>20.4</v>
      </c>
      <c r="BO265" s="57" t="s">
        <v>3476</v>
      </c>
      <c r="BP265" s="57" t="s">
        <v>3476</v>
      </c>
      <c r="BQ265" s="57" t="s">
        <v>3476</v>
      </c>
      <c r="BR265" s="57" t="s">
        <v>4192</v>
      </c>
      <c r="BS265" s="57" t="s">
        <v>1292</v>
      </c>
      <c r="BT265" s="57" t="s">
        <v>3476</v>
      </c>
      <c r="BU265" s="57" t="s">
        <v>3476</v>
      </c>
      <c r="BV265" s="57" t="s">
        <v>3753</v>
      </c>
      <c r="BW265" s="57" t="s">
        <v>3476</v>
      </c>
      <c r="BX265" s="57">
        <v>20.4</v>
      </c>
      <c r="BY265" s="57" t="s">
        <v>3476</v>
      </c>
      <c r="BZ265" s="57" t="s">
        <v>3476</v>
      </c>
      <c r="CA265" s="57" t="s">
        <v>3476</v>
      </c>
      <c r="CB265" s="57" t="s">
        <v>3476</v>
      </c>
      <c r="CC265" s="57" t="s">
        <v>3476</v>
      </c>
      <c r="CD265" s="57" t="s">
        <v>3476</v>
      </c>
    </row>
    <row r="266" spans="1:82">
      <c r="A266" s="57">
        <v>22444</v>
      </c>
      <c r="B266" s="57" t="s">
        <v>3476</v>
      </c>
      <c r="C266" s="57" t="s">
        <v>4187</v>
      </c>
      <c r="D266" s="57" t="s">
        <v>3476</v>
      </c>
      <c r="E266" s="57" t="s">
        <v>3730</v>
      </c>
      <c r="F266" s="57" t="s">
        <v>4188</v>
      </c>
      <c r="G266" s="57" t="s">
        <v>721</v>
      </c>
      <c r="H266" s="57" t="s">
        <v>2874</v>
      </c>
      <c r="I266" s="57">
        <v>48115.48</v>
      </c>
      <c r="J266" s="57" t="s">
        <v>3476</v>
      </c>
      <c r="K266" s="57" t="s">
        <v>3476</v>
      </c>
      <c r="L266" s="57" t="s">
        <v>3730</v>
      </c>
      <c r="M266" s="57" t="s">
        <v>4189</v>
      </c>
      <c r="N266" s="57" t="s">
        <v>4189</v>
      </c>
      <c r="O266" s="57" t="s">
        <v>3476</v>
      </c>
      <c r="P266" s="57" t="s">
        <v>3476</v>
      </c>
      <c r="Q266" s="57" t="s">
        <v>2874</v>
      </c>
      <c r="R266" s="57" t="s">
        <v>3781</v>
      </c>
      <c r="S266" s="57" t="s">
        <v>3782</v>
      </c>
      <c r="T266" s="57" t="s">
        <v>3736</v>
      </c>
      <c r="U266" s="57" t="s">
        <v>3476</v>
      </c>
      <c r="V266" s="57" t="s">
        <v>3469</v>
      </c>
      <c r="W266" s="57" t="s">
        <v>3476</v>
      </c>
      <c r="X266" s="57" t="s">
        <v>4190</v>
      </c>
      <c r="Y266" s="57" t="s">
        <v>3738</v>
      </c>
      <c r="Z266" s="57" t="s">
        <v>4122</v>
      </c>
      <c r="AA266" s="57" t="s">
        <v>3476</v>
      </c>
      <c r="AB266" s="57" t="s">
        <v>3476</v>
      </c>
      <c r="AC266" s="57" t="s">
        <v>3476</v>
      </c>
      <c r="AD266" s="57" t="s">
        <v>3476</v>
      </c>
      <c r="AE266" s="57" t="s">
        <v>3476</v>
      </c>
      <c r="AF266" s="57" t="s">
        <v>3476</v>
      </c>
      <c r="AG266" s="57" t="s">
        <v>3476</v>
      </c>
      <c r="AH266" s="57" t="s">
        <v>3476</v>
      </c>
      <c r="AI266" s="57" t="s">
        <v>3476</v>
      </c>
      <c r="AJ266" s="57" t="s">
        <v>3476</v>
      </c>
      <c r="AK266" s="57" t="s">
        <v>3476</v>
      </c>
      <c r="AL266" s="57" t="s">
        <v>3476</v>
      </c>
      <c r="AM266" s="57" t="s">
        <v>3476</v>
      </c>
      <c r="AN266" s="57" t="s">
        <v>3476</v>
      </c>
      <c r="AO266" s="57" t="s">
        <v>3476</v>
      </c>
      <c r="AP266" s="58">
        <v>45853.4481018518</v>
      </c>
      <c r="AQ266" s="57" t="s">
        <v>3476</v>
      </c>
      <c r="AR266" s="57" t="s">
        <v>3476</v>
      </c>
      <c r="AS266" s="57" t="s">
        <v>3502</v>
      </c>
      <c r="AT266" s="57" t="s">
        <v>3745</v>
      </c>
      <c r="AU266" s="57" t="s">
        <v>3476</v>
      </c>
      <c r="AV266" s="57" t="s">
        <v>3476</v>
      </c>
      <c r="AW266" s="58">
        <v>45853.3918287037</v>
      </c>
      <c r="AX266" s="57" t="s">
        <v>3476</v>
      </c>
      <c r="AY266" s="57" t="s">
        <v>3747</v>
      </c>
      <c r="AZ266" s="57" t="s">
        <v>3476</v>
      </c>
      <c r="BA266" s="57" t="s">
        <v>3476</v>
      </c>
      <c r="BB266" s="57" t="s">
        <v>3476</v>
      </c>
      <c r="BC266" s="57" t="s">
        <v>3791</v>
      </c>
      <c r="BD266" s="57" t="s">
        <v>3659</v>
      </c>
      <c r="BE266" s="57" t="s">
        <v>3787</v>
      </c>
      <c r="BF266" s="57" t="s">
        <v>3749</v>
      </c>
      <c r="BG266" s="57" t="s">
        <v>3476</v>
      </c>
      <c r="BH266" s="57" t="s">
        <v>3476</v>
      </c>
      <c r="BI266" s="57" t="s">
        <v>2809</v>
      </c>
      <c r="BJ266" s="57" t="s">
        <v>3476</v>
      </c>
      <c r="BK266" s="57" t="s">
        <v>3476</v>
      </c>
      <c r="BL266" s="57">
        <v>3586349</v>
      </c>
      <c r="BM266" s="57" t="s">
        <v>4191</v>
      </c>
      <c r="BN266" s="57">
        <v>24</v>
      </c>
      <c r="BO266" s="57" t="s">
        <v>3476</v>
      </c>
      <c r="BP266" s="57" t="s">
        <v>3476</v>
      </c>
      <c r="BQ266" s="57" t="s">
        <v>3476</v>
      </c>
      <c r="BR266" s="57" t="s">
        <v>4192</v>
      </c>
      <c r="BS266" s="57" t="s">
        <v>1292</v>
      </c>
      <c r="BT266" s="57" t="s">
        <v>3476</v>
      </c>
      <c r="BU266" s="57" t="s">
        <v>3476</v>
      </c>
      <c r="BV266" s="57" t="s">
        <v>3753</v>
      </c>
      <c r="BW266" s="57" t="s">
        <v>3476</v>
      </c>
      <c r="BX266" s="57">
        <v>24</v>
      </c>
      <c r="BY266" s="57" t="s">
        <v>3476</v>
      </c>
      <c r="BZ266" s="57" t="s">
        <v>3476</v>
      </c>
      <c r="CA266" s="57" t="s">
        <v>3476</v>
      </c>
      <c r="CB266" s="57" t="s">
        <v>3476</v>
      </c>
      <c r="CC266" s="57" t="s">
        <v>3476</v>
      </c>
      <c r="CD266" s="57" t="s">
        <v>3476</v>
      </c>
    </row>
    <row r="267" spans="1:82">
      <c r="A267" s="57">
        <v>22445</v>
      </c>
      <c r="B267" s="57" t="s">
        <v>3476</v>
      </c>
      <c r="C267" s="57" t="s">
        <v>4187</v>
      </c>
      <c r="D267" s="57" t="s">
        <v>3476</v>
      </c>
      <c r="E267" s="57" t="s">
        <v>3730</v>
      </c>
      <c r="F267" s="57" t="s">
        <v>4188</v>
      </c>
      <c r="G267" s="57" t="s">
        <v>721</v>
      </c>
      <c r="H267" s="57" t="s">
        <v>2874</v>
      </c>
      <c r="I267" s="57">
        <v>48115.48</v>
      </c>
      <c r="J267" s="57" t="s">
        <v>3476</v>
      </c>
      <c r="K267" s="57" t="s">
        <v>3476</v>
      </c>
      <c r="L267" s="57" t="s">
        <v>3730</v>
      </c>
      <c r="M267" s="57" t="s">
        <v>4189</v>
      </c>
      <c r="N267" s="57" t="s">
        <v>4189</v>
      </c>
      <c r="O267" s="57" t="s">
        <v>3476</v>
      </c>
      <c r="P267" s="57" t="s">
        <v>3476</v>
      </c>
      <c r="Q267" s="57" t="s">
        <v>2874</v>
      </c>
      <c r="R267" s="57" t="s">
        <v>3781</v>
      </c>
      <c r="S267" s="57" t="s">
        <v>3782</v>
      </c>
      <c r="T267" s="57" t="s">
        <v>3736</v>
      </c>
      <c r="U267" s="57" t="s">
        <v>3476</v>
      </c>
      <c r="V267" s="57" t="s">
        <v>3469</v>
      </c>
      <c r="W267" s="57" t="s">
        <v>3476</v>
      </c>
      <c r="X267" s="57" t="s">
        <v>4190</v>
      </c>
      <c r="Y267" s="57" t="s">
        <v>3738</v>
      </c>
      <c r="Z267" s="57" t="s">
        <v>4122</v>
      </c>
      <c r="AA267" s="57" t="s">
        <v>3476</v>
      </c>
      <c r="AB267" s="57" t="s">
        <v>3476</v>
      </c>
      <c r="AC267" s="57" t="s">
        <v>3476</v>
      </c>
      <c r="AD267" s="57" t="s">
        <v>3476</v>
      </c>
      <c r="AE267" s="57" t="s">
        <v>3476</v>
      </c>
      <c r="AF267" s="57" t="s">
        <v>3476</v>
      </c>
      <c r="AG267" s="57" t="s">
        <v>3476</v>
      </c>
      <c r="AH267" s="57" t="s">
        <v>3476</v>
      </c>
      <c r="AI267" s="57" t="s">
        <v>3476</v>
      </c>
      <c r="AJ267" s="57" t="s">
        <v>3476</v>
      </c>
      <c r="AK267" s="57" t="s">
        <v>3476</v>
      </c>
      <c r="AL267" s="57" t="s">
        <v>3476</v>
      </c>
      <c r="AM267" s="57" t="s">
        <v>3476</v>
      </c>
      <c r="AN267" s="57" t="s">
        <v>3476</v>
      </c>
      <c r="AO267" s="57" t="s">
        <v>3476</v>
      </c>
      <c r="AP267" s="58">
        <v>45853.4481018518</v>
      </c>
      <c r="AQ267" s="57" t="s">
        <v>3476</v>
      </c>
      <c r="AR267" s="57" t="s">
        <v>3476</v>
      </c>
      <c r="AS267" s="57" t="s">
        <v>3502</v>
      </c>
      <c r="AT267" s="57" t="s">
        <v>3745</v>
      </c>
      <c r="AU267" s="57" t="s">
        <v>3476</v>
      </c>
      <c r="AV267" s="57" t="s">
        <v>3476</v>
      </c>
      <c r="AW267" s="58">
        <v>45853.3918287037</v>
      </c>
      <c r="AX267" s="57" t="s">
        <v>3476</v>
      </c>
      <c r="AY267" s="57" t="s">
        <v>3747</v>
      </c>
      <c r="AZ267" s="57" t="s">
        <v>3476</v>
      </c>
      <c r="BA267" s="57" t="s">
        <v>3476</v>
      </c>
      <c r="BB267" s="57" t="s">
        <v>3476</v>
      </c>
      <c r="BC267" s="57" t="s">
        <v>3791</v>
      </c>
      <c r="BD267" s="57" t="s">
        <v>3659</v>
      </c>
      <c r="BE267" s="57" t="s">
        <v>3787</v>
      </c>
      <c r="BF267" s="57" t="s">
        <v>3749</v>
      </c>
      <c r="BG267" s="57" t="s">
        <v>3476</v>
      </c>
      <c r="BH267" s="57" t="s">
        <v>3476</v>
      </c>
      <c r="BI267" s="57" t="s">
        <v>2809</v>
      </c>
      <c r="BJ267" s="57" t="s">
        <v>3476</v>
      </c>
      <c r="BK267" s="57" t="s">
        <v>3476</v>
      </c>
      <c r="BL267" s="57">
        <v>3586350</v>
      </c>
      <c r="BM267" s="57" t="s">
        <v>4191</v>
      </c>
      <c r="BN267" s="57">
        <v>65</v>
      </c>
      <c r="BO267" s="57" t="s">
        <v>3476</v>
      </c>
      <c r="BP267" s="57" t="s">
        <v>3476</v>
      </c>
      <c r="BQ267" s="57" t="s">
        <v>3476</v>
      </c>
      <c r="BR267" s="57" t="s">
        <v>4192</v>
      </c>
      <c r="BS267" s="57" t="s">
        <v>1292</v>
      </c>
      <c r="BT267" s="57" t="s">
        <v>3476</v>
      </c>
      <c r="BU267" s="57" t="s">
        <v>3476</v>
      </c>
      <c r="BV267" s="57" t="s">
        <v>3753</v>
      </c>
      <c r="BW267" s="57" t="s">
        <v>3476</v>
      </c>
      <c r="BX267" s="57">
        <v>65</v>
      </c>
      <c r="BY267" s="57" t="s">
        <v>3476</v>
      </c>
      <c r="BZ267" s="57" t="s">
        <v>3476</v>
      </c>
      <c r="CA267" s="57" t="s">
        <v>3476</v>
      </c>
      <c r="CB267" s="57" t="s">
        <v>3476</v>
      </c>
      <c r="CC267" s="57" t="s">
        <v>3476</v>
      </c>
      <c r="CD267" s="57" t="s">
        <v>3476</v>
      </c>
    </row>
    <row r="268" spans="1:82">
      <c r="A268" s="57">
        <v>22446</v>
      </c>
      <c r="B268" s="57" t="s">
        <v>3476</v>
      </c>
      <c r="C268" s="57" t="s">
        <v>4187</v>
      </c>
      <c r="D268" s="57" t="s">
        <v>3476</v>
      </c>
      <c r="E268" s="57" t="s">
        <v>3730</v>
      </c>
      <c r="F268" s="57" t="s">
        <v>4188</v>
      </c>
      <c r="G268" s="57" t="s">
        <v>721</v>
      </c>
      <c r="H268" s="57" t="s">
        <v>2874</v>
      </c>
      <c r="I268" s="57">
        <v>48115.48</v>
      </c>
      <c r="J268" s="57" t="s">
        <v>3476</v>
      </c>
      <c r="K268" s="57" t="s">
        <v>3476</v>
      </c>
      <c r="L268" s="57" t="s">
        <v>3730</v>
      </c>
      <c r="M268" s="57" t="s">
        <v>4189</v>
      </c>
      <c r="N268" s="57" t="s">
        <v>4189</v>
      </c>
      <c r="O268" s="57" t="s">
        <v>3476</v>
      </c>
      <c r="P268" s="57" t="s">
        <v>3476</v>
      </c>
      <c r="Q268" s="57" t="s">
        <v>2874</v>
      </c>
      <c r="R268" s="57" t="s">
        <v>3781</v>
      </c>
      <c r="S268" s="57" t="s">
        <v>3782</v>
      </c>
      <c r="T268" s="57" t="s">
        <v>3736</v>
      </c>
      <c r="U268" s="57" t="s">
        <v>3476</v>
      </c>
      <c r="V268" s="57" t="s">
        <v>3469</v>
      </c>
      <c r="W268" s="57" t="s">
        <v>3476</v>
      </c>
      <c r="X268" s="57" t="s">
        <v>4190</v>
      </c>
      <c r="Y268" s="57" t="s">
        <v>3738</v>
      </c>
      <c r="Z268" s="57" t="s">
        <v>4122</v>
      </c>
      <c r="AA268" s="57" t="s">
        <v>3476</v>
      </c>
      <c r="AB268" s="57" t="s">
        <v>3476</v>
      </c>
      <c r="AC268" s="57" t="s">
        <v>3476</v>
      </c>
      <c r="AD268" s="57" t="s">
        <v>3476</v>
      </c>
      <c r="AE268" s="57" t="s">
        <v>3476</v>
      </c>
      <c r="AF268" s="57" t="s">
        <v>3476</v>
      </c>
      <c r="AG268" s="57" t="s">
        <v>3476</v>
      </c>
      <c r="AH268" s="57" t="s">
        <v>3476</v>
      </c>
      <c r="AI268" s="57" t="s">
        <v>3476</v>
      </c>
      <c r="AJ268" s="57" t="s">
        <v>3476</v>
      </c>
      <c r="AK268" s="57" t="s">
        <v>3476</v>
      </c>
      <c r="AL268" s="57" t="s">
        <v>3476</v>
      </c>
      <c r="AM268" s="57" t="s">
        <v>3476</v>
      </c>
      <c r="AN268" s="57" t="s">
        <v>3476</v>
      </c>
      <c r="AO268" s="57" t="s">
        <v>3476</v>
      </c>
      <c r="AP268" s="58">
        <v>45853.4481018518</v>
      </c>
      <c r="AQ268" s="57" t="s">
        <v>3476</v>
      </c>
      <c r="AR268" s="57" t="s">
        <v>3476</v>
      </c>
      <c r="AS268" s="57" t="s">
        <v>3502</v>
      </c>
      <c r="AT268" s="57" t="s">
        <v>3745</v>
      </c>
      <c r="AU268" s="57" t="s">
        <v>3476</v>
      </c>
      <c r="AV268" s="57" t="s">
        <v>3476</v>
      </c>
      <c r="AW268" s="58">
        <v>45853.3918287037</v>
      </c>
      <c r="AX268" s="57" t="s">
        <v>3476</v>
      </c>
      <c r="AY268" s="57" t="s">
        <v>3747</v>
      </c>
      <c r="AZ268" s="57" t="s">
        <v>3476</v>
      </c>
      <c r="BA268" s="57" t="s">
        <v>3476</v>
      </c>
      <c r="BB268" s="57" t="s">
        <v>3476</v>
      </c>
      <c r="BC268" s="57" t="s">
        <v>3791</v>
      </c>
      <c r="BD268" s="57" t="s">
        <v>3659</v>
      </c>
      <c r="BE268" s="57" t="s">
        <v>3787</v>
      </c>
      <c r="BF268" s="57" t="s">
        <v>3749</v>
      </c>
      <c r="BG268" s="57" t="s">
        <v>3476</v>
      </c>
      <c r="BH268" s="57" t="s">
        <v>3476</v>
      </c>
      <c r="BI268" s="57" t="s">
        <v>2809</v>
      </c>
      <c r="BJ268" s="57" t="s">
        <v>3476</v>
      </c>
      <c r="BK268" s="57" t="s">
        <v>3476</v>
      </c>
      <c r="BL268" s="57">
        <v>3586351</v>
      </c>
      <c r="BM268" s="57" t="s">
        <v>4191</v>
      </c>
      <c r="BN268" s="57">
        <v>130.5</v>
      </c>
      <c r="BO268" s="57" t="s">
        <v>3476</v>
      </c>
      <c r="BP268" s="57" t="s">
        <v>3476</v>
      </c>
      <c r="BQ268" s="57" t="s">
        <v>3476</v>
      </c>
      <c r="BR268" s="57" t="s">
        <v>4192</v>
      </c>
      <c r="BS268" s="57" t="s">
        <v>1292</v>
      </c>
      <c r="BT268" s="57" t="s">
        <v>3476</v>
      </c>
      <c r="BU268" s="57" t="s">
        <v>3476</v>
      </c>
      <c r="BV268" s="57" t="s">
        <v>3753</v>
      </c>
      <c r="BW268" s="57" t="s">
        <v>3476</v>
      </c>
      <c r="BX268" s="57">
        <v>130.5</v>
      </c>
      <c r="BY268" s="57" t="s">
        <v>3476</v>
      </c>
      <c r="BZ268" s="57" t="s">
        <v>3476</v>
      </c>
      <c r="CA268" s="57" t="s">
        <v>3476</v>
      </c>
      <c r="CB268" s="57" t="s">
        <v>3476</v>
      </c>
      <c r="CC268" s="57" t="s">
        <v>3476</v>
      </c>
      <c r="CD268" s="57" t="s">
        <v>3476</v>
      </c>
    </row>
    <row r="269" spans="1:82">
      <c r="A269" s="57">
        <v>22447</v>
      </c>
      <c r="B269" s="57" t="s">
        <v>3476</v>
      </c>
      <c r="C269" s="57" t="s">
        <v>4187</v>
      </c>
      <c r="D269" s="57" t="s">
        <v>3476</v>
      </c>
      <c r="E269" s="57" t="s">
        <v>3730</v>
      </c>
      <c r="F269" s="57" t="s">
        <v>4188</v>
      </c>
      <c r="G269" s="57" t="s">
        <v>721</v>
      </c>
      <c r="H269" s="57" t="s">
        <v>2874</v>
      </c>
      <c r="I269" s="57">
        <v>48115.48</v>
      </c>
      <c r="J269" s="57" t="s">
        <v>3476</v>
      </c>
      <c r="K269" s="57" t="s">
        <v>3476</v>
      </c>
      <c r="L269" s="57" t="s">
        <v>3730</v>
      </c>
      <c r="M269" s="57" t="s">
        <v>4189</v>
      </c>
      <c r="N269" s="57" t="s">
        <v>4189</v>
      </c>
      <c r="O269" s="57" t="s">
        <v>3476</v>
      </c>
      <c r="P269" s="57" t="s">
        <v>3476</v>
      </c>
      <c r="Q269" s="57" t="s">
        <v>2874</v>
      </c>
      <c r="R269" s="57" t="s">
        <v>3781</v>
      </c>
      <c r="S269" s="57" t="s">
        <v>3782</v>
      </c>
      <c r="T269" s="57" t="s">
        <v>3736</v>
      </c>
      <c r="U269" s="57" t="s">
        <v>3476</v>
      </c>
      <c r="V269" s="57" t="s">
        <v>3469</v>
      </c>
      <c r="W269" s="57" t="s">
        <v>3476</v>
      </c>
      <c r="X269" s="57" t="s">
        <v>4190</v>
      </c>
      <c r="Y269" s="57" t="s">
        <v>3738</v>
      </c>
      <c r="Z269" s="57" t="s">
        <v>4122</v>
      </c>
      <c r="AA269" s="57" t="s">
        <v>3476</v>
      </c>
      <c r="AB269" s="57" t="s">
        <v>3476</v>
      </c>
      <c r="AC269" s="57" t="s">
        <v>3476</v>
      </c>
      <c r="AD269" s="57" t="s">
        <v>3476</v>
      </c>
      <c r="AE269" s="57" t="s">
        <v>3476</v>
      </c>
      <c r="AF269" s="57" t="s">
        <v>3476</v>
      </c>
      <c r="AG269" s="57" t="s">
        <v>3476</v>
      </c>
      <c r="AH269" s="57" t="s">
        <v>3476</v>
      </c>
      <c r="AI269" s="57" t="s">
        <v>3476</v>
      </c>
      <c r="AJ269" s="57" t="s">
        <v>3476</v>
      </c>
      <c r="AK269" s="57" t="s">
        <v>3476</v>
      </c>
      <c r="AL269" s="57" t="s">
        <v>3476</v>
      </c>
      <c r="AM269" s="57" t="s">
        <v>3476</v>
      </c>
      <c r="AN269" s="57" t="s">
        <v>3476</v>
      </c>
      <c r="AO269" s="57" t="s">
        <v>3476</v>
      </c>
      <c r="AP269" s="58">
        <v>45853.4481018518</v>
      </c>
      <c r="AQ269" s="57" t="s">
        <v>3476</v>
      </c>
      <c r="AR269" s="57" t="s">
        <v>3476</v>
      </c>
      <c r="AS269" s="57" t="s">
        <v>3502</v>
      </c>
      <c r="AT269" s="57" t="s">
        <v>3745</v>
      </c>
      <c r="AU269" s="57" t="s">
        <v>3476</v>
      </c>
      <c r="AV269" s="57" t="s">
        <v>3476</v>
      </c>
      <c r="AW269" s="58">
        <v>45853.3918287037</v>
      </c>
      <c r="AX269" s="57" t="s">
        <v>3476</v>
      </c>
      <c r="AY269" s="57" t="s">
        <v>3747</v>
      </c>
      <c r="AZ269" s="57" t="s">
        <v>3476</v>
      </c>
      <c r="BA269" s="57" t="s">
        <v>3476</v>
      </c>
      <c r="BB269" s="57" t="s">
        <v>3476</v>
      </c>
      <c r="BC269" s="57" t="s">
        <v>3791</v>
      </c>
      <c r="BD269" s="57" t="s">
        <v>3659</v>
      </c>
      <c r="BE269" s="57" t="s">
        <v>3787</v>
      </c>
      <c r="BF269" s="57" t="s">
        <v>3749</v>
      </c>
      <c r="BG269" s="57" t="s">
        <v>3476</v>
      </c>
      <c r="BH269" s="57" t="s">
        <v>3476</v>
      </c>
      <c r="BI269" s="57" t="s">
        <v>2809</v>
      </c>
      <c r="BJ269" s="57" t="s">
        <v>3476</v>
      </c>
      <c r="BK269" s="57" t="s">
        <v>3476</v>
      </c>
      <c r="BL269" s="57">
        <v>3586352</v>
      </c>
      <c r="BM269" s="57" t="s">
        <v>4191</v>
      </c>
      <c r="BN269" s="57">
        <v>102</v>
      </c>
      <c r="BO269" s="57" t="s">
        <v>3476</v>
      </c>
      <c r="BP269" s="57" t="s">
        <v>3476</v>
      </c>
      <c r="BQ269" s="57" t="s">
        <v>3476</v>
      </c>
      <c r="BR269" s="57" t="s">
        <v>4192</v>
      </c>
      <c r="BS269" s="57" t="s">
        <v>1292</v>
      </c>
      <c r="BT269" s="57" t="s">
        <v>3476</v>
      </c>
      <c r="BU269" s="57" t="s">
        <v>3476</v>
      </c>
      <c r="BV269" s="57" t="s">
        <v>3753</v>
      </c>
      <c r="BW269" s="57" t="s">
        <v>3476</v>
      </c>
      <c r="BX269" s="57">
        <v>102</v>
      </c>
      <c r="BY269" s="57" t="s">
        <v>3476</v>
      </c>
      <c r="BZ269" s="57" t="s">
        <v>3476</v>
      </c>
      <c r="CA269" s="57" t="s">
        <v>3476</v>
      </c>
      <c r="CB269" s="57" t="s">
        <v>3476</v>
      </c>
      <c r="CC269" s="57" t="s">
        <v>3476</v>
      </c>
      <c r="CD269" s="57" t="s">
        <v>3476</v>
      </c>
    </row>
    <row r="270" spans="1:82">
      <c r="A270" s="57">
        <v>22448</v>
      </c>
      <c r="B270" s="57" t="s">
        <v>3476</v>
      </c>
      <c r="C270" s="57" t="s">
        <v>4187</v>
      </c>
      <c r="D270" s="57" t="s">
        <v>3476</v>
      </c>
      <c r="E270" s="57" t="s">
        <v>3730</v>
      </c>
      <c r="F270" s="57" t="s">
        <v>4188</v>
      </c>
      <c r="G270" s="57" t="s">
        <v>721</v>
      </c>
      <c r="H270" s="57" t="s">
        <v>2874</v>
      </c>
      <c r="I270" s="57">
        <v>48115.48</v>
      </c>
      <c r="J270" s="57" t="s">
        <v>3476</v>
      </c>
      <c r="K270" s="57" t="s">
        <v>3476</v>
      </c>
      <c r="L270" s="57" t="s">
        <v>3730</v>
      </c>
      <c r="M270" s="57" t="s">
        <v>4189</v>
      </c>
      <c r="N270" s="57" t="s">
        <v>4189</v>
      </c>
      <c r="O270" s="57" t="s">
        <v>3476</v>
      </c>
      <c r="P270" s="57" t="s">
        <v>3476</v>
      </c>
      <c r="Q270" s="57" t="s">
        <v>2874</v>
      </c>
      <c r="R270" s="57" t="s">
        <v>3781</v>
      </c>
      <c r="S270" s="57" t="s">
        <v>3782</v>
      </c>
      <c r="T270" s="57" t="s">
        <v>3736</v>
      </c>
      <c r="U270" s="57" t="s">
        <v>3476</v>
      </c>
      <c r="V270" s="57" t="s">
        <v>3469</v>
      </c>
      <c r="W270" s="57" t="s">
        <v>3476</v>
      </c>
      <c r="X270" s="57" t="s">
        <v>4190</v>
      </c>
      <c r="Y270" s="57" t="s">
        <v>3738</v>
      </c>
      <c r="Z270" s="57" t="s">
        <v>4122</v>
      </c>
      <c r="AA270" s="57" t="s">
        <v>3476</v>
      </c>
      <c r="AB270" s="57" t="s">
        <v>3476</v>
      </c>
      <c r="AC270" s="57" t="s">
        <v>3476</v>
      </c>
      <c r="AD270" s="57" t="s">
        <v>3476</v>
      </c>
      <c r="AE270" s="57" t="s">
        <v>3476</v>
      </c>
      <c r="AF270" s="57" t="s">
        <v>3476</v>
      </c>
      <c r="AG270" s="57" t="s">
        <v>3476</v>
      </c>
      <c r="AH270" s="57" t="s">
        <v>3476</v>
      </c>
      <c r="AI270" s="57" t="s">
        <v>3476</v>
      </c>
      <c r="AJ270" s="57" t="s">
        <v>3476</v>
      </c>
      <c r="AK270" s="57" t="s">
        <v>3476</v>
      </c>
      <c r="AL270" s="57" t="s">
        <v>3476</v>
      </c>
      <c r="AM270" s="57" t="s">
        <v>3476</v>
      </c>
      <c r="AN270" s="57" t="s">
        <v>3476</v>
      </c>
      <c r="AO270" s="57" t="s">
        <v>3476</v>
      </c>
      <c r="AP270" s="58">
        <v>45853.4481018518</v>
      </c>
      <c r="AQ270" s="57" t="s">
        <v>3476</v>
      </c>
      <c r="AR270" s="57" t="s">
        <v>3476</v>
      </c>
      <c r="AS270" s="57" t="s">
        <v>3502</v>
      </c>
      <c r="AT270" s="57" t="s">
        <v>3745</v>
      </c>
      <c r="AU270" s="57" t="s">
        <v>3476</v>
      </c>
      <c r="AV270" s="57" t="s">
        <v>3476</v>
      </c>
      <c r="AW270" s="58">
        <v>45853.3918287037</v>
      </c>
      <c r="AX270" s="57" t="s">
        <v>3476</v>
      </c>
      <c r="AY270" s="57" t="s">
        <v>3747</v>
      </c>
      <c r="AZ270" s="57" t="s">
        <v>3476</v>
      </c>
      <c r="BA270" s="57" t="s">
        <v>3476</v>
      </c>
      <c r="BB270" s="57" t="s">
        <v>3476</v>
      </c>
      <c r="BC270" s="57" t="s">
        <v>3791</v>
      </c>
      <c r="BD270" s="57" t="s">
        <v>3659</v>
      </c>
      <c r="BE270" s="57" t="s">
        <v>3787</v>
      </c>
      <c r="BF270" s="57" t="s">
        <v>3749</v>
      </c>
      <c r="BG270" s="57" t="s">
        <v>3476</v>
      </c>
      <c r="BH270" s="57" t="s">
        <v>3476</v>
      </c>
      <c r="BI270" s="57" t="s">
        <v>2809</v>
      </c>
      <c r="BJ270" s="57" t="s">
        <v>3476</v>
      </c>
      <c r="BK270" s="57" t="s">
        <v>3476</v>
      </c>
      <c r="BL270" s="57">
        <v>3586353</v>
      </c>
      <c r="BM270" s="57" t="s">
        <v>4191</v>
      </c>
      <c r="BN270" s="57">
        <v>42.5</v>
      </c>
      <c r="BO270" s="57" t="s">
        <v>3476</v>
      </c>
      <c r="BP270" s="57" t="s">
        <v>3476</v>
      </c>
      <c r="BQ270" s="57" t="s">
        <v>3476</v>
      </c>
      <c r="BR270" s="57" t="s">
        <v>4192</v>
      </c>
      <c r="BS270" s="57" t="s">
        <v>1292</v>
      </c>
      <c r="BT270" s="57" t="s">
        <v>3476</v>
      </c>
      <c r="BU270" s="57" t="s">
        <v>3476</v>
      </c>
      <c r="BV270" s="57" t="s">
        <v>3753</v>
      </c>
      <c r="BW270" s="57" t="s">
        <v>3476</v>
      </c>
      <c r="BX270" s="57">
        <v>42.5</v>
      </c>
      <c r="BY270" s="57" t="s">
        <v>3476</v>
      </c>
      <c r="BZ270" s="57" t="s">
        <v>3476</v>
      </c>
      <c r="CA270" s="57" t="s">
        <v>3476</v>
      </c>
      <c r="CB270" s="57" t="s">
        <v>3476</v>
      </c>
      <c r="CC270" s="57" t="s">
        <v>3476</v>
      </c>
      <c r="CD270" s="57" t="s">
        <v>3476</v>
      </c>
    </row>
    <row r="271" spans="1:82">
      <c r="A271" s="57">
        <v>22449</v>
      </c>
      <c r="B271" s="57" t="s">
        <v>3476</v>
      </c>
      <c r="C271" s="57" t="s">
        <v>4187</v>
      </c>
      <c r="D271" s="57" t="s">
        <v>3476</v>
      </c>
      <c r="E271" s="57" t="s">
        <v>3730</v>
      </c>
      <c r="F271" s="57" t="s">
        <v>4188</v>
      </c>
      <c r="G271" s="57" t="s">
        <v>721</v>
      </c>
      <c r="H271" s="57" t="s">
        <v>2874</v>
      </c>
      <c r="I271" s="57">
        <v>48115.48</v>
      </c>
      <c r="J271" s="57" t="s">
        <v>3476</v>
      </c>
      <c r="K271" s="57" t="s">
        <v>3476</v>
      </c>
      <c r="L271" s="57" t="s">
        <v>3730</v>
      </c>
      <c r="M271" s="57" t="s">
        <v>4189</v>
      </c>
      <c r="N271" s="57" t="s">
        <v>4189</v>
      </c>
      <c r="O271" s="57" t="s">
        <v>3476</v>
      </c>
      <c r="P271" s="57" t="s">
        <v>3476</v>
      </c>
      <c r="Q271" s="57" t="s">
        <v>2874</v>
      </c>
      <c r="R271" s="57" t="s">
        <v>3781</v>
      </c>
      <c r="S271" s="57" t="s">
        <v>3782</v>
      </c>
      <c r="T271" s="57" t="s">
        <v>3736</v>
      </c>
      <c r="U271" s="57" t="s">
        <v>3476</v>
      </c>
      <c r="V271" s="57" t="s">
        <v>3469</v>
      </c>
      <c r="W271" s="57" t="s">
        <v>3476</v>
      </c>
      <c r="X271" s="57" t="s">
        <v>4190</v>
      </c>
      <c r="Y271" s="57" t="s">
        <v>3738</v>
      </c>
      <c r="Z271" s="57" t="s">
        <v>4122</v>
      </c>
      <c r="AA271" s="57" t="s">
        <v>3476</v>
      </c>
      <c r="AB271" s="57" t="s">
        <v>3476</v>
      </c>
      <c r="AC271" s="57" t="s">
        <v>3476</v>
      </c>
      <c r="AD271" s="57" t="s">
        <v>3476</v>
      </c>
      <c r="AE271" s="57" t="s">
        <v>3476</v>
      </c>
      <c r="AF271" s="57" t="s">
        <v>3476</v>
      </c>
      <c r="AG271" s="57" t="s">
        <v>3476</v>
      </c>
      <c r="AH271" s="57" t="s">
        <v>3476</v>
      </c>
      <c r="AI271" s="57" t="s">
        <v>3476</v>
      </c>
      <c r="AJ271" s="57" t="s">
        <v>3476</v>
      </c>
      <c r="AK271" s="57" t="s">
        <v>3476</v>
      </c>
      <c r="AL271" s="57" t="s">
        <v>3476</v>
      </c>
      <c r="AM271" s="57" t="s">
        <v>3476</v>
      </c>
      <c r="AN271" s="57" t="s">
        <v>3476</v>
      </c>
      <c r="AO271" s="57" t="s">
        <v>3476</v>
      </c>
      <c r="AP271" s="58">
        <v>45853.4481018518</v>
      </c>
      <c r="AQ271" s="57" t="s">
        <v>3476</v>
      </c>
      <c r="AR271" s="57" t="s">
        <v>3476</v>
      </c>
      <c r="AS271" s="57" t="s">
        <v>3502</v>
      </c>
      <c r="AT271" s="57" t="s">
        <v>3745</v>
      </c>
      <c r="AU271" s="57" t="s">
        <v>3476</v>
      </c>
      <c r="AV271" s="57" t="s">
        <v>3476</v>
      </c>
      <c r="AW271" s="58">
        <v>45853.3918287037</v>
      </c>
      <c r="AX271" s="57" t="s">
        <v>3476</v>
      </c>
      <c r="AY271" s="57" t="s">
        <v>3747</v>
      </c>
      <c r="AZ271" s="57" t="s">
        <v>3476</v>
      </c>
      <c r="BA271" s="57" t="s">
        <v>3476</v>
      </c>
      <c r="BB271" s="57" t="s">
        <v>3476</v>
      </c>
      <c r="BC271" s="57" t="s">
        <v>3791</v>
      </c>
      <c r="BD271" s="57" t="s">
        <v>3659</v>
      </c>
      <c r="BE271" s="57" t="s">
        <v>3787</v>
      </c>
      <c r="BF271" s="57" t="s">
        <v>3749</v>
      </c>
      <c r="BG271" s="57" t="s">
        <v>3476</v>
      </c>
      <c r="BH271" s="57" t="s">
        <v>3476</v>
      </c>
      <c r="BI271" s="57" t="s">
        <v>2809</v>
      </c>
      <c r="BJ271" s="57" t="s">
        <v>3476</v>
      </c>
      <c r="BK271" s="57" t="s">
        <v>3476</v>
      </c>
      <c r="BL271" s="57">
        <v>3586354</v>
      </c>
      <c r="BM271" s="57" t="s">
        <v>4191</v>
      </c>
      <c r="BN271" s="57">
        <v>920</v>
      </c>
      <c r="BO271" s="57" t="s">
        <v>3476</v>
      </c>
      <c r="BP271" s="57" t="s">
        <v>3476</v>
      </c>
      <c r="BQ271" s="57" t="s">
        <v>3476</v>
      </c>
      <c r="BR271" s="57" t="s">
        <v>4192</v>
      </c>
      <c r="BS271" s="57" t="s">
        <v>1292</v>
      </c>
      <c r="BT271" s="57" t="s">
        <v>3476</v>
      </c>
      <c r="BU271" s="57" t="s">
        <v>3476</v>
      </c>
      <c r="BV271" s="57" t="s">
        <v>3753</v>
      </c>
      <c r="BW271" s="57" t="s">
        <v>3476</v>
      </c>
      <c r="BX271" s="57">
        <v>920</v>
      </c>
      <c r="BY271" s="57" t="s">
        <v>3476</v>
      </c>
      <c r="BZ271" s="57" t="s">
        <v>3476</v>
      </c>
      <c r="CA271" s="57" t="s">
        <v>3476</v>
      </c>
      <c r="CB271" s="57" t="s">
        <v>3476</v>
      </c>
      <c r="CC271" s="57" t="s">
        <v>3476</v>
      </c>
      <c r="CD271" s="57" t="s">
        <v>3476</v>
      </c>
    </row>
    <row r="272" spans="1:82">
      <c r="A272" s="57">
        <v>22450</v>
      </c>
      <c r="B272" s="57" t="s">
        <v>3476</v>
      </c>
      <c r="C272" s="57" t="s">
        <v>4187</v>
      </c>
      <c r="D272" s="57" t="s">
        <v>3476</v>
      </c>
      <c r="E272" s="57" t="s">
        <v>3730</v>
      </c>
      <c r="F272" s="57" t="s">
        <v>4188</v>
      </c>
      <c r="G272" s="57" t="s">
        <v>721</v>
      </c>
      <c r="H272" s="57" t="s">
        <v>2874</v>
      </c>
      <c r="I272" s="57">
        <v>48115.48</v>
      </c>
      <c r="J272" s="57" t="s">
        <v>3476</v>
      </c>
      <c r="K272" s="57" t="s">
        <v>3476</v>
      </c>
      <c r="L272" s="57" t="s">
        <v>3730</v>
      </c>
      <c r="M272" s="57" t="s">
        <v>4189</v>
      </c>
      <c r="N272" s="57" t="s">
        <v>4189</v>
      </c>
      <c r="O272" s="57" t="s">
        <v>3476</v>
      </c>
      <c r="P272" s="57" t="s">
        <v>3476</v>
      </c>
      <c r="Q272" s="57" t="s">
        <v>2874</v>
      </c>
      <c r="R272" s="57" t="s">
        <v>3781</v>
      </c>
      <c r="S272" s="57" t="s">
        <v>3782</v>
      </c>
      <c r="T272" s="57" t="s">
        <v>3736</v>
      </c>
      <c r="U272" s="57" t="s">
        <v>3476</v>
      </c>
      <c r="V272" s="57" t="s">
        <v>3469</v>
      </c>
      <c r="W272" s="57" t="s">
        <v>3476</v>
      </c>
      <c r="X272" s="57" t="s">
        <v>4190</v>
      </c>
      <c r="Y272" s="57" t="s">
        <v>3738</v>
      </c>
      <c r="Z272" s="57" t="s">
        <v>4122</v>
      </c>
      <c r="AA272" s="57" t="s">
        <v>3476</v>
      </c>
      <c r="AB272" s="57" t="s">
        <v>3476</v>
      </c>
      <c r="AC272" s="57" t="s">
        <v>3476</v>
      </c>
      <c r="AD272" s="57" t="s">
        <v>3476</v>
      </c>
      <c r="AE272" s="57" t="s">
        <v>3476</v>
      </c>
      <c r="AF272" s="57" t="s">
        <v>3476</v>
      </c>
      <c r="AG272" s="57" t="s">
        <v>3476</v>
      </c>
      <c r="AH272" s="57" t="s">
        <v>3476</v>
      </c>
      <c r="AI272" s="57" t="s">
        <v>3476</v>
      </c>
      <c r="AJ272" s="57" t="s">
        <v>3476</v>
      </c>
      <c r="AK272" s="57" t="s">
        <v>3476</v>
      </c>
      <c r="AL272" s="57" t="s">
        <v>3476</v>
      </c>
      <c r="AM272" s="57" t="s">
        <v>3476</v>
      </c>
      <c r="AN272" s="57" t="s">
        <v>3476</v>
      </c>
      <c r="AO272" s="57" t="s">
        <v>3476</v>
      </c>
      <c r="AP272" s="58">
        <v>45853.4481018518</v>
      </c>
      <c r="AQ272" s="57" t="s">
        <v>3476</v>
      </c>
      <c r="AR272" s="57" t="s">
        <v>3476</v>
      </c>
      <c r="AS272" s="57" t="s">
        <v>3502</v>
      </c>
      <c r="AT272" s="57" t="s">
        <v>3745</v>
      </c>
      <c r="AU272" s="57" t="s">
        <v>3476</v>
      </c>
      <c r="AV272" s="57" t="s">
        <v>3476</v>
      </c>
      <c r="AW272" s="58">
        <v>45853.3918287037</v>
      </c>
      <c r="AX272" s="57" t="s">
        <v>3476</v>
      </c>
      <c r="AY272" s="57" t="s">
        <v>3747</v>
      </c>
      <c r="AZ272" s="57" t="s">
        <v>3476</v>
      </c>
      <c r="BA272" s="57" t="s">
        <v>3476</v>
      </c>
      <c r="BB272" s="57" t="s">
        <v>3476</v>
      </c>
      <c r="BC272" s="57" t="s">
        <v>3791</v>
      </c>
      <c r="BD272" s="57" t="s">
        <v>3659</v>
      </c>
      <c r="BE272" s="57" t="s">
        <v>3787</v>
      </c>
      <c r="BF272" s="57" t="s">
        <v>3749</v>
      </c>
      <c r="BG272" s="57" t="s">
        <v>3476</v>
      </c>
      <c r="BH272" s="57" t="s">
        <v>3476</v>
      </c>
      <c r="BI272" s="57" t="s">
        <v>2809</v>
      </c>
      <c r="BJ272" s="57" t="s">
        <v>3476</v>
      </c>
      <c r="BK272" s="57" t="s">
        <v>3476</v>
      </c>
      <c r="BL272" s="57">
        <v>3586355</v>
      </c>
      <c r="BM272" s="57" t="s">
        <v>4191</v>
      </c>
      <c r="BN272" s="57">
        <v>158.16</v>
      </c>
      <c r="BO272" s="57" t="s">
        <v>3476</v>
      </c>
      <c r="BP272" s="57" t="s">
        <v>3476</v>
      </c>
      <c r="BQ272" s="57" t="s">
        <v>3476</v>
      </c>
      <c r="BR272" s="57" t="s">
        <v>4192</v>
      </c>
      <c r="BS272" s="57" t="s">
        <v>1292</v>
      </c>
      <c r="BT272" s="57" t="s">
        <v>3476</v>
      </c>
      <c r="BU272" s="57" t="s">
        <v>3476</v>
      </c>
      <c r="BV272" s="57" t="s">
        <v>3753</v>
      </c>
      <c r="BW272" s="57" t="s">
        <v>3476</v>
      </c>
      <c r="BX272" s="57">
        <v>158.16</v>
      </c>
      <c r="BY272" s="57" t="s">
        <v>3476</v>
      </c>
      <c r="BZ272" s="57" t="s">
        <v>3476</v>
      </c>
      <c r="CA272" s="57" t="s">
        <v>3476</v>
      </c>
      <c r="CB272" s="57" t="s">
        <v>3476</v>
      </c>
      <c r="CC272" s="57" t="s">
        <v>3476</v>
      </c>
      <c r="CD272" s="57" t="s">
        <v>3476</v>
      </c>
    </row>
    <row r="273" spans="1:82">
      <c r="A273" s="57">
        <v>22451</v>
      </c>
      <c r="B273" s="57" t="s">
        <v>3476</v>
      </c>
      <c r="C273" s="57" t="s">
        <v>4187</v>
      </c>
      <c r="D273" s="57" t="s">
        <v>3476</v>
      </c>
      <c r="E273" s="57" t="s">
        <v>3730</v>
      </c>
      <c r="F273" s="57" t="s">
        <v>4188</v>
      </c>
      <c r="G273" s="57" t="s">
        <v>721</v>
      </c>
      <c r="H273" s="57" t="s">
        <v>2874</v>
      </c>
      <c r="I273" s="57">
        <v>48115.48</v>
      </c>
      <c r="J273" s="57" t="s">
        <v>3476</v>
      </c>
      <c r="K273" s="57" t="s">
        <v>3476</v>
      </c>
      <c r="L273" s="57" t="s">
        <v>3730</v>
      </c>
      <c r="M273" s="57" t="s">
        <v>4189</v>
      </c>
      <c r="N273" s="57" t="s">
        <v>4189</v>
      </c>
      <c r="O273" s="57" t="s">
        <v>3476</v>
      </c>
      <c r="P273" s="57" t="s">
        <v>3476</v>
      </c>
      <c r="Q273" s="57" t="s">
        <v>2874</v>
      </c>
      <c r="R273" s="57" t="s">
        <v>3781</v>
      </c>
      <c r="S273" s="57" t="s">
        <v>3782</v>
      </c>
      <c r="T273" s="57" t="s">
        <v>3736</v>
      </c>
      <c r="U273" s="57" t="s">
        <v>3476</v>
      </c>
      <c r="V273" s="57" t="s">
        <v>3469</v>
      </c>
      <c r="W273" s="57" t="s">
        <v>3476</v>
      </c>
      <c r="X273" s="57" t="s">
        <v>4190</v>
      </c>
      <c r="Y273" s="57" t="s">
        <v>3738</v>
      </c>
      <c r="Z273" s="57" t="s">
        <v>4122</v>
      </c>
      <c r="AA273" s="57" t="s">
        <v>3476</v>
      </c>
      <c r="AB273" s="57" t="s">
        <v>3476</v>
      </c>
      <c r="AC273" s="57" t="s">
        <v>3476</v>
      </c>
      <c r="AD273" s="57" t="s">
        <v>3476</v>
      </c>
      <c r="AE273" s="57" t="s">
        <v>3476</v>
      </c>
      <c r="AF273" s="57" t="s">
        <v>3476</v>
      </c>
      <c r="AG273" s="57" t="s">
        <v>3476</v>
      </c>
      <c r="AH273" s="57" t="s">
        <v>3476</v>
      </c>
      <c r="AI273" s="57" t="s">
        <v>3476</v>
      </c>
      <c r="AJ273" s="57" t="s">
        <v>3476</v>
      </c>
      <c r="AK273" s="57" t="s">
        <v>3476</v>
      </c>
      <c r="AL273" s="57" t="s">
        <v>3476</v>
      </c>
      <c r="AM273" s="57" t="s">
        <v>3476</v>
      </c>
      <c r="AN273" s="57" t="s">
        <v>3476</v>
      </c>
      <c r="AO273" s="57" t="s">
        <v>3476</v>
      </c>
      <c r="AP273" s="58">
        <v>45853.4481018518</v>
      </c>
      <c r="AQ273" s="57" t="s">
        <v>3476</v>
      </c>
      <c r="AR273" s="57" t="s">
        <v>3476</v>
      </c>
      <c r="AS273" s="57" t="s">
        <v>3502</v>
      </c>
      <c r="AT273" s="57" t="s">
        <v>3745</v>
      </c>
      <c r="AU273" s="57" t="s">
        <v>3476</v>
      </c>
      <c r="AV273" s="57" t="s">
        <v>3476</v>
      </c>
      <c r="AW273" s="58">
        <v>45853.3918287037</v>
      </c>
      <c r="AX273" s="57" t="s">
        <v>3476</v>
      </c>
      <c r="AY273" s="57" t="s">
        <v>3747</v>
      </c>
      <c r="AZ273" s="57" t="s">
        <v>3476</v>
      </c>
      <c r="BA273" s="57" t="s">
        <v>3476</v>
      </c>
      <c r="BB273" s="57" t="s">
        <v>3476</v>
      </c>
      <c r="BC273" s="57" t="s">
        <v>3791</v>
      </c>
      <c r="BD273" s="57" t="s">
        <v>3659</v>
      </c>
      <c r="BE273" s="57" t="s">
        <v>3787</v>
      </c>
      <c r="BF273" s="57" t="s">
        <v>3749</v>
      </c>
      <c r="BG273" s="57" t="s">
        <v>3476</v>
      </c>
      <c r="BH273" s="57" t="s">
        <v>3476</v>
      </c>
      <c r="BI273" s="57" t="s">
        <v>2809</v>
      </c>
      <c r="BJ273" s="57" t="s">
        <v>3476</v>
      </c>
      <c r="BK273" s="57" t="s">
        <v>3476</v>
      </c>
      <c r="BL273" s="57">
        <v>3586356</v>
      </c>
      <c r="BM273" s="57" t="s">
        <v>4191</v>
      </c>
      <c r="BN273" s="57">
        <v>168</v>
      </c>
      <c r="BO273" s="57" t="s">
        <v>3476</v>
      </c>
      <c r="BP273" s="57" t="s">
        <v>3476</v>
      </c>
      <c r="BQ273" s="57" t="s">
        <v>3476</v>
      </c>
      <c r="BR273" s="57" t="s">
        <v>4192</v>
      </c>
      <c r="BS273" s="57" t="s">
        <v>1292</v>
      </c>
      <c r="BT273" s="57" t="s">
        <v>3476</v>
      </c>
      <c r="BU273" s="57" t="s">
        <v>3476</v>
      </c>
      <c r="BV273" s="57" t="s">
        <v>3753</v>
      </c>
      <c r="BW273" s="57" t="s">
        <v>3476</v>
      </c>
      <c r="BX273" s="57">
        <v>168</v>
      </c>
      <c r="BY273" s="57" t="s">
        <v>3476</v>
      </c>
      <c r="BZ273" s="57" t="s">
        <v>3476</v>
      </c>
      <c r="CA273" s="57" t="s">
        <v>3476</v>
      </c>
      <c r="CB273" s="57" t="s">
        <v>3476</v>
      </c>
      <c r="CC273" s="57" t="s">
        <v>3476</v>
      </c>
      <c r="CD273" s="57" t="s">
        <v>3476</v>
      </c>
    </row>
    <row r="274" spans="1:82">
      <c r="A274" s="57">
        <v>22452</v>
      </c>
      <c r="B274" s="57" t="s">
        <v>3476</v>
      </c>
      <c r="C274" s="57" t="s">
        <v>4187</v>
      </c>
      <c r="D274" s="57" t="s">
        <v>3476</v>
      </c>
      <c r="E274" s="57" t="s">
        <v>3730</v>
      </c>
      <c r="F274" s="57" t="s">
        <v>4188</v>
      </c>
      <c r="G274" s="57" t="s">
        <v>721</v>
      </c>
      <c r="H274" s="57" t="s">
        <v>2874</v>
      </c>
      <c r="I274" s="57">
        <v>48115.48</v>
      </c>
      <c r="J274" s="57" t="s">
        <v>3476</v>
      </c>
      <c r="K274" s="57" t="s">
        <v>3476</v>
      </c>
      <c r="L274" s="57" t="s">
        <v>3730</v>
      </c>
      <c r="M274" s="57" t="s">
        <v>4189</v>
      </c>
      <c r="N274" s="57" t="s">
        <v>4189</v>
      </c>
      <c r="O274" s="57" t="s">
        <v>3476</v>
      </c>
      <c r="P274" s="57" t="s">
        <v>3476</v>
      </c>
      <c r="Q274" s="57" t="s">
        <v>2874</v>
      </c>
      <c r="R274" s="57" t="s">
        <v>3781</v>
      </c>
      <c r="S274" s="57" t="s">
        <v>3782</v>
      </c>
      <c r="T274" s="57" t="s">
        <v>3736</v>
      </c>
      <c r="U274" s="57" t="s">
        <v>3476</v>
      </c>
      <c r="V274" s="57" t="s">
        <v>3469</v>
      </c>
      <c r="W274" s="57" t="s">
        <v>3476</v>
      </c>
      <c r="X274" s="57" t="s">
        <v>4190</v>
      </c>
      <c r="Y274" s="57" t="s">
        <v>3738</v>
      </c>
      <c r="Z274" s="57" t="s">
        <v>4122</v>
      </c>
      <c r="AA274" s="57" t="s">
        <v>3476</v>
      </c>
      <c r="AB274" s="57" t="s">
        <v>3476</v>
      </c>
      <c r="AC274" s="57" t="s">
        <v>3476</v>
      </c>
      <c r="AD274" s="57" t="s">
        <v>3476</v>
      </c>
      <c r="AE274" s="57" t="s">
        <v>3476</v>
      </c>
      <c r="AF274" s="57" t="s">
        <v>3476</v>
      </c>
      <c r="AG274" s="57" t="s">
        <v>3476</v>
      </c>
      <c r="AH274" s="57" t="s">
        <v>3476</v>
      </c>
      <c r="AI274" s="57" t="s">
        <v>3476</v>
      </c>
      <c r="AJ274" s="57" t="s">
        <v>3476</v>
      </c>
      <c r="AK274" s="57" t="s">
        <v>3476</v>
      </c>
      <c r="AL274" s="57" t="s">
        <v>3476</v>
      </c>
      <c r="AM274" s="57" t="s">
        <v>3476</v>
      </c>
      <c r="AN274" s="57" t="s">
        <v>3476</v>
      </c>
      <c r="AO274" s="57" t="s">
        <v>3476</v>
      </c>
      <c r="AP274" s="58">
        <v>45853.4481018518</v>
      </c>
      <c r="AQ274" s="57" t="s">
        <v>3476</v>
      </c>
      <c r="AR274" s="57" t="s">
        <v>3476</v>
      </c>
      <c r="AS274" s="57" t="s">
        <v>3502</v>
      </c>
      <c r="AT274" s="57" t="s">
        <v>3745</v>
      </c>
      <c r="AU274" s="57" t="s">
        <v>3476</v>
      </c>
      <c r="AV274" s="57" t="s">
        <v>3476</v>
      </c>
      <c r="AW274" s="58">
        <v>45853.3918287037</v>
      </c>
      <c r="AX274" s="57" t="s">
        <v>3476</v>
      </c>
      <c r="AY274" s="57" t="s">
        <v>3747</v>
      </c>
      <c r="AZ274" s="57" t="s">
        <v>3476</v>
      </c>
      <c r="BA274" s="57" t="s">
        <v>3476</v>
      </c>
      <c r="BB274" s="57" t="s">
        <v>3476</v>
      </c>
      <c r="BC274" s="57" t="s">
        <v>3791</v>
      </c>
      <c r="BD274" s="57" t="s">
        <v>3659</v>
      </c>
      <c r="BE274" s="57" t="s">
        <v>3787</v>
      </c>
      <c r="BF274" s="57" t="s">
        <v>3749</v>
      </c>
      <c r="BG274" s="57" t="s">
        <v>3476</v>
      </c>
      <c r="BH274" s="57" t="s">
        <v>3476</v>
      </c>
      <c r="BI274" s="57" t="s">
        <v>2809</v>
      </c>
      <c r="BJ274" s="57" t="s">
        <v>3476</v>
      </c>
      <c r="BK274" s="57" t="s">
        <v>3476</v>
      </c>
      <c r="BL274" s="57">
        <v>3586357</v>
      </c>
      <c r="BM274" s="57" t="s">
        <v>4191</v>
      </c>
      <c r="BN274" s="57">
        <v>1140</v>
      </c>
      <c r="BO274" s="57" t="s">
        <v>3476</v>
      </c>
      <c r="BP274" s="57" t="s">
        <v>3476</v>
      </c>
      <c r="BQ274" s="57" t="s">
        <v>3476</v>
      </c>
      <c r="BR274" s="57" t="s">
        <v>4192</v>
      </c>
      <c r="BS274" s="57" t="s">
        <v>1292</v>
      </c>
      <c r="BT274" s="57" t="s">
        <v>3476</v>
      </c>
      <c r="BU274" s="57" t="s">
        <v>3476</v>
      </c>
      <c r="BV274" s="57" t="s">
        <v>3753</v>
      </c>
      <c r="BW274" s="57" t="s">
        <v>3476</v>
      </c>
      <c r="BX274" s="57">
        <v>1140</v>
      </c>
      <c r="BY274" s="57" t="s">
        <v>3476</v>
      </c>
      <c r="BZ274" s="57" t="s">
        <v>3476</v>
      </c>
      <c r="CA274" s="57" t="s">
        <v>3476</v>
      </c>
      <c r="CB274" s="57" t="s">
        <v>3476</v>
      </c>
      <c r="CC274" s="57" t="s">
        <v>3476</v>
      </c>
      <c r="CD274" s="57" t="s">
        <v>3476</v>
      </c>
    </row>
    <row r="275" spans="1:82">
      <c r="A275" s="57">
        <v>22453</v>
      </c>
      <c r="B275" s="57" t="s">
        <v>3476</v>
      </c>
      <c r="C275" s="57" t="s">
        <v>4187</v>
      </c>
      <c r="D275" s="57" t="s">
        <v>3476</v>
      </c>
      <c r="E275" s="57" t="s">
        <v>3730</v>
      </c>
      <c r="F275" s="57" t="s">
        <v>4188</v>
      </c>
      <c r="G275" s="57" t="s">
        <v>721</v>
      </c>
      <c r="H275" s="57" t="s">
        <v>2874</v>
      </c>
      <c r="I275" s="57">
        <v>48115.48</v>
      </c>
      <c r="J275" s="57" t="s">
        <v>3476</v>
      </c>
      <c r="K275" s="57" t="s">
        <v>3476</v>
      </c>
      <c r="L275" s="57" t="s">
        <v>3730</v>
      </c>
      <c r="M275" s="57" t="s">
        <v>4189</v>
      </c>
      <c r="N275" s="57" t="s">
        <v>4189</v>
      </c>
      <c r="O275" s="57" t="s">
        <v>3476</v>
      </c>
      <c r="P275" s="57" t="s">
        <v>3476</v>
      </c>
      <c r="Q275" s="57" t="s">
        <v>2874</v>
      </c>
      <c r="R275" s="57" t="s">
        <v>3781</v>
      </c>
      <c r="S275" s="57" t="s">
        <v>3782</v>
      </c>
      <c r="T275" s="57" t="s">
        <v>3736</v>
      </c>
      <c r="U275" s="57" t="s">
        <v>3476</v>
      </c>
      <c r="V275" s="57" t="s">
        <v>3469</v>
      </c>
      <c r="W275" s="57" t="s">
        <v>3476</v>
      </c>
      <c r="X275" s="57" t="s">
        <v>4190</v>
      </c>
      <c r="Y275" s="57" t="s">
        <v>3738</v>
      </c>
      <c r="Z275" s="57" t="s">
        <v>4122</v>
      </c>
      <c r="AA275" s="57" t="s">
        <v>3476</v>
      </c>
      <c r="AB275" s="57" t="s">
        <v>3476</v>
      </c>
      <c r="AC275" s="57" t="s">
        <v>3476</v>
      </c>
      <c r="AD275" s="57" t="s">
        <v>3476</v>
      </c>
      <c r="AE275" s="57" t="s">
        <v>3476</v>
      </c>
      <c r="AF275" s="57" t="s">
        <v>3476</v>
      </c>
      <c r="AG275" s="57" t="s">
        <v>3476</v>
      </c>
      <c r="AH275" s="57" t="s">
        <v>3476</v>
      </c>
      <c r="AI275" s="57" t="s">
        <v>3476</v>
      </c>
      <c r="AJ275" s="57" t="s">
        <v>3476</v>
      </c>
      <c r="AK275" s="57" t="s">
        <v>3476</v>
      </c>
      <c r="AL275" s="57" t="s">
        <v>3476</v>
      </c>
      <c r="AM275" s="57" t="s">
        <v>3476</v>
      </c>
      <c r="AN275" s="57" t="s">
        <v>3476</v>
      </c>
      <c r="AO275" s="57" t="s">
        <v>3476</v>
      </c>
      <c r="AP275" s="58">
        <v>45853.4481018518</v>
      </c>
      <c r="AQ275" s="57" t="s">
        <v>3476</v>
      </c>
      <c r="AR275" s="57" t="s">
        <v>3476</v>
      </c>
      <c r="AS275" s="57" t="s">
        <v>3502</v>
      </c>
      <c r="AT275" s="57" t="s">
        <v>3745</v>
      </c>
      <c r="AU275" s="57" t="s">
        <v>3476</v>
      </c>
      <c r="AV275" s="57" t="s">
        <v>3476</v>
      </c>
      <c r="AW275" s="58">
        <v>45853.3918287037</v>
      </c>
      <c r="AX275" s="57" t="s">
        <v>3476</v>
      </c>
      <c r="AY275" s="57" t="s">
        <v>3747</v>
      </c>
      <c r="AZ275" s="57" t="s">
        <v>3476</v>
      </c>
      <c r="BA275" s="57" t="s">
        <v>3476</v>
      </c>
      <c r="BB275" s="57" t="s">
        <v>3476</v>
      </c>
      <c r="BC275" s="57" t="s">
        <v>3791</v>
      </c>
      <c r="BD275" s="57" t="s">
        <v>3659</v>
      </c>
      <c r="BE275" s="57" t="s">
        <v>3787</v>
      </c>
      <c r="BF275" s="57" t="s">
        <v>3749</v>
      </c>
      <c r="BG275" s="57" t="s">
        <v>3476</v>
      </c>
      <c r="BH275" s="57" t="s">
        <v>3476</v>
      </c>
      <c r="BI275" s="57" t="s">
        <v>2809</v>
      </c>
      <c r="BJ275" s="57" t="s">
        <v>3476</v>
      </c>
      <c r="BK275" s="57" t="s">
        <v>3476</v>
      </c>
      <c r="BL275" s="57">
        <v>3586358</v>
      </c>
      <c r="BM275" s="57" t="s">
        <v>4191</v>
      </c>
      <c r="BN275" s="57">
        <v>780</v>
      </c>
      <c r="BO275" s="57" t="s">
        <v>3476</v>
      </c>
      <c r="BP275" s="57" t="s">
        <v>3476</v>
      </c>
      <c r="BQ275" s="57" t="s">
        <v>3476</v>
      </c>
      <c r="BR275" s="57" t="s">
        <v>4192</v>
      </c>
      <c r="BS275" s="57" t="s">
        <v>1292</v>
      </c>
      <c r="BT275" s="57" t="s">
        <v>3476</v>
      </c>
      <c r="BU275" s="57" t="s">
        <v>3476</v>
      </c>
      <c r="BV275" s="57" t="s">
        <v>3753</v>
      </c>
      <c r="BW275" s="57" t="s">
        <v>3476</v>
      </c>
      <c r="BX275" s="57">
        <v>780</v>
      </c>
      <c r="BY275" s="57" t="s">
        <v>3476</v>
      </c>
      <c r="BZ275" s="57" t="s">
        <v>3476</v>
      </c>
      <c r="CA275" s="57" t="s">
        <v>3476</v>
      </c>
      <c r="CB275" s="57" t="s">
        <v>3476</v>
      </c>
      <c r="CC275" s="57" t="s">
        <v>3476</v>
      </c>
      <c r="CD275" s="57" t="s">
        <v>3476</v>
      </c>
    </row>
    <row r="276" spans="1:82">
      <c r="A276" s="57">
        <v>22454</v>
      </c>
      <c r="B276" s="57" t="s">
        <v>3476</v>
      </c>
      <c r="C276" s="57" t="s">
        <v>4187</v>
      </c>
      <c r="D276" s="57" t="s">
        <v>3476</v>
      </c>
      <c r="E276" s="57" t="s">
        <v>3730</v>
      </c>
      <c r="F276" s="57" t="s">
        <v>4188</v>
      </c>
      <c r="G276" s="57" t="s">
        <v>721</v>
      </c>
      <c r="H276" s="57" t="s">
        <v>2874</v>
      </c>
      <c r="I276" s="57">
        <v>48115.48</v>
      </c>
      <c r="J276" s="57" t="s">
        <v>3476</v>
      </c>
      <c r="K276" s="57" t="s">
        <v>3476</v>
      </c>
      <c r="L276" s="57" t="s">
        <v>3730</v>
      </c>
      <c r="M276" s="57" t="s">
        <v>4189</v>
      </c>
      <c r="N276" s="57" t="s">
        <v>4189</v>
      </c>
      <c r="O276" s="57" t="s">
        <v>3476</v>
      </c>
      <c r="P276" s="57" t="s">
        <v>3476</v>
      </c>
      <c r="Q276" s="57" t="s">
        <v>2874</v>
      </c>
      <c r="R276" s="57" t="s">
        <v>3781</v>
      </c>
      <c r="S276" s="57" t="s">
        <v>3782</v>
      </c>
      <c r="T276" s="57" t="s">
        <v>3736</v>
      </c>
      <c r="U276" s="57" t="s">
        <v>3476</v>
      </c>
      <c r="V276" s="57" t="s">
        <v>3469</v>
      </c>
      <c r="W276" s="57" t="s">
        <v>3476</v>
      </c>
      <c r="X276" s="57" t="s">
        <v>4190</v>
      </c>
      <c r="Y276" s="57" t="s">
        <v>3738</v>
      </c>
      <c r="Z276" s="57" t="s">
        <v>4122</v>
      </c>
      <c r="AA276" s="57" t="s">
        <v>3476</v>
      </c>
      <c r="AB276" s="57" t="s">
        <v>3476</v>
      </c>
      <c r="AC276" s="57" t="s">
        <v>3476</v>
      </c>
      <c r="AD276" s="57" t="s">
        <v>3476</v>
      </c>
      <c r="AE276" s="57" t="s">
        <v>3476</v>
      </c>
      <c r="AF276" s="57" t="s">
        <v>3476</v>
      </c>
      <c r="AG276" s="57" t="s">
        <v>3476</v>
      </c>
      <c r="AH276" s="57" t="s">
        <v>3476</v>
      </c>
      <c r="AI276" s="57" t="s">
        <v>3476</v>
      </c>
      <c r="AJ276" s="57" t="s">
        <v>3476</v>
      </c>
      <c r="AK276" s="57" t="s">
        <v>3476</v>
      </c>
      <c r="AL276" s="57" t="s">
        <v>3476</v>
      </c>
      <c r="AM276" s="57" t="s">
        <v>3476</v>
      </c>
      <c r="AN276" s="57" t="s">
        <v>3476</v>
      </c>
      <c r="AO276" s="57" t="s">
        <v>3476</v>
      </c>
      <c r="AP276" s="58">
        <v>45853.4481018518</v>
      </c>
      <c r="AQ276" s="57" t="s">
        <v>3476</v>
      </c>
      <c r="AR276" s="57" t="s">
        <v>3476</v>
      </c>
      <c r="AS276" s="57" t="s">
        <v>3502</v>
      </c>
      <c r="AT276" s="57" t="s">
        <v>3745</v>
      </c>
      <c r="AU276" s="57" t="s">
        <v>3476</v>
      </c>
      <c r="AV276" s="57" t="s">
        <v>3476</v>
      </c>
      <c r="AW276" s="58">
        <v>45853.3918287037</v>
      </c>
      <c r="AX276" s="57" t="s">
        <v>3476</v>
      </c>
      <c r="AY276" s="57" t="s">
        <v>3747</v>
      </c>
      <c r="AZ276" s="57" t="s">
        <v>3476</v>
      </c>
      <c r="BA276" s="57" t="s">
        <v>3476</v>
      </c>
      <c r="BB276" s="57" t="s">
        <v>3476</v>
      </c>
      <c r="BC276" s="57" t="s">
        <v>3791</v>
      </c>
      <c r="BD276" s="57" t="s">
        <v>3659</v>
      </c>
      <c r="BE276" s="57" t="s">
        <v>3787</v>
      </c>
      <c r="BF276" s="57" t="s">
        <v>3749</v>
      </c>
      <c r="BG276" s="57" t="s">
        <v>3476</v>
      </c>
      <c r="BH276" s="57" t="s">
        <v>3476</v>
      </c>
      <c r="BI276" s="57" t="s">
        <v>2809</v>
      </c>
      <c r="BJ276" s="57" t="s">
        <v>3476</v>
      </c>
      <c r="BK276" s="57" t="s">
        <v>3476</v>
      </c>
      <c r="BL276" s="57">
        <v>3586359</v>
      </c>
      <c r="BM276" s="57" t="s">
        <v>4191</v>
      </c>
      <c r="BN276" s="57">
        <v>209</v>
      </c>
      <c r="BO276" s="57" t="s">
        <v>3476</v>
      </c>
      <c r="BP276" s="57" t="s">
        <v>3476</v>
      </c>
      <c r="BQ276" s="57" t="s">
        <v>3476</v>
      </c>
      <c r="BR276" s="57" t="s">
        <v>4192</v>
      </c>
      <c r="BS276" s="57" t="s">
        <v>1292</v>
      </c>
      <c r="BT276" s="57" t="s">
        <v>3476</v>
      </c>
      <c r="BU276" s="57" t="s">
        <v>3476</v>
      </c>
      <c r="BV276" s="57" t="s">
        <v>3753</v>
      </c>
      <c r="BW276" s="57" t="s">
        <v>3476</v>
      </c>
      <c r="BX276" s="57">
        <v>209</v>
      </c>
      <c r="BY276" s="57" t="s">
        <v>3476</v>
      </c>
      <c r="BZ276" s="57" t="s">
        <v>3476</v>
      </c>
      <c r="CA276" s="57" t="s">
        <v>3476</v>
      </c>
      <c r="CB276" s="57" t="s">
        <v>3476</v>
      </c>
      <c r="CC276" s="57" t="s">
        <v>3476</v>
      </c>
      <c r="CD276" s="57" t="s">
        <v>3476</v>
      </c>
    </row>
    <row r="277" spans="1:82">
      <c r="A277" s="57">
        <v>22455</v>
      </c>
      <c r="B277" s="57" t="s">
        <v>3476</v>
      </c>
      <c r="C277" s="57" t="s">
        <v>4187</v>
      </c>
      <c r="D277" s="57" t="s">
        <v>3476</v>
      </c>
      <c r="E277" s="57" t="s">
        <v>3730</v>
      </c>
      <c r="F277" s="57" t="s">
        <v>4188</v>
      </c>
      <c r="G277" s="57" t="s">
        <v>721</v>
      </c>
      <c r="H277" s="57" t="s">
        <v>2874</v>
      </c>
      <c r="I277" s="57">
        <v>48115.48</v>
      </c>
      <c r="J277" s="57" t="s">
        <v>3476</v>
      </c>
      <c r="K277" s="57" t="s">
        <v>3476</v>
      </c>
      <c r="L277" s="57" t="s">
        <v>3730</v>
      </c>
      <c r="M277" s="57" t="s">
        <v>4189</v>
      </c>
      <c r="N277" s="57" t="s">
        <v>4189</v>
      </c>
      <c r="O277" s="57" t="s">
        <v>3476</v>
      </c>
      <c r="P277" s="57" t="s">
        <v>3476</v>
      </c>
      <c r="Q277" s="57" t="s">
        <v>2874</v>
      </c>
      <c r="R277" s="57" t="s">
        <v>3781</v>
      </c>
      <c r="S277" s="57" t="s">
        <v>3782</v>
      </c>
      <c r="T277" s="57" t="s">
        <v>3736</v>
      </c>
      <c r="U277" s="57" t="s">
        <v>3476</v>
      </c>
      <c r="V277" s="57" t="s">
        <v>3469</v>
      </c>
      <c r="W277" s="57" t="s">
        <v>3476</v>
      </c>
      <c r="X277" s="57" t="s">
        <v>4190</v>
      </c>
      <c r="Y277" s="57" t="s">
        <v>3738</v>
      </c>
      <c r="Z277" s="57" t="s">
        <v>4122</v>
      </c>
      <c r="AA277" s="57" t="s">
        <v>3476</v>
      </c>
      <c r="AB277" s="57" t="s">
        <v>3476</v>
      </c>
      <c r="AC277" s="57" t="s">
        <v>3476</v>
      </c>
      <c r="AD277" s="57" t="s">
        <v>3476</v>
      </c>
      <c r="AE277" s="57" t="s">
        <v>3476</v>
      </c>
      <c r="AF277" s="57" t="s">
        <v>3476</v>
      </c>
      <c r="AG277" s="57" t="s">
        <v>3476</v>
      </c>
      <c r="AH277" s="57" t="s">
        <v>3476</v>
      </c>
      <c r="AI277" s="57" t="s">
        <v>3476</v>
      </c>
      <c r="AJ277" s="57" t="s">
        <v>3476</v>
      </c>
      <c r="AK277" s="57" t="s">
        <v>3476</v>
      </c>
      <c r="AL277" s="57" t="s">
        <v>3476</v>
      </c>
      <c r="AM277" s="57" t="s">
        <v>3476</v>
      </c>
      <c r="AN277" s="57" t="s">
        <v>3476</v>
      </c>
      <c r="AO277" s="57" t="s">
        <v>3476</v>
      </c>
      <c r="AP277" s="58">
        <v>45853.4481018518</v>
      </c>
      <c r="AQ277" s="57" t="s">
        <v>3476</v>
      </c>
      <c r="AR277" s="57" t="s">
        <v>3476</v>
      </c>
      <c r="AS277" s="57" t="s">
        <v>3502</v>
      </c>
      <c r="AT277" s="57" t="s">
        <v>3745</v>
      </c>
      <c r="AU277" s="57" t="s">
        <v>3476</v>
      </c>
      <c r="AV277" s="57" t="s">
        <v>3476</v>
      </c>
      <c r="AW277" s="58">
        <v>45853.3918287037</v>
      </c>
      <c r="AX277" s="57" t="s">
        <v>3476</v>
      </c>
      <c r="AY277" s="57" t="s">
        <v>3747</v>
      </c>
      <c r="AZ277" s="57" t="s">
        <v>3476</v>
      </c>
      <c r="BA277" s="57" t="s">
        <v>3476</v>
      </c>
      <c r="BB277" s="57" t="s">
        <v>3476</v>
      </c>
      <c r="BC277" s="57" t="s">
        <v>3791</v>
      </c>
      <c r="BD277" s="57" t="s">
        <v>3659</v>
      </c>
      <c r="BE277" s="57" t="s">
        <v>3787</v>
      </c>
      <c r="BF277" s="57" t="s">
        <v>3749</v>
      </c>
      <c r="BG277" s="57" t="s">
        <v>3476</v>
      </c>
      <c r="BH277" s="57" t="s">
        <v>3476</v>
      </c>
      <c r="BI277" s="57" t="s">
        <v>2809</v>
      </c>
      <c r="BJ277" s="57" t="s">
        <v>3476</v>
      </c>
      <c r="BK277" s="57" t="s">
        <v>3476</v>
      </c>
      <c r="BL277" s="57">
        <v>3586360</v>
      </c>
      <c r="BM277" s="57" t="s">
        <v>4191</v>
      </c>
      <c r="BN277" s="57">
        <v>3164.8</v>
      </c>
      <c r="BO277" s="57" t="s">
        <v>3476</v>
      </c>
      <c r="BP277" s="57" t="s">
        <v>3476</v>
      </c>
      <c r="BQ277" s="57" t="s">
        <v>3476</v>
      </c>
      <c r="BR277" s="57" t="s">
        <v>4192</v>
      </c>
      <c r="BS277" s="57" t="s">
        <v>1292</v>
      </c>
      <c r="BT277" s="57" t="s">
        <v>3476</v>
      </c>
      <c r="BU277" s="57" t="s">
        <v>3476</v>
      </c>
      <c r="BV277" s="57" t="s">
        <v>3753</v>
      </c>
      <c r="BW277" s="57" t="s">
        <v>3476</v>
      </c>
      <c r="BX277" s="57">
        <v>3164.8</v>
      </c>
      <c r="BY277" s="57" t="s">
        <v>3476</v>
      </c>
      <c r="BZ277" s="57" t="s">
        <v>3476</v>
      </c>
      <c r="CA277" s="57" t="s">
        <v>3476</v>
      </c>
      <c r="CB277" s="57" t="s">
        <v>3476</v>
      </c>
      <c r="CC277" s="57" t="s">
        <v>3476</v>
      </c>
      <c r="CD277" s="57" t="s">
        <v>3476</v>
      </c>
    </row>
    <row r="278" spans="1:82">
      <c r="A278" s="57">
        <v>22456</v>
      </c>
      <c r="B278" s="57" t="s">
        <v>3476</v>
      </c>
      <c r="C278" s="57" t="s">
        <v>4187</v>
      </c>
      <c r="D278" s="57" t="s">
        <v>3476</v>
      </c>
      <c r="E278" s="57" t="s">
        <v>3730</v>
      </c>
      <c r="F278" s="57" t="s">
        <v>4188</v>
      </c>
      <c r="G278" s="57" t="s">
        <v>721</v>
      </c>
      <c r="H278" s="57" t="s">
        <v>2874</v>
      </c>
      <c r="I278" s="57">
        <v>48115.48</v>
      </c>
      <c r="J278" s="57" t="s">
        <v>3476</v>
      </c>
      <c r="K278" s="57" t="s">
        <v>3476</v>
      </c>
      <c r="L278" s="57" t="s">
        <v>3730</v>
      </c>
      <c r="M278" s="57" t="s">
        <v>4189</v>
      </c>
      <c r="N278" s="57" t="s">
        <v>4189</v>
      </c>
      <c r="O278" s="57" t="s">
        <v>3476</v>
      </c>
      <c r="P278" s="57" t="s">
        <v>3476</v>
      </c>
      <c r="Q278" s="57" t="s">
        <v>2874</v>
      </c>
      <c r="R278" s="57" t="s">
        <v>3781</v>
      </c>
      <c r="S278" s="57" t="s">
        <v>3782</v>
      </c>
      <c r="T278" s="57" t="s">
        <v>3736</v>
      </c>
      <c r="U278" s="57" t="s">
        <v>3476</v>
      </c>
      <c r="V278" s="57" t="s">
        <v>3469</v>
      </c>
      <c r="W278" s="57" t="s">
        <v>3476</v>
      </c>
      <c r="X278" s="57" t="s">
        <v>4190</v>
      </c>
      <c r="Y278" s="57" t="s">
        <v>3738</v>
      </c>
      <c r="Z278" s="57" t="s">
        <v>4122</v>
      </c>
      <c r="AA278" s="57" t="s">
        <v>3476</v>
      </c>
      <c r="AB278" s="57" t="s">
        <v>3476</v>
      </c>
      <c r="AC278" s="57" t="s">
        <v>3476</v>
      </c>
      <c r="AD278" s="57" t="s">
        <v>3476</v>
      </c>
      <c r="AE278" s="57" t="s">
        <v>3476</v>
      </c>
      <c r="AF278" s="57" t="s">
        <v>3476</v>
      </c>
      <c r="AG278" s="57" t="s">
        <v>3476</v>
      </c>
      <c r="AH278" s="57" t="s">
        <v>3476</v>
      </c>
      <c r="AI278" s="57" t="s">
        <v>3476</v>
      </c>
      <c r="AJ278" s="57" t="s">
        <v>3476</v>
      </c>
      <c r="AK278" s="57" t="s">
        <v>3476</v>
      </c>
      <c r="AL278" s="57" t="s">
        <v>3476</v>
      </c>
      <c r="AM278" s="57" t="s">
        <v>3476</v>
      </c>
      <c r="AN278" s="57" t="s">
        <v>3476</v>
      </c>
      <c r="AO278" s="57" t="s">
        <v>3476</v>
      </c>
      <c r="AP278" s="58">
        <v>45853.4481018518</v>
      </c>
      <c r="AQ278" s="57" t="s">
        <v>3476</v>
      </c>
      <c r="AR278" s="57" t="s">
        <v>3476</v>
      </c>
      <c r="AS278" s="57" t="s">
        <v>3502</v>
      </c>
      <c r="AT278" s="57" t="s">
        <v>3745</v>
      </c>
      <c r="AU278" s="57" t="s">
        <v>3476</v>
      </c>
      <c r="AV278" s="57" t="s">
        <v>3476</v>
      </c>
      <c r="AW278" s="58">
        <v>45853.3918287037</v>
      </c>
      <c r="AX278" s="57" t="s">
        <v>3476</v>
      </c>
      <c r="AY278" s="57" t="s">
        <v>3747</v>
      </c>
      <c r="AZ278" s="57" t="s">
        <v>3476</v>
      </c>
      <c r="BA278" s="57" t="s">
        <v>3476</v>
      </c>
      <c r="BB278" s="57" t="s">
        <v>3476</v>
      </c>
      <c r="BC278" s="57" t="s">
        <v>3791</v>
      </c>
      <c r="BD278" s="57" t="s">
        <v>3659</v>
      </c>
      <c r="BE278" s="57" t="s">
        <v>3787</v>
      </c>
      <c r="BF278" s="57" t="s">
        <v>3749</v>
      </c>
      <c r="BG278" s="57" t="s">
        <v>3476</v>
      </c>
      <c r="BH278" s="57" t="s">
        <v>3476</v>
      </c>
      <c r="BI278" s="57" t="s">
        <v>2809</v>
      </c>
      <c r="BJ278" s="57" t="s">
        <v>3476</v>
      </c>
      <c r="BK278" s="57" t="s">
        <v>3476</v>
      </c>
      <c r="BL278" s="57">
        <v>3586361</v>
      </c>
      <c r="BM278" s="57" t="s">
        <v>4191</v>
      </c>
      <c r="BN278" s="57">
        <v>3700.7</v>
      </c>
      <c r="BO278" s="57" t="s">
        <v>3476</v>
      </c>
      <c r="BP278" s="57" t="s">
        <v>3476</v>
      </c>
      <c r="BQ278" s="57" t="s">
        <v>3476</v>
      </c>
      <c r="BR278" s="57" t="s">
        <v>4192</v>
      </c>
      <c r="BS278" s="57" t="s">
        <v>1292</v>
      </c>
      <c r="BT278" s="57" t="s">
        <v>3476</v>
      </c>
      <c r="BU278" s="57" t="s">
        <v>3476</v>
      </c>
      <c r="BV278" s="57" t="s">
        <v>3753</v>
      </c>
      <c r="BW278" s="57" t="s">
        <v>3476</v>
      </c>
      <c r="BX278" s="57">
        <v>3700.7</v>
      </c>
      <c r="BY278" s="57" t="s">
        <v>3476</v>
      </c>
      <c r="BZ278" s="57" t="s">
        <v>3476</v>
      </c>
      <c r="CA278" s="57" t="s">
        <v>3476</v>
      </c>
      <c r="CB278" s="57" t="s">
        <v>3476</v>
      </c>
      <c r="CC278" s="57" t="s">
        <v>3476</v>
      </c>
      <c r="CD278" s="57" t="s">
        <v>3476</v>
      </c>
    </row>
    <row r="279" spans="1:82">
      <c r="A279" s="57">
        <v>22457</v>
      </c>
      <c r="B279" s="57" t="s">
        <v>3476</v>
      </c>
      <c r="C279" s="57" t="s">
        <v>4187</v>
      </c>
      <c r="D279" s="57" t="s">
        <v>3476</v>
      </c>
      <c r="E279" s="57" t="s">
        <v>3730</v>
      </c>
      <c r="F279" s="57" t="s">
        <v>4188</v>
      </c>
      <c r="G279" s="57" t="s">
        <v>721</v>
      </c>
      <c r="H279" s="57" t="s">
        <v>2874</v>
      </c>
      <c r="I279" s="57">
        <v>48115.48</v>
      </c>
      <c r="J279" s="57" t="s">
        <v>3476</v>
      </c>
      <c r="K279" s="57" t="s">
        <v>3476</v>
      </c>
      <c r="L279" s="57" t="s">
        <v>3730</v>
      </c>
      <c r="M279" s="57" t="s">
        <v>4189</v>
      </c>
      <c r="N279" s="57" t="s">
        <v>4189</v>
      </c>
      <c r="O279" s="57" t="s">
        <v>3476</v>
      </c>
      <c r="P279" s="57" t="s">
        <v>3476</v>
      </c>
      <c r="Q279" s="57" t="s">
        <v>2874</v>
      </c>
      <c r="R279" s="57" t="s">
        <v>3781</v>
      </c>
      <c r="S279" s="57" t="s">
        <v>3782</v>
      </c>
      <c r="T279" s="57" t="s">
        <v>3736</v>
      </c>
      <c r="U279" s="57" t="s">
        <v>3476</v>
      </c>
      <c r="V279" s="57" t="s">
        <v>3469</v>
      </c>
      <c r="W279" s="57" t="s">
        <v>3476</v>
      </c>
      <c r="X279" s="57" t="s">
        <v>4190</v>
      </c>
      <c r="Y279" s="57" t="s">
        <v>3738</v>
      </c>
      <c r="Z279" s="57" t="s">
        <v>4122</v>
      </c>
      <c r="AA279" s="57" t="s">
        <v>3476</v>
      </c>
      <c r="AB279" s="57" t="s">
        <v>3476</v>
      </c>
      <c r="AC279" s="57" t="s">
        <v>3476</v>
      </c>
      <c r="AD279" s="57" t="s">
        <v>3476</v>
      </c>
      <c r="AE279" s="57" t="s">
        <v>3476</v>
      </c>
      <c r="AF279" s="57" t="s">
        <v>3476</v>
      </c>
      <c r="AG279" s="57" t="s">
        <v>3476</v>
      </c>
      <c r="AH279" s="57" t="s">
        <v>3476</v>
      </c>
      <c r="AI279" s="57" t="s">
        <v>3476</v>
      </c>
      <c r="AJ279" s="57" t="s">
        <v>3476</v>
      </c>
      <c r="AK279" s="57" t="s">
        <v>3476</v>
      </c>
      <c r="AL279" s="57" t="s">
        <v>3476</v>
      </c>
      <c r="AM279" s="57" t="s">
        <v>3476</v>
      </c>
      <c r="AN279" s="57" t="s">
        <v>3476</v>
      </c>
      <c r="AO279" s="57" t="s">
        <v>3476</v>
      </c>
      <c r="AP279" s="58">
        <v>45853.4481018518</v>
      </c>
      <c r="AQ279" s="57" t="s">
        <v>3476</v>
      </c>
      <c r="AR279" s="57" t="s">
        <v>3476</v>
      </c>
      <c r="AS279" s="57" t="s">
        <v>3502</v>
      </c>
      <c r="AT279" s="57" t="s">
        <v>3745</v>
      </c>
      <c r="AU279" s="57" t="s">
        <v>3476</v>
      </c>
      <c r="AV279" s="57" t="s">
        <v>3476</v>
      </c>
      <c r="AW279" s="58">
        <v>45853.3918287037</v>
      </c>
      <c r="AX279" s="57" t="s">
        <v>3476</v>
      </c>
      <c r="AY279" s="57" t="s">
        <v>3747</v>
      </c>
      <c r="AZ279" s="57" t="s">
        <v>3476</v>
      </c>
      <c r="BA279" s="57" t="s">
        <v>3476</v>
      </c>
      <c r="BB279" s="57" t="s">
        <v>3476</v>
      </c>
      <c r="BC279" s="57" t="s">
        <v>3791</v>
      </c>
      <c r="BD279" s="57" t="s">
        <v>3659</v>
      </c>
      <c r="BE279" s="57" t="s">
        <v>3787</v>
      </c>
      <c r="BF279" s="57" t="s">
        <v>3749</v>
      </c>
      <c r="BG279" s="57" t="s">
        <v>3476</v>
      </c>
      <c r="BH279" s="57" t="s">
        <v>3476</v>
      </c>
      <c r="BI279" s="57" t="s">
        <v>2809</v>
      </c>
      <c r="BJ279" s="57" t="s">
        <v>3476</v>
      </c>
      <c r="BK279" s="57" t="s">
        <v>3476</v>
      </c>
      <c r="BL279" s="57">
        <v>3586362</v>
      </c>
      <c r="BM279" s="57" t="s">
        <v>4191</v>
      </c>
      <c r="BN279" s="57">
        <v>2130</v>
      </c>
      <c r="BO279" s="57" t="s">
        <v>3476</v>
      </c>
      <c r="BP279" s="57" t="s">
        <v>3476</v>
      </c>
      <c r="BQ279" s="57" t="s">
        <v>3476</v>
      </c>
      <c r="BR279" s="57" t="s">
        <v>4192</v>
      </c>
      <c r="BS279" s="57" t="s">
        <v>1292</v>
      </c>
      <c r="BT279" s="57" t="s">
        <v>3476</v>
      </c>
      <c r="BU279" s="57" t="s">
        <v>3476</v>
      </c>
      <c r="BV279" s="57" t="s">
        <v>3753</v>
      </c>
      <c r="BW279" s="57" t="s">
        <v>3476</v>
      </c>
      <c r="BX279" s="57">
        <v>2130</v>
      </c>
      <c r="BY279" s="57" t="s">
        <v>3476</v>
      </c>
      <c r="BZ279" s="57" t="s">
        <v>3476</v>
      </c>
      <c r="CA279" s="57" t="s">
        <v>3476</v>
      </c>
      <c r="CB279" s="57" t="s">
        <v>3476</v>
      </c>
      <c r="CC279" s="57" t="s">
        <v>3476</v>
      </c>
      <c r="CD279" s="57" t="s">
        <v>3476</v>
      </c>
    </row>
    <row r="280" spans="1:82">
      <c r="A280" s="57">
        <v>22458</v>
      </c>
      <c r="B280" s="57" t="s">
        <v>3476</v>
      </c>
      <c r="C280" s="57" t="s">
        <v>4187</v>
      </c>
      <c r="D280" s="57" t="s">
        <v>3476</v>
      </c>
      <c r="E280" s="57" t="s">
        <v>3730</v>
      </c>
      <c r="F280" s="57" t="s">
        <v>4188</v>
      </c>
      <c r="G280" s="57" t="s">
        <v>721</v>
      </c>
      <c r="H280" s="57" t="s">
        <v>2874</v>
      </c>
      <c r="I280" s="57">
        <v>48115.48</v>
      </c>
      <c r="J280" s="57" t="s">
        <v>3476</v>
      </c>
      <c r="K280" s="57" t="s">
        <v>3476</v>
      </c>
      <c r="L280" s="57" t="s">
        <v>3730</v>
      </c>
      <c r="M280" s="57" t="s">
        <v>4189</v>
      </c>
      <c r="N280" s="57" t="s">
        <v>4189</v>
      </c>
      <c r="O280" s="57" t="s">
        <v>3476</v>
      </c>
      <c r="P280" s="57" t="s">
        <v>3476</v>
      </c>
      <c r="Q280" s="57" t="s">
        <v>2874</v>
      </c>
      <c r="R280" s="57" t="s">
        <v>3781</v>
      </c>
      <c r="S280" s="57" t="s">
        <v>3782</v>
      </c>
      <c r="T280" s="57" t="s">
        <v>3736</v>
      </c>
      <c r="U280" s="57" t="s">
        <v>3476</v>
      </c>
      <c r="V280" s="57" t="s">
        <v>3469</v>
      </c>
      <c r="W280" s="57" t="s">
        <v>3476</v>
      </c>
      <c r="X280" s="57" t="s">
        <v>4190</v>
      </c>
      <c r="Y280" s="57" t="s">
        <v>3738</v>
      </c>
      <c r="Z280" s="57" t="s">
        <v>4122</v>
      </c>
      <c r="AA280" s="57" t="s">
        <v>3476</v>
      </c>
      <c r="AB280" s="57" t="s">
        <v>3476</v>
      </c>
      <c r="AC280" s="57" t="s">
        <v>3476</v>
      </c>
      <c r="AD280" s="57" t="s">
        <v>3476</v>
      </c>
      <c r="AE280" s="57" t="s">
        <v>3476</v>
      </c>
      <c r="AF280" s="57" t="s">
        <v>3476</v>
      </c>
      <c r="AG280" s="57" t="s">
        <v>3476</v>
      </c>
      <c r="AH280" s="57" t="s">
        <v>3476</v>
      </c>
      <c r="AI280" s="57" t="s">
        <v>3476</v>
      </c>
      <c r="AJ280" s="57" t="s">
        <v>3476</v>
      </c>
      <c r="AK280" s="57" t="s">
        <v>3476</v>
      </c>
      <c r="AL280" s="57" t="s">
        <v>3476</v>
      </c>
      <c r="AM280" s="57" t="s">
        <v>3476</v>
      </c>
      <c r="AN280" s="57" t="s">
        <v>3476</v>
      </c>
      <c r="AO280" s="57" t="s">
        <v>3476</v>
      </c>
      <c r="AP280" s="58">
        <v>45853.4481018518</v>
      </c>
      <c r="AQ280" s="57" t="s">
        <v>3476</v>
      </c>
      <c r="AR280" s="57" t="s">
        <v>3476</v>
      </c>
      <c r="AS280" s="57" t="s">
        <v>3502</v>
      </c>
      <c r="AT280" s="57" t="s">
        <v>3745</v>
      </c>
      <c r="AU280" s="57" t="s">
        <v>3476</v>
      </c>
      <c r="AV280" s="57" t="s">
        <v>3476</v>
      </c>
      <c r="AW280" s="58">
        <v>45853.3918287037</v>
      </c>
      <c r="AX280" s="57" t="s">
        <v>3476</v>
      </c>
      <c r="AY280" s="57" t="s">
        <v>3747</v>
      </c>
      <c r="AZ280" s="57" t="s">
        <v>3476</v>
      </c>
      <c r="BA280" s="57" t="s">
        <v>3476</v>
      </c>
      <c r="BB280" s="57" t="s">
        <v>3476</v>
      </c>
      <c r="BC280" s="57" t="s">
        <v>3793</v>
      </c>
      <c r="BD280" s="57" t="s">
        <v>3659</v>
      </c>
      <c r="BE280" s="57" t="s">
        <v>3787</v>
      </c>
      <c r="BF280" s="57" t="s">
        <v>3749</v>
      </c>
      <c r="BG280" s="57" t="s">
        <v>3476</v>
      </c>
      <c r="BH280" s="57" t="s">
        <v>3476</v>
      </c>
      <c r="BI280" s="57" t="s">
        <v>2809</v>
      </c>
      <c r="BJ280" s="57" t="s">
        <v>3476</v>
      </c>
      <c r="BK280" s="57" t="s">
        <v>3476</v>
      </c>
      <c r="BL280" s="57">
        <v>3586363</v>
      </c>
      <c r="BM280" s="57" t="s">
        <v>4191</v>
      </c>
      <c r="BN280" s="57">
        <v>35</v>
      </c>
      <c r="BO280" s="57" t="s">
        <v>3476</v>
      </c>
      <c r="BP280" s="57" t="s">
        <v>3476</v>
      </c>
      <c r="BQ280" s="57" t="s">
        <v>3476</v>
      </c>
      <c r="BR280" s="57" t="s">
        <v>4192</v>
      </c>
      <c r="BS280" s="57" t="s">
        <v>1292</v>
      </c>
      <c r="BT280" s="57" t="s">
        <v>3476</v>
      </c>
      <c r="BU280" s="57" t="s">
        <v>3476</v>
      </c>
      <c r="BV280" s="57" t="s">
        <v>3753</v>
      </c>
      <c r="BW280" s="57" t="s">
        <v>3476</v>
      </c>
      <c r="BX280" s="57">
        <v>35</v>
      </c>
      <c r="BY280" s="57" t="s">
        <v>3476</v>
      </c>
      <c r="BZ280" s="57" t="s">
        <v>3476</v>
      </c>
      <c r="CA280" s="57" t="s">
        <v>3476</v>
      </c>
      <c r="CB280" s="57" t="s">
        <v>3476</v>
      </c>
      <c r="CC280" s="57" t="s">
        <v>3476</v>
      </c>
      <c r="CD280" s="57" t="s">
        <v>3476</v>
      </c>
    </row>
    <row r="281" spans="1:82">
      <c r="A281" s="57">
        <v>22459</v>
      </c>
      <c r="B281" s="57" t="s">
        <v>3476</v>
      </c>
      <c r="C281" s="57" t="s">
        <v>4187</v>
      </c>
      <c r="D281" s="57" t="s">
        <v>3476</v>
      </c>
      <c r="E281" s="57" t="s">
        <v>3730</v>
      </c>
      <c r="F281" s="57" t="s">
        <v>4188</v>
      </c>
      <c r="G281" s="57" t="s">
        <v>721</v>
      </c>
      <c r="H281" s="57" t="s">
        <v>2874</v>
      </c>
      <c r="I281" s="57">
        <v>48115.48</v>
      </c>
      <c r="J281" s="57" t="s">
        <v>3476</v>
      </c>
      <c r="K281" s="57" t="s">
        <v>3476</v>
      </c>
      <c r="L281" s="57" t="s">
        <v>3730</v>
      </c>
      <c r="M281" s="57" t="s">
        <v>4189</v>
      </c>
      <c r="N281" s="57" t="s">
        <v>4189</v>
      </c>
      <c r="O281" s="57" t="s">
        <v>3476</v>
      </c>
      <c r="P281" s="57" t="s">
        <v>3476</v>
      </c>
      <c r="Q281" s="57" t="s">
        <v>2874</v>
      </c>
      <c r="R281" s="57" t="s">
        <v>3781</v>
      </c>
      <c r="S281" s="57" t="s">
        <v>3782</v>
      </c>
      <c r="T281" s="57" t="s">
        <v>3736</v>
      </c>
      <c r="U281" s="57" t="s">
        <v>3476</v>
      </c>
      <c r="V281" s="57" t="s">
        <v>3469</v>
      </c>
      <c r="W281" s="57" t="s">
        <v>3476</v>
      </c>
      <c r="X281" s="57" t="s">
        <v>4190</v>
      </c>
      <c r="Y281" s="57" t="s">
        <v>3738</v>
      </c>
      <c r="Z281" s="57" t="s">
        <v>4122</v>
      </c>
      <c r="AA281" s="57" t="s">
        <v>3476</v>
      </c>
      <c r="AB281" s="57" t="s">
        <v>3476</v>
      </c>
      <c r="AC281" s="57" t="s">
        <v>3476</v>
      </c>
      <c r="AD281" s="57" t="s">
        <v>3476</v>
      </c>
      <c r="AE281" s="57" t="s">
        <v>3476</v>
      </c>
      <c r="AF281" s="57" t="s">
        <v>3476</v>
      </c>
      <c r="AG281" s="57" t="s">
        <v>3476</v>
      </c>
      <c r="AH281" s="57" t="s">
        <v>3476</v>
      </c>
      <c r="AI281" s="57" t="s">
        <v>3476</v>
      </c>
      <c r="AJ281" s="57" t="s">
        <v>3476</v>
      </c>
      <c r="AK281" s="57" t="s">
        <v>3476</v>
      </c>
      <c r="AL281" s="57" t="s">
        <v>3476</v>
      </c>
      <c r="AM281" s="57" t="s">
        <v>3476</v>
      </c>
      <c r="AN281" s="57" t="s">
        <v>3476</v>
      </c>
      <c r="AO281" s="57" t="s">
        <v>3476</v>
      </c>
      <c r="AP281" s="58">
        <v>45853.4481018518</v>
      </c>
      <c r="AQ281" s="57" t="s">
        <v>3476</v>
      </c>
      <c r="AR281" s="57" t="s">
        <v>3476</v>
      </c>
      <c r="AS281" s="57" t="s">
        <v>3502</v>
      </c>
      <c r="AT281" s="57" t="s">
        <v>3745</v>
      </c>
      <c r="AU281" s="57" t="s">
        <v>3476</v>
      </c>
      <c r="AV281" s="57" t="s">
        <v>3476</v>
      </c>
      <c r="AW281" s="58">
        <v>45853.3918287037</v>
      </c>
      <c r="AX281" s="57" t="s">
        <v>3476</v>
      </c>
      <c r="AY281" s="57" t="s">
        <v>3747</v>
      </c>
      <c r="AZ281" s="57" t="s">
        <v>3476</v>
      </c>
      <c r="BA281" s="57" t="s">
        <v>3476</v>
      </c>
      <c r="BB281" s="57" t="s">
        <v>3476</v>
      </c>
      <c r="BC281" s="57" t="s">
        <v>3791</v>
      </c>
      <c r="BD281" s="57" t="s">
        <v>3659</v>
      </c>
      <c r="BE281" s="57" t="s">
        <v>3787</v>
      </c>
      <c r="BF281" s="57" t="s">
        <v>3749</v>
      </c>
      <c r="BG281" s="57" t="s">
        <v>3476</v>
      </c>
      <c r="BH281" s="57" t="s">
        <v>3476</v>
      </c>
      <c r="BI281" s="57" t="s">
        <v>2809</v>
      </c>
      <c r="BJ281" s="57" t="s">
        <v>3476</v>
      </c>
      <c r="BK281" s="57" t="s">
        <v>3476</v>
      </c>
      <c r="BL281" s="57">
        <v>3586364</v>
      </c>
      <c r="BM281" s="57" t="s">
        <v>4191</v>
      </c>
      <c r="BN281" s="57">
        <v>11.5</v>
      </c>
      <c r="BO281" s="57" t="s">
        <v>3476</v>
      </c>
      <c r="BP281" s="57" t="s">
        <v>3476</v>
      </c>
      <c r="BQ281" s="57" t="s">
        <v>3476</v>
      </c>
      <c r="BR281" s="57" t="s">
        <v>4192</v>
      </c>
      <c r="BS281" s="57" t="s">
        <v>1292</v>
      </c>
      <c r="BT281" s="57" t="s">
        <v>3476</v>
      </c>
      <c r="BU281" s="57" t="s">
        <v>3476</v>
      </c>
      <c r="BV281" s="57" t="s">
        <v>3753</v>
      </c>
      <c r="BW281" s="57" t="s">
        <v>3476</v>
      </c>
      <c r="BX281" s="57">
        <v>11.5</v>
      </c>
      <c r="BY281" s="57" t="s">
        <v>3476</v>
      </c>
      <c r="BZ281" s="57" t="s">
        <v>3476</v>
      </c>
      <c r="CA281" s="57" t="s">
        <v>3476</v>
      </c>
      <c r="CB281" s="57" t="s">
        <v>3476</v>
      </c>
      <c r="CC281" s="57" t="s">
        <v>3476</v>
      </c>
      <c r="CD281" s="57" t="s">
        <v>3476</v>
      </c>
    </row>
    <row r="282" spans="1:82">
      <c r="A282" s="57">
        <v>22460</v>
      </c>
      <c r="B282" s="57" t="s">
        <v>3476</v>
      </c>
      <c r="C282" s="57" t="s">
        <v>4187</v>
      </c>
      <c r="D282" s="57" t="s">
        <v>3476</v>
      </c>
      <c r="E282" s="57" t="s">
        <v>3730</v>
      </c>
      <c r="F282" s="57" t="s">
        <v>4188</v>
      </c>
      <c r="G282" s="57" t="s">
        <v>721</v>
      </c>
      <c r="H282" s="57" t="s">
        <v>2874</v>
      </c>
      <c r="I282" s="57">
        <v>48115.48</v>
      </c>
      <c r="J282" s="57" t="s">
        <v>3476</v>
      </c>
      <c r="K282" s="57" t="s">
        <v>3476</v>
      </c>
      <c r="L282" s="57" t="s">
        <v>3730</v>
      </c>
      <c r="M282" s="57" t="s">
        <v>4189</v>
      </c>
      <c r="N282" s="57" t="s">
        <v>4189</v>
      </c>
      <c r="O282" s="57" t="s">
        <v>3476</v>
      </c>
      <c r="P282" s="57" t="s">
        <v>3476</v>
      </c>
      <c r="Q282" s="57" t="s">
        <v>2874</v>
      </c>
      <c r="R282" s="57" t="s">
        <v>3781</v>
      </c>
      <c r="S282" s="57" t="s">
        <v>3782</v>
      </c>
      <c r="T282" s="57" t="s">
        <v>3736</v>
      </c>
      <c r="U282" s="57" t="s">
        <v>3476</v>
      </c>
      <c r="V282" s="57" t="s">
        <v>3469</v>
      </c>
      <c r="W282" s="57" t="s">
        <v>3476</v>
      </c>
      <c r="X282" s="57" t="s">
        <v>4190</v>
      </c>
      <c r="Y282" s="57" t="s">
        <v>3738</v>
      </c>
      <c r="Z282" s="57" t="s">
        <v>4122</v>
      </c>
      <c r="AA282" s="57" t="s">
        <v>3476</v>
      </c>
      <c r="AB282" s="57" t="s">
        <v>3476</v>
      </c>
      <c r="AC282" s="57" t="s">
        <v>3476</v>
      </c>
      <c r="AD282" s="57" t="s">
        <v>3476</v>
      </c>
      <c r="AE282" s="57" t="s">
        <v>3476</v>
      </c>
      <c r="AF282" s="57" t="s">
        <v>3476</v>
      </c>
      <c r="AG282" s="57" t="s">
        <v>3476</v>
      </c>
      <c r="AH282" s="57" t="s">
        <v>3476</v>
      </c>
      <c r="AI282" s="57" t="s">
        <v>3476</v>
      </c>
      <c r="AJ282" s="57" t="s">
        <v>3476</v>
      </c>
      <c r="AK282" s="57" t="s">
        <v>3476</v>
      </c>
      <c r="AL282" s="57" t="s">
        <v>3476</v>
      </c>
      <c r="AM282" s="57" t="s">
        <v>3476</v>
      </c>
      <c r="AN282" s="57" t="s">
        <v>3476</v>
      </c>
      <c r="AO282" s="57" t="s">
        <v>3476</v>
      </c>
      <c r="AP282" s="58">
        <v>45853.4481018518</v>
      </c>
      <c r="AQ282" s="57" t="s">
        <v>3476</v>
      </c>
      <c r="AR282" s="57" t="s">
        <v>3476</v>
      </c>
      <c r="AS282" s="57" t="s">
        <v>3502</v>
      </c>
      <c r="AT282" s="57" t="s">
        <v>3745</v>
      </c>
      <c r="AU282" s="57" t="s">
        <v>3476</v>
      </c>
      <c r="AV282" s="57" t="s">
        <v>3476</v>
      </c>
      <c r="AW282" s="58">
        <v>45853.3918287037</v>
      </c>
      <c r="AX282" s="57" t="s">
        <v>3476</v>
      </c>
      <c r="AY282" s="57" t="s">
        <v>3747</v>
      </c>
      <c r="AZ282" s="57" t="s">
        <v>3476</v>
      </c>
      <c r="BA282" s="57" t="s">
        <v>3476</v>
      </c>
      <c r="BB282" s="57" t="s">
        <v>3476</v>
      </c>
      <c r="BC282" s="57" t="s">
        <v>3791</v>
      </c>
      <c r="BD282" s="57" t="s">
        <v>3659</v>
      </c>
      <c r="BE282" s="57" t="s">
        <v>3787</v>
      </c>
      <c r="BF282" s="57" t="s">
        <v>3749</v>
      </c>
      <c r="BG282" s="57" t="s">
        <v>3476</v>
      </c>
      <c r="BH282" s="57" t="s">
        <v>3476</v>
      </c>
      <c r="BI282" s="57" t="s">
        <v>2809</v>
      </c>
      <c r="BJ282" s="57" t="s">
        <v>3476</v>
      </c>
      <c r="BK282" s="57" t="s">
        <v>3476</v>
      </c>
      <c r="BL282" s="57">
        <v>3586365</v>
      </c>
      <c r="BM282" s="57" t="s">
        <v>4191</v>
      </c>
      <c r="BN282" s="57">
        <v>28</v>
      </c>
      <c r="BO282" s="57" t="s">
        <v>3476</v>
      </c>
      <c r="BP282" s="57" t="s">
        <v>3476</v>
      </c>
      <c r="BQ282" s="57" t="s">
        <v>3476</v>
      </c>
      <c r="BR282" s="57" t="s">
        <v>4192</v>
      </c>
      <c r="BS282" s="57" t="s">
        <v>1292</v>
      </c>
      <c r="BT282" s="57" t="s">
        <v>3476</v>
      </c>
      <c r="BU282" s="57" t="s">
        <v>3476</v>
      </c>
      <c r="BV282" s="57" t="s">
        <v>3753</v>
      </c>
      <c r="BW282" s="57" t="s">
        <v>3476</v>
      </c>
      <c r="BX282" s="57">
        <v>28</v>
      </c>
      <c r="BY282" s="57" t="s">
        <v>3476</v>
      </c>
      <c r="BZ282" s="57" t="s">
        <v>3476</v>
      </c>
      <c r="CA282" s="57" t="s">
        <v>3476</v>
      </c>
      <c r="CB282" s="57" t="s">
        <v>3476</v>
      </c>
      <c r="CC282" s="57" t="s">
        <v>3476</v>
      </c>
      <c r="CD282" s="57" t="s">
        <v>3476</v>
      </c>
    </row>
    <row r="283" spans="1:82">
      <c r="A283" s="57">
        <v>23409</v>
      </c>
      <c r="B283" s="57" t="s">
        <v>3476</v>
      </c>
      <c r="C283" s="57" t="s">
        <v>4193</v>
      </c>
      <c r="D283" s="57" t="s">
        <v>3476</v>
      </c>
      <c r="E283" s="57" t="s">
        <v>3730</v>
      </c>
      <c r="F283" s="57" t="s">
        <v>4194</v>
      </c>
      <c r="G283" s="57" t="s">
        <v>721</v>
      </c>
      <c r="H283" s="57" t="s">
        <v>3256</v>
      </c>
      <c r="I283" s="57">
        <v>2608</v>
      </c>
      <c r="J283" s="57" t="s">
        <v>3476</v>
      </c>
      <c r="K283" s="57" t="s">
        <v>3476</v>
      </c>
      <c r="L283" s="57" t="s">
        <v>3732</v>
      </c>
      <c r="M283" s="57" t="s">
        <v>4043</v>
      </c>
      <c r="N283" s="57" t="s">
        <v>4043</v>
      </c>
      <c r="O283" s="57" t="s">
        <v>3476</v>
      </c>
      <c r="P283" s="57" t="s">
        <v>3476</v>
      </c>
      <c r="Q283" s="57" t="s">
        <v>3256</v>
      </c>
      <c r="R283" s="57" t="s">
        <v>3906</v>
      </c>
      <c r="S283" s="57" t="s">
        <v>3907</v>
      </c>
      <c r="T283" s="57" t="s">
        <v>3736</v>
      </c>
      <c r="U283" s="57" t="s">
        <v>3476</v>
      </c>
      <c r="V283" s="57" t="s">
        <v>3469</v>
      </c>
      <c r="W283" s="57" t="s">
        <v>3476</v>
      </c>
      <c r="X283" s="57" t="s">
        <v>4021</v>
      </c>
      <c r="Y283" s="57" t="s">
        <v>3738</v>
      </c>
      <c r="Z283" s="57" t="s">
        <v>4044</v>
      </c>
      <c r="AA283" s="57" t="s">
        <v>3944</v>
      </c>
      <c r="AB283" s="57" t="s">
        <v>3476</v>
      </c>
      <c r="AC283" s="57" t="s">
        <v>3741</v>
      </c>
      <c r="AD283" s="57" t="s">
        <v>3476</v>
      </c>
      <c r="AE283" s="57" t="s">
        <v>3476</v>
      </c>
      <c r="AF283" s="57" t="s">
        <v>3476</v>
      </c>
      <c r="AG283" s="57" t="s">
        <v>3476</v>
      </c>
      <c r="AH283" s="57" t="s">
        <v>3476</v>
      </c>
      <c r="AI283" s="57" t="s">
        <v>3476</v>
      </c>
      <c r="AJ283" s="57" t="s">
        <v>3476</v>
      </c>
      <c r="AK283" s="57" t="s">
        <v>1292</v>
      </c>
      <c r="AL283" s="57" t="s">
        <v>4195</v>
      </c>
      <c r="AM283" s="57" t="s">
        <v>3476</v>
      </c>
      <c r="AN283" s="57" t="s">
        <v>3876</v>
      </c>
      <c r="AO283" s="57" t="s">
        <v>3476</v>
      </c>
      <c r="AP283" s="58">
        <v>45729.7407523148</v>
      </c>
      <c r="AQ283" s="57" t="s">
        <v>3476</v>
      </c>
      <c r="AR283" s="57" t="s">
        <v>3507</v>
      </c>
      <c r="AS283" s="57" t="s">
        <v>3502</v>
      </c>
      <c r="AT283" s="57" t="s">
        <v>3745</v>
      </c>
      <c r="AU283" s="57" t="s">
        <v>4196</v>
      </c>
      <c r="AV283" s="57" t="s">
        <v>3476</v>
      </c>
      <c r="AW283" s="58">
        <v>45660.3679398148</v>
      </c>
      <c r="AX283" s="57" t="s">
        <v>4195</v>
      </c>
      <c r="AY283" s="57" t="s">
        <v>3747</v>
      </c>
      <c r="AZ283" s="57" t="s">
        <v>3476</v>
      </c>
      <c r="BA283" s="57" t="s">
        <v>3476</v>
      </c>
      <c r="BB283" s="57" t="s">
        <v>3476</v>
      </c>
      <c r="BC283" s="57" t="s">
        <v>3913</v>
      </c>
      <c r="BD283" s="57" t="s">
        <v>3659</v>
      </c>
      <c r="BE283" s="57" t="s">
        <v>4197</v>
      </c>
      <c r="BF283" s="57" t="s">
        <v>3749</v>
      </c>
      <c r="BG283" s="57" t="s">
        <v>3476</v>
      </c>
      <c r="BH283" s="57" t="s">
        <v>3476</v>
      </c>
      <c r="BI283" s="57" t="s">
        <v>2809</v>
      </c>
      <c r="BJ283" s="57" t="s">
        <v>3476</v>
      </c>
      <c r="BK283" s="57" t="s">
        <v>3476</v>
      </c>
      <c r="BL283" s="57">
        <v>3411197</v>
      </c>
      <c r="BM283" s="57" t="s">
        <v>4198</v>
      </c>
      <c r="BN283" s="57" t="s">
        <v>3476</v>
      </c>
      <c r="BO283" s="57">
        <v>632.8</v>
      </c>
      <c r="BP283" s="57" t="s">
        <v>3930</v>
      </c>
      <c r="BQ283" s="57" t="s">
        <v>3476</v>
      </c>
      <c r="BR283" s="57" t="s">
        <v>4199</v>
      </c>
      <c r="BS283" s="57" t="s">
        <v>1292</v>
      </c>
      <c r="BT283" s="57" t="s">
        <v>3476</v>
      </c>
      <c r="BU283" s="57" t="s">
        <v>3476</v>
      </c>
      <c r="BV283" s="57" t="s">
        <v>3753</v>
      </c>
      <c r="BW283" s="57" t="s">
        <v>3476</v>
      </c>
      <c r="BX283" s="57">
        <v>632.8</v>
      </c>
      <c r="BY283" s="57" t="s">
        <v>3476</v>
      </c>
      <c r="BZ283" s="57" t="s">
        <v>3476</v>
      </c>
      <c r="CA283" s="57" t="s">
        <v>3753</v>
      </c>
      <c r="CB283" s="57" t="s">
        <v>3476</v>
      </c>
      <c r="CC283" s="57" t="s">
        <v>3476</v>
      </c>
      <c r="CD283" s="57" t="s">
        <v>3476</v>
      </c>
    </row>
    <row r="284" spans="1:82">
      <c r="A284" s="57">
        <v>23410</v>
      </c>
      <c r="B284" s="57" t="s">
        <v>3476</v>
      </c>
      <c r="C284" s="57" t="s">
        <v>4193</v>
      </c>
      <c r="D284" s="57" t="s">
        <v>3476</v>
      </c>
      <c r="E284" s="57" t="s">
        <v>3730</v>
      </c>
      <c r="F284" s="57" t="s">
        <v>4194</v>
      </c>
      <c r="G284" s="57" t="s">
        <v>721</v>
      </c>
      <c r="H284" s="57" t="s">
        <v>3256</v>
      </c>
      <c r="I284" s="57">
        <v>2608</v>
      </c>
      <c r="J284" s="57" t="s">
        <v>3476</v>
      </c>
      <c r="K284" s="57" t="s">
        <v>3476</v>
      </c>
      <c r="L284" s="57" t="s">
        <v>3732</v>
      </c>
      <c r="M284" s="57" t="s">
        <v>4043</v>
      </c>
      <c r="N284" s="57" t="s">
        <v>4043</v>
      </c>
      <c r="O284" s="57" t="s">
        <v>3476</v>
      </c>
      <c r="P284" s="57" t="s">
        <v>3476</v>
      </c>
      <c r="Q284" s="57" t="s">
        <v>3256</v>
      </c>
      <c r="R284" s="57" t="s">
        <v>3906</v>
      </c>
      <c r="S284" s="57" t="s">
        <v>3907</v>
      </c>
      <c r="T284" s="57" t="s">
        <v>3736</v>
      </c>
      <c r="U284" s="57" t="s">
        <v>3476</v>
      </c>
      <c r="V284" s="57" t="s">
        <v>3469</v>
      </c>
      <c r="W284" s="57" t="s">
        <v>3476</v>
      </c>
      <c r="X284" s="57" t="s">
        <v>4021</v>
      </c>
      <c r="Y284" s="57" t="s">
        <v>3738</v>
      </c>
      <c r="Z284" s="57" t="s">
        <v>4044</v>
      </c>
      <c r="AA284" s="57" t="s">
        <v>3944</v>
      </c>
      <c r="AB284" s="57" t="s">
        <v>3476</v>
      </c>
      <c r="AC284" s="57" t="s">
        <v>3741</v>
      </c>
      <c r="AD284" s="57" t="s">
        <v>3476</v>
      </c>
      <c r="AE284" s="57" t="s">
        <v>3476</v>
      </c>
      <c r="AF284" s="57" t="s">
        <v>3476</v>
      </c>
      <c r="AG284" s="57" t="s">
        <v>3476</v>
      </c>
      <c r="AH284" s="57" t="s">
        <v>3476</v>
      </c>
      <c r="AI284" s="57" t="s">
        <v>3476</v>
      </c>
      <c r="AJ284" s="57" t="s">
        <v>3476</v>
      </c>
      <c r="AK284" s="57" t="s">
        <v>1292</v>
      </c>
      <c r="AL284" s="57" t="s">
        <v>4195</v>
      </c>
      <c r="AM284" s="57" t="s">
        <v>3476</v>
      </c>
      <c r="AN284" s="57" t="s">
        <v>3876</v>
      </c>
      <c r="AO284" s="57" t="s">
        <v>3476</v>
      </c>
      <c r="AP284" s="58">
        <v>45729.7407523148</v>
      </c>
      <c r="AQ284" s="57" t="s">
        <v>3476</v>
      </c>
      <c r="AR284" s="57" t="s">
        <v>3507</v>
      </c>
      <c r="AS284" s="57" t="s">
        <v>3502</v>
      </c>
      <c r="AT284" s="57" t="s">
        <v>3745</v>
      </c>
      <c r="AU284" s="57" t="s">
        <v>4196</v>
      </c>
      <c r="AV284" s="57" t="s">
        <v>3476</v>
      </c>
      <c r="AW284" s="58">
        <v>45660.3679398148</v>
      </c>
      <c r="AX284" s="57" t="s">
        <v>4195</v>
      </c>
      <c r="AY284" s="57" t="s">
        <v>3747</v>
      </c>
      <c r="AZ284" s="57" t="s">
        <v>3476</v>
      </c>
      <c r="BA284" s="57" t="s">
        <v>3476</v>
      </c>
      <c r="BB284" s="57" t="s">
        <v>3476</v>
      </c>
      <c r="BC284" s="57" t="s">
        <v>3913</v>
      </c>
      <c r="BD284" s="57" t="s">
        <v>3659</v>
      </c>
      <c r="BE284" s="57" t="s">
        <v>4197</v>
      </c>
      <c r="BF284" s="57" t="s">
        <v>3749</v>
      </c>
      <c r="BG284" s="57" t="s">
        <v>3476</v>
      </c>
      <c r="BH284" s="57" t="s">
        <v>3476</v>
      </c>
      <c r="BI284" s="57" t="s">
        <v>2809</v>
      </c>
      <c r="BJ284" s="57" t="s">
        <v>3476</v>
      </c>
      <c r="BK284" s="57" t="s">
        <v>3476</v>
      </c>
      <c r="BL284" s="57">
        <v>3411198</v>
      </c>
      <c r="BM284" s="57" t="s">
        <v>4198</v>
      </c>
      <c r="BN284" s="57" t="s">
        <v>3476</v>
      </c>
      <c r="BO284" s="57">
        <v>752.58</v>
      </c>
      <c r="BP284" s="57" t="s">
        <v>3930</v>
      </c>
      <c r="BQ284" s="57" t="s">
        <v>3476</v>
      </c>
      <c r="BR284" s="57" t="s">
        <v>4199</v>
      </c>
      <c r="BS284" s="57" t="s">
        <v>1292</v>
      </c>
      <c r="BT284" s="57" t="s">
        <v>3476</v>
      </c>
      <c r="BU284" s="57" t="s">
        <v>3476</v>
      </c>
      <c r="BV284" s="57" t="s">
        <v>3753</v>
      </c>
      <c r="BW284" s="57" t="s">
        <v>3476</v>
      </c>
      <c r="BX284" s="57">
        <v>752.58</v>
      </c>
      <c r="BY284" s="57" t="s">
        <v>3476</v>
      </c>
      <c r="BZ284" s="57" t="s">
        <v>3476</v>
      </c>
      <c r="CA284" s="57" t="s">
        <v>3753</v>
      </c>
      <c r="CB284" s="57" t="s">
        <v>3476</v>
      </c>
      <c r="CC284" s="57" t="s">
        <v>3476</v>
      </c>
      <c r="CD284" s="57" t="s">
        <v>3476</v>
      </c>
    </row>
    <row r="285" spans="1:82">
      <c r="A285" s="57">
        <v>23411</v>
      </c>
      <c r="B285" s="57" t="s">
        <v>3476</v>
      </c>
      <c r="C285" s="57" t="s">
        <v>4193</v>
      </c>
      <c r="D285" s="57" t="s">
        <v>3476</v>
      </c>
      <c r="E285" s="57" t="s">
        <v>3730</v>
      </c>
      <c r="F285" s="57" t="s">
        <v>4194</v>
      </c>
      <c r="G285" s="57" t="s">
        <v>721</v>
      </c>
      <c r="H285" s="57" t="s">
        <v>3256</v>
      </c>
      <c r="I285" s="57">
        <v>2608</v>
      </c>
      <c r="J285" s="57" t="s">
        <v>3476</v>
      </c>
      <c r="K285" s="57" t="s">
        <v>3476</v>
      </c>
      <c r="L285" s="57" t="s">
        <v>3732</v>
      </c>
      <c r="M285" s="57" t="s">
        <v>4043</v>
      </c>
      <c r="N285" s="57" t="s">
        <v>4043</v>
      </c>
      <c r="O285" s="57" t="s">
        <v>3476</v>
      </c>
      <c r="P285" s="57" t="s">
        <v>3476</v>
      </c>
      <c r="Q285" s="57" t="s">
        <v>3256</v>
      </c>
      <c r="R285" s="57" t="s">
        <v>3906</v>
      </c>
      <c r="S285" s="57" t="s">
        <v>3907</v>
      </c>
      <c r="T285" s="57" t="s">
        <v>3736</v>
      </c>
      <c r="U285" s="57" t="s">
        <v>3476</v>
      </c>
      <c r="V285" s="57" t="s">
        <v>3469</v>
      </c>
      <c r="W285" s="57" t="s">
        <v>3476</v>
      </c>
      <c r="X285" s="57" t="s">
        <v>4021</v>
      </c>
      <c r="Y285" s="57" t="s">
        <v>3738</v>
      </c>
      <c r="Z285" s="57" t="s">
        <v>4044</v>
      </c>
      <c r="AA285" s="57" t="s">
        <v>3944</v>
      </c>
      <c r="AB285" s="57" t="s">
        <v>3476</v>
      </c>
      <c r="AC285" s="57" t="s">
        <v>3741</v>
      </c>
      <c r="AD285" s="57" t="s">
        <v>3476</v>
      </c>
      <c r="AE285" s="57" t="s">
        <v>3476</v>
      </c>
      <c r="AF285" s="57" t="s">
        <v>3476</v>
      </c>
      <c r="AG285" s="57" t="s">
        <v>3476</v>
      </c>
      <c r="AH285" s="57" t="s">
        <v>3476</v>
      </c>
      <c r="AI285" s="57" t="s">
        <v>3476</v>
      </c>
      <c r="AJ285" s="57" t="s">
        <v>3476</v>
      </c>
      <c r="AK285" s="57" t="s">
        <v>1292</v>
      </c>
      <c r="AL285" s="57" t="s">
        <v>4195</v>
      </c>
      <c r="AM285" s="57" t="s">
        <v>3476</v>
      </c>
      <c r="AN285" s="57" t="s">
        <v>3876</v>
      </c>
      <c r="AO285" s="57" t="s">
        <v>3476</v>
      </c>
      <c r="AP285" s="58">
        <v>45729.7407523148</v>
      </c>
      <c r="AQ285" s="57" t="s">
        <v>3476</v>
      </c>
      <c r="AR285" s="57" t="s">
        <v>3507</v>
      </c>
      <c r="AS285" s="57" t="s">
        <v>3502</v>
      </c>
      <c r="AT285" s="57" t="s">
        <v>3745</v>
      </c>
      <c r="AU285" s="57" t="s">
        <v>4196</v>
      </c>
      <c r="AV285" s="57" t="s">
        <v>3476</v>
      </c>
      <c r="AW285" s="58">
        <v>45660.3679398148</v>
      </c>
      <c r="AX285" s="57" t="s">
        <v>4195</v>
      </c>
      <c r="AY285" s="57" t="s">
        <v>3747</v>
      </c>
      <c r="AZ285" s="57" t="s">
        <v>3476</v>
      </c>
      <c r="BA285" s="57" t="s">
        <v>3476</v>
      </c>
      <c r="BB285" s="57" t="s">
        <v>3476</v>
      </c>
      <c r="BC285" s="57" t="s">
        <v>3913</v>
      </c>
      <c r="BD285" s="57" t="s">
        <v>3659</v>
      </c>
      <c r="BE285" s="57" t="s">
        <v>4197</v>
      </c>
      <c r="BF285" s="57" t="s">
        <v>3749</v>
      </c>
      <c r="BG285" s="57" t="s">
        <v>3476</v>
      </c>
      <c r="BH285" s="57" t="s">
        <v>3476</v>
      </c>
      <c r="BI285" s="57" t="s">
        <v>2809</v>
      </c>
      <c r="BJ285" s="57" t="s">
        <v>3476</v>
      </c>
      <c r="BK285" s="57" t="s">
        <v>3476</v>
      </c>
      <c r="BL285" s="57">
        <v>3411199</v>
      </c>
      <c r="BM285" s="57" t="s">
        <v>4198</v>
      </c>
      <c r="BN285" s="57" t="s">
        <v>3476</v>
      </c>
      <c r="BO285" s="57">
        <v>169.5</v>
      </c>
      <c r="BP285" s="57" t="s">
        <v>3930</v>
      </c>
      <c r="BQ285" s="57" t="s">
        <v>3476</v>
      </c>
      <c r="BR285" s="57" t="s">
        <v>4199</v>
      </c>
      <c r="BS285" s="57" t="s">
        <v>1292</v>
      </c>
      <c r="BT285" s="57" t="s">
        <v>3476</v>
      </c>
      <c r="BU285" s="57" t="s">
        <v>3476</v>
      </c>
      <c r="BV285" s="57" t="s">
        <v>3753</v>
      </c>
      <c r="BW285" s="57" t="s">
        <v>3476</v>
      </c>
      <c r="BX285" s="57">
        <v>169.5</v>
      </c>
      <c r="BY285" s="57" t="s">
        <v>3476</v>
      </c>
      <c r="BZ285" s="57" t="s">
        <v>3476</v>
      </c>
      <c r="CA285" s="57" t="s">
        <v>3753</v>
      </c>
      <c r="CB285" s="57" t="s">
        <v>3476</v>
      </c>
      <c r="CC285" s="57" t="s">
        <v>3476</v>
      </c>
      <c r="CD285" s="57" t="s">
        <v>3476</v>
      </c>
    </row>
    <row r="286" spans="1:82">
      <c r="A286" s="57">
        <v>23412</v>
      </c>
      <c r="B286" s="57" t="s">
        <v>3476</v>
      </c>
      <c r="C286" s="57" t="s">
        <v>4193</v>
      </c>
      <c r="D286" s="57" t="s">
        <v>3476</v>
      </c>
      <c r="E286" s="57" t="s">
        <v>3730</v>
      </c>
      <c r="F286" s="57" t="s">
        <v>4194</v>
      </c>
      <c r="G286" s="57" t="s">
        <v>721</v>
      </c>
      <c r="H286" s="57" t="s">
        <v>3256</v>
      </c>
      <c r="I286" s="57">
        <v>2608</v>
      </c>
      <c r="J286" s="57" t="s">
        <v>3476</v>
      </c>
      <c r="K286" s="57" t="s">
        <v>3476</v>
      </c>
      <c r="L286" s="57" t="s">
        <v>3732</v>
      </c>
      <c r="M286" s="57" t="s">
        <v>4043</v>
      </c>
      <c r="N286" s="57" t="s">
        <v>4043</v>
      </c>
      <c r="O286" s="57" t="s">
        <v>3476</v>
      </c>
      <c r="P286" s="57" t="s">
        <v>3476</v>
      </c>
      <c r="Q286" s="57" t="s">
        <v>3256</v>
      </c>
      <c r="R286" s="57" t="s">
        <v>3906</v>
      </c>
      <c r="S286" s="57" t="s">
        <v>3907</v>
      </c>
      <c r="T286" s="57" t="s">
        <v>3736</v>
      </c>
      <c r="U286" s="57" t="s">
        <v>3476</v>
      </c>
      <c r="V286" s="57" t="s">
        <v>3469</v>
      </c>
      <c r="W286" s="57" t="s">
        <v>3476</v>
      </c>
      <c r="X286" s="57" t="s">
        <v>4021</v>
      </c>
      <c r="Y286" s="57" t="s">
        <v>3738</v>
      </c>
      <c r="Z286" s="57" t="s">
        <v>4044</v>
      </c>
      <c r="AA286" s="57" t="s">
        <v>3944</v>
      </c>
      <c r="AB286" s="57" t="s">
        <v>3476</v>
      </c>
      <c r="AC286" s="57" t="s">
        <v>3741</v>
      </c>
      <c r="AD286" s="57" t="s">
        <v>3476</v>
      </c>
      <c r="AE286" s="57" t="s">
        <v>3476</v>
      </c>
      <c r="AF286" s="57" t="s">
        <v>3476</v>
      </c>
      <c r="AG286" s="57" t="s">
        <v>3476</v>
      </c>
      <c r="AH286" s="57" t="s">
        <v>3476</v>
      </c>
      <c r="AI286" s="57" t="s">
        <v>3476</v>
      </c>
      <c r="AJ286" s="57" t="s">
        <v>3476</v>
      </c>
      <c r="AK286" s="57" t="s">
        <v>1292</v>
      </c>
      <c r="AL286" s="57" t="s">
        <v>4195</v>
      </c>
      <c r="AM286" s="57" t="s">
        <v>3476</v>
      </c>
      <c r="AN286" s="57" t="s">
        <v>3876</v>
      </c>
      <c r="AO286" s="57" t="s">
        <v>3476</v>
      </c>
      <c r="AP286" s="58">
        <v>45729.7407523148</v>
      </c>
      <c r="AQ286" s="57" t="s">
        <v>3476</v>
      </c>
      <c r="AR286" s="57" t="s">
        <v>3507</v>
      </c>
      <c r="AS286" s="57" t="s">
        <v>3502</v>
      </c>
      <c r="AT286" s="57" t="s">
        <v>3745</v>
      </c>
      <c r="AU286" s="57" t="s">
        <v>4196</v>
      </c>
      <c r="AV286" s="57" t="s">
        <v>3476</v>
      </c>
      <c r="AW286" s="58">
        <v>45660.3679398148</v>
      </c>
      <c r="AX286" s="57" t="s">
        <v>4195</v>
      </c>
      <c r="AY286" s="57" t="s">
        <v>3747</v>
      </c>
      <c r="AZ286" s="57" t="s">
        <v>3476</v>
      </c>
      <c r="BA286" s="57" t="s">
        <v>3476</v>
      </c>
      <c r="BB286" s="57" t="s">
        <v>3476</v>
      </c>
      <c r="BC286" s="57" t="s">
        <v>3913</v>
      </c>
      <c r="BD286" s="57" t="s">
        <v>3659</v>
      </c>
      <c r="BE286" s="57" t="s">
        <v>4197</v>
      </c>
      <c r="BF286" s="57" t="s">
        <v>3749</v>
      </c>
      <c r="BG286" s="57" t="s">
        <v>3476</v>
      </c>
      <c r="BH286" s="57" t="s">
        <v>3476</v>
      </c>
      <c r="BI286" s="57" t="s">
        <v>2809</v>
      </c>
      <c r="BJ286" s="57" t="s">
        <v>3476</v>
      </c>
      <c r="BK286" s="57" t="s">
        <v>3476</v>
      </c>
      <c r="BL286" s="57">
        <v>3411200</v>
      </c>
      <c r="BM286" s="57" t="s">
        <v>4198</v>
      </c>
      <c r="BN286" s="57" t="s">
        <v>3476</v>
      </c>
      <c r="BO286" s="57">
        <v>94.92</v>
      </c>
      <c r="BP286" s="57" t="s">
        <v>3930</v>
      </c>
      <c r="BQ286" s="57" t="s">
        <v>3476</v>
      </c>
      <c r="BR286" s="57" t="s">
        <v>4199</v>
      </c>
      <c r="BS286" s="57" t="s">
        <v>1292</v>
      </c>
      <c r="BT286" s="57" t="s">
        <v>3476</v>
      </c>
      <c r="BU286" s="57" t="s">
        <v>3476</v>
      </c>
      <c r="BV286" s="57" t="s">
        <v>3753</v>
      </c>
      <c r="BW286" s="57" t="s">
        <v>3476</v>
      </c>
      <c r="BX286" s="57">
        <v>94.92</v>
      </c>
      <c r="BY286" s="57" t="s">
        <v>3476</v>
      </c>
      <c r="BZ286" s="57" t="s">
        <v>3476</v>
      </c>
      <c r="CA286" s="57" t="s">
        <v>3753</v>
      </c>
      <c r="CB286" s="57" t="s">
        <v>3476</v>
      </c>
      <c r="CC286" s="57" t="s">
        <v>3476</v>
      </c>
      <c r="CD286" s="57" t="s">
        <v>3476</v>
      </c>
    </row>
    <row r="287" spans="1:82">
      <c r="A287" s="57">
        <v>23413</v>
      </c>
      <c r="B287" s="57" t="s">
        <v>3476</v>
      </c>
      <c r="C287" s="57" t="s">
        <v>4193</v>
      </c>
      <c r="D287" s="57" t="s">
        <v>3476</v>
      </c>
      <c r="E287" s="57" t="s">
        <v>3730</v>
      </c>
      <c r="F287" s="57" t="s">
        <v>4194</v>
      </c>
      <c r="G287" s="57" t="s">
        <v>721</v>
      </c>
      <c r="H287" s="57" t="s">
        <v>3256</v>
      </c>
      <c r="I287" s="57">
        <v>2608</v>
      </c>
      <c r="J287" s="57" t="s">
        <v>3476</v>
      </c>
      <c r="K287" s="57" t="s">
        <v>3476</v>
      </c>
      <c r="L287" s="57" t="s">
        <v>3732</v>
      </c>
      <c r="M287" s="57" t="s">
        <v>4043</v>
      </c>
      <c r="N287" s="57" t="s">
        <v>4043</v>
      </c>
      <c r="O287" s="57" t="s">
        <v>3476</v>
      </c>
      <c r="P287" s="57" t="s">
        <v>3476</v>
      </c>
      <c r="Q287" s="57" t="s">
        <v>3256</v>
      </c>
      <c r="R287" s="57" t="s">
        <v>3906</v>
      </c>
      <c r="S287" s="57" t="s">
        <v>3907</v>
      </c>
      <c r="T287" s="57" t="s">
        <v>3736</v>
      </c>
      <c r="U287" s="57" t="s">
        <v>3476</v>
      </c>
      <c r="V287" s="57" t="s">
        <v>3469</v>
      </c>
      <c r="W287" s="57" t="s">
        <v>3476</v>
      </c>
      <c r="X287" s="57" t="s">
        <v>4021</v>
      </c>
      <c r="Y287" s="57" t="s">
        <v>3738</v>
      </c>
      <c r="Z287" s="57" t="s">
        <v>4044</v>
      </c>
      <c r="AA287" s="57" t="s">
        <v>3944</v>
      </c>
      <c r="AB287" s="57" t="s">
        <v>3476</v>
      </c>
      <c r="AC287" s="57" t="s">
        <v>3741</v>
      </c>
      <c r="AD287" s="57" t="s">
        <v>3476</v>
      </c>
      <c r="AE287" s="57" t="s">
        <v>3476</v>
      </c>
      <c r="AF287" s="57" t="s">
        <v>3476</v>
      </c>
      <c r="AG287" s="57" t="s">
        <v>3476</v>
      </c>
      <c r="AH287" s="57" t="s">
        <v>3476</v>
      </c>
      <c r="AI287" s="57" t="s">
        <v>3476</v>
      </c>
      <c r="AJ287" s="57" t="s">
        <v>3476</v>
      </c>
      <c r="AK287" s="57" t="s">
        <v>1292</v>
      </c>
      <c r="AL287" s="57" t="s">
        <v>4195</v>
      </c>
      <c r="AM287" s="57" t="s">
        <v>3476</v>
      </c>
      <c r="AN287" s="57" t="s">
        <v>3876</v>
      </c>
      <c r="AO287" s="57" t="s">
        <v>3476</v>
      </c>
      <c r="AP287" s="58">
        <v>45729.7407523148</v>
      </c>
      <c r="AQ287" s="57" t="s">
        <v>3476</v>
      </c>
      <c r="AR287" s="57" t="s">
        <v>3507</v>
      </c>
      <c r="AS287" s="57" t="s">
        <v>3502</v>
      </c>
      <c r="AT287" s="57" t="s">
        <v>3745</v>
      </c>
      <c r="AU287" s="57" t="s">
        <v>4196</v>
      </c>
      <c r="AV287" s="57" t="s">
        <v>3476</v>
      </c>
      <c r="AW287" s="58">
        <v>45660.3679398148</v>
      </c>
      <c r="AX287" s="57" t="s">
        <v>4195</v>
      </c>
      <c r="AY287" s="57" t="s">
        <v>3747</v>
      </c>
      <c r="AZ287" s="57" t="s">
        <v>3476</v>
      </c>
      <c r="BA287" s="57" t="s">
        <v>3476</v>
      </c>
      <c r="BB287" s="57" t="s">
        <v>3476</v>
      </c>
      <c r="BC287" s="57" t="s">
        <v>3913</v>
      </c>
      <c r="BD287" s="57" t="s">
        <v>3659</v>
      </c>
      <c r="BE287" s="57" t="s">
        <v>4197</v>
      </c>
      <c r="BF287" s="57" t="s">
        <v>3749</v>
      </c>
      <c r="BG287" s="57" t="s">
        <v>3476</v>
      </c>
      <c r="BH287" s="57" t="s">
        <v>3476</v>
      </c>
      <c r="BI287" s="57" t="s">
        <v>2809</v>
      </c>
      <c r="BJ287" s="57" t="s">
        <v>3476</v>
      </c>
      <c r="BK287" s="57" t="s">
        <v>3476</v>
      </c>
      <c r="BL287" s="57">
        <v>3411201</v>
      </c>
      <c r="BM287" s="57" t="s">
        <v>4198</v>
      </c>
      <c r="BN287" s="57" t="s">
        <v>3476</v>
      </c>
      <c r="BO287" s="57">
        <v>158.2</v>
      </c>
      <c r="BP287" s="57" t="s">
        <v>3930</v>
      </c>
      <c r="BQ287" s="57" t="s">
        <v>3476</v>
      </c>
      <c r="BR287" s="57" t="s">
        <v>4199</v>
      </c>
      <c r="BS287" s="57" t="s">
        <v>1292</v>
      </c>
      <c r="BT287" s="57" t="s">
        <v>3476</v>
      </c>
      <c r="BU287" s="57" t="s">
        <v>3476</v>
      </c>
      <c r="BV287" s="57" t="s">
        <v>3753</v>
      </c>
      <c r="BW287" s="57" t="s">
        <v>3476</v>
      </c>
      <c r="BX287" s="57">
        <v>158.2</v>
      </c>
      <c r="BY287" s="57" t="s">
        <v>3476</v>
      </c>
      <c r="BZ287" s="57" t="s">
        <v>3476</v>
      </c>
      <c r="CA287" s="57" t="s">
        <v>3753</v>
      </c>
      <c r="CB287" s="57" t="s">
        <v>3476</v>
      </c>
      <c r="CC287" s="57" t="s">
        <v>3476</v>
      </c>
      <c r="CD287" s="57" t="s">
        <v>3476</v>
      </c>
    </row>
    <row r="288" spans="1:82">
      <c r="A288" s="57">
        <v>23414</v>
      </c>
      <c r="B288" s="57" t="s">
        <v>3476</v>
      </c>
      <c r="C288" s="57" t="s">
        <v>4193</v>
      </c>
      <c r="D288" s="57" t="s">
        <v>3476</v>
      </c>
      <c r="E288" s="57" t="s">
        <v>3730</v>
      </c>
      <c r="F288" s="57" t="s">
        <v>4194</v>
      </c>
      <c r="G288" s="57" t="s">
        <v>721</v>
      </c>
      <c r="H288" s="57" t="s">
        <v>3256</v>
      </c>
      <c r="I288" s="57">
        <v>2608</v>
      </c>
      <c r="J288" s="57" t="s">
        <v>3476</v>
      </c>
      <c r="K288" s="57" t="s">
        <v>3476</v>
      </c>
      <c r="L288" s="57" t="s">
        <v>3732</v>
      </c>
      <c r="M288" s="57" t="s">
        <v>4043</v>
      </c>
      <c r="N288" s="57" t="s">
        <v>4043</v>
      </c>
      <c r="O288" s="57" t="s">
        <v>3476</v>
      </c>
      <c r="P288" s="57" t="s">
        <v>3476</v>
      </c>
      <c r="Q288" s="57" t="s">
        <v>3256</v>
      </c>
      <c r="R288" s="57" t="s">
        <v>3906</v>
      </c>
      <c r="S288" s="57" t="s">
        <v>3907</v>
      </c>
      <c r="T288" s="57" t="s">
        <v>3736</v>
      </c>
      <c r="U288" s="57" t="s">
        <v>3476</v>
      </c>
      <c r="V288" s="57" t="s">
        <v>3469</v>
      </c>
      <c r="W288" s="57" t="s">
        <v>3476</v>
      </c>
      <c r="X288" s="57" t="s">
        <v>4021</v>
      </c>
      <c r="Y288" s="57" t="s">
        <v>3738</v>
      </c>
      <c r="Z288" s="57" t="s">
        <v>4044</v>
      </c>
      <c r="AA288" s="57" t="s">
        <v>3944</v>
      </c>
      <c r="AB288" s="57" t="s">
        <v>3476</v>
      </c>
      <c r="AC288" s="57" t="s">
        <v>3741</v>
      </c>
      <c r="AD288" s="57" t="s">
        <v>3476</v>
      </c>
      <c r="AE288" s="57" t="s">
        <v>3476</v>
      </c>
      <c r="AF288" s="57" t="s">
        <v>3476</v>
      </c>
      <c r="AG288" s="57" t="s">
        <v>3476</v>
      </c>
      <c r="AH288" s="57" t="s">
        <v>3476</v>
      </c>
      <c r="AI288" s="57" t="s">
        <v>3476</v>
      </c>
      <c r="AJ288" s="57" t="s">
        <v>3476</v>
      </c>
      <c r="AK288" s="57" t="s">
        <v>1292</v>
      </c>
      <c r="AL288" s="57" t="s">
        <v>4195</v>
      </c>
      <c r="AM288" s="57" t="s">
        <v>3476</v>
      </c>
      <c r="AN288" s="57" t="s">
        <v>3876</v>
      </c>
      <c r="AO288" s="57" t="s">
        <v>3476</v>
      </c>
      <c r="AP288" s="58">
        <v>45729.7407523148</v>
      </c>
      <c r="AQ288" s="57" t="s">
        <v>3476</v>
      </c>
      <c r="AR288" s="57" t="s">
        <v>3507</v>
      </c>
      <c r="AS288" s="57" t="s">
        <v>3502</v>
      </c>
      <c r="AT288" s="57" t="s">
        <v>3745</v>
      </c>
      <c r="AU288" s="57" t="s">
        <v>4196</v>
      </c>
      <c r="AV288" s="57" t="s">
        <v>3476</v>
      </c>
      <c r="AW288" s="58">
        <v>45660.3679398148</v>
      </c>
      <c r="AX288" s="57" t="s">
        <v>4195</v>
      </c>
      <c r="AY288" s="57" t="s">
        <v>3747</v>
      </c>
      <c r="AZ288" s="57" t="s">
        <v>3476</v>
      </c>
      <c r="BA288" s="57" t="s">
        <v>3476</v>
      </c>
      <c r="BB288" s="57" t="s">
        <v>3476</v>
      </c>
      <c r="BC288" s="57" t="s">
        <v>4200</v>
      </c>
      <c r="BD288" s="57" t="s">
        <v>3659</v>
      </c>
      <c r="BE288" s="57" t="s">
        <v>4197</v>
      </c>
      <c r="BF288" s="57" t="s">
        <v>3749</v>
      </c>
      <c r="BG288" s="57" t="s">
        <v>3476</v>
      </c>
      <c r="BH288" s="57" t="s">
        <v>3476</v>
      </c>
      <c r="BI288" s="57" t="s">
        <v>2809</v>
      </c>
      <c r="BJ288" s="57" t="s">
        <v>3476</v>
      </c>
      <c r="BK288" s="57" t="s">
        <v>3476</v>
      </c>
      <c r="BL288" s="57">
        <v>3411202</v>
      </c>
      <c r="BM288" s="57" t="s">
        <v>4201</v>
      </c>
      <c r="BN288" s="57" t="s">
        <v>3476</v>
      </c>
      <c r="BO288" s="57">
        <v>160</v>
      </c>
      <c r="BP288" s="57" t="s">
        <v>3930</v>
      </c>
      <c r="BQ288" s="57" t="s">
        <v>3476</v>
      </c>
      <c r="BR288" s="57" t="s">
        <v>4199</v>
      </c>
      <c r="BS288" s="57" t="s">
        <v>1292</v>
      </c>
      <c r="BT288" s="57" t="s">
        <v>3476</v>
      </c>
      <c r="BU288" s="57" t="s">
        <v>3476</v>
      </c>
      <c r="BV288" s="57" t="s">
        <v>3753</v>
      </c>
      <c r="BW288" s="57" t="s">
        <v>3476</v>
      </c>
      <c r="BX288" s="57">
        <v>160</v>
      </c>
      <c r="BY288" s="57" t="s">
        <v>3476</v>
      </c>
      <c r="BZ288" s="57" t="s">
        <v>3476</v>
      </c>
      <c r="CA288" s="57" t="s">
        <v>3753</v>
      </c>
      <c r="CB288" s="57" t="s">
        <v>3476</v>
      </c>
      <c r="CC288" s="57" t="s">
        <v>3476</v>
      </c>
      <c r="CD288" s="57" t="s">
        <v>3476</v>
      </c>
    </row>
    <row r="289" spans="1:82">
      <c r="A289" s="57">
        <v>23415</v>
      </c>
      <c r="B289" s="57" t="s">
        <v>3476</v>
      </c>
      <c r="C289" s="57" t="s">
        <v>4193</v>
      </c>
      <c r="D289" s="57" t="s">
        <v>3476</v>
      </c>
      <c r="E289" s="57" t="s">
        <v>3730</v>
      </c>
      <c r="F289" s="57" t="s">
        <v>4194</v>
      </c>
      <c r="G289" s="57" t="s">
        <v>721</v>
      </c>
      <c r="H289" s="57" t="s">
        <v>3256</v>
      </c>
      <c r="I289" s="57">
        <v>2608</v>
      </c>
      <c r="J289" s="57" t="s">
        <v>3476</v>
      </c>
      <c r="K289" s="57" t="s">
        <v>3476</v>
      </c>
      <c r="L289" s="57" t="s">
        <v>3732</v>
      </c>
      <c r="M289" s="57" t="s">
        <v>4043</v>
      </c>
      <c r="N289" s="57" t="s">
        <v>4043</v>
      </c>
      <c r="O289" s="57" t="s">
        <v>3476</v>
      </c>
      <c r="P289" s="57" t="s">
        <v>3476</v>
      </c>
      <c r="Q289" s="57" t="s">
        <v>3256</v>
      </c>
      <c r="R289" s="57" t="s">
        <v>3906</v>
      </c>
      <c r="S289" s="57" t="s">
        <v>3907</v>
      </c>
      <c r="T289" s="57" t="s">
        <v>3736</v>
      </c>
      <c r="U289" s="57" t="s">
        <v>3476</v>
      </c>
      <c r="V289" s="57" t="s">
        <v>3469</v>
      </c>
      <c r="W289" s="57" t="s">
        <v>3476</v>
      </c>
      <c r="X289" s="57" t="s">
        <v>4021</v>
      </c>
      <c r="Y289" s="57" t="s">
        <v>3738</v>
      </c>
      <c r="Z289" s="57" t="s">
        <v>4044</v>
      </c>
      <c r="AA289" s="57" t="s">
        <v>3944</v>
      </c>
      <c r="AB289" s="57" t="s">
        <v>3476</v>
      </c>
      <c r="AC289" s="57" t="s">
        <v>3741</v>
      </c>
      <c r="AD289" s="57" t="s">
        <v>3476</v>
      </c>
      <c r="AE289" s="57" t="s">
        <v>3476</v>
      </c>
      <c r="AF289" s="57" t="s">
        <v>3476</v>
      </c>
      <c r="AG289" s="57" t="s">
        <v>3476</v>
      </c>
      <c r="AH289" s="57" t="s">
        <v>3476</v>
      </c>
      <c r="AI289" s="57" t="s">
        <v>3476</v>
      </c>
      <c r="AJ289" s="57" t="s">
        <v>3476</v>
      </c>
      <c r="AK289" s="57" t="s">
        <v>1292</v>
      </c>
      <c r="AL289" s="57" t="s">
        <v>4195</v>
      </c>
      <c r="AM289" s="57" t="s">
        <v>3476</v>
      </c>
      <c r="AN289" s="57" t="s">
        <v>3876</v>
      </c>
      <c r="AO289" s="57" t="s">
        <v>3476</v>
      </c>
      <c r="AP289" s="58">
        <v>45729.7407523148</v>
      </c>
      <c r="AQ289" s="57" t="s">
        <v>3476</v>
      </c>
      <c r="AR289" s="57" t="s">
        <v>3507</v>
      </c>
      <c r="AS289" s="57" t="s">
        <v>3502</v>
      </c>
      <c r="AT289" s="57" t="s">
        <v>3745</v>
      </c>
      <c r="AU289" s="57" t="s">
        <v>4196</v>
      </c>
      <c r="AV289" s="57" t="s">
        <v>3476</v>
      </c>
      <c r="AW289" s="58">
        <v>45660.3679398148</v>
      </c>
      <c r="AX289" s="57" t="s">
        <v>4195</v>
      </c>
      <c r="AY289" s="57" t="s">
        <v>3747</v>
      </c>
      <c r="AZ289" s="57" t="s">
        <v>3476</v>
      </c>
      <c r="BA289" s="57" t="s">
        <v>3476</v>
      </c>
      <c r="BB289" s="57" t="s">
        <v>3476</v>
      </c>
      <c r="BC289" s="57" t="s">
        <v>4200</v>
      </c>
      <c r="BD289" s="57" t="s">
        <v>3659</v>
      </c>
      <c r="BE289" s="57" t="s">
        <v>4197</v>
      </c>
      <c r="BF289" s="57" t="s">
        <v>3749</v>
      </c>
      <c r="BG289" s="57" t="s">
        <v>3476</v>
      </c>
      <c r="BH289" s="57" t="s">
        <v>3476</v>
      </c>
      <c r="BI289" s="57" t="s">
        <v>2809</v>
      </c>
      <c r="BJ289" s="57" t="s">
        <v>3476</v>
      </c>
      <c r="BK289" s="57" t="s">
        <v>3476</v>
      </c>
      <c r="BL289" s="57">
        <v>3411203</v>
      </c>
      <c r="BM289" s="57" t="s">
        <v>4201</v>
      </c>
      <c r="BN289" s="57" t="s">
        <v>3476</v>
      </c>
      <c r="BO289" s="57">
        <v>320</v>
      </c>
      <c r="BP289" s="57" t="s">
        <v>3930</v>
      </c>
      <c r="BQ289" s="57" t="s">
        <v>3476</v>
      </c>
      <c r="BR289" s="57" t="s">
        <v>4199</v>
      </c>
      <c r="BS289" s="57" t="s">
        <v>1292</v>
      </c>
      <c r="BT289" s="57" t="s">
        <v>3476</v>
      </c>
      <c r="BU289" s="57" t="s">
        <v>3476</v>
      </c>
      <c r="BV289" s="57" t="s">
        <v>3753</v>
      </c>
      <c r="BW289" s="57" t="s">
        <v>3476</v>
      </c>
      <c r="BX289" s="57">
        <v>320</v>
      </c>
      <c r="BY289" s="57" t="s">
        <v>3476</v>
      </c>
      <c r="BZ289" s="57" t="s">
        <v>3476</v>
      </c>
      <c r="CA289" s="57" t="s">
        <v>3753</v>
      </c>
      <c r="CB289" s="57" t="s">
        <v>3476</v>
      </c>
      <c r="CC289" s="57" t="s">
        <v>3476</v>
      </c>
      <c r="CD289" s="57" t="s">
        <v>3476</v>
      </c>
    </row>
    <row r="290" spans="1:82">
      <c r="A290" s="57">
        <v>23416</v>
      </c>
      <c r="B290" s="57" t="s">
        <v>3476</v>
      </c>
      <c r="C290" s="57" t="s">
        <v>4193</v>
      </c>
      <c r="D290" s="57" t="s">
        <v>3476</v>
      </c>
      <c r="E290" s="57" t="s">
        <v>3730</v>
      </c>
      <c r="F290" s="57" t="s">
        <v>4194</v>
      </c>
      <c r="G290" s="57" t="s">
        <v>721</v>
      </c>
      <c r="H290" s="57" t="s">
        <v>3256</v>
      </c>
      <c r="I290" s="57">
        <v>2608</v>
      </c>
      <c r="J290" s="57" t="s">
        <v>3476</v>
      </c>
      <c r="K290" s="57" t="s">
        <v>3476</v>
      </c>
      <c r="L290" s="57" t="s">
        <v>3732</v>
      </c>
      <c r="M290" s="57" t="s">
        <v>4043</v>
      </c>
      <c r="N290" s="57" t="s">
        <v>4043</v>
      </c>
      <c r="O290" s="57" t="s">
        <v>3476</v>
      </c>
      <c r="P290" s="57" t="s">
        <v>3476</v>
      </c>
      <c r="Q290" s="57" t="s">
        <v>3256</v>
      </c>
      <c r="R290" s="57" t="s">
        <v>3906</v>
      </c>
      <c r="S290" s="57" t="s">
        <v>3907</v>
      </c>
      <c r="T290" s="57" t="s">
        <v>3736</v>
      </c>
      <c r="U290" s="57" t="s">
        <v>3476</v>
      </c>
      <c r="V290" s="57" t="s">
        <v>3469</v>
      </c>
      <c r="W290" s="57" t="s">
        <v>3476</v>
      </c>
      <c r="X290" s="57" t="s">
        <v>4021</v>
      </c>
      <c r="Y290" s="57" t="s">
        <v>3738</v>
      </c>
      <c r="Z290" s="57" t="s">
        <v>4044</v>
      </c>
      <c r="AA290" s="57" t="s">
        <v>3944</v>
      </c>
      <c r="AB290" s="57" t="s">
        <v>3476</v>
      </c>
      <c r="AC290" s="57" t="s">
        <v>3741</v>
      </c>
      <c r="AD290" s="57" t="s">
        <v>3476</v>
      </c>
      <c r="AE290" s="57" t="s">
        <v>3476</v>
      </c>
      <c r="AF290" s="57" t="s">
        <v>3476</v>
      </c>
      <c r="AG290" s="57" t="s">
        <v>3476</v>
      </c>
      <c r="AH290" s="57" t="s">
        <v>3476</v>
      </c>
      <c r="AI290" s="57" t="s">
        <v>3476</v>
      </c>
      <c r="AJ290" s="57" t="s">
        <v>3476</v>
      </c>
      <c r="AK290" s="57" t="s">
        <v>1292</v>
      </c>
      <c r="AL290" s="57" t="s">
        <v>4195</v>
      </c>
      <c r="AM290" s="57" t="s">
        <v>3476</v>
      </c>
      <c r="AN290" s="57" t="s">
        <v>3876</v>
      </c>
      <c r="AO290" s="57" t="s">
        <v>3476</v>
      </c>
      <c r="AP290" s="58">
        <v>45729.7407523148</v>
      </c>
      <c r="AQ290" s="57" t="s">
        <v>3476</v>
      </c>
      <c r="AR290" s="57" t="s">
        <v>3507</v>
      </c>
      <c r="AS290" s="57" t="s">
        <v>3502</v>
      </c>
      <c r="AT290" s="57" t="s">
        <v>3745</v>
      </c>
      <c r="AU290" s="57" t="s">
        <v>4196</v>
      </c>
      <c r="AV290" s="57" t="s">
        <v>3476</v>
      </c>
      <c r="AW290" s="58">
        <v>45660.3679398148</v>
      </c>
      <c r="AX290" s="57" t="s">
        <v>4195</v>
      </c>
      <c r="AY290" s="57" t="s">
        <v>3747</v>
      </c>
      <c r="AZ290" s="57" t="s">
        <v>3476</v>
      </c>
      <c r="BA290" s="57" t="s">
        <v>3476</v>
      </c>
      <c r="BB290" s="57" t="s">
        <v>3476</v>
      </c>
      <c r="BC290" s="57" t="s">
        <v>4200</v>
      </c>
      <c r="BD290" s="57" t="s">
        <v>3659</v>
      </c>
      <c r="BE290" s="57" t="s">
        <v>4197</v>
      </c>
      <c r="BF290" s="57" t="s">
        <v>3749</v>
      </c>
      <c r="BG290" s="57" t="s">
        <v>3476</v>
      </c>
      <c r="BH290" s="57" t="s">
        <v>3476</v>
      </c>
      <c r="BI290" s="57" t="s">
        <v>2809</v>
      </c>
      <c r="BJ290" s="57" t="s">
        <v>3476</v>
      </c>
      <c r="BK290" s="57" t="s">
        <v>3476</v>
      </c>
      <c r="BL290" s="57">
        <v>3411204</v>
      </c>
      <c r="BM290" s="57" t="s">
        <v>4201</v>
      </c>
      <c r="BN290" s="57" t="s">
        <v>3476</v>
      </c>
      <c r="BO290" s="57">
        <v>320</v>
      </c>
      <c r="BP290" s="57" t="s">
        <v>3930</v>
      </c>
      <c r="BQ290" s="57" t="s">
        <v>3476</v>
      </c>
      <c r="BR290" s="57" t="s">
        <v>4199</v>
      </c>
      <c r="BS290" s="57" t="s">
        <v>1292</v>
      </c>
      <c r="BT290" s="57" t="s">
        <v>3476</v>
      </c>
      <c r="BU290" s="57" t="s">
        <v>3476</v>
      </c>
      <c r="BV290" s="57" t="s">
        <v>3753</v>
      </c>
      <c r="BW290" s="57" t="s">
        <v>3476</v>
      </c>
      <c r="BX290" s="57">
        <v>320</v>
      </c>
      <c r="BY290" s="57" t="s">
        <v>3476</v>
      </c>
      <c r="BZ290" s="57" t="s">
        <v>3476</v>
      </c>
      <c r="CA290" s="57" t="s">
        <v>3753</v>
      </c>
      <c r="CB290" s="57" t="s">
        <v>3476</v>
      </c>
      <c r="CC290" s="57" t="s">
        <v>3476</v>
      </c>
      <c r="CD290" s="57" t="s">
        <v>3476</v>
      </c>
    </row>
    <row r="291" spans="1:82">
      <c r="A291" s="57">
        <v>24781</v>
      </c>
      <c r="B291" s="57" t="s">
        <v>3476</v>
      </c>
      <c r="C291" s="57" t="s">
        <v>4202</v>
      </c>
      <c r="D291" s="57" t="s">
        <v>3476</v>
      </c>
      <c r="E291" s="57" t="s">
        <v>3730</v>
      </c>
      <c r="F291" s="57" t="s">
        <v>4203</v>
      </c>
      <c r="G291" s="57" t="s">
        <v>721</v>
      </c>
      <c r="H291" s="57" t="s">
        <v>3546</v>
      </c>
      <c r="I291" s="57">
        <v>22360</v>
      </c>
      <c r="J291" s="57" t="s">
        <v>3476</v>
      </c>
      <c r="K291" s="57" t="s">
        <v>3476</v>
      </c>
      <c r="L291" s="57" t="s">
        <v>3732</v>
      </c>
      <c r="M291" s="57" t="s">
        <v>4204</v>
      </c>
      <c r="N291" s="57" t="s">
        <v>4204</v>
      </c>
      <c r="O291" s="57" t="s">
        <v>3476</v>
      </c>
      <c r="P291" s="57" t="s">
        <v>3476</v>
      </c>
      <c r="Q291" s="57" t="s">
        <v>3546</v>
      </c>
      <c r="R291" s="57" t="s">
        <v>3734</v>
      </c>
      <c r="S291" s="57" t="s">
        <v>3735</v>
      </c>
      <c r="T291" s="57" t="s">
        <v>3736</v>
      </c>
      <c r="U291" s="57" t="s">
        <v>3476</v>
      </c>
      <c r="V291" s="57" t="s">
        <v>3469</v>
      </c>
      <c r="W291" s="57" t="s">
        <v>3476</v>
      </c>
      <c r="X291" s="57" t="s">
        <v>4205</v>
      </c>
      <c r="Y291" s="57" t="s">
        <v>3738</v>
      </c>
      <c r="Z291" s="57" t="s">
        <v>4189</v>
      </c>
      <c r="AA291" s="57" t="s">
        <v>4206</v>
      </c>
      <c r="AB291" s="57" t="s">
        <v>3476</v>
      </c>
      <c r="AC291" s="57" t="s">
        <v>3768</v>
      </c>
      <c r="AD291" s="57" t="s">
        <v>3476</v>
      </c>
      <c r="AE291" s="57" t="s">
        <v>3476</v>
      </c>
      <c r="AF291" s="57" t="s">
        <v>3476</v>
      </c>
      <c r="AG291" s="57" t="s">
        <v>3476</v>
      </c>
      <c r="AH291" s="57" t="s">
        <v>3476</v>
      </c>
      <c r="AI291" s="57" t="s">
        <v>3476</v>
      </c>
      <c r="AJ291" s="57" t="s">
        <v>3476</v>
      </c>
      <c r="AK291" s="57" t="s">
        <v>1292</v>
      </c>
      <c r="AL291" s="57" t="s">
        <v>4207</v>
      </c>
      <c r="AM291" s="57" t="s">
        <v>3476</v>
      </c>
      <c r="AN291" s="57" t="s">
        <v>3899</v>
      </c>
      <c r="AO291" s="57" t="s">
        <v>3476</v>
      </c>
      <c r="AP291" s="58">
        <v>45849.6563657407</v>
      </c>
      <c r="AQ291" s="57" t="s">
        <v>3476</v>
      </c>
      <c r="AR291" s="57" t="s">
        <v>3771</v>
      </c>
      <c r="AS291" s="57" t="s">
        <v>3502</v>
      </c>
      <c r="AT291" s="57" t="s">
        <v>3745</v>
      </c>
      <c r="AU291" s="57" t="s">
        <v>4208</v>
      </c>
      <c r="AV291" s="57" t="s">
        <v>3476</v>
      </c>
      <c r="AW291" s="58">
        <v>45799.4389583333</v>
      </c>
      <c r="AX291" s="57" t="s">
        <v>4207</v>
      </c>
      <c r="AY291" s="57" t="s">
        <v>3747</v>
      </c>
      <c r="AZ291" s="57" t="s">
        <v>3476</v>
      </c>
      <c r="BA291" s="57" t="s">
        <v>3476</v>
      </c>
      <c r="BB291" s="57" t="s">
        <v>3476</v>
      </c>
      <c r="BC291" s="57" t="s">
        <v>3535</v>
      </c>
      <c r="BD291" s="57" t="s">
        <v>3748</v>
      </c>
      <c r="BE291" s="57" t="s">
        <v>2831</v>
      </c>
      <c r="BF291" s="57" t="s">
        <v>3749</v>
      </c>
      <c r="BG291" s="57" t="s">
        <v>3476</v>
      </c>
      <c r="BH291" s="57" t="s">
        <v>3476</v>
      </c>
      <c r="BI291" s="57" t="s">
        <v>2809</v>
      </c>
      <c r="BJ291" s="57" t="s">
        <v>3476</v>
      </c>
      <c r="BK291" s="57" t="s">
        <v>3476</v>
      </c>
      <c r="BL291" s="57">
        <v>3364787</v>
      </c>
      <c r="BM291" s="57" t="s">
        <v>4209</v>
      </c>
      <c r="BN291" s="57" t="s">
        <v>3476</v>
      </c>
      <c r="BO291" s="57">
        <v>22360</v>
      </c>
      <c r="BP291" s="57" t="s">
        <v>3776</v>
      </c>
      <c r="BQ291" s="57" t="s">
        <v>3476</v>
      </c>
      <c r="BR291" s="57" t="s">
        <v>4210</v>
      </c>
      <c r="BS291" s="57" t="s">
        <v>1292</v>
      </c>
      <c r="BT291" s="57" t="s">
        <v>3476</v>
      </c>
      <c r="BU291" s="57" t="s">
        <v>3476</v>
      </c>
      <c r="BV291" s="57" t="s">
        <v>3753</v>
      </c>
      <c r="BW291" s="57" t="s">
        <v>3476</v>
      </c>
      <c r="BX291" s="57">
        <v>22360</v>
      </c>
      <c r="BY291" s="57" t="s">
        <v>3476</v>
      </c>
      <c r="BZ291" s="57" t="s">
        <v>3476</v>
      </c>
      <c r="CA291" s="57" t="s">
        <v>3476</v>
      </c>
      <c r="CB291" s="57" t="s">
        <v>3476</v>
      </c>
      <c r="CC291" s="57" t="s">
        <v>3476</v>
      </c>
      <c r="CD291" s="57" t="s">
        <v>3476</v>
      </c>
    </row>
    <row r="292" spans="1:82">
      <c r="A292" s="57">
        <v>24793</v>
      </c>
      <c r="B292" s="57" t="s">
        <v>3476</v>
      </c>
      <c r="C292" s="57" t="s">
        <v>4211</v>
      </c>
      <c r="D292" s="57" t="s">
        <v>3476</v>
      </c>
      <c r="E292" s="57" t="s">
        <v>3730</v>
      </c>
      <c r="F292" s="57" t="s">
        <v>4212</v>
      </c>
      <c r="G292" s="57" t="s">
        <v>721</v>
      </c>
      <c r="H292" s="57" t="s">
        <v>3546</v>
      </c>
      <c r="I292" s="57">
        <v>22360</v>
      </c>
      <c r="J292" s="57" t="s">
        <v>3476</v>
      </c>
      <c r="K292" s="57" t="s">
        <v>3476</v>
      </c>
      <c r="L292" s="57" t="s">
        <v>3732</v>
      </c>
      <c r="M292" s="57" t="s">
        <v>4204</v>
      </c>
      <c r="N292" s="57" t="s">
        <v>4204</v>
      </c>
      <c r="O292" s="57" t="s">
        <v>3476</v>
      </c>
      <c r="P292" s="57" t="s">
        <v>3476</v>
      </c>
      <c r="Q292" s="57" t="s">
        <v>3546</v>
      </c>
      <c r="R292" s="57" t="s">
        <v>3734</v>
      </c>
      <c r="S292" s="57" t="s">
        <v>3735</v>
      </c>
      <c r="T292" s="57" t="s">
        <v>3736</v>
      </c>
      <c r="U292" s="57" t="s">
        <v>3476</v>
      </c>
      <c r="V292" s="57" t="s">
        <v>3469</v>
      </c>
      <c r="W292" s="57" t="s">
        <v>3476</v>
      </c>
      <c r="X292" s="57" t="s">
        <v>4213</v>
      </c>
      <c r="Y292" s="57" t="s">
        <v>3738</v>
      </c>
      <c r="Z292" s="57" t="s">
        <v>4189</v>
      </c>
      <c r="AA292" s="57" t="s">
        <v>3632</v>
      </c>
      <c r="AB292" s="57" t="s">
        <v>3476</v>
      </c>
      <c r="AC292" s="57" t="s">
        <v>3768</v>
      </c>
      <c r="AD292" s="57" t="s">
        <v>3476</v>
      </c>
      <c r="AE292" s="57" t="s">
        <v>3476</v>
      </c>
      <c r="AF292" s="57" t="s">
        <v>3476</v>
      </c>
      <c r="AG292" s="57" t="s">
        <v>3476</v>
      </c>
      <c r="AH292" s="57" t="s">
        <v>3476</v>
      </c>
      <c r="AI292" s="57" t="s">
        <v>3476</v>
      </c>
      <c r="AJ292" s="57" t="s">
        <v>3476</v>
      </c>
      <c r="AK292" s="57" t="s">
        <v>1292</v>
      </c>
      <c r="AL292" s="57" t="s">
        <v>4214</v>
      </c>
      <c r="AM292" s="57" t="s">
        <v>3476</v>
      </c>
      <c r="AN292" s="57" t="s">
        <v>4001</v>
      </c>
      <c r="AO292" s="57" t="s">
        <v>3476</v>
      </c>
      <c r="AP292" s="58">
        <v>45847.622025463</v>
      </c>
      <c r="AQ292" s="57" t="s">
        <v>3476</v>
      </c>
      <c r="AR292" s="57" t="s">
        <v>3771</v>
      </c>
      <c r="AS292" s="57" t="s">
        <v>3502</v>
      </c>
      <c r="AT292" s="57" t="s">
        <v>3745</v>
      </c>
      <c r="AU292" s="57" t="s">
        <v>4215</v>
      </c>
      <c r="AV292" s="57" t="s">
        <v>3476</v>
      </c>
      <c r="AW292" s="58">
        <v>45799.4427546296</v>
      </c>
      <c r="AX292" s="57" t="s">
        <v>4214</v>
      </c>
      <c r="AY292" s="57" t="s">
        <v>3747</v>
      </c>
      <c r="AZ292" s="57" t="s">
        <v>3476</v>
      </c>
      <c r="BA292" s="57" t="s">
        <v>3476</v>
      </c>
      <c r="BB292" s="57" t="s">
        <v>3476</v>
      </c>
      <c r="BC292" s="57" t="s">
        <v>3535</v>
      </c>
      <c r="BD292" s="57" t="s">
        <v>3748</v>
      </c>
      <c r="BE292" s="57" t="s">
        <v>2831</v>
      </c>
      <c r="BF292" s="57" t="s">
        <v>3749</v>
      </c>
      <c r="BG292" s="57" t="s">
        <v>3476</v>
      </c>
      <c r="BH292" s="57" t="s">
        <v>3476</v>
      </c>
      <c r="BI292" s="57" t="s">
        <v>2809</v>
      </c>
      <c r="BJ292" s="57" t="s">
        <v>3476</v>
      </c>
      <c r="BK292" s="57" t="s">
        <v>3476</v>
      </c>
      <c r="BL292" s="57">
        <v>3364787</v>
      </c>
      <c r="BM292" s="57" t="s">
        <v>4216</v>
      </c>
      <c r="BN292" s="57" t="s">
        <v>3476</v>
      </c>
      <c r="BO292" s="57">
        <v>22360</v>
      </c>
      <c r="BP292" s="57" t="s">
        <v>3776</v>
      </c>
      <c r="BQ292" s="57" t="s">
        <v>3476</v>
      </c>
      <c r="BR292" s="57" t="s">
        <v>4217</v>
      </c>
      <c r="BS292" s="57" t="s">
        <v>1292</v>
      </c>
      <c r="BT292" s="57" t="s">
        <v>3476</v>
      </c>
      <c r="BU292" s="57" t="s">
        <v>3476</v>
      </c>
      <c r="BV292" s="57" t="s">
        <v>3753</v>
      </c>
      <c r="BW292" s="57" t="s">
        <v>3476</v>
      </c>
      <c r="BX292" s="57">
        <v>22360</v>
      </c>
      <c r="BY292" s="57" t="s">
        <v>3476</v>
      </c>
      <c r="BZ292" s="57" t="s">
        <v>3476</v>
      </c>
      <c r="CA292" s="57" t="s">
        <v>3476</v>
      </c>
      <c r="CB292" s="57" t="s">
        <v>3476</v>
      </c>
      <c r="CC292" s="57" t="s">
        <v>3476</v>
      </c>
      <c r="CD292" s="57" t="s">
        <v>3476</v>
      </c>
    </row>
    <row r="293" spans="1:82">
      <c r="A293" s="57">
        <v>24798</v>
      </c>
      <c r="B293" s="57" t="s">
        <v>3476</v>
      </c>
      <c r="C293" s="57" t="s">
        <v>4218</v>
      </c>
      <c r="D293" s="57" t="s">
        <v>3476</v>
      </c>
      <c r="E293" s="57" t="s">
        <v>3730</v>
      </c>
      <c r="F293" s="57" t="s">
        <v>4219</v>
      </c>
      <c r="G293" s="57" t="s">
        <v>721</v>
      </c>
      <c r="H293" s="57" t="s">
        <v>3562</v>
      </c>
      <c r="I293" s="57">
        <v>19370</v>
      </c>
      <c r="J293" s="57" t="s">
        <v>3476</v>
      </c>
      <c r="K293" s="57" t="s">
        <v>3476</v>
      </c>
      <c r="L293" s="57" t="s">
        <v>3732</v>
      </c>
      <c r="M293" s="57" t="s">
        <v>4204</v>
      </c>
      <c r="N293" s="57" t="s">
        <v>4204</v>
      </c>
      <c r="O293" s="57" t="s">
        <v>3476</v>
      </c>
      <c r="P293" s="57" t="s">
        <v>3476</v>
      </c>
      <c r="Q293" s="57" t="s">
        <v>3562</v>
      </c>
      <c r="R293" s="57" t="s">
        <v>3996</v>
      </c>
      <c r="S293" s="57" t="s">
        <v>3997</v>
      </c>
      <c r="T293" s="57" t="s">
        <v>3736</v>
      </c>
      <c r="U293" s="57" t="s">
        <v>3476</v>
      </c>
      <c r="V293" s="57" t="s">
        <v>3469</v>
      </c>
      <c r="W293" s="57" t="s">
        <v>3476</v>
      </c>
      <c r="X293" s="57" t="s">
        <v>4220</v>
      </c>
      <c r="Y293" s="57" t="s">
        <v>3738</v>
      </c>
      <c r="Z293" s="57" t="s">
        <v>4189</v>
      </c>
      <c r="AA293" s="57" t="s">
        <v>3632</v>
      </c>
      <c r="AB293" s="57" t="s">
        <v>3476</v>
      </c>
      <c r="AC293" s="57" t="s">
        <v>3768</v>
      </c>
      <c r="AD293" s="57" t="s">
        <v>3476</v>
      </c>
      <c r="AE293" s="57" t="s">
        <v>3476</v>
      </c>
      <c r="AF293" s="57" t="s">
        <v>3476</v>
      </c>
      <c r="AG293" s="57" t="s">
        <v>3476</v>
      </c>
      <c r="AH293" s="57" t="s">
        <v>3476</v>
      </c>
      <c r="AI293" s="57" t="s">
        <v>3476</v>
      </c>
      <c r="AJ293" s="57" t="s">
        <v>3476</v>
      </c>
      <c r="AK293" s="57" t="s">
        <v>1292</v>
      </c>
      <c r="AL293" s="57" t="s">
        <v>4221</v>
      </c>
      <c r="AM293" s="57" t="s">
        <v>3476</v>
      </c>
      <c r="AN293" s="57" t="s">
        <v>4222</v>
      </c>
      <c r="AO293" s="57" t="s">
        <v>3476</v>
      </c>
      <c r="AP293" s="58">
        <v>45847.6220023148</v>
      </c>
      <c r="AQ293" s="57" t="s">
        <v>3476</v>
      </c>
      <c r="AR293" s="57" t="s">
        <v>3771</v>
      </c>
      <c r="AS293" s="57" t="s">
        <v>3502</v>
      </c>
      <c r="AT293" s="57" t="s">
        <v>3745</v>
      </c>
      <c r="AU293" s="57" t="s">
        <v>4223</v>
      </c>
      <c r="AV293" s="57" t="s">
        <v>3476</v>
      </c>
      <c r="AW293" s="58">
        <v>45799.4431018519</v>
      </c>
      <c r="AX293" s="57" t="s">
        <v>4221</v>
      </c>
      <c r="AY293" s="57" t="s">
        <v>3747</v>
      </c>
      <c r="AZ293" s="57" t="s">
        <v>3476</v>
      </c>
      <c r="BA293" s="57" t="s">
        <v>3476</v>
      </c>
      <c r="BB293" s="57" t="s">
        <v>3476</v>
      </c>
      <c r="BC293" s="57" t="s">
        <v>3551</v>
      </c>
      <c r="BD293" s="57" t="s">
        <v>4003</v>
      </c>
      <c r="BE293" s="57" t="s">
        <v>2829</v>
      </c>
      <c r="BF293" s="57" t="s">
        <v>3749</v>
      </c>
      <c r="BG293" s="57" t="s">
        <v>3476</v>
      </c>
      <c r="BH293" s="57" t="s">
        <v>3476</v>
      </c>
      <c r="BI293" s="57" t="s">
        <v>2809</v>
      </c>
      <c r="BJ293" s="57" t="s">
        <v>3476</v>
      </c>
      <c r="BK293" s="57" t="s">
        <v>3476</v>
      </c>
      <c r="BL293" s="57">
        <v>3338569</v>
      </c>
      <c r="BM293" s="57" t="s">
        <v>4224</v>
      </c>
      <c r="BN293" s="57" t="s">
        <v>3476</v>
      </c>
      <c r="BO293" s="57">
        <v>19370</v>
      </c>
      <c r="BP293" s="57" t="s">
        <v>3776</v>
      </c>
      <c r="BQ293" s="57" t="s">
        <v>3476</v>
      </c>
      <c r="BR293" s="57" t="s">
        <v>4225</v>
      </c>
      <c r="BS293" s="57" t="s">
        <v>1292</v>
      </c>
      <c r="BT293" s="57" t="s">
        <v>3476</v>
      </c>
      <c r="BU293" s="57" t="s">
        <v>3476</v>
      </c>
      <c r="BV293" s="57" t="s">
        <v>3753</v>
      </c>
      <c r="BW293" s="57" t="s">
        <v>3476</v>
      </c>
      <c r="BX293" s="57">
        <v>19370</v>
      </c>
      <c r="BY293" s="57" t="s">
        <v>3476</v>
      </c>
      <c r="BZ293" s="57" t="s">
        <v>3476</v>
      </c>
      <c r="CA293" s="57" t="s">
        <v>3476</v>
      </c>
      <c r="CB293" s="57" t="s">
        <v>3476</v>
      </c>
      <c r="CC293" s="57" t="s">
        <v>3476</v>
      </c>
      <c r="CD293" s="57" t="s">
        <v>3476</v>
      </c>
    </row>
    <row r="294" spans="1:82">
      <c r="A294" s="57">
        <v>29054</v>
      </c>
      <c r="B294" s="57" t="s">
        <v>3476</v>
      </c>
      <c r="C294" s="57" t="s">
        <v>4226</v>
      </c>
      <c r="D294" s="57" t="s">
        <v>3476</v>
      </c>
      <c r="E294" s="57" t="s">
        <v>3730</v>
      </c>
      <c r="F294" s="57" t="s">
        <v>4227</v>
      </c>
      <c r="G294" s="57" t="s">
        <v>721</v>
      </c>
      <c r="H294" s="57" t="s">
        <v>2874</v>
      </c>
      <c r="I294" s="57">
        <v>48856.48</v>
      </c>
      <c r="J294" s="57" t="s">
        <v>3476</v>
      </c>
      <c r="K294" s="57" t="s">
        <v>3476</v>
      </c>
      <c r="L294" s="57" t="s">
        <v>3730</v>
      </c>
      <c r="M294" s="57" t="s">
        <v>4228</v>
      </c>
      <c r="N294" s="57" t="s">
        <v>4228</v>
      </c>
      <c r="O294" s="57" t="s">
        <v>3476</v>
      </c>
      <c r="P294" s="57" t="s">
        <v>3476</v>
      </c>
      <c r="Q294" s="57" t="s">
        <v>2874</v>
      </c>
      <c r="R294" s="57" t="s">
        <v>3781</v>
      </c>
      <c r="S294" s="57" t="s">
        <v>3782</v>
      </c>
      <c r="T294" s="57" t="s">
        <v>3736</v>
      </c>
      <c r="U294" s="57" t="s">
        <v>3476</v>
      </c>
      <c r="V294" s="57" t="s">
        <v>3469</v>
      </c>
      <c r="W294" s="57" t="s">
        <v>3476</v>
      </c>
      <c r="X294" s="57" t="s">
        <v>4229</v>
      </c>
      <c r="Y294" s="57" t="s">
        <v>3738</v>
      </c>
      <c r="Z294" s="57" t="s">
        <v>4230</v>
      </c>
      <c r="AA294" s="57" t="s">
        <v>3476</v>
      </c>
      <c r="AB294" s="57" t="s">
        <v>3476</v>
      </c>
      <c r="AC294" s="57" t="s">
        <v>3476</v>
      </c>
      <c r="AD294" s="57" t="s">
        <v>3476</v>
      </c>
      <c r="AE294" s="57" t="s">
        <v>3476</v>
      </c>
      <c r="AF294" s="57" t="s">
        <v>3476</v>
      </c>
      <c r="AG294" s="57" t="s">
        <v>3476</v>
      </c>
      <c r="AH294" s="57" t="s">
        <v>3476</v>
      </c>
      <c r="AI294" s="57" t="s">
        <v>3476</v>
      </c>
      <c r="AJ294" s="57" t="s">
        <v>3476</v>
      </c>
      <c r="AK294" s="57" t="s">
        <v>3476</v>
      </c>
      <c r="AL294" s="57" t="s">
        <v>3476</v>
      </c>
      <c r="AM294" s="57" t="s">
        <v>3476</v>
      </c>
      <c r="AN294" s="57" t="s">
        <v>3476</v>
      </c>
      <c r="AO294" s="57" t="s">
        <v>3476</v>
      </c>
      <c r="AP294" s="58">
        <v>45868.5322222222</v>
      </c>
      <c r="AQ294" s="57" t="s">
        <v>3476</v>
      </c>
      <c r="AR294" s="57" t="s">
        <v>3476</v>
      </c>
      <c r="AS294" s="57" t="s">
        <v>3502</v>
      </c>
      <c r="AT294" s="57" t="s">
        <v>3745</v>
      </c>
      <c r="AU294" s="57" t="s">
        <v>3476</v>
      </c>
      <c r="AV294" s="57" t="s">
        <v>3476</v>
      </c>
      <c r="AW294" s="58">
        <v>45868.4798726852</v>
      </c>
      <c r="AX294" s="57" t="s">
        <v>3476</v>
      </c>
      <c r="AY294" s="57" t="s">
        <v>3747</v>
      </c>
      <c r="AZ294" s="57" t="s">
        <v>3476</v>
      </c>
      <c r="BA294" s="57" t="s">
        <v>3476</v>
      </c>
      <c r="BB294" s="57" t="s">
        <v>3476</v>
      </c>
      <c r="BC294" s="57" t="s">
        <v>3791</v>
      </c>
      <c r="BD294" s="57" t="s">
        <v>3659</v>
      </c>
      <c r="BE294" s="57" t="s">
        <v>3787</v>
      </c>
      <c r="BF294" s="57" t="s">
        <v>3749</v>
      </c>
      <c r="BG294" s="57" t="s">
        <v>3476</v>
      </c>
      <c r="BH294" s="57" t="s">
        <v>3476</v>
      </c>
      <c r="BI294" s="57" t="s">
        <v>2809</v>
      </c>
      <c r="BJ294" s="57" t="s">
        <v>3476</v>
      </c>
      <c r="BK294" s="57" t="s">
        <v>3476</v>
      </c>
      <c r="BL294" s="57">
        <v>3649094</v>
      </c>
      <c r="BM294" s="57" t="s">
        <v>4231</v>
      </c>
      <c r="BN294" s="57">
        <v>1915</v>
      </c>
      <c r="BO294" s="57" t="s">
        <v>3476</v>
      </c>
      <c r="BP294" s="57" t="s">
        <v>3476</v>
      </c>
      <c r="BQ294" s="57" t="s">
        <v>3476</v>
      </c>
      <c r="BR294" s="57" t="s">
        <v>4232</v>
      </c>
      <c r="BS294" s="57" t="s">
        <v>1292</v>
      </c>
      <c r="BT294" s="57" t="s">
        <v>3476</v>
      </c>
      <c r="BU294" s="57" t="s">
        <v>3476</v>
      </c>
      <c r="BV294" s="57" t="s">
        <v>3753</v>
      </c>
      <c r="BW294" s="57" t="s">
        <v>3476</v>
      </c>
      <c r="BX294" s="57">
        <v>1915</v>
      </c>
      <c r="BY294" s="57" t="s">
        <v>3476</v>
      </c>
      <c r="BZ294" s="57" t="s">
        <v>3476</v>
      </c>
      <c r="CA294" s="57" t="s">
        <v>3476</v>
      </c>
      <c r="CB294" s="57" t="s">
        <v>3476</v>
      </c>
      <c r="CC294" s="57" t="s">
        <v>3476</v>
      </c>
      <c r="CD294" s="57" t="s">
        <v>3476</v>
      </c>
    </row>
    <row r="295" spans="1:82">
      <c r="A295" s="57">
        <v>29055</v>
      </c>
      <c r="B295" s="57" t="s">
        <v>3476</v>
      </c>
      <c r="C295" s="57" t="s">
        <v>4226</v>
      </c>
      <c r="D295" s="57" t="s">
        <v>3476</v>
      </c>
      <c r="E295" s="57" t="s">
        <v>3730</v>
      </c>
      <c r="F295" s="57" t="s">
        <v>4227</v>
      </c>
      <c r="G295" s="57" t="s">
        <v>721</v>
      </c>
      <c r="H295" s="57" t="s">
        <v>2874</v>
      </c>
      <c r="I295" s="57">
        <v>48856.48</v>
      </c>
      <c r="J295" s="57" t="s">
        <v>3476</v>
      </c>
      <c r="K295" s="57" t="s">
        <v>3476</v>
      </c>
      <c r="L295" s="57" t="s">
        <v>3730</v>
      </c>
      <c r="M295" s="57" t="s">
        <v>4228</v>
      </c>
      <c r="N295" s="57" t="s">
        <v>4228</v>
      </c>
      <c r="O295" s="57" t="s">
        <v>3476</v>
      </c>
      <c r="P295" s="57" t="s">
        <v>3476</v>
      </c>
      <c r="Q295" s="57" t="s">
        <v>2874</v>
      </c>
      <c r="R295" s="57" t="s">
        <v>3781</v>
      </c>
      <c r="S295" s="57" t="s">
        <v>3782</v>
      </c>
      <c r="T295" s="57" t="s">
        <v>3736</v>
      </c>
      <c r="U295" s="57" t="s">
        <v>3476</v>
      </c>
      <c r="V295" s="57" t="s">
        <v>3469</v>
      </c>
      <c r="W295" s="57" t="s">
        <v>3476</v>
      </c>
      <c r="X295" s="57" t="s">
        <v>4229</v>
      </c>
      <c r="Y295" s="57" t="s">
        <v>3738</v>
      </c>
      <c r="Z295" s="57" t="s">
        <v>4230</v>
      </c>
      <c r="AA295" s="57" t="s">
        <v>3476</v>
      </c>
      <c r="AB295" s="57" t="s">
        <v>3476</v>
      </c>
      <c r="AC295" s="57" t="s">
        <v>3476</v>
      </c>
      <c r="AD295" s="57" t="s">
        <v>3476</v>
      </c>
      <c r="AE295" s="57" t="s">
        <v>3476</v>
      </c>
      <c r="AF295" s="57" t="s">
        <v>3476</v>
      </c>
      <c r="AG295" s="57" t="s">
        <v>3476</v>
      </c>
      <c r="AH295" s="57" t="s">
        <v>3476</v>
      </c>
      <c r="AI295" s="57" t="s">
        <v>3476</v>
      </c>
      <c r="AJ295" s="57" t="s">
        <v>3476</v>
      </c>
      <c r="AK295" s="57" t="s">
        <v>3476</v>
      </c>
      <c r="AL295" s="57" t="s">
        <v>3476</v>
      </c>
      <c r="AM295" s="57" t="s">
        <v>3476</v>
      </c>
      <c r="AN295" s="57" t="s">
        <v>3476</v>
      </c>
      <c r="AO295" s="57" t="s">
        <v>3476</v>
      </c>
      <c r="AP295" s="58">
        <v>45868.5322222222</v>
      </c>
      <c r="AQ295" s="57" t="s">
        <v>3476</v>
      </c>
      <c r="AR295" s="57" t="s">
        <v>3476</v>
      </c>
      <c r="AS295" s="57" t="s">
        <v>3502</v>
      </c>
      <c r="AT295" s="57" t="s">
        <v>3745</v>
      </c>
      <c r="AU295" s="57" t="s">
        <v>3476</v>
      </c>
      <c r="AV295" s="57" t="s">
        <v>3476</v>
      </c>
      <c r="AW295" s="58">
        <v>45868.4798726852</v>
      </c>
      <c r="AX295" s="57" t="s">
        <v>3476</v>
      </c>
      <c r="AY295" s="57" t="s">
        <v>3747</v>
      </c>
      <c r="AZ295" s="57" t="s">
        <v>3476</v>
      </c>
      <c r="BA295" s="57" t="s">
        <v>3476</v>
      </c>
      <c r="BB295" s="57" t="s">
        <v>3476</v>
      </c>
      <c r="BC295" s="57" t="s">
        <v>3791</v>
      </c>
      <c r="BD295" s="57" t="s">
        <v>3659</v>
      </c>
      <c r="BE295" s="57" t="s">
        <v>3787</v>
      </c>
      <c r="BF295" s="57" t="s">
        <v>3749</v>
      </c>
      <c r="BG295" s="57" t="s">
        <v>3476</v>
      </c>
      <c r="BH295" s="57" t="s">
        <v>3476</v>
      </c>
      <c r="BI295" s="57" t="s">
        <v>2809</v>
      </c>
      <c r="BJ295" s="57" t="s">
        <v>3476</v>
      </c>
      <c r="BK295" s="57" t="s">
        <v>3476</v>
      </c>
      <c r="BL295" s="57">
        <v>3649095</v>
      </c>
      <c r="BM295" s="57" t="s">
        <v>4231</v>
      </c>
      <c r="BN295" s="57">
        <v>1754.4</v>
      </c>
      <c r="BO295" s="57" t="s">
        <v>3476</v>
      </c>
      <c r="BP295" s="57" t="s">
        <v>3476</v>
      </c>
      <c r="BQ295" s="57" t="s">
        <v>3476</v>
      </c>
      <c r="BR295" s="57" t="s">
        <v>4232</v>
      </c>
      <c r="BS295" s="57" t="s">
        <v>1292</v>
      </c>
      <c r="BT295" s="57" t="s">
        <v>3476</v>
      </c>
      <c r="BU295" s="57" t="s">
        <v>3476</v>
      </c>
      <c r="BV295" s="57" t="s">
        <v>3753</v>
      </c>
      <c r="BW295" s="57" t="s">
        <v>3476</v>
      </c>
      <c r="BX295" s="57">
        <v>1754.4</v>
      </c>
      <c r="BY295" s="57" t="s">
        <v>3476</v>
      </c>
      <c r="BZ295" s="57" t="s">
        <v>3476</v>
      </c>
      <c r="CA295" s="57" t="s">
        <v>3476</v>
      </c>
      <c r="CB295" s="57" t="s">
        <v>3476</v>
      </c>
      <c r="CC295" s="57" t="s">
        <v>3476</v>
      </c>
      <c r="CD295" s="57" t="s">
        <v>3476</v>
      </c>
    </row>
    <row r="296" spans="1:82">
      <c r="A296" s="57">
        <v>29056</v>
      </c>
      <c r="B296" s="57" t="s">
        <v>3476</v>
      </c>
      <c r="C296" s="57" t="s">
        <v>4226</v>
      </c>
      <c r="D296" s="57" t="s">
        <v>3476</v>
      </c>
      <c r="E296" s="57" t="s">
        <v>3730</v>
      </c>
      <c r="F296" s="57" t="s">
        <v>4227</v>
      </c>
      <c r="G296" s="57" t="s">
        <v>721</v>
      </c>
      <c r="H296" s="57" t="s">
        <v>2874</v>
      </c>
      <c r="I296" s="57">
        <v>48856.48</v>
      </c>
      <c r="J296" s="57" t="s">
        <v>3476</v>
      </c>
      <c r="K296" s="57" t="s">
        <v>3476</v>
      </c>
      <c r="L296" s="57" t="s">
        <v>3730</v>
      </c>
      <c r="M296" s="57" t="s">
        <v>4228</v>
      </c>
      <c r="N296" s="57" t="s">
        <v>4228</v>
      </c>
      <c r="O296" s="57" t="s">
        <v>3476</v>
      </c>
      <c r="P296" s="57" t="s">
        <v>3476</v>
      </c>
      <c r="Q296" s="57" t="s">
        <v>2874</v>
      </c>
      <c r="R296" s="57" t="s">
        <v>3781</v>
      </c>
      <c r="S296" s="57" t="s">
        <v>3782</v>
      </c>
      <c r="T296" s="57" t="s">
        <v>3736</v>
      </c>
      <c r="U296" s="57" t="s">
        <v>3476</v>
      </c>
      <c r="V296" s="57" t="s">
        <v>3469</v>
      </c>
      <c r="W296" s="57" t="s">
        <v>3476</v>
      </c>
      <c r="X296" s="57" t="s">
        <v>4229</v>
      </c>
      <c r="Y296" s="57" t="s">
        <v>3738</v>
      </c>
      <c r="Z296" s="57" t="s">
        <v>4230</v>
      </c>
      <c r="AA296" s="57" t="s">
        <v>3476</v>
      </c>
      <c r="AB296" s="57" t="s">
        <v>3476</v>
      </c>
      <c r="AC296" s="57" t="s">
        <v>3476</v>
      </c>
      <c r="AD296" s="57" t="s">
        <v>3476</v>
      </c>
      <c r="AE296" s="57" t="s">
        <v>3476</v>
      </c>
      <c r="AF296" s="57" t="s">
        <v>3476</v>
      </c>
      <c r="AG296" s="57" t="s">
        <v>3476</v>
      </c>
      <c r="AH296" s="57" t="s">
        <v>3476</v>
      </c>
      <c r="AI296" s="57" t="s">
        <v>3476</v>
      </c>
      <c r="AJ296" s="57" t="s">
        <v>3476</v>
      </c>
      <c r="AK296" s="57" t="s">
        <v>3476</v>
      </c>
      <c r="AL296" s="57" t="s">
        <v>3476</v>
      </c>
      <c r="AM296" s="57" t="s">
        <v>3476</v>
      </c>
      <c r="AN296" s="57" t="s">
        <v>3476</v>
      </c>
      <c r="AO296" s="57" t="s">
        <v>3476</v>
      </c>
      <c r="AP296" s="58">
        <v>45868.5322222222</v>
      </c>
      <c r="AQ296" s="57" t="s">
        <v>3476</v>
      </c>
      <c r="AR296" s="57" t="s">
        <v>3476</v>
      </c>
      <c r="AS296" s="57" t="s">
        <v>3502</v>
      </c>
      <c r="AT296" s="57" t="s">
        <v>3745</v>
      </c>
      <c r="AU296" s="57" t="s">
        <v>3476</v>
      </c>
      <c r="AV296" s="57" t="s">
        <v>3476</v>
      </c>
      <c r="AW296" s="58">
        <v>45868.4798726852</v>
      </c>
      <c r="AX296" s="57" t="s">
        <v>3476</v>
      </c>
      <c r="AY296" s="57" t="s">
        <v>3747</v>
      </c>
      <c r="AZ296" s="57" t="s">
        <v>3476</v>
      </c>
      <c r="BA296" s="57" t="s">
        <v>3476</v>
      </c>
      <c r="BB296" s="57" t="s">
        <v>3476</v>
      </c>
      <c r="BC296" s="57" t="s">
        <v>3791</v>
      </c>
      <c r="BD296" s="57" t="s">
        <v>3659</v>
      </c>
      <c r="BE296" s="57" t="s">
        <v>3787</v>
      </c>
      <c r="BF296" s="57" t="s">
        <v>3749</v>
      </c>
      <c r="BG296" s="57" t="s">
        <v>3476</v>
      </c>
      <c r="BH296" s="57" t="s">
        <v>3476</v>
      </c>
      <c r="BI296" s="57" t="s">
        <v>2809</v>
      </c>
      <c r="BJ296" s="57" t="s">
        <v>3476</v>
      </c>
      <c r="BK296" s="57" t="s">
        <v>3476</v>
      </c>
      <c r="BL296" s="57">
        <v>3649096</v>
      </c>
      <c r="BM296" s="57" t="s">
        <v>4231</v>
      </c>
      <c r="BN296" s="57">
        <v>3620.25</v>
      </c>
      <c r="BO296" s="57" t="s">
        <v>3476</v>
      </c>
      <c r="BP296" s="57" t="s">
        <v>3476</v>
      </c>
      <c r="BQ296" s="57" t="s">
        <v>3476</v>
      </c>
      <c r="BR296" s="57" t="s">
        <v>4232</v>
      </c>
      <c r="BS296" s="57" t="s">
        <v>1292</v>
      </c>
      <c r="BT296" s="57" t="s">
        <v>3476</v>
      </c>
      <c r="BU296" s="57" t="s">
        <v>3476</v>
      </c>
      <c r="BV296" s="57" t="s">
        <v>3753</v>
      </c>
      <c r="BW296" s="57" t="s">
        <v>3476</v>
      </c>
      <c r="BX296" s="57">
        <v>3620.25</v>
      </c>
      <c r="BY296" s="57" t="s">
        <v>3476</v>
      </c>
      <c r="BZ296" s="57" t="s">
        <v>3476</v>
      </c>
      <c r="CA296" s="57" t="s">
        <v>3476</v>
      </c>
      <c r="CB296" s="57" t="s">
        <v>3476</v>
      </c>
      <c r="CC296" s="57" t="s">
        <v>3476</v>
      </c>
      <c r="CD296" s="57" t="s">
        <v>3476</v>
      </c>
    </row>
    <row r="297" spans="1:82">
      <c r="A297" s="57">
        <v>29057</v>
      </c>
      <c r="B297" s="57" t="s">
        <v>3476</v>
      </c>
      <c r="C297" s="57" t="s">
        <v>4226</v>
      </c>
      <c r="D297" s="57" t="s">
        <v>3476</v>
      </c>
      <c r="E297" s="57" t="s">
        <v>3730</v>
      </c>
      <c r="F297" s="57" t="s">
        <v>4227</v>
      </c>
      <c r="G297" s="57" t="s">
        <v>721</v>
      </c>
      <c r="H297" s="57" t="s">
        <v>2874</v>
      </c>
      <c r="I297" s="57">
        <v>48856.48</v>
      </c>
      <c r="J297" s="57" t="s">
        <v>3476</v>
      </c>
      <c r="K297" s="57" t="s">
        <v>3476</v>
      </c>
      <c r="L297" s="57" t="s">
        <v>3730</v>
      </c>
      <c r="M297" s="57" t="s">
        <v>4228</v>
      </c>
      <c r="N297" s="57" t="s">
        <v>4228</v>
      </c>
      <c r="O297" s="57" t="s">
        <v>3476</v>
      </c>
      <c r="P297" s="57" t="s">
        <v>3476</v>
      </c>
      <c r="Q297" s="57" t="s">
        <v>2874</v>
      </c>
      <c r="R297" s="57" t="s">
        <v>3781</v>
      </c>
      <c r="S297" s="57" t="s">
        <v>3782</v>
      </c>
      <c r="T297" s="57" t="s">
        <v>3736</v>
      </c>
      <c r="U297" s="57" t="s">
        <v>3476</v>
      </c>
      <c r="V297" s="57" t="s">
        <v>3469</v>
      </c>
      <c r="W297" s="57" t="s">
        <v>3476</v>
      </c>
      <c r="X297" s="57" t="s">
        <v>4229</v>
      </c>
      <c r="Y297" s="57" t="s">
        <v>3738</v>
      </c>
      <c r="Z297" s="57" t="s">
        <v>4230</v>
      </c>
      <c r="AA297" s="57" t="s">
        <v>3476</v>
      </c>
      <c r="AB297" s="57" t="s">
        <v>3476</v>
      </c>
      <c r="AC297" s="57" t="s">
        <v>3476</v>
      </c>
      <c r="AD297" s="57" t="s">
        <v>3476</v>
      </c>
      <c r="AE297" s="57" t="s">
        <v>3476</v>
      </c>
      <c r="AF297" s="57" t="s">
        <v>3476</v>
      </c>
      <c r="AG297" s="57" t="s">
        <v>3476</v>
      </c>
      <c r="AH297" s="57" t="s">
        <v>3476</v>
      </c>
      <c r="AI297" s="57" t="s">
        <v>3476</v>
      </c>
      <c r="AJ297" s="57" t="s">
        <v>3476</v>
      </c>
      <c r="AK297" s="57" t="s">
        <v>3476</v>
      </c>
      <c r="AL297" s="57" t="s">
        <v>3476</v>
      </c>
      <c r="AM297" s="57" t="s">
        <v>3476</v>
      </c>
      <c r="AN297" s="57" t="s">
        <v>3476</v>
      </c>
      <c r="AO297" s="57" t="s">
        <v>3476</v>
      </c>
      <c r="AP297" s="58">
        <v>45868.5322222222</v>
      </c>
      <c r="AQ297" s="57" t="s">
        <v>3476</v>
      </c>
      <c r="AR297" s="57" t="s">
        <v>3476</v>
      </c>
      <c r="AS297" s="57" t="s">
        <v>3502</v>
      </c>
      <c r="AT297" s="57" t="s">
        <v>3745</v>
      </c>
      <c r="AU297" s="57" t="s">
        <v>3476</v>
      </c>
      <c r="AV297" s="57" t="s">
        <v>3476</v>
      </c>
      <c r="AW297" s="58">
        <v>45868.4798726852</v>
      </c>
      <c r="AX297" s="57" t="s">
        <v>3476</v>
      </c>
      <c r="AY297" s="57" t="s">
        <v>3747</v>
      </c>
      <c r="AZ297" s="57" t="s">
        <v>3476</v>
      </c>
      <c r="BA297" s="57" t="s">
        <v>3476</v>
      </c>
      <c r="BB297" s="57" t="s">
        <v>3476</v>
      </c>
      <c r="BC297" s="57" t="s">
        <v>3791</v>
      </c>
      <c r="BD297" s="57" t="s">
        <v>3659</v>
      </c>
      <c r="BE297" s="57" t="s">
        <v>3787</v>
      </c>
      <c r="BF297" s="57" t="s">
        <v>3749</v>
      </c>
      <c r="BG297" s="57" t="s">
        <v>3476</v>
      </c>
      <c r="BH297" s="57" t="s">
        <v>3476</v>
      </c>
      <c r="BI297" s="57" t="s">
        <v>2809</v>
      </c>
      <c r="BJ297" s="57" t="s">
        <v>3476</v>
      </c>
      <c r="BK297" s="57" t="s">
        <v>3476</v>
      </c>
      <c r="BL297" s="57">
        <v>3649097</v>
      </c>
      <c r="BM297" s="57" t="s">
        <v>4231</v>
      </c>
      <c r="BN297" s="57">
        <v>2025</v>
      </c>
      <c r="BO297" s="57" t="s">
        <v>3476</v>
      </c>
      <c r="BP297" s="57" t="s">
        <v>3476</v>
      </c>
      <c r="BQ297" s="57" t="s">
        <v>3476</v>
      </c>
      <c r="BR297" s="57" t="s">
        <v>4232</v>
      </c>
      <c r="BS297" s="57" t="s">
        <v>1292</v>
      </c>
      <c r="BT297" s="57" t="s">
        <v>3476</v>
      </c>
      <c r="BU297" s="57" t="s">
        <v>3476</v>
      </c>
      <c r="BV297" s="57" t="s">
        <v>3753</v>
      </c>
      <c r="BW297" s="57" t="s">
        <v>3476</v>
      </c>
      <c r="BX297" s="57">
        <v>2025</v>
      </c>
      <c r="BY297" s="57" t="s">
        <v>3476</v>
      </c>
      <c r="BZ297" s="57" t="s">
        <v>3476</v>
      </c>
      <c r="CA297" s="57" t="s">
        <v>3476</v>
      </c>
      <c r="CB297" s="57" t="s">
        <v>3476</v>
      </c>
      <c r="CC297" s="57" t="s">
        <v>3476</v>
      </c>
      <c r="CD297" s="57" t="s">
        <v>3476</v>
      </c>
    </row>
    <row r="298" spans="1:82">
      <c r="A298" s="57">
        <v>29058</v>
      </c>
      <c r="B298" s="57" t="s">
        <v>3476</v>
      </c>
      <c r="C298" s="57" t="s">
        <v>4226</v>
      </c>
      <c r="D298" s="57" t="s">
        <v>3476</v>
      </c>
      <c r="E298" s="57" t="s">
        <v>3730</v>
      </c>
      <c r="F298" s="57" t="s">
        <v>4227</v>
      </c>
      <c r="G298" s="57" t="s">
        <v>721</v>
      </c>
      <c r="H298" s="57" t="s">
        <v>2874</v>
      </c>
      <c r="I298" s="57">
        <v>48856.48</v>
      </c>
      <c r="J298" s="57" t="s">
        <v>3476</v>
      </c>
      <c r="K298" s="57" t="s">
        <v>3476</v>
      </c>
      <c r="L298" s="57" t="s">
        <v>3730</v>
      </c>
      <c r="M298" s="57" t="s">
        <v>4228</v>
      </c>
      <c r="N298" s="57" t="s">
        <v>4228</v>
      </c>
      <c r="O298" s="57" t="s">
        <v>3476</v>
      </c>
      <c r="P298" s="57" t="s">
        <v>3476</v>
      </c>
      <c r="Q298" s="57" t="s">
        <v>2874</v>
      </c>
      <c r="R298" s="57" t="s">
        <v>3781</v>
      </c>
      <c r="S298" s="57" t="s">
        <v>3782</v>
      </c>
      <c r="T298" s="57" t="s">
        <v>3736</v>
      </c>
      <c r="U298" s="57" t="s">
        <v>3476</v>
      </c>
      <c r="V298" s="57" t="s">
        <v>3469</v>
      </c>
      <c r="W298" s="57" t="s">
        <v>3476</v>
      </c>
      <c r="X298" s="57" t="s">
        <v>4229</v>
      </c>
      <c r="Y298" s="57" t="s">
        <v>3738</v>
      </c>
      <c r="Z298" s="57" t="s">
        <v>4230</v>
      </c>
      <c r="AA298" s="57" t="s">
        <v>3476</v>
      </c>
      <c r="AB298" s="57" t="s">
        <v>3476</v>
      </c>
      <c r="AC298" s="57" t="s">
        <v>3476</v>
      </c>
      <c r="AD298" s="57" t="s">
        <v>3476</v>
      </c>
      <c r="AE298" s="57" t="s">
        <v>3476</v>
      </c>
      <c r="AF298" s="57" t="s">
        <v>3476</v>
      </c>
      <c r="AG298" s="57" t="s">
        <v>3476</v>
      </c>
      <c r="AH298" s="57" t="s">
        <v>3476</v>
      </c>
      <c r="AI298" s="57" t="s">
        <v>3476</v>
      </c>
      <c r="AJ298" s="57" t="s">
        <v>3476</v>
      </c>
      <c r="AK298" s="57" t="s">
        <v>3476</v>
      </c>
      <c r="AL298" s="57" t="s">
        <v>3476</v>
      </c>
      <c r="AM298" s="57" t="s">
        <v>3476</v>
      </c>
      <c r="AN298" s="57" t="s">
        <v>3476</v>
      </c>
      <c r="AO298" s="57" t="s">
        <v>3476</v>
      </c>
      <c r="AP298" s="58">
        <v>45868.5322222222</v>
      </c>
      <c r="AQ298" s="57" t="s">
        <v>3476</v>
      </c>
      <c r="AR298" s="57" t="s">
        <v>3476</v>
      </c>
      <c r="AS298" s="57" t="s">
        <v>3502</v>
      </c>
      <c r="AT298" s="57" t="s">
        <v>3745</v>
      </c>
      <c r="AU298" s="57" t="s">
        <v>3476</v>
      </c>
      <c r="AV298" s="57" t="s">
        <v>3476</v>
      </c>
      <c r="AW298" s="58">
        <v>45868.4798726852</v>
      </c>
      <c r="AX298" s="57" t="s">
        <v>3476</v>
      </c>
      <c r="AY298" s="57" t="s">
        <v>3747</v>
      </c>
      <c r="AZ298" s="57" t="s">
        <v>3476</v>
      </c>
      <c r="BA298" s="57" t="s">
        <v>3476</v>
      </c>
      <c r="BB298" s="57" t="s">
        <v>3476</v>
      </c>
      <c r="BC298" s="57" t="s">
        <v>3791</v>
      </c>
      <c r="BD298" s="57" t="s">
        <v>3659</v>
      </c>
      <c r="BE298" s="57" t="s">
        <v>3787</v>
      </c>
      <c r="BF298" s="57" t="s">
        <v>3749</v>
      </c>
      <c r="BG298" s="57" t="s">
        <v>3476</v>
      </c>
      <c r="BH298" s="57" t="s">
        <v>3476</v>
      </c>
      <c r="BI298" s="57" t="s">
        <v>2809</v>
      </c>
      <c r="BJ298" s="57" t="s">
        <v>3476</v>
      </c>
      <c r="BK298" s="57" t="s">
        <v>3476</v>
      </c>
      <c r="BL298" s="57">
        <v>3649098</v>
      </c>
      <c r="BM298" s="57" t="s">
        <v>4231</v>
      </c>
      <c r="BN298" s="57">
        <v>4140</v>
      </c>
      <c r="BO298" s="57" t="s">
        <v>3476</v>
      </c>
      <c r="BP298" s="57" t="s">
        <v>3476</v>
      </c>
      <c r="BQ298" s="57" t="s">
        <v>3476</v>
      </c>
      <c r="BR298" s="57" t="s">
        <v>4232</v>
      </c>
      <c r="BS298" s="57" t="s">
        <v>1292</v>
      </c>
      <c r="BT298" s="57" t="s">
        <v>3476</v>
      </c>
      <c r="BU298" s="57" t="s">
        <v>3476</v>
      </c>
      <c r="BV298" s="57" t="s">
        <v>3753</v>
      </c>
      <c r="BW298" s="57" t="s">
        <v>3476</v>
      </c>
      <c r="BX298" s="57">
        <v>4140</v>
      </c>
      <c r="BY298" s="57" t="s">
        <v>3476</v>
      </c>
      <c r="BZ298" s="57" t="s">
        <v>3476</v>
      </c>
      <c r="CA298" s="57" t="s">
        <v>3476</v>
      </c>
      <c r="CB298" s="57" t="s">
        <v>3476</v>
      </c>
      <c r="CC298" s="57" t="s">
        <v>3476</v>
      </c>
      <c r="CD298" s="57" t="s">
        <v>3476</v>
      </c>
    </row>
    <row r="299" spans="1:82">
      <c r="A299" s="57">
        <v>29059</v>
      </c>
      <c r="B299" s="57" t="s">
        <v>3476</v>
      </c>
      <c r="C299" s="57" t="s">
        <v>4226</v>
      </c>
      <c r="D299" s="57" t="s">
        <v>3476</v>
      </c>
      <c r="E299" s="57" t="s">
        <v>3730</v>
      </c>
      <c r="F299" s="57" t="s">
        <v>4227</v>
      </c>
      <c r="G299" s="57" t="s">
        <v>721</v>
      </c>
      <c r="H299" s="57" t="s">
        <v>2874</v>
      </c>
      <c r="I299" s="57">
        <v>48856.48</v>
      </c>
      <c r="J299" s="57" t="s">
        <v>3476</v>
      </c>
      <c r="K299" s="57" t="s">
        <v>3476</v>
      </c>
      <c r="L299" s="57" t="s">
        <v>3730</v>
      </c>
      <c r="M299" s="57" t="s">
        <v>4228</v>
      </c>
      <c r="N299" s="57" t="s">
        <v>4228</v>
      </c>
      <c r="O299" s="57" t="s">
        <v>3476</v>
      </c>
      <c r="P299" s="57" t="s">
        <v>3476</v>
      </c>
      <c r="Q299" s="57" t="s">
        <v>2874</v>
      </c>
      <c r="R299" s="57" t="s">
        <v>3781</v>
      </c>
      <c r="S299" s="57" t="s">
        <v>3782</v>
      </c>
      <c r="T299" s="57" t="s">
        <v>3736</v>
      </c>
      <c r="U299" s="57" t="s">
        <v>3476</v>
      </c>
      <c r="V299" s="57" t="s">
        <v>3469</v>
      </c>
      <c r="W299" s="57" t="s">
        <v>3476</v>
      </c>
      <c r="X299" s="57" t="s">
        <v>4229</v>
      </c>
      <c r="Y299" s="57" t="s">
        <v>3738</v>
      </c>
      <c r="Z299" s="57" t="s">
        <v>4230</v>
      </c>
      <c r="AA299" s="57" t="s">
        <v>3476</v>
      </c>
      <c r="AB299" s="57" t="s">
        <v>3476</v>
      </c>
      <c r="AC299" s="57" t="s">
        <v>3476</v>
      </c>
      <c r="AD299" s="57" t="s">
        <v>3476</v>
      </c>
      <c r="AE299" s="57" t="s">
        <v>3476</v>
      </c>
      <c r="AF299" s="57" t="s">
        <v>3476</v>
      </c>
      <c r="AG299" s="57" t="s">
        <v>3476</v>
      </c>
      <c r="AH299" s="57" t="s">
        <v>3476</v>
      </c>
      <c r="AI299" s="57" t="s">
        <v>3476</v>
      </c>
      <c r="AJ299" s="57" t="s">
        <v>3476</v>
      </c>
      <c r="AK299" s="57" t="s">
        <v>3476</v>
      </c>
      <c r="AL299" s="57" t="s">
        <v>3476</v>
      </c>
      <c r="AM299" s="57" t="s">
        <v>3476</v>
      </c>
      <c r="AN299" s="57" t="s">
        <v>3476</v>
      </c>
      <c r="AO299" s="57" t="s">
        <v>3476</v>
      </c>
      <c r="AP299" s="58">
        <v>45868.5322222222</v>
      </c>
      <c r="AQ299" s="57" t="s">
        <v>3476</v>
      </c>
      <c r="AR299" s="57" t="s">
        <v>3476</v>
      </c>
      <c r="AS299" s="57" t="s">
        <v>3502</v>
      </c>
      <c r="AT299" s="57" t="s">
        <v>3745</v>
      </c>
      <c r="AU299" s="57" t="s">
        <v>3476</v>
      </c>
      <c r="AV299" s="57" t="s">
        <v>3476</v>
      </c>
      <c r="AW299" s="58">
        <v>45868.4798726852</v>
      </c>
      <c r="AX299" s="57" t="s">
        <v>3476</v>
      </c>
      <c r="AY299" s="57" t="s">
        <v>3747</v>
      </c>
      <c r="AZ299" s="57" t="s">
        <v>3476</v>
      </c>
      <c r="BA299" s="57" t="s">
        <v>3476</v>
      </c>
      <c r="BB299" s="57" t="s">
        <v>3476</v>
      </c>
      <c r="BC299" s="57" t="s">
        <v>3794</v>
      </c>
      <c r="BD299" s="57" t="s">
        <v>3659</v>
      </c>
      <c r="BE299" s="57" t="s">
        <v>3787</v>
      </c>
      <c r="BF299" s="57" t="s">
        <v>3749</v>
      </c>
      <c r="BG299" s="57" t="s">
        <v>3476</v>
      </c>
      <c r="BH299" s="57" t="s">
        <v>3476</v>
      </c>
      <c r="BI299" s="57" t="s">
        <v>2809</v>
      </c>
      <c r="BJ299" s="57" t="s">
        <v>3476</v>
      </c>
      <c r="BK299" s="57" t="s">
        <v>3476</v>
      </c>
      <c r="BL299" s="57">
        <v>3649099</v>
      </c>
      <c r="BM299" s="57" t="s">
        <v>4231</v>
      </c>
      <c r="BN299" s="57">
        <v>11570</v>
      </c>
      <c r="BO299" s="57" t="s">
        <v>3476</v>
      </c>
      <c r="BP299" s="57" t="s">
        <v>3476</v>
      </c>
      <c r="BQ299" s="57" t="s">
        <v>3476</v>
      </c>
      <c r="BR299" s="57" t="s">
        <v>4232</v>
      </c>
      <c r="BS299" s="57" t="s">
        <v>1292</v>
      </c>
      <c r="BT299" s="57" t="s">
        <v>3476</v>
      </c>
      <c r="BU299" s="57" t="s">
        <v>3476</v>
      </c>
      <c r="BV299" s="57" t="s">
        <v>3753</v>
      </c>
      <c r="BW299" s="57" t="s">
        <v>3476</v>
      </c>
      <c r="BX299" s="57">
        <v>11570</v>
      </c>
      <c r="BY299" s="57" t="s">
        <v>3476</v>
      </c>
      <c r="BZ299" s="57" t="s">
        <v>3476</v>
      </c>
      <c r="CA299" s="57" t="s">
        <v>3476</v>
      </c>
      <c r="CB299" s="57" t="s">
        <v>3476</v>
      </c>
      <c r="CC299" s="57" t="s">
        <v>3476</v>
      </c>
      <c r="CD299" s="57" t="s">
        <v>3476</v>
      </c>
    </row>
    <row r="300" spans="1:82">
      <c r="A300" s="57">
        <v>29060</v>
      </c>
      <c r="B300" s="57" t="s">
        <v>3476</v>
      </c>
      <c r="C300" s="57" t="s">
        <v>4226</v>
      </c>
      <c r="D300" s="57" t="s">
        <v>3476</v>
      </c>
      <c r="E300" s="57" t="s">
        <v>3730</v>
      </c>
      <c r="F300" s="57" t="s">
        <v>4227</v>
      </c>
      <c r="G300" s="57" t="s">
        <v>721</v>
      </c>
      <c r="H300" s="57" t="s">
        <v>2874</v>
      </c>
      <c r="I300" s="57">
        <v>48856.48</v>
      </c>
      <c r="J300" s="57" t="s">
        <v>3476</v>
      </c>
      <c r="K300" s="57" t="s">
        <v>3476</v>
      </c>
      <c r="L300" s="57" t="s">
        <v>3730</v>
      </c>
      <c r="M300" s="57" t="s">
        <v>4228</v>
      </c>
      <c r="N300" s="57" t="s">
        <v>4228</v>
      </c>
      <c r="O300" s="57" t="s">
        <v>3476</v>
      </c>
      <c r="P300" s="57" t="s">
        <v>3476</v>
      </c>
      <c r="Q300" s="57" t="s">
        <v>2874</v>
      </c>
      <c r="R300" s="57" t="s">
        <v>3781</v>
      </c>
      <c r="S300" s="57" t="s">
        <v>3782</v>
      </c>
      <c r="T300" s="57" t="s">
        <v>3736</v>
      </c>
      <c r="U300" s="57" t="s">
        <v>3476</v>
      </c>
      <c r="V300" s="57" t="s">
        <v>3469</v>
      </c>
      <c r="W300" s="57" t="s">
        <v>3476</v>
      </c>
      <c r="X300" s="57" t="s">
        <v>4229</v>
      </c>
      <c r="Y300" s="57" t="s">
        <v>3738</v>
      </c>
      <c r="Z300" s="57" t="s">
        <v>4230</v>
      </c>
      <c r="AA300" s="57" t="s">
        <v>3476</v>
      </c>
      <c r="AB300" s="57" t="s">
        <v>3476</v>
      </c>
      <c r="AC300" s="57" t="s">
        <v>3476</v>
      </c>
      <c r="AD300" s="57" t="s">
        <v>3476</v>
      </c>
      <c r="AE300" s="57" t="s">
        <v>3476</v>
      </c>
      <c r="AF300" s="57" t="s">
        <v>3476</v>
      </c>
      <c r="AG300" s="57" t="s">
        <v>3476</v>
      </c>
      <c r="AH300" s="57" t="s">
        <v>3476</v>
      </c>
      <c r="AI300" s="57" t="s">
        <v>3476</v>
      </c>
      <c r="AJ300" s="57" t="s">
        <v>3476</v>
      </c>
      <c r="AK300" s="57" t="s">
        <v>3476</v>
      </c>
      <c r="AL300" s="57" t="s">
        <v>3476</v>
      </c>
      <c r="AM300" s="57" t="s">
        <v>3476</v>
      </c>
      <c r="AN300" s="57" t="s">
        <v>3476</v>
      </c>
      <c r="AO300" s="57" t="s">
        <v>3476</v>
      </c>
      <c r="AP300" s="58">
        <v>45868.5322222222</v>
      </c>
      <c r="AQ300" s="57" t="s">
        <v>3476</v>
      </c>
      <c r="AR300" s="57" t="s">
        <v>3476</v>
      </c>
      <c r="AS300" s="57" t="s">
        <v>3502</v>
      </c>
      <c r="AT300" s="57" t="s">
        <v>3745</v>
      </c>
      <c r="AU300" s="57" t="s">
        <v>3476</v>
      </c>
      <c r="AV300" s="57" t="s">
        <v>3476</v>
      </c>
      <c r="AW300" s="58">
        <v>45868.4798726852</v>
      </c>
      <c r="AX300" s="57" t="s">
        <v>3476</v>
      </c>
      <c r="AY300" s="57" t="s">
        <v>3747</v>
      </c>
      <c r="AZ300" s="57" t="s">
        <v>3476</v>
      </c>
      <c r="BA300" s="57" t="s">
        <v>3476</v>
      </c>
      <c r="BB300" s="57" t="s">
        <v>3476</v>
      </c>
      <c r="BC300" s="57" t="s">
        <v>3794</v>
      </c>
      <c r="BD300" s="57" t="s">
        <v>3659</v>
      </c>
      <c r="BE300" s="57" t="s">
        <v>3787</v>
      </c>
      <c r="BF300" s="57" t="s">
        <v>3749</v>
      </c>
      <c r="BG300" s="57" t="s">
        <v>3476</v>
      </c>
      <c r="BH300" s="57" t="s">
        <v>3476</v>
      </c>
      <c r="BI300" s="57" t="s">
        <v>2809</v>
      </c>
      <c r="BJ300" s="57" t="s">
        <v>3476</v>
      </c>
      <c r="BK300" s="57" t="s">
        <v>3476</v>
      </c>
      <c r="BL300" s="57">
        <v>3649100</v>
      </c>
      <c r="BM300" s="57" t="s">
        <v>4231</v>
      </c>
      <c r="BN300" s="57">
        <v>7400</v>
      </c>
      <c r="BO300" s="57" t="s">
        <v>3476</v>
      </c>
      <c r="BP300" s="57" t="s">
        <v>3476</v>
      </c>
      <c r="BQ300" s="57" t="s">
        <v>3476</v>
      </c>
      <c r="BR300" s="57" t="s">
        <v>4232</v>
      </c>
      <c r="BS300" s="57" t="s">
        <v>1292</v>
      </c>
      <c r="BT300" s="57" t="s">
        <v>3476</v>
      </c>
      <c r="BU300" s="57" t="s">
        <v>3476</v>
      </c>
      <c r="BV300" s="57" t="s">
        <v>3753</v>
      </c>
      <c r="BW300" s="57" t="s">
        <v>3476</v>
      </c>
      <c r="BX300" s="57">
        <v>7400</v>
      </c>
      <c r="BY300" s="57" t="s">
        <v>3476</v>
      </c>
      <c r="BZ300" s="57" t="s">
        <v>3476</v>
      </c>
      <c r="CA300" s="57" t="s">
        <v>3476</v>
      </c>
      <c r="CB300" s="57" t="s">
        <v>3476</v>
      </c>
      <c r="CC300" s="57" t="s">
        <v>3476</v>
      </c>
      <c r="CD300" s="57" t="s">
        <v>3476</v>
      </c>
    </row>
    <row r="301" spans="1:82">
      <c r="A301" s="57">
        <v>29061</v>
      </c>
      <c r="B301" s="57" t="s">
        <v>3476</v>
      </c>
      <c r="C301" s="57" t="s">
        <v>4226</v>
      </c>
      <c r="D301" s="57" t="s">
        <v>3476</v>
      </c>
      <c r="E301" s="57" t="s">
        <v>3730</v>
      </c>
      <c r="F301" s="57" t="s">
        <v>4227</v>
      </c>
      <c r="G301" s="57" t="s">
        <v>721</v>
      </c>
      <c r="H301" s="57" t="s">
        <v>2874</v>
      </c>
      <c r="I301" s="57">
        <v>48856.48</v>
      </c>
      <c r="J301" s="57" t="s">
        <v>3476</v>
      </c>
      <c r="K301" s="57" t="s">
        <v>3476</v>
      </c>
      <c r="L301" s="57" t="s">
        <v>3730</v>
      </c>
      <c r="M301" s="57" t="s">
        <v>4228</v>
      </c>
      <c r="N301" s="57" t="s">
        <v>4228</v>
      </c>
      <c r="O301" s="57" t="s">
        <v>3476</v>
      </c>
      <c r="P301" s="57" t="s">
        <v>3476</v>
      </c>
      <c r="Q301" s="57" t="s">
        <v>2874</v>
      </c>
      <c r="R301" s="57" t="s">
        <v>3781</v>
      </c>
      <c r="S301" s="57" t="s">
        <v>3782</v>
      </c>
      <c r="T301" s="57" t="s">
        <v>3736</v>
      </c>
      <c r="U301" s="57" t="s">
        <v>3476</v>
      </c>
      <c r="V301" s="57" t="s">
        <v>3469</v>
      </c>
      <c r="W301" s="57" t="s">
        <v>3476</v>
      </c>
      <c r="X301" s="57" t="s">
        <v>4229</v>
      </c>
      <c r="Y301" s="57" t="s">
        <v>3738</v>
      </c>
      <c r="Z301" s="57" t="s">
        <v>4230</v>
      </c>
      <c r="AA301" s="57" t="s">
        <v>3476</v>
      </c>
      <c r="AB301" s="57" t="s">
        <v>3476</v>
      </c>
      <c r="AC301" s="57" t="s">
        <v>3476</v>
      </c>
      <c r="AD301" s="57" t="s">
        <v>3476</v>
      </c>
      <c r="AE301" s="57" t="s">
        <v>3476</v>
      </c>
      <c r="AF301" s="57" t="s">
        <v>3476</v>
      </c>
      <c r="AG301" s="57" t="s">
        <v>3476</v>
      </c>
      <c r="AH301" s="57" t="s">
        <v>3476</v>
      </c>
      <c r="AI301" s="57" t="s">
        <v>3476</v>
      </c>
      <c r="AJ301" s="57" t="s">
        <v>3476</v>
      </c>
      <c r="AK301" s="57" t="s">
        <v>3476</v>
      </c>
      <c r="AL301" s="57" t="s">
        <v>3476</v>
      </c>
      <c r="AM301" s="57" t="s">
        <v>3476</v>
      </c>
      <c r="AN301" s="57" t="s">
        <v>3476</v>
      </c>
      <c r="AO301" s="57" t="s">
        <v>3476</v>
      </c>
      <c r="AP301" s="58">
        <v>45868.5322222222</v>
      </c>
      <c r="AQ301" s="57" t="s">
        <v>3476</v>
      </c>
      <c r="AR301" s="57" t="s">
        <v>3476</v>
      </c>
      <c r="AS301" s="57" t="s">
        <v>3502</v>
      </c>
      <c r="AT301" s="57" t="s">
        <v>3745</v>
      </c>
      <c r="AU301" s="57" t="s">
        <v>3476</v>
      </c>
      <c r="AV301" s="57" t="s">
        <v>3476</v>
      </c>
      <c r="AW301" s="58">
        <v>45868.4798726852</v>
      </c>
      <c r="AX301" s="57" t="s">
        <v>3476</v>
      </c>
      <c r="AY301" s="57" t="s">
        <v>3747</v>
      </c>
      <c r="AZ301" s="57" t="s">
        <v>3476</v>
      </c>
      <c r="BA301" s="57" t="s">
        <v>3476</v>
      </c>
      <c r="BB301" s="57" t="s">
        <v>3476</v>
      </c>
      <c r="BC301" s="57" t="s">
        <v>3794</v>
      </c>
      <c r="BD301" s="57" t="s">
        <v>3659</v>
      </c>
      <c r="BE301" s="57" t="s">
        <v>3787</v>
      </c>
      <c r="BF301" s="57" t="s">
        <v>3749</v>
      </c>
      <c r="BG301" s="57" t="s">
        <v>3476</v>
      </c>
      <c r="BH301" s="57" t="s">
        <v>3476</v>
      </c>
      <c r="BI301" s="57" t="s">
        <v>2809</v>
      </c>
      <c r="BJ301" s="57" t="s">
        <v>3476</v>
      </c>
      <c r="BK301" s="57" t="s">
        <v>3476</v>
      </c>
      <c r="BL301" s="57">
        <v>3649101</v>
      </c>
      <c r="BM301" s="57" t="s">
        <v>4231</v>
      </c>
      <c r="BN301" s="57">
        <v>10670</v>
      </c>
      <c r="BO301" s="57" t="s">
        <v>3476</v>
      </c>
      <c r="BP301" s="57" t="s">
        <v>3476</v>
      </c>
      <c r="BQ301" s="57" t="s">
        <v>3476</v>
      </c>
      <c r="BR301" s="57" t="s">
        <v>4232</v>
      </c>
      <c r="BS301" s="57" t="s">
        <v>1292</v>
      </c>
      <c r="BT301" s="57" t="s">
        <v>3476</v>
      </c>
      <c r="BU301" s="57" t="s">
        <v>3476</v>
      </c>
      <c r="BV301" s="57" t="s">
        <v>3753</v>
      </c>
      <c r="BW301" s="57" t="s">
        <v>3476</v>
      </c>
      <c r="BX301" s="57">
        <v>10670</v>
      </c>
      <c r="BY301" s="57" t="s">
        <v>3476</v>
      </c>
      <c r="BZ301" s="57" t="s">
        <v>3476</v>
      </c>
      <c r="CA301" s="57" t="s">
        <v>3476</v>
      </c>
      <c r="CB301" s="57" t="s">
        <v>3476</v>
      </c>
      <c r="CC301" s="57" t="s">
        <v>3476</v>
      </c>
      <c r="CD301" s="57" t="s">
        <v>3476</v>
      </c>
    </row>
    <row r="302" spans="1:82">
      <c r="A302" s="57">
        <v>29062</v>
      </c>
      <c r="B302" s="57" t="s">
        <v>3476</v>
      </c>
      <c r="C302" s="57" t="s">
        <v>4226</v>
      </c>
      <c r="D302" s="57" t="s">
        <v>3476</v>
      </c>
      <c r="E302" s="57" t="s">
        <v>3730</v>
      </c>
      <c r="F302" s="57" t="s">
        <v>4227</v>
      </c>
      <c r="G302" s="57" t="s">
        <v>721</v>
      </c>
      <c r="H302" s="57" t="s">
        <v>2874</v>
      </c>
      <c r="I302" s="57">
        <v>48856.48</v>
      </c>
      <c r="J302" s="57" t="s">
        <v>3476</v>
      </c>
      <c r="K302" s="57" t="s">
        <v>3476</v>
      </c>
      <c r="L302" s="57" t="s">
        <v>3730</v>
      </c>
      <c r="M302" s="57" t="s">
        <v>4228</v>
      </c>
      <c r="N302" s="57" t="s">
        <v>4228</v>
      </c>
      <c r="O302" s="57" t="s">
        <v>3476</v>
      </c>
      <c r="P302" s="57" t="s">
        <v>3476</v>
      </c>
      <c r="Q302" s="57" t="s">
        <v>2874</v>
      </c>
      <c r="R302" s="57" t="s">
        <v>3781</v>
      </c>
      <c r="S302" s="57" t="s">
        <v>3782</v>
      </c>
      <c r="T302" s="57" t="s">
        <v>3736</v>
      </c>
      <c r="U302" s="57" t="s">
        <v>3476</v>
      </c>
      <c r="V302" s="57" t="s">
        <v>3469</v>
      </c>
      <c r="W302" s="57" t="s">
        <v>3476</v>
      </c>
      <c r="X302" s="57" t="s">
        <v>4229</v>
      </c>
      <c r="Y302" s="57" t="s">
        <v>3738</v>
      </c>
      <c r="Z302" s="57" t="s">
        <v>4230</v>
      </c>
      <c r="AA302" s="57" t="s">
        <v>3476</v>
      </c>
      <c r="AB302" s="57" t="s">
        <v>3476</v>
      </c>
      <c r="AC302" s="57" t="s">
        <v>3476</v>
      </c>
      <c r="AD302" s="57" t="s">
        <v>3476</v>
      </c>
      <c r="AE302" s="57" t="s">
        <v>3476</v>
      </c>
      <c r="AF302" s="57" t="s">
        <v>3476</v>
      </c>
      <c r="AG302" s="57" t="s">
        <v>3476</v>
      </c>
      <c r="AH302" s="57" t="s">
        <v>3476</v>
      </c>
      <c r="AI302" s="57" t="s">
        <v>3476</v>
      </c>
      <c r="AJ302" s="57" t="s">
        <v>3476</v>
      </c>
      <c r="AK302" s="57" t="s">
        <v>3476</v>
      </c>
      <c r="AL302" s="57" t="s">
        <v>3476</v>
      </c>
      <c r="AM302" s="57" t="s">
        <v>3476</v>
      </c>
      <c r="AN302" s="57" t="s">
        <v>3476</v>
      </c>
      <c r="AO302" s="57" t="s">
        <v>3476</v>
      </c>
      <c r="AP302" s="58">
        <v>45868.5322222222</v>
      </c>
      <c r="AQ302" s="57" t="s">
        <v>3476</v>
      </c>
      <c r="AR302" s="57" t="s">
        <v>3476</v>
      </c>
      <c r="AS302" s="57" t="s">
        <v>3502</v>
      </c>
      <c r="AT302" s="57" t="s">
        <v>3745</v>
      </c>
      <c r="AU302" s="57" t="s">
        <v>3476</v>
      </c>
      <c r="AV302" s="57" t="s">
        <v>3476</v>
      </c>
      <c r="AW302" s="58">
        <v>45868.4798726852</v>
      </c>
      <c r="AX302" s="57" t="s">
        <v>3476</v>
      </c>
      <c r="AY302" s="57" t="s">
        <v>3747</v>
      </c>
      <c r="AZ302" s="57" t="s">
        <v>3476</v>
      </c>
      <c r="BA302" s="57" t="s">
        <v>3476</v>
      </c>
      <c r="BB302" s="57" t="s">
        <v>3476</v>
      </c>
      <c r="BC302" s="57" t="s">
        <v>3791</v>
      </c>
      <c r="BD302" s="57" t="s">
        <v>3659</v>
      </c>
      <c r="BE302" s="57" t="s">
        <v>3787</v>
      </c>
      <c r="BF302" s="57" t="s">
        <v>3749</v>
      </c>
      <c r="BG302" s="57" t="s">
        <v>3476</v>
      </c>
      <c r="BH302" s="57" t="s">
        <v>3476</v>
      </c>
      <c r="BI302" s="57" t="s">
        <v>2809</v>
      </c>
      <c r="BJ302" s="57" t="s">
        <v>3476</v>
      </c>
      <c r="BK302" s="57" t="s">
        <v>3476</v>
      </c>
      <c r="BL302" s="57">
        <v>3649102</v>
      </c>
      <c r="BM302" s="57" t="s">
        <v>4231</v>
      </c>
      <c r="BN302" s="57">
        <v>720</v>
      </c>
      <c r="BO302" s="57" t="s">
        <v>3476</v>
      </c>
      <c r="BP302" s="57" t="s">
        <v>3476</v>
      </c>
      <c r="BQ302" s="57" t="s">
        <v>3476</v>
      </c>
      <c r="BR302" s="57" t="s">
        <v>4232</v>
      </c>
      <c r="BS302" s="57" t="s">
        <v>1292</v>
      </c>
      <c r="BT302" s="57" t="s">
        <v>3476</v>
      </c>
      <c r="BU302" s="57" t="s">
        <v>3476</v>
      </c>
      <c r="BV302" s="57" t="s">
        <v>3753</v>
      </c>
      <c r="BW302" s="57" t="s">
        <v>3476</v>
      </c>
      <c r="BX302" s="57">
        <v>720</v>
      </c>
      <c r="BY302" s="57" t="s">
        <v>3476</v>
      </c>
      <c r="BZ302" s="57" t="s">
        <v>3476</v>
      </c>
      <c r="CA302" s="57" t="s">
        <v>3476</v>
      </c>
      <c r="CB302" s="57" t="s">
        <v>3476</v>
      </c>
      <c r="CC302" s="57" t="s">
        <v>3476</v>
      </c>
      <c r="CD302" s="57" t="s">
        <v>3476</v>
      </c>
    </row>
    <row r="303" spans="1:82">
      <c r="A303" s="57">
        <v>29063</v>
      </c>
      <c r="B303" s="57" t="s">
        <v>3476</v>
      </c>
      <c r="C303" s="57" t="s">
        <v>4226</v>
      </c>
      <c r="D303" s="57" t="s">
        <v>3476</v>
      </c>
      <c r="E303" s="57" t="s">
        <v>3730</v>
      </c>
      <c r="F303" s="57" t="s">
        <v>4227</v>
      </c>
      <c r="G303" s="57" t="s">
        <v>721</v>
      </c>
      <c r="H303" s="57" t="s">
        <v>2874</v>
      </c>
      <c r="I303" s="57">
        <v>48856.48</v>
      </c>
      <c r="J303" s="57" t="s">
        <v>3476</v>
      </c>
      <c r="K303" s="57" t="s">
        <v>3476</v>
      </c>
      <c r="L303" s="57" t="s">
        <v>3730</v>
      </c>
      <c r="M303" s="57" t="s">
        <v>4228</v>
      </c>
      <c r="N303" s="57" t="s">
        <v>4228</v>
      </c>
      <c r="O303" s="57" t="s">
        <v>3476</v>
      </c>
      <c r="P303" s="57" t="s">
        <v>3476</v>
      </c>
      <c r="Q303" s="57" t="s">
        <v>2874</v>
      </c>
      <c r="R303" s="57" t="s">
        <v>3781</v>
      </c>
      <c r="S303" s="57" t="s">
        <v>3782</v>
      </c>
      <c r="T303" s="57" t="s">
        <v>3736</v>
      </c>
      <c r="U303" s="57" t="s">
        <v>3476</v>
      </c>
      <c r="V303" s="57" t="s">
        <v>3469</v>
      </c>
      <c r="W303" s="57" t="s">
        <v>3476</v>
      </c>
      <c r="X303" s="57" t="s">
        <v>4229</v>
      </c>
      <c r="Y303" s="57" t="s">
        <v>3738</v>
      </c>
      <c r="Z303" s="57" t="s">
        <v>4230</v>
      </c>
      <c r="AA303" s="57" t="s">
        <v>3476</v>
      </c>
      <c r="AB303" s="57" t="s">
        <v>3476</v>
      </c>
      <c r="AC303" s="57" t="s">
        <v>3476</v>
      </c>
      <c r="AD303" s="57" t="s">
        <v>3476</v>
      </c>
      <c r="AE303" s="57" t="s">
        <v>3476</v>
      </c>
      <c r="AF303" s="57" t="s">
        <v>3476</v>
      </c>
      <c r="AG303" s="57" t="s">
        <v>3476</v>
      </c>
      <c r="AH303" s="57" t="s">
        <v>3476</v>
      </c>
      <c r="AI303" s="57" t="s">
        <v>3476</v>
      </c>
      <c r="AJ303" s="57" t="s">
        <v>3476</v>
      </c>
      <c r="AK303" s="57" t="s">
        <v>3476</v>
      </c>
      <c r="AL303" s="57" t="s">
        <v>3476</v>
      </c>
      <c r="AM303" s="57" t="s">
        <v>3476</v>
      </c>
      <c r="AN303" s="57" t="s">
        <v>3476</v>
      </c>
      <c r="AO303" s="57" t="s">
        <v>3476</v>
      </c>
      <c r="AP303" s="58">
        <v>45868.5322222222</v>
      </c>
      <c r="AQ303" s="57" t="s">
        <v>3476</v>
      </c>
      <c r="AR303" s="57" t="s">
        <v>3476</v>
      </c>
      <c r="AS303" s="57" t="s">
        <v>3502</v>
      </c>
      <c r="AT303" s="57" t="s">
        <v>3745</v>
      </c>
      <c r="AU303" s="57" t="s">
        <v>3476</v>
      </c>
      <c r="AV303" s="57" t="s">
        <v>3476</v>
      </c>
      <c r="AW303" s="58">
        <v>45868.4798726852</v>
      </c>
      <c r="AX303" s="57" t="s">
        <v>3476</v>
      </c>
      <c r="AY303" s="57" t="s">
        <v>3747</v>
      </c>
      <c r="AZ303" s="57" t="s">
        <v>3476</v>
      </c>
      <c r="BA303" s="57" t="s">
        <v>3476</v>
      </c>
      <c r="BB303" s="57" t="s">
        <v>3476</v>
      </c>
      <c r="BC303" s="57" t="s">
        <v>3791</v>
      </c>
      <c r="BD303" s="57" t="s">
        <v>3659</v>
      </c>
      <c r="BE303" s="57" t="s">
        <v>3787</v>
      </c>
      <c r="BF303" s="57" t="s">
        <v>3749</v>
      </c>
      <c r="BG303" s="57" t="s">
        <v>3476</v>
      </c>
      <c r="BH303" s="57" t="s">
        <v>3476</v>
      </c>
      <c r="BI303" s="57" t="s">
        <v>2809</v>
      </c>
      <c r="BJ303" s="57" t="s">
        <v>3476</v>
      </c>
      <c r="BK303" s="57" t="s">
        <v>3476</v>
      </c>
      <c r="BL303" s="57">
        <v>3649103</v>
      </c>
      <c r="BM303" s="57" t="s">
        <v>4231</v>
      </c>
      <c r="BN303" s="57">
        <v>900</v>
      </c>
      <c r="BO303" s="57" t="s">
        <v>3476</v>
      </c>
      <c r="BP303" s="57" t="s">
        <v>3476</v>
      </c>
      <c r="BQ303" s="57" t="s">
        <v>3476</v>
      </c>
      <c r="BR303" s="57" t="s">
        <v>4232</v>
      </c>
      <c r="BS303" s="57" t="s">
        <v>1292</v>
      </c>
      <c r="BT303" s="57" t="s">
        <v>3476</v>
      </c>
      <c r="BU303" s="57" t="s">
        <v>3476</v>
      </c>
      <c r="BV303" s="57" t="s">
        <v>3753</v>
      </c>
      <c r="BW303" s="57" t="s">
        <v>3476</v>
      </c>
      <c r="BX303" s="57">
        <v>900</v>
      </c>
      <c r="BY303" s="57" t="s">
        <v>3476</v>
      </c>
      <c r="BZ303" s="57" t="s">
        <v>3476</v>
      </c>
      <c r="CA303" s="57" t="s">
        <v>3476</v>
      </c>
      <c r="CB303" s="57" t="s">
        <v>3476</v>
      </c>
      <c r="CC303" s="57" t="s">
        <v>3476</v>
      </c>
      <c r="CD303" s="57" t="s">
        <v>3476</v>
      </c>
    </row>
    <row r="304" spans="1:82">
      <c r="A304" s="57">
        <v>29064</v>
      </c>
      <c r="B304" s="57" t="s">
        <v>3476</v>
      </c>
      <c r="C304" s="57" t="s">
        <v>4226</v>
      </c>
      <c r="D304" s="57" t="s">
        <v>3476</v>
      </c>
      <c r="E304" s="57" t="s">
        <v>3730</v>
      </c>
      <c r="F304" s="57" t="s">
        <v>4227</v>
      </c>
      <c r="G304" s="57" t="s">
        <v>721</v>
      </c>
      <c r="H304" s="57" t="s">
        <v>2874</v>
      </c>
      <c r="I304" s="57">
        <v>48856.48</v>
      </c>
      <c r="J304" s="57" t="s">
        <v>3476</v>
      </c>
      <c r="K304" s="57" t="s">
        <v>3476</v>
      </c>
      <c r="L304" s="57" t="s">
        <v>3730</v>
      </c>
      <c r="M304" s="57" t="s">
        <v>4228</v>
      </c>
      <c r="N304" s="57" t="s">
        <v>4228</v>
      </c>
      <c r="O304" s="57" t="s">
        <v>3476</v>
      </c>
      <c r="P304" s="57" t="s">
        <v>3476</v>
      </c>
      <c r="Q304" s="57" t="s">
        <v>2874</v>
      </c>
      <c r="R304" s="57" t="s">
        <v>3781</v>
      </c>
      <c r="S304" s="57" t="s">
        <v>3782</v>
      </c>
      <c r="T304" s="57" t="s">
        <v>3736</v>
      </c>
      <c r="U304" s="57" t="s">
        <v>3476</v>
      </c>
      <c r="V304" s="57" t="s">
        <v>3469</v>
      </c>
      <c r="W304" s="57" t="s">
        <v>3476</v>
      </c>
      <c r="X304" s="57" t="s">
        <v>4229</v>
      </c>
      <c r="Y304" s="57" t="s">
        <v>3738</v>
      </c>
      <c r="Z304" s="57" t="s">
        <v>4230</v>
      </c>
      <c r="AA304" s="57" t="s">
        <v>3476</v>
      </c>
      <c r="AB304" s="57" t="s">
        <v>3476</v>
      </c>
      <c r="AC304" s="57" t="s">
        <v>3476</v>
      </c>
      <c r="AD304" s="57" t="s">
        <v>3476</v>
      </c>
      <c r="AE304" s="57" t="s">
        <v>3476</v>
      </c>
      <c r="AF304" s="57" t="s">
        <v>3476</v>
      </c>
      <c r="AG304" s="57" t="s">
        <v>3476</v>
      </c>
      <c r="AH304" s="57" t="s">
        <v>3476</v>
      </c>
      <c r="AI304" s="57" t="s">
        <v>3476</v>
      </c>
      <c r="AJ304" s="57" t="s">
        <v>3476</v>
      </c>
      <c r="AK304" s="57" t="s">
        <v>3476</v>
      </c>
      <c r="AL304" s="57" t="s">
        <v>3476</v>
      </c>
      <c r="AM304" s="57" t="s">
        <v>3476</v>
      </c>
      <c r="AN304" s="57" t="s">
        <v>3476</v>
      </c>
      <c r="AO304" s="57" t="s">
        <v>3476</v>
      </c>
      <c r="AP304" s="58">
        <v>45868.5322222222</v>
      </c>
      <c r="AQ304" s="57" t="s">
        <v>3476</v>
      </c>
      <c r="AR304" s="57" t="s">
        <v>3476</v>
      </c>
      <c r="AS304" s="57" t="s">
        <v>3502</v>
      </c>
      <c r="AT304" s="57" t="s">
        <v>3745</v>
      </c>
      <c r="AU304" s="57" t="s">
        <v>3476</v>
      </c>
      <c r="AV304" s="57" t="s">
        <v>3476</v>
      </c>
      <c r="AW304" s="58">
        <v>45868.4798726852</v>
      </c>
      <c r="AX304" s="57" t="s">
        <v>3476</v>
      </c>
      <c r="AY304" s="57" t="s">
        <v>3747</v>
      </c>
      <c r="AZ304" s="57" t="s">
        <v>3476</v>
      </c>
      <c r="BA304" s="57" t="s">
        <v>3476</v>
      </c>
      <c r="BB304" s="57" t="s">
        <v>3476</v>
      </c>
      <c r="BC304" s="57" t="s">
        <v>3791</v>
      </c>
      <c r="BD304" s="57" t="s">
        <v>3659</v>
      </c>
      <c r="BE304" s="57" t="s">
        <v>3787</v>
      </c>
      <c r="BF304" s="57" t="s">
        <v>3749</v>
      </c>
      <c r="BG304" s="57" t="s">
        <v>3476</v>
      </c>
      <c r="BH304" s="57" t="s">
        <v>3476</v>
      </c>
      <c r="BI304" s="57" t="s">
        <v>2809</v>
      </c>
      <c r="BJ304" s="57" t="s">
        <v>3476</v>
      </c>
      <c r="BK304" s="57" t="s">
        <v>3476</v>
      </c>
      <c r="BL304" s="57">
        <v>3649104</v>
      </c>
      <c r="BM304" s="57" t="s">
        <v>4231</v>
      </c>
      <c r="BN304" s="57">
        <v>110.5</v>
      </c>
      <c r="BO304" s="57" t="s">
        <v>3476</v>
      </c>
      <c r="BP304" s="57" t="s">
        <v>3476</v>
      </c>
      <c r="BQ304" s="57" t="s">
        <v>3476</v>
      </c>
      <c r="BR304" s="57" t="s">
        <v>4232</v>
      </c>
      <c r="BS304" s="57" t="s">
        <v>1292</v>
      </c>
      <c r="BT304" s="57" t="s">
        <v>3476</v>
      </c>
      <c r="BU304" s="57" t="s">
        <v>3476</v>
      </c>
      <c r="BV304" s="57" t="s">
        <v>3753</v>
      </c>
      <c r="BW304" s="57" t="s">
        <v>3476</v>
      </c>
      <c r="BX304" s="57">
        <v>110.5</v>
      </c>
      <c r="BY304" s="57" t="s">
        <v>3476</v>
      </c>
      <c r="BZ304" s="57" t="s">
        <v>3476</v>
      </c>
      <c r="CA304" s="57" t="s">
        <v>3476</v>
      </c>
      <c r="CB304" s="57" t="s">
        <v>3476</v>
      </c>
      <c r="CC304" s="57" t="s">
        <v>3476</v>
      </c>
      <c r="CD304" s="57" t="s">
        <v>3476</v>
      </c>
    </row>
    <row r="305" spans="1:82">
      <c r="A305" s="57">
        <v>29065</v>
      </c>
      <c r="B305" s="57" t="s">
        <v>3476</v>
      </c>
      <c r="C305" s="57" t="s">
        <v>4226</v>
      </c>
      <c r="D305" s="57" t="s">
        <v>3476</v>
      </c>
      <c r="E305" s="57" t="s">
        <v>3730</v>
      </c>
      <c r="F305" s="57" t="s">
        <v>4227</v>
      </c>
      <c r="G305" s="57" t="s">
        <v>721</v>
      </c>
      <c r="H305" s="57" t="s">
        <v>2874</v>
      </c>
      <c r="I305" s="57">
        <v>48856.48</v>
      </c>
      <c r="J305" s="57" t="s">
        <v>3476</v>
      </c>
      <c r="K305" s="57" t="s">
        <v>3476</v>
      </c>
      <c r="L305" s="57" t="s">
        <v>3730</v>
      </c>
      <c r="M305" s="57" t="s">
        <v>4228</v>
      </c>
      <c r="N305" s="57" t="s">
        <v>4228</v>
      </c>
      <c r="O305" s="57" t="s">
        <v>3476</v>
      </c>
      <c r="P305" s="57" t="s">
        <v>3476</v>
      </c>
      <c r="Q305" s="57" t="s">
        <v>2874</v>
      </c>
      <c r="R305" s="57" t="s">
        <v>3781</v>
      </c>
      <c r="S305" s="57" t="s">
        <v>3782</v>
      </c>
      <c r="T305" s="57" t="s">
        <v>3736</v>
      </c>
      <c r="U305" s="57" t="s">
        <v>3476</v>
      </c>
      <c r="V305" s="57" t="s">
        <v>3469</v>
      </c>
      <c r="W305" s="57" t="s">
        <v>3476</v>
      </c>
      <c r="X305" s="57" t="s">
        <v>4229</v>
      </c>
      <c r="Y305" s="57" t="s">
        <v>3738</v>
      </c>
      <c r="Z305" s="57" t="s">
        <v>4230</v>
      </c>
      <c r="AA305" s="57" t="s">
        <v>3476</v>
      </c>
      <c r="AB305" s="57" t="s">
        <v>3476</v>
      </c>
      <c r="AC305" s="57" t="s">
        <v>3476</v>
      </c>
      <c r="AD305" s="57" t="s">
        <v>3476</v>
      </c>
      <c r="AE305" s="57" t="s">
        <v>3476</v>
      </c>
      <c r="AF305" s="57" t="s">
        <v>3476</v>
      </c>
      <c r="AG305" s="57" t="s">
        <v>3476</v>
      </c>
      <c r="AH305" s="57" t="s">
        <v>3476</v>
      </c>
      <c r="AI305" s="57" t="s">
        <v>3476</v>
      </c>
      <c r="AJ305" s="57" t="s">
        <v>3476</v>
      </c>
      <c r="AK305" s="57" t="s">
        <v>3476</v>
      </c>
      <c r="AL305" s="57" t="s">
        <v>3476</v>
      </c>
      <c r="AM305" s="57" t="s">
        <v>3476</v>
      </c>
      <c r="AN305" s="57" t="s">
        <v>3476</v>
      </c>
      <c r="AO305" s="57" t="s">
        <v>3476</v>
      </c>
      <c r="AP305" s="58">
        <v>45868.5322222222</v>
      </c>
      <c r="AQ305" s="57" t="s">
        <v>3476</v>
      </c>
      <c r="AR305" s="57" t="s">
        <v>3476</v>
      </c>
      <c r="AS305" s="57" t="s">
        <v>3502</v>
      </c>
      <c r="AT305" s="57" t="s">
        <v>3745</v>
      </c>
      <c r="AU305" s="57" t="s">
        <v>3476</v>
      </c>
      <c r="AV305" s="57" t="s">
        <v>3476</v>
      </c>
      <c r="AW305" s="58">
        <v>45868.4798726852</v>
      </c>
      <c r="AX305" s="57" t="s">
        <v>3476</v>
      </c>
      <c r="AY305" s="57" t="s">
        <v>3747</v>
      </c>
      <c r="AZ305" s="57" t="s">
        <v>3476</v>
      </c>
      <c r="BA305" s="57" t="s">
        <v>3476</v>
      </c>
      <c r="BB305" s="57" t="s">
        <v>3476</v>
      </c>
      <c r="BC305" s="57" t="s">
        <v>3791</v>
      </c>
      <c r="BD305" s="57" t="s">
        <v>3659</v>
      </c>
      <c r="BE305" s="57" t="s">
        <v>3787</v>
      </c>
      <c r="BF305" s="57" t="s">
        <v>3749</v>
      </c>
      <c r="BG305" s="57" t="s">
        <v>3476</v>
      </c>
      <c r="BH305" s="57" t="s">
        <v>3476</v>
      </c>
      <c r="BI305" s="57" t="s">
        <v>2809</v>
      </c>
      <c r="BJ305" s="57" t="s">
        <v>3476</v>
      </c>
      <c r="BK305" s="57" t="s">
        <v>3476</v>
      </c>
      <c r="BL305" s="57">
        <v>3649105</v>
      </c>
      <c r="BM305" s="57" t="s">
        <v>4231</v>
      </c>
      <c r="BN305" s="57">
        <v>25.5</v>
      </c>
      <c r="BO305" s="57" t="s">
        <v>3476</v>
      </c>
      <c r="BP305" s="57" t="s">
        <v>3476</v>
      </c>
      <c r="BQ305" s="57" t="s">
        <v>3476</v>
      </c>
      <c r="BR305" s="57" t="s">
        <v>4232</v>
      </c>
      <c r="BS305" s="57" t="s">
        <v>1292</v>
      </c>
      <c r="BT305" s="57" t="s">
        <v>3476</v>
      </c>
      <c r="BU305" s="57" t="s">
        <v>3476</v>
      </c>
      <c r="BV305" s="57" t="s">
        <v>3753</v>
      </c>
      <c r="BW305" s="57" t="s">
        <v>3476</v>
      </c>
      <c r="BX305" s="57">
        <v>25.5</v>
      </c>
      <c r="BY305" s="57" t="s">
        <v>3476</v>
      </c>
      <c r="BZ305" s="57" t="s">
        <v>3476</v>
      </c>
      <c r="CA305" s="57" t="s">
        <v>3476</v>
      </c>
      <c r="CB305" s="57" t="s">
        <v>3476</v>
      </c>
      <c r="CC305" s="57" t="s">
        <v>3476</v>
      </c>
      <c r="CD305" s="57" t="s">
        <v>3476</v>
      </c>
    </row>
    <row r="306" spans="1:82">
      <c r="A306" s="57">
        <v>29066</v>
      </c>
      <c r="B306" s="57" t="s">
        <v>3476</v>
      </c>
      <c r="C306" s="57" t="s">
        <v>4226</v>
      </c>
      <c r="D306" s="57" t="s">
        <v>3476</v>
      </c>
      <c r="E306" s="57" t="s">
        <v>3730</v>
      </c>
      <c r="F306" s="57" t="s">
        <v>4227</v>
      </c>
      <c r="G306" s="57" t="s">
        <v>721</v>
      </c>
      <c r="H306" s="57" t="s">
        <v>2874</v>
      </c>
      <c r="I306" s="57">
        <v>48856.48</v>
      </c>
      <c r="J306" s="57" t="s">
        <v>3476</v>
      </c>
      <c r="K306" s="57" t="s">
        <v>3476</v>
      </c>
      <c r="L306" s="57" t="s">
        <v>3730</v>
      </c>
      <c r="M306" s="57" t="s">
        <v>4228</v>
      </c>
      <c r="N306" s="57" t="s">
        <v>4228</v>
      </c>
      <c r="O306" s="57" t="s">
        <v>3476</v>
      </c>
      <c r="P306" s="57" t="s">
        <v>3476</v>
      </c>
      <c r="Q306" s="57" t="s">
        <v>2874</v>
      </c>
      <c r="R306" s="57" t="s">
        <v>3781</v>
      </c>
      <c r="S306" s="57" t="s">
        <v>3782</v>
      </c>
      <c r="T306" s="57" t="s">
        <v>3736</v>
      </c>
      <c r="U306" s="57" t="s">
        <v>3476</v>
      </c>
      <c r="V306" s="57" t="s">
        <v>3469</v>
      </c>
      <c r="W306" s="57" t="s">
        <v>3476</v>
      </c>
      <c r="X306" s="57" t="s">
        <v>4229</v>
      </c>
      <c r="Y306" s="57" t="s">
        <v>3738</v>
      </c>
      <c r="Z306" s="57" t="s">
        <v>4230</v>
      </c>
      <c r="AA306" s="57" t="s">
        <v>3476</v>
      </c>
      <c r="AB306" s="57" t="s">
        <v>3476</v>
      </c>
      <c r="AC306" s="57" t="s">
        <v>3476</v>
      </c>
      <c r="AD306" s="57" t="s">
        <v>3476</v>
      </c>
      <c r="AE306" s="57" t="s">
        <v>3476</v>
      </c>
      <c r="AF306" s="57" t="s">
        <v>3476</v>
      </c>
      <c r="AG306" s="57" t="s">
        <v>3476</v>
      </c>
      <c r="AH306" s="57" t="s">
        <v>3476</v>
      </c>
      <c r="AI306" s="57" t="s">
        <v>3476</v>
      </c>
      <c r="AJ306" s="57" t="s">
        <v>3476</v>
      </c>
      <c r="AK306" s="57" t="s">
        <v>3476</v>
      </c>
      <c r="AL306" s="57" t="s">
        <v>3476</v>
      </c>
      <c r="AM306" s="57" t="s">
        <v>3476</v>
      </c>
      <c r="AN306" s="57" t="s">
        <v>3476</v>
      </c>
      <c r="AO306" s="57" t="s">
        <v>3476</v>
      </c>
      <c r="AP306" s="58">
        <v>45868.5322222222</v>
      </c>
      <c r="AQ306" s="57" t="s">
        <v>3476</v>
      </c>
      <c r="AR306" s="57" t="s">
        <v>3476</v>
      </c>
      <c r="AS306" s="57" t="s">
        <v>3502</v>
      </c>
      <c r="AT306" s="57" t="s">
        <v>3745</v>
      </c>
      <c r="AU306" s="57" t="s">
        <v>3476</v>
      </c>
      <c r="AV306" s="57" t="s">
        <v>3476</v>
      </c>
      <c r="AW306" s="58">
        <v>45868.4798726852</v>
      </c>
      <c r="AX306" s="57" t="s">
        <v>3476</v>
      </c>
      <c r="AY306" s="57" t="s">
        <v>3747</v>
      </c>
      <c r="AZ306" s="57" t="s">
        <v>3476</v>
      </c>
      <c r="BA306" s="57" t="s">
        <v>3476</v>
      </c>
      <c r="BB306" s="57" t="s">
        <v>3476</v>
      </c>
      <c r="BC306" s="57" t="s">
        <v>3791</v>
      </c>
      <c r="BD306" s="57" t="s">
        <v>3659</v>
      </c>
      <c r="BE306" s="57" t="s">
        <v>3787</v>
      </c>
      <c r="BF306" s="57" t="s">
        <v>3749</v>
      </c>
      <c r="BG306" s="57" t="s">
        <v>3476</v>
      </c>
      <c r="BH306" s="57" t="s">
        <v>3476</v>
      </c>
      <c r="BI306" s="57" t="s">
        <v>2809</v>
      </c>
      <c r="BJ306" s="57" t="s">
        <v>3476</v>
      </c>
      <c r="BK306" s="57" t="s">
        <v>3476</v>
      </c>
      <c r="BL306" s="57">
        <v>3649106</v>
      </c>
      <c r="BM306" s="57" t="s">
        <v>4231</v>
      </c>
      <c r="BN306" s="57">
        <v>40.8</v>
      </c>
      <c r="BO306" s="57" t="s">
        <v>3476</v>
      </c>
      <c r="BP306" s="57" t="s">
        <v>3476</v>
      </c>
      <c r="BQ306" s="57" t="s">
        <v>3476</v>
      </c>
      <c r="BR306" s="57" t="s">
        <v>4232</v>
      </c>
      <c r="BS306" s="57" t="s">
        <v>1292</v>
      </c>
      <c r="BT306" s="57" t="s">
        <v>3476</v>
      </c>
      <c r="BU306" s="57" t="s">
        <v>3476</v>
      </c>
      <c r="BV306" s="57" t="s">
        <v>3753</v>
      </c>
      <c r="BW306" s="57" t="s">
        <v>3476</v>
      </c>
      <c r="BX306" s="57">
        <v>40.8</v>
      </c>
      <c r="BY306" s="57" t="s">
        <v>3476</v>
      </c>
      <c r="BZ306" s="57" t="s">
        <v>3476</v>
      </c>
      <c r="CA306" s="57" t="s">
        <v>3476</v>
      </c>
      <c r="CB306" s="57" t="s">
        <v>3476</v>
      </c>
      <c r="CC306" s="57" t="s">
        <v>3476</v>
      </c>
      <c r="CD306" s="57" t="s">
        <v>3476</v>
      </c>
    </row>
    <row r="307" spans="1:82">
      <c r="A307" s="57">
        <v>29067</v>
      </c>
      <c r="B307" s="57" t="s">
        <v>3476</v>
      </c>
      <c r="C307" s="57" t="s">
        <v>4226</v>
      </c>
      <c r="D307" s="57" t="s">
        <v>3476</v>
      </c>
      <c r="E307" s="57" t="s">
        <v>3730</v>
      </c>
      <c r="F307" s="57" t="s">
        <v>4227</v>
      </c>
      <c r="G307" s="57" t="s">
        <v>721</v>
      </c>
      <c r="H307" s="57" t="s">
        <v>2874</v>
      </c>
      <c r="I307" s="57">
        <v>48856.48</v>
      </c>
      <c r="J307" s="57" t="s">
        <v>3476</v>
      </c>
      <c r="K307" s="57" t="s">
        <v>3476</v>
      </c>
      <c r="L307" s="57" t="s">
        <v>3730</v>
      </c>
      <c r="M307" s="57" t="s">
        <v>4228</v>
      </c>
      <c r="N307" s="57" t="s">
        <v>4228</v>
      </c>
      <c r="O307" s="57" t="s">
        <v>3476</v>
      </c>
      <c r="P307" s="57" t="s">
        <v>3476</v>
      </c>
      <c r="Q307" s="57" t="s">
        <v>2874</v>
      </c>
      <c r="R307" s="57" t="s">
        <v>3781</v>
      </c>
      <c r="S307" s="57" t="s">
        <v>3782</v>
      </c>
      <c r="T307" s="57" t="s">
        <v>3736</v>
      </c>
      <c r="U307" s="57" t="s">
        <v>3476</v>
      </c>
      <c r="V307" s="57" t="s">
        <v>3469</v>
      </c>
      <c r="W307" s="57" t="s">
        <v>3476</v>
      </c>
      <c r="X307" s="57" t="s">
        <v>4229</v>
      </c>
      <c r="Y307" s="57" t="s">
        <v>3738</v>
      </c>
      <c r="Z307" s="57" t="s">
        <v>4230</v>
      </c>
      <c r="AA307" s="57" t="s">
        <v>3476</v>
      </c>
      <c r="AB307" s="57" t="s">
        <v>3476</v>
      </c>
      <c r="AC307" s="57" t="s">
        <v>3476</v>
      </c>
      <c r="AD307" s="57" t="s">
        <v>3476</v>
      </c>
      <c r="AE307" s="57" t="s">
        <v>3476</v>
      </c>
      <c r="AF307" s="57" t="s">
        <v>3476</v>
      </c>
      <c r="AG307" s="57" t="s">
        <v>3476</v>
      </c>
      <c r="AH307" s="57" t="s">
        <v>3476</v>
      </c>
      <c r="AI307" s="57" t="s">
        <v>3476</v>
      </c>
      <c r="AJ307" s="57" t="s">
        <v>3476</v>
      </c>
      <c r="AK307" s="57" t="s">
        <v>3476</v>
      </c>
      <c r="AL307" s="57" t="s">
        <v>3476</v>
      </c>
      <c r="AM307" s="57" t="s">
        <v>3476</v>
      </c>
      <c r="AN307" s="57" t="s">
        <v>3476</v>
      </c>
      <c r="AO307" s="57" t="s">
        <v>3476</v>
      </c>
      <c r="AP307" s="58">
        <v>45868.5322222222</v>
      </c>
      <c r="AQ307" s="57" t="s">
        <v>3476</v>
      </c>
      <c r="AR307" s="57" t="s">
        <v>3476</v>
      </c>
      <c r="AS307" s="57" t="s">
        <v>3502</v>
      </c>
      <c r="AT307" s="57" t="s">
        <v>3745</v>
      </c>
      <c r="AU307" s="57" t="s">
        <v>3476</v>
      </c>
      <c r="AV307" s="57" t="s">
        <v>3476</v>
      </c>
      <c r="AW307" s="58">
        <v>45868.4798726852</v>
      </c>
      <c r="AX307" s="57" t="s">
        <v>3476</v>
      </c>
      <c r="AY307" s="57" t="s">
        <v>3747</v>
      </c>
      <c r="AZ307" s="57" t="s">
        <v>3476</v>
      </c>
      <c r="BA307" s="57" t="s">
        <v>3476</v>
      </c>
      <c r="BB307" s="57" t="s">
        <v>3476</v>
      </c>
      <c r="BC307" s="57" t="s">
        <v>3791</v>
      </c>
      <c r="BD307" s="57" t="s">
        <v>3659</v>
      </c>
      <c r="BE307" s="57" t="s">
        <v>3787</v>
      </c>
      <c r="BF307" s="57" t="s">
        <v>3749</v>
      </c>
      <c r="BG307" s="57" t="s">
        <v>3476</v>
      </c>
      <c r="BH307" s="57" t="s">
        <v>3476</v>
      </c>
      <c r="BI307" s="57" t="s">
        <v>2809</v>
      </c>
      <c r="BJ307" s="57" t="s">
        <v>3476</v>
      </c>
      <c r="BK307" s="57" t="s">
        <v>3476</v>
      </c>
      <c r="BL307" s="57">
        <v>3649107</v>
      </c>
      <c r="BM307" s="57" t="s">
        <v>4231</v>
      </c>
      <c r="BN307" s="57">
        <v>99</v>
      </c>
      <c r="BO307" s="57" t="s">
        <v>3476</v>
      </c>
      <c r="BP307" s="57" t="s">
        <v>3476</v>
      </c>
      <c r="BQ307" s="57" t="s">
        <v>3476</v>
      </c>
      <c r="BR307" s="57" t="s">
        <v>4232</v>
      </c>
      <c r="BS307" s="57" t="s">
        <v>1292</v>
      </c>
      <c r="BT307" s="57" t="s">
        <v>3476</v>
      </c>
      <c r="BU307" s="57" t="s">
        <v>3476</v>
      </c>
      <c r="BV307" s="57" t="s">
        <v>3753</v>
      </c>
      <c r="BW307" s="57" t="s">
        <v>3476</v>
      </c>
      <c r="BX307" s="57">
        <v>99</v>
      </c>
      <c r="BY307" s="57" t="s">
        <v>3476</v>
      </c>
      <c r="BZ307" s="57" t="s">
        <v>3476</v>
      </c>
      <c r="CA307" s="57" t="s">
        <v>3476</v>
      </c>
      <c r="CB307" s="57" t="s">
        <v>3476</v>
      </c>
      <c r="CC307" s="57" t="s">
        <v>3476</v>
      </c>
      <c r="CD307" s="57" t="s">
        <v>3476</v>
      </c>
    </row>
    <row r="308" spans="1:82">
      <c r="A308" s="57">
        <v>29068</v>
      </c>
      <c r="B308" s="57" t="s">
        <v>3476</v>
      </c>
      <c r="C308" s="57" t="s">
        <v>4226</v>
      </c>
      <c r="D308" s="57" t="s">
        <v>3476</v>
      </c>
      <c r="E308" s="57" t="s">
        <v>3730</v>
      </c>
      <c r="F308" s="57" t="s">
        <v>4227</v>
      </c>
      <c r="G308" s="57" t="s">
        <v>721</v>
      </c>
      <c r="H308" s="57" t="s">
        <v>2874</v>
      </c>
      <c r="I308" s="57">
        <v>48856.48</v>
      </c>
      <c r="J308" s="57" t="s">
        <v>3476</v>
      </c>
      <c r="K308" s="57" t="s">
        <v>3476</v>
      </c>
      <c r="L308" s="57" t="s">
        <v>3730</v>
      </c>
      <c r="M308" s="57" t="s">
        <v>4228</v>
      </c>
      <c r="N308" s="57" t="s">
        <v>4228</v>
      </c>
      <c r="O308" s="57" t="s">
        <v>3476</v>
      </c>
      <c r="P308" s="57" t="s">
        <v>3476</v>
      </c>
      <c r="Q308" s="57" t="s">
        <v>2874</v>
      </c>
      <c r="R308" s="57" t="s">
        <v>3781</v>
      </c>
      <c r="S308" s="57" t="s">
        <v>3782</v>
      </c>
      <c r="T308" s="57" t="s">
        <v>3736</v>
      </c>
      <c r="U308" s="57" t="s">
        <v>3476</v>
      </c>
      <c r="V308" s="57" t="s">
        <v>3469</v>
      </c>
      <c r="W308" s="57" t="s">
        <v>3476</v>
      </c>
      <c r="X308" s="57" t="s">
        <v>4229</v>
      </c>
      <c r="Y308" s="57" t="s">
        <v>3738</v>
      </c>
      <c r="Z308" s="57" t="s">
        <v>4230</v>
      </c>
      <c r="AA308" s="57" t="s">
        <v>3476</v>
      </c>
      <c r="AB308" s="57" t="s">
        <v>3476</v>
      </c>
      <c r="AC308" s="57" t="s">
        <v>3476</v>
      </c>
      <c r="AD308" s="57" t="s">
        <v>3476</v>
      </c>
      <c r="AE308" s="57" t="s">
        <v>3476</v>
      </c>
      <c r="AF308" s="57" t="s">
        <v>3476</v>
      </c>
      <c r="AG308" s="57" t="s">
        <v>3476</v>
      </c>
      <c r="AH308" s="57" t="s">
        <v>3476</v>
      </c>
      <c r="AI308" s="57" t="s">
        <v>3476</v>
      </c>
      <c r="AJ308" s="57" t="s">
        <v>3476</v>
      </c>
      <c r="AK308" s="57" t="s">
        <v>3476</v>
      </c>
      <c r="AL308" s="57" t="s">
        <v>3476</v>
      </c>
      <c r="AM308" s="57" t="s">
        <v>3476</v>
      </c>
      <c r="AN308" s="57" t="s">
        <v>3476</v>
      </c>
      <c r="AO308" s="57" t="s">
        <v>3476</v>
      </c>
      <c r="AP308" s="58">
        <v>45868.5322222222</v>
      </c>
      <c r="AQ308" s="57" t="s">
        <v>3476</v>
      </c>
      <c r="AR308" s="57" t="s">
        <v>3476</v>
      </c>
      <c r="AS308" s="57" t="s">
        <v>3502</v>
      </c>
      <c r="AT308" s="57" t="s">
        <v>3745</v>
      </c>
      <c r="AU308" s="57" t="s">
        <v>3476</v>
      </c>
      <c r="AV308" s="57" t="s">
        <v>3476</v>
      </c>
      <c r="AW308" s="58">
        <v>45868.4798726852</v>
      </c>
      <c r="AX308" s="57" t="s">
        <v>3476</v>
      </c>
      <c r="AY308" s="57" t="s">
        <v>3747</v>
      </c>
      <c r="AZ308" s="57" t="s">
        <v>3476</v>
      </c>
      <c r="BA308" s="57" t="s">
        <v>3476</v>
      </c>
      <c r="BB308" s="57" t="s">
        <v>3476</v>
      </c>
      <c r="BC308" s="57" t="s">
        <v>3791</v>
      </c>
      <c r="BD308" s="57" t="s">
        <v>3659</v>
      </c>
      <c r="BE308" s="57" t="s">
        <v>3787</v>
      </c>
      <c r="BF308" s="57" t="s">
        <v>3749</v>
      </c>
      <c r="BG308" s="57" t="s">
        <v>3476</v>
      </c>
      <c r="BH308" s="57" t="s">
        <v>3476</v>
      </c>
      <c r="BI308" s="57" t="s">
        <v>2809</v>
      </c>
      <c r="BJ308" s="57" t="s">
        <v>3476</v>
      </c>
      <c r="BK308" s="57" t="s">
        <v>3476</v>
      </c>
      <c r="BL308" s="57">
        <v>3649108</v>
      </c>
      <c r="BM308" s="57" t="s">
        <v>4231</v>
      </c>
      <c r="BN308" s="57">
        <v>36</v>
      </c>
      <c r="BO308" s="57" t="s">
        <v>3476</v>
      </c>
      <c r="BP308" s="57" t="s">
        <v>3476</v>
      </c>
      <c r="BQ308" s="57" t="s">
        <v>3476</v>
      </c>
      <c r="BR308" s="57" t="s">
        <v>4232</v>
      </c>
      <c r="BS308" s="57" t="s">
        <v>1292</v>
      </c>
      <c r="BT308" s="57" t="s">
        <v>3476</v>
      </c>
      <c r="BU308" s="57" t="s">
        <v>3476</v>
      </c>
      <c r="BV308" s="57" t="s">
        <v>3753</v>
      </c>
      <c r="BW308" s="57" t="s">
        <v>3476</v>
      </c>
      <c r="BX308" s="57">
        <v>36</v>
      </c>
      <c r="BY308" s="57" t="s">
        <v>3476</v>
      </c>
      <c r="BZ308" s="57" t="s">
        <v>3476</v>
      </c>
      <c r="CA308" s="57" t="s">
        <v>3476</v>
      </c>
      <c r="CB308" s="57" t="s">
        <v>3476</v>
      </c>
      <c r="CC308" s="57" t="s">
        <v>3476</v>
      </c>
      <c r="CD308" s="57" t="s">
        <v>3476</v>
      </c>
    </row>
    <row r="309" spans="1:82">
      <c r="A309" s="57">
        <v>29069</v>
      </c>
      <c r="B309" s="57" t="s">
        <v>3476</v>
      </c>
      <c r="C309" s="57" t="s">
        <v>4226</v>
      </c>
      <c r="D309" s="57" t="s">
        <v>3476</v>
      </c>
      <c r="E309" s="57" t="s">
        <v>3730</v>
      </c>
      <c r="F309" s="57" t="s">
        <v>4227</v>
      </c>
      <c r="G309" s="57" t="s">
        <v>721</v>
      </c>
      <c r="H309" s="57" t="s">
        <v>2874</v>
      </c>
      <c r="I309" s="57">
        <v>48856.48</v>
      </c>
      <c r="J309" s="57" t="s">
        <v>3476</v>
      </c>
      <c r="K309" s="57" t="s">
        <v>3476</v>
      </c>
      <c r="L309" s="57" t="s">
        <v>3730</v>
      </c>
      <c r="M309" s="57" t="s">
        <v>4228</v>
      </c>
      <c r="N309" s="57" t="s">
        <v>4228</v>
      </c>
      <c r="O309" s="57" t="s">
        <v>3476</v>
      </c>
      <c r="P309" s="57" t="s">
        <v>3476</v>
      </c>
      <c r="Q309" s="57" t="s">
        <v>2874</v>
      </c>
      <c r="R309" s="57" t="s">
        <v>3781</v>
      </c>
      <c r="S309" s="57" t="s">
        <v>3782</v>
      </c>
      <c r="T309" s="57" t="s">
        <v>3736</v>
      </c>
      <c r="U309" s="57" t="s">
        <v>3476</v>
      </c>
      <c r="V309" s="57" t="s">
        <v>3469</v>
      </c>
      <c r="W309" s="57" t="s">
        <v>3476</v>
      </c>
      <c r="X309" s="57" t="s">
        <v>4229</v>
      </c>
      <c r="Y309" s="57" t="s">
        <v>3738</v>
      </c>
      <c r="Z309" s="57" t="s">
        <v>4230</v>
      </c>
      <c r="AA309" s="57" t="s">
        <v>3476</v>
      </c>
      <c r="AB309" s="57" t="s">
        <v>3476</v>
      </c>
      <c r="AC309" s="57" t="s">
        <v>3476</v>
      </c>
      <c r="AD309" s="57" t="s">
        <v>3476</v>
      </c>
      <c r="AE309" s="57" t="s">
        <v>3476</v>
      </c>
      <c r="AF309" s="57" t="s">
        <v>3476</v>
      </c>
      <c r="AG309" s="57" t="s">
        <v>3476</v>
      </c>
      <c r="AH309" s="57" t="s">
        <v>3476</v>
      </c>
      <c r="AI309" s="57" t="s">
        <v>3476</v>
      </c>
      <c r="AJ309" s="57" t="s">
        <v>3476</v>
      </c>
      <c r="AK309" s="57" t="s">
        <v>3476</v>
      </c>
      <c r="AL309" s="57" t="s">
        <v>3476</v>
      </c>
      <c r="AM309" s="57" t="s">
        <v>3476</v>
      </c>
      <c r="AN309" s="57" t="s">
        <v>3476</v>
      </c>
      <c r="AO309" s="57" t="s">
        <v>3476</v>
      </c>
      <c r="AP309" s="58">
        <v>45868.5322222222</v>
      </c>
      <c r="AQ309" s="57" t="s">
        <v>3476</v>
      </c>
      <c r="AR309" s="57" t="s">
        <v>3476</v>
      </c>
      <c r="AS309" s="57" t="s">
        <v>3502</v>
      </c>
      <c r="AT309" s="57" t="s">
        <v>3745</v>
      </c>
      <c r="AU309" s="57" t="s">
        <v>3476</v>
      </c>
      <c r="AV309" s="57" t="s">
        <v>3476</v>
      </c>
      <c r="AW309" s="58">
        <v>45868.4798726852</v>
      </c>
      <c r="AX309" s="57" t="s">
        <v>3476</v>
      </c>
      <c r="AY309" s="57" t="s">
        <v>3747</v>
      </c>
      <c r="AZ309" s="57" t="s">
        <v>3476</v>
      </c>
      <c r="BA309" s="57" t="s">
        <v>3476</v>
      </c>
      <c r="BB309" s="57" t="s">
        <v>3476</v>
      </c>
      <c r="BC309" s="57" t="s">
        <v>3791</v>
      </c>
      <c r="BD309" s="57" t="s">
        <v>3659</v>
      </c>
      <c r="BE309" s="57" t="s">
        <v>3787</v>
      </c>
      <c r="BF309" s="57" t="s">
        <v>3749</v>
      </c>
      <c r="BG309" s="57" t="s">
        <v>3476</v>
      </c>
      <c r="BH309" s="57" t="s">
        <v>3476</v>
      </c>
      <c r="BI309" s="57" t="s">
        <v>2809</v>
      </c>
      <c r="BJ309" s="57" t="s">
        <v>3476</v>
      </c>
      <c r="BK309" s="57" t="s">
        <v>3476</v>
      </c>
      <c r="BL309" s="57">
        <v>3649109</v>
      </c>
      <c r="BM309" s="57" t="s">
        <v>4231</v>
      </c>
      <c r="BN309" s="57">
        <v>10</v>
      </c>
      <c r="BO309" s="57" t="s">
        <v>3476</v>
      </c>
      <c r="BP309" s="57" t="s">
        <v>3476</v>
      </c>
      <c r="BQ309" s="57" t="s">
        <v>3476</v>
      </c>
      <c r="BR309" s="57" t="s">
        <v>4232</v>
      </c>
      <c r="BS309" s="57" t="s">
        <v>1292</v>
      </c>
      <c r="BT309" s="57" t="s">
        <v>3476</v>
      </c>
      <c r="BU309" s="57" t="s">
        <v>3476</v>
      </c>
      <c r="BV309" s="57" t="s">
        <v>3753</v>
      </c>
      <c r="BW309" s="57" t="s">
        <v>3476</v>
      </c>
      <c r="BX309" s="57">
        <v>10</v>
      </c>
      <c r="BY309" s="57" t="s">
        <v>3476</v>
      </c>
      <c r="BZ309" s="57" t="s">
        <v>3476</v>
      </c>
      <c r="CA309" s="57" t="s">
        <v>3476</v>
      </c>
      <c r="CB309" s="57" t="s">
        <v>3476</v>
      </c>
      <c r="CC309" s="57" t="s">
        <v>3476</v>
      </c>
      <c r="CD309" s="57" t="s">
        <v>3476</v>
      </c>
    </row>
    <row r="310" spans="1:82">
      <c r="A310" s="57">
        <v>29070</v>
      </c>
      <c r="B310" s="57" t="s">
        <v>3476</v>
      </c>
      <c r="C310" s="57" t="s">
        <v>4226</v>
      </c>
      <c r="D310" s="57" t="s">
        <v>3476</v>
      </c>
      <c r="E310" s="57" t="s">
        <v>3730</v>
      </c>
      <c r="F310" s="57" t="s">
        <v>4227</v>
      </c>
      <c r="G310" s="57" t="s">
        <v>721</v>
      </c>
      <c r="H310" s="57" t="s">
        <v>2874</v>
      </c>
      <c r="I310" s="57">
        <v>48856.48</v>
      </c>
      <c r="J310" s="57" t="s">
        <v>3476</v>
      </c>
      <c r="K310" s="57" t="s">
        <v>3476</v>
      </c>
      <c r="L310" s="57" t="s">
        <v>3730</v>
      </c>
      <c r="M310" s="57" t="s">
        <v>4228</v>
      </c>
      <c r="N310" s="57" t="s">
        <v>4228</v>
      </c>
      <c r="O310" s="57" t="s">
        <v>3476</v>
      </c>
      <c r="P310" s="57" t="s">
        <v>3476</v>
      </c>
      <c r="Q310" s="57" t="s">
        <v>2874</v>
      </c>
      <c r="R310" s="57" t="s">
        <v>3781</v>
      </c>
      <c r="S310" s="57" t="s">
        <v>3782</v>
      </c>
      <c r="T310" s="57" t="s">
        <v>3736</v>
      </c>
      <c r="U310" s="57" t="s">
        <v>3476</v>
      </c>
      <c r="V310" s="57" t="s">
        <v>3469</v>
      </c>
      <c r="W310" s="57" t="s">
        <v>3476</v>
      </c>
      <c r="X310" s="57" t="s">
        <v>4229</v>
      </c>
      <c r="Y310" s="57" t="s">
        <v>3738</v>
      </c>
      <c r="Z310" s="57" t="s">
        <v>4230</v>
      </c>
      <c r="AA310" s="57" t="s">
        <v>3476</v>
      </c>
      <c r="AB310" s="57" t="s">
        <v>3476</v>
      </c>
      <c r="AC310" s="57" t="s">
        <v>3476</v>
      </c>
      <c r="AD310" s="57" t="s">
        <v>3476</v>
      </c>
      <c r="AE310" s="57" t="s">
        <v>3476</v>
      </c>
      <c r="AF310" s="57" t="s">
        <v>3476</v>
      </c>
      <c r="AG310" s="57" t="s">
        <v>3476</v>
      </c>
      <c r="AH310" s="57" t="s">
        <v>3476</v>
      </c>
      <c r="AI310" s="57" t="s">
        <v>3476</v>
      </c>
      <c r="AJ310" s="57" t="s">
        <v>3476</v>
      </c>
      <c r="AK310" s="57" t="s">
        <v>3476</v>
      </c>
      <c r="AL310" s="57" t="s">
        <v>3476</v>
      </c>
      <c r="AM310" s="57" t="s">
        <v>3476</v>
      </c>
      <c r="AN310" s="57" t="s">
        <v>3476</v>
      </c>
      <c r="AO310" s="57" t="s">
        <v>3476</v>
      </c>
      <c r="AP310" s="58">
        <v>45868.5322222222</v>
      </c>
      <c r="AQ310" s="57" t="s">
        <v>3476</v>
      </c>
      <c r="AR310" s="57" t="s">
        <v>3476</v>
      </c>
      <c r="AS310" s="57" t="s">
        <v>3502</v>
      </c>
      <c r="AT310" s="57" t="s">
        <v>3745</v>
      </c>
      <c r="AU310" s="57" t="s">
        <v>3476</v>
      </c>
      <c r="AV310" s="57" t="s">
        <v>3476</v>
      </c>
      <c r="AW310" s="58">
        <v>45868.4798726852</v>
      </c>
      <c r="AX310" s="57" t="s">
        <v>3476</v>
      </c>
      <c r="AY310" s="57" t="s">
        <v>3747</v>
      </c>
      <c r="AZ310" s="57" t="s">
        <v>3476</v>
      </c>
      <c r="BA310" s="57" t="s">
        <v>3476</v>
      </c>
      <c r="BB310" s="57" t="s">
        <v>3476</v>
      </c>
      <c r="BC310" s="57" t="s">
        <v>3791</v>
      </c>
      <c r="BD310" s="57" t="s">
        <v>3659</v>
      </c>
      <c r="BE310" s="57" t="s">
        <v>3787</v>
      </c>
      <c r="BF310" s="57" t="s">
        <v>3749</v>
      </c>
      <c r="BG310" s="57" t="s">
        <v>3476</v>
      </c>
      <c r="BH310" s="57" t="s">
        <v>3476</v>
      </c>
      <c r="BI310" s="57" t="s">
        <v>2809</v>
      </c>
      <c r="BJ310" s="57" t="s">
        <v>3476</v>
      </c>
      <c r="BK310" s="57" t="s">
        <v>3476</v>
      </c>
      <c r="BL310" s="57">
        <v>3649110</v>
      </c>
      <c r="BM310" s="57" t="s">
        <v>4231</v>
      </c>
      <c r="BN310" s="57">
        <v>40.8</v>
      </c>
      <c r="BO310" s="57" t="s">
        <v>3476</v>
      </c>
      <c r="BP310" s="57" t="s">
        <v>3476</v>
      </c>
      <c r="BQ310" s="57" t="s">
        <v>3476</v>
      </c>
      <c r="BR310" s="57" t="s">
        <v>4232</v>
      </c>
      <c r="BS310" s="57" t="s">
        <v>1292</v>
      </c>
      <c r="BT310" s="57" t="s">
        <v>3476</v>
      </c>
      <c r="BU310" s="57" t="s">
        <v>3476</v>
      </c>
      <c r="BV310" s="57" t="s">
        <v>3753</v>
      </c>
      <c r="BW310" s="57" t="s">
        <v>3476</v>
      </c>
      <c r="BX310" s="57">
        <v>40.8</v>
      </c>
      <c r="BY310" s="57" t="s">
        <v>3476</v>
      </c>
      <c r="BZ310" s="57" t="s">
        <v>3476</v>
      </c>
      <c r="CA310" s="57" t="s">
        <v>3476</v>
      </c>
      <c r="CB310" s="57" t="s">
        <v>3476</v>
      </c>
      <c r="CC310" s="57" t="s">
        <v>3476</v>
      </c>
      <c r="CD310" s="57" t="s">
        <v>3476</v>
      </c>
    </row>
    <row r="311" spans="1:82">
      <c r="A311" s="57">
        <v>29071</v>
      </c>
      <c r="B311" s="57" t="s">
        <v>3476</v>
      </c>
      <c r="C311" s="57" t="s">
        <v>4226</v>
      </c>
      <c r="D311" s="57" t="s">
        <v>3476</v>
      </c>
      <c r="E311" s="57" t="s">
        <v>3730</v>
      </c>
      <c r="F311" s="57" t="s">
        <v>4227</v>
      </c>
      <c r="G311" s="57" t="s">
        <v>721</v>
      </c>
      <c r="H311" s="57" t="s">
        <v>2874</v>
      </c>
      <c r="I311" s="57">
        <v>48856.48</v>
      </c>
      <c r="J311" s="57" t="s">
        <v>3476</v>
      </c>
      <c r="K311" s="57" t="s">
        <v>3476</v>
      </c>
      <c r="L311" s="57" t="s">
        <v>3730</v>
      </c>
      <c r="M311" s="57" t="s">
        <v>4228</v>
      </c>
      <c r="N311" s="57" t="s">
        <v>4228</v>
      </c>
      <c r="O311" s="57" t="s">
        <v>3476</v>
      </c>
      <c r="P311" s="57" t="s">
        <v>3476</v>
      </c>
      <c r="Q311" s="57" t="s">
        <v>2874</v>
      </c>
      <c r="R311" s="57" t="s">
        <v>3781</v>
      </c>
      <c r="S311" s="57" t="s">
        <v>3782</v>
      </c>
      <c r="T311" s="57" t="s">
        <v>3736</v>
      </c>
      <c r="U311" s="57" t="s">
        <v>3476</v>
      </c>
      <c r="V311" s="57" t="s">
        <v>3469</v>
      </c>
      <c r="W311" s="57" t="s">
        <v>3476</v>
      </c>
      <c r="X311" s="57" t="s">
        <v>4229</v>
      </c>
      <c r="Y311" s="57" t="s">
        <v>3738</v>
      </c>
      <c r="Z311" s="57" t="s">
        <v>4230</v>
      </c>
      <c r="AA311" s="57" t="s">
        <v>3476</v>
      </c>
      <c r="AB311" s="57" t="s">
        <v>3476</v>
      </c>
      <c r="AC311" s="57" t="s">
        <v>3476</v>
      </c>
      <c r="AD311" s="57" t="s">
        <v>3476</v>
      </c>
      <c r="AE311" s="57" t="s">
        <v>3476</v>
      </c>
      <c r="AF311" s="57" t="s">
        <v>3476</v>
      </c>
      <c r="AG311" s="57" t="s">
        <v>3476</v>
      </c>
      <c r="AH311" s="57" t="s">
        <v>3476</v>
      </c>
      <c r="AI311" s="57" t="s">
        <v>3476</v>
      </c>
      <c r="AJ311" s="57" t="s">
        <v>3476</v>
      </c>
      <c r="AK311" s="57" t="s">
        <v>3476</v>
      </c>
      <c r="AL311" s="57" t="s">
        <v>3476</v>
      </c>
      <c r="AM311" s="57" t="s">
        <v>3476</v>
      </c>
      <c r="AN311" s="57" t="s">
        <v>3476</v>
      </c>
      <c r="AO311" s="57" t="s">
        <v>3476</v>
      </c>
      <c r="AP311" s="58">
        <v>45868.5322222222</v>
      </c>
      <c r="AQ311" s="57" t="s">
        <v>3476</v>
      </c>
      <c r="AR311" s="57" t="s">
        <v>3476</v>
      </c>
      <c r="AS311" s="57" t="s">
        <v>3502</v>
      </c>
      <c r="AT311" s="57" t="s">
        <v>3745</v>
      </c>
      <c r="AU311" s="57" t="s">
        <v>3476</v>
      </c>
      <c r="AV311" s="57" t="s">
        <v>3476</v>
      </c>
      <c r="AW311" s="58">
        <v>45868.4798726852</v>
      </c>
      <c r="AX311" s="57" t="s">
        <v>3476</v>
      </c>
      <c r="AY311" s="57" t="s">
        <v>3747</v>
      </c>
      <c r="AZ311" s="57" t="s">
        <v>3476</v>
      </c>
      <c r="BA311" s="57" t="s">
        <v>3476</v>
      </c>
      <c r="BB311" s="57" t="s">
        <v>3476</v>
      </c>
      <c r="BC311" s="57" t="s">
        <v>1787</v>
      </c>
      <c r="BD311" s="57" t="s">
        <v>3659</v>
      </c>
      <c r="BE311" s="57" t="s">
        <v>3787</v>
      </c>
      <c r="BF311" s="57" t="s">
        <v>3749</v>
      </c>
      <c r="BG311" s="57" t="s">
        <v>3476</v>
      </c>
      <c r="BH311" s="57" t="s">
        <v>3476</v>
      </c>
      <c r="BI311" s="57" t="s">
        <v>2809</v>
      </c>
      <c r="BJ311" s="57" t="s">
        <v>3476</v>
      </c>
      <c r="BK311" s="57" t="s">
        <v>3476</v>
      </c>
      <c r="BL311" s="57">
        <v>3649111</v>
      </c>
      <c r="BM311" s="57" t="s">
        <v>4231</v>
      </c>
      <c r="BN311" s="57">
        <v>360</v>
      </c>
      <c r="BO311" s="57" t="s">
        <v>3476</v>
      </c>
      <c r="BP311" s="57" t="s">
        <v>3476</v>
      </c>
      <c r="BQ311" s="57" t="s">
        <v>3476</v>
      </c>
      <c r="BR311" s="57" t="s">
        <v>4232</v>
      </c>
      <c r="BS311" s="57" t="s">
        <v>1292</v>
      </c>
      <c r="BT311" s="57" t="s">
        <v>3476</v>
      </c>
      <c r="BU311" s="57" t="s">
        <v>3476</v>
      </c>
      <c r="BV311" s="57" t="s">
        <v>3753</v>
      </c>
      <c r="BW311" s="57" t="s">
        <v>3476</v>
      </c>
      <c r="BX311" s="57">
        <v>360</v>
      </c>
      <c r="BY311" s="57" t="s">
        <v>3476</v>
      </c>
      <c r="BZ311" s="57" t="s">
        <v>3476</v>
      </c>
      <c r="CA311" s="57" t="s">
        <v>3476</v>
      </c>
      <c r="CB311" s="57" t="s">
        <v>3476</v>
      </c>
      <c r="CC311" s="57" t="s">
        <v>3476</v>
      </c>
      <c r="CD311" s="57" t="s">
        <v>3476</v>
      </c>
    </row>
    <row r="312" spans="1:82">
      <c r="A312" s="57">
        <v>29072</v>
      </c>
      <c r="B312" s="57" t="s">
        <v>3476</v>
      </c>
      <c r="C312" s="57" t="s">
        <v>4226</v>
      </c>
      <c r="D312" s="57" t="s">
        <v>3476</v>
      </c>
      <c r="E312" s="57" t="s">
        <v>3730</v>
      </c>
      <c r="F312" s="57" t="s">
        <v>4227</v>
      </c>
      <c r="G312" s="57" t="s">
        <v>721</v>
      </c>
      <c r="H312" s="57" t="s">
        <v>2874</v>
      </c>
      <c r="I312" s="57">
        <v>48856.48</v>
      </c>
      <c r="J312" s="57" t="s">
        <v>3476</v>
      </c>
      <c r="K312" s="57" t="s">
        <v>3476</v>
      </c>
      <c r="L312" s="57" t="s">
        <v>3730</v>
      </c>
      <c r="M312" s="57" t="s">
        <v>4228</v>
      </c>
      <c r="N312" s="57" t="s">
        <v>4228</v>
      </c>
      <c r="O312" s="57" t="s">
        <v>3476</v>
      </c>
      <c r="P312" s="57" t="s">
        <v>3476</v>
      </c>
      <c r="Q312" s="57" t="s">
        <v>2874</v>
      </c>
      <c r="R312" s="57" t="s">
        <v>3781</v>
      </c>
      <c r="S312" s="57" t="s">
        <v>3782</v>
      </c>
      <c r="T312" s="57" t="s">
        <v>3736</v>
      </c>
      <c r="U312" s="57" t="s">
        <v>3476</v>
      </c>
      <c r="V312" s="57" t="s">
        <v>3469</v>
      </c>
      <c r="W312" s="57" t="s">
        <v>3476</v>
      </c>
      <c r="X312" s="57" t="s">
        <v>4229</v>
      </c>
      <c r="Y312" s="57" t="s">
        <v>3738</v>
      </c>
      <c r="Z312" s="57" t="s">
        <v>4230</v>
      </c>
      <c r="AA312" s="57" t="s">
        <v>3476</v>
      </c>
      <c r="AB312" s="57" t="s">
        <v>3476</v>
      </c>
      <c r="AC312" s="57" t="s">
        <v>3476</v>
      </c>
      <c r="AD312" s="57" t="s">
        <v>3476</v>
      </c>
      <c r="AE312" s="57" t="s">
        <v>3476</v>
      </c>
      <c r="AF312" s="57" t="s">
        <v>3476</v>
      </c>
      <c r="AG312" s="57" t="s">
        <v>3476</v>
      </c>
      <c r="AH312" s="57" t="s">
        <v>3476</v>
      </c>
      <c r="AI312" s="57" t="s">
        <v>3476</v>
      </c>
      <c r="AJ312" s="57" t="s">
        <v>3476</v>
      </c>
      <c r="AK312" s="57" t="s">
        <v>3476</v>
      </c>
      <c r="AL312" s="57" t="s">
        <v>3476</v>
      </c>
      <c r="AM312" s="57" t="s">
        <v>3476</v>
      </c>
      <c r="AN312" s="57" t="s">
        <v>3476</v>
      </c>
      <c r="AO312" s="57" t="s">
        <v>3476</v>
      </c>
      <c r="AP312" s="58">
        <v>45868.5322222222</v>
      </c>
      <c r="AQ312" s="57" t="s">
        <v>3476</v>
      </c>
      <c r="AR312" s="57" t="s">
        <v>3476</v>
      </c>
      <c r="AS312" s="57" t="s">
        <v>3502</v>
      </c>
      <c r="AT312" s="57" t="s">
        <v>3745</v>
      </c>
      <c r="AU312" s="57" t="s">
        <v>3476</v>
      </c>
      <c r="AV312" s="57" t="s">
        <v>3476</v>
      </c>
      <c r="AW312" s="58">
        <v>45868.4798726852</v>
      </c>
      <c r="AX312" s="57" t="s">
        <v>3476</v>
      </c>
      <c r="AY312" s="57" t="s">
        <v>3747</v>
      </c>
      <c r="AZ312" s="57" t="s">
        <v>3476</v>
      </c>
      <c r="BA312" s="57" t="s">
        <v>3476</v>
      </c>
      <c r="BB312" s="57" t="s">
        <v>3476</v>
      </c>
      <c r="BC312" s="57" t="s">
        <v>1787</v>
      </c>
      <c r="BD312" s="57" t="s">
        <v>3659</v>
      </c>
      <c r="BE312" s="57" t="s">
        <v>3787</v>
      </c>
      <c r="BF312" s="57" t="s">
        <v>3749</v>
      </c>
      <c r="BG312" s="57" t="s">
        <v>3476</v>
      </c>
      <c r="BH312" s="57" t="s">
        <v>3476</v>
      </c>
      <c r="BI312" s="57" t="s">
        <v>2809</v>
      </c>
      <c r="BJ312" s="57" t="s">
        <v>3476</v>
      </c>
      <c r="BK312" s="57" t="s">
        <v>3476</v>
      </c>
      <c r="BL312" s="57">
        <v>3649112</v>
      </c>
      <c r="BM312" s="57" t="s">
        <v>4231</v>
      </c>
      <c r="BN312" s="57">
        <v>252</v>
      </c>
      <c r="BO312" s="57" t="s">
        <v>3476</v>
      </c>
      <c r="BP312" s="57" t="s">
        <v>3476</v>
      </c>
      <c r="BQ312" s="57" t="s">
        <v>3476</v>
      </c>
      <c r="BR312" s="57" t="s">
        <v>4232</v>
      </c>
      <c r="BS312" s="57" t="s">
        <v>1292</v>
      </c>
      <c r="BT312" s="57" t="s">
        <v>3476</v>
      </c>
      <c r="BU312" s="57" t="s">
        <v>3476</v>
      </c>
      <c r="BV312" s="57" t="s">
        <v>3753</v>
      </c>
      <c r="BW312" s="57" t="s">
        <v>3476</v>
      </c>
      <c r="BX312" s="57">
        <v>252</v>
      </c>
      <c r="BY312" s="57" t="s">
        <v>3476</v>
      </c>
      <c r="BZ312" s="57" t="s">
        <v>3476</v>
      </c>
      <c r="CA312" s="57" t="s">
        <v>3476</v>
      </c>
      <c r="CB312" s="57" t="s">
        <v>3476</v>
      </c>
      <c r="CC312" s="57" t="s">
        <v>3476</v>
      </c>
      <c r="CD312" s="57" t="s">
        <v>3476</v>
      </c>
    </row>
    <row r="313" spans="1:82">
      <c r="A313" s="57">
        <v>29073</v>
      </c>
      <c r="B313" s="57" t="s">
        <v>3476</v>
      </c>
      <c r="C313" s="57" t="s">
        <v>4226</v>
      </c>
      <c r="D313" s="57" t="s">
        <v>3476</v>
      </c>
      <c r="E313" s="57" t="s">
        <v>3730</v>
      </c>
      <c r="F313" s="57" t="s">
        <v>4227</v>
      </c>
      <c r="G313" s="57" t="s">
        <v>721</v>
      </c>
      <c r="H313" s="57" t="s">
        <v>2874</v>
      </c>
      <c r="I313" s="57">
        <v>48856.48</v>
      </c>
      <c r="J313" s="57" t="s">
        <v>3476</v>
      </c>
      <c r="K313" s="57" t="s">
        <v>3476</v>
      </c>
      <c r="L313" s="57" t="s">
        <v>3730</v>
      </c>
      <c r="M313" s="57" t="s">
        <v>4228</v>
      </c>
      <c r="N313" s="57" t="s">
        <v>4228</v>
      </c>
      <c r="O313" s="57" t="s">
        <v>3476</v>
      </c>
      <c r="P313" s="57" t="s">
        <v>3476</v>
      </c>
      <c r="Q313" s="57" t="s">
        <v>2874</v>
      </c>
      <c r="R313" s="57" t="s">
        <v>3781</v>
      </c>
      <c r="S313" s="57" t="s">
        <v>3782</v>
      </c>
      <c r="T313" s="57" t="s">
        <v>3736</v>
      </c>
      <c r="U313" s="57" t="s">
        <v>3476</v>
      </c>
      <c r="V313" s="57" t="s">
        <v>3469</v>
      </c>
      <c r="W313" s="57" t="s">
        <v>3476</v>
      </c>
      <c r="X313" s="57" t="s">
        <v>4229</v>
      </c>
      <c r="Y313" s="57" t="s">
        <v>3738</v>
      </c>
      <c r="Z313" s="57" t="s">
        <v>4230</v>
      </c>
      <c r="AA313" s="57" t="s">
        <v>3476</v>
      </c>
      <c r="AB313" s="57" t="s">
        <v>3476</v>
      </c>
      <c r="AC313" s="57" t="s">
        <v>3476</v>
      </c>
      <c r="AD313" s="57" t="s">
        <v>3476</v>
      </c>
      <c r="AE313" s="57" t="s">
        <v>3476</v>
      </c>
      <c r="AF313" s="57" t="s">
        <v>3476</v>
      </c>
      <c r="AG313" s="57" t="s">
        <v>3476</v>
      </c>
      <c r="AH313" s="57" t="s">
        <v>3476</v>
      </c>
      <c r="AI313" s="57" t="s">
        <v>3476</v>
      </c>
      <c r="AJ313" s="57" t="s">
        <v>3476</v>
      </c>
      <c r="AK313" s="57" t="s">
        <v>3476</v>
      </c>
      <c r="AL313" s="57" t="s">
        <v>3476</v>
      </c>
      <c r="AM313" s="57" t="s">
        <v>3476</v>
      </c>
      <c r="AN313" s="57" t="s">
        <v>3476</v>
      </c>
      <c r="AO313" s="57" t="s">
        <v>3476</v>
      </c>
      <c r="AP313" s="58">
        <v>45868.5322222222</v>
      </c>
      <c r="AQ313" s="57" t="s">
        <v>3476</v>
      </c>
      <c r="AR313" s="57" t="s">
        <v>3476</v>
      </c>
      <c r="AS313" s="57" t="s">
        <v>3502</v>
      </c>
      <c r="AT313" s="57" t="s">
        <v>3745</v>
      </c>
      <c r="AU313" s="57" t="s">
        <v>3476</v>
      </c>
      <c r="AV313" s="57" t="s">
        <v>3476</v>
      </c>
      <c r="AW313" s="58">
        <v>45868.4798726852</v>
      </c>
      <c r="AX313" s="57" t="s">
        <v>3476</v>
      </c>
      <c r="AY313" s="57" t="s">
        <v>3747</v>
      </c>
      <c r="AZ313" s="57" t="s">
        <v>3476</v>
      </c>
      <c r="BA313" s="57" t="s">
        <v>3476</v>
      </c>
      <c r="BB313" s="57" t="s">
        <v>3476</v>
      </c>
      <c r="BC313" s="57" t="s">
        <v>1787</v>
      </c>
      <c r="BD313" s="57" t="s">
        <v>3659</v>
      </c>
      <c r="BE313" s="57" t="s">
        <v>3787</v>
      </c>
      <c r="BF313" s="57" t="s">
        <v>3749</v>
      </c>
      <c r="BG313" s="57" t="s">
        <v>3476</v>
      </c>
      <c r="BH313" s="57" t="s">
        <v>3476</v>
      </c>
      <c r="BI313" s="57" t="s">
        <v>2809</v>
      </c>
      <c r="BJ313" s="57" t="s">
        <v>3476</v>
      </c>
      <c r="BK313" s="57" t="s">
        <v>3476</v>
      </c>
      <c r="BL313" s="57">
        <v>3649113</v>
      </c>
      <c r="BM313" s="57" t="s">
        <v>4231</v>
      </c>
      <c r="BN313" s="57">
        <v>156</v>
      </c>
      <c r="BO313" s="57" t="s">
        <v>3476</v>
      </c>
      <c r="BP313" s="57" t="s">
        <v>3476</v>
      </c>
      <c r="BQ313" s="57" t="s">
        <v>3476</v>
      </c>
      <c r="BR313" s="57" t="s">
        <v>4232</v>
      </c>
      <c r="BS313" s="57" t="s">
        <v>1292</v>
      </c>
      <c r="BT313" s="57" t="s">
        <v>3476</v>
      </c>
      <c r="BU313" s="57" t="s">
        <v>3476</v>
      </c>
      <c r="BV313" s="57" t="s">
        <v>3753</v>
      </c>
      <c r="BW313" s="57" t="s">
        <v>3476</v>
      </c>
      <c r="BX313" s="57">
        <v>156</v>
      </c>
      <c r="BY313" s="57" t="s">
        <v>3476</v>
      </c>
      <c r="BZ313" s="57" t="s">
        <v>3476</v>
      </c>
      <c r="CA313" s="57" t="s">
        <v>3476</v>
      </c>
      <c r="CB313" s="57" t="s">
        <v>3476</v>
      </c>
      <c r="CC313" s="57" t="s">
        <v>3476</v>
      </c>
      <c r="CD313" s="57" t="s">
        <v>3476</v>
      </c>
    </row>
    <row r="314" spans="1:82">
      <c r="A314" s="57">
        <v>29074</v>
      </c>
      <c r="B314" s="57" t="s">
        <v>3476</v>
      </c>
      <c r="C314" s="57" t="s">
        <v>4226</v>
      </c>
      <c r="D314" s="57" t="s">
        <v>3476</v>
      </c>
      <c r="E314" s="57" t="s">
        <v>3730</v>
      </c>
      <c r="F314" s="57" t="s">
        <v>4227</v>
      </c>
      <c r="G314" s="57" t="s">
        <v>721</v>
      </c>
      <c r="H314" s="57" t="s">
        <v>2874</v>
      </c>
      <c r="I314" s="57">
        <v>48856.48</v>
      </c>
      <c r="J314" s="57" t="s">
        <v>3476</v>
      </c>
      <c r="K314" s="57" t="s">
        <v>3476</v>
      </c>
      <c r="L314" s="57" t="s">
        <v>3730</v>
      </c>
      <c r="M314" s="57" t="s">
        <v>4228</v>
      </c>
      <c r="N314" s="57" t="s">
        <v>4228</v>
      </c>
      <c r="O314" s="57" t="s">
        <v>3476</v>
      </c>
      <c r="P314" s="57" t="s">
        <v>3476</v>
      </c>
      <c r="Q314" s="57" t="s">
        <v>2874</v>
      </c>
      <c r="R314" s="57" t="s">
        <v>3781</v>
      </c>
      <c r="S314" s="57" t="s">
        <v>3782</v>
      </c>
      <c r="T314" s="57" t="s">
        <v>3736</v>
      </c>
      <c r="U314" s="57" t="s">
        <v>3476</v>
      </c>
      <c r="V314" s="57" t="s">
        <v>3469</v>
      </c>
      <c r="W314" s="57" t="s">
        <v>3476</v>
      </c>
      <c r="X314" s="57" t="s">
        <v>4229</v>
      </c>
      <c r="Y314" s="57" t="s">
        <v>3738</v>
      </c>
      <c r="Z314" s="57" t="s">
        <v>4230</v>
      </c>
      <c r="AA314" s="57" t="s">
        <v>3476</v>
      </c>
      <c r="AB314" s="57" t="s">
        <v>3476</v>
      </c>
      <c r="AC314" s="57" t="s">
        <v>3476</v>
      </c>
      <c r="AD314" s="57" t="s">
        <v>3476</v>
      </c>
      <c r="AE314" s="57" t="s">
        <v>3476</v>
      </c>
      <c r="AF314" s="57" t="s">
        <v>3476</v>
      </c>
      <c r="AG314" s="57" t="s">
        <v>3476</v>
      </c>
      <c r="AH314" s="57" t="s">
        <v>3476</v>
      </c>
      <c r="AI314" s="57" t="s">
        <v>3476</v>
      </c>
      <c r="AJ314" s="57" t="s">
        <v>3476</v>
      </c>
      <c r="AK314" s="57" t="s">
        <v>3476</v>
      </c>
      <c r="AL314" s="57" t="s">
        <v>3476</v>
      </c>
      <c r="AM314" s="57" t="s">
        <v>3476</v>
      </c>
      <c r="AN314" s="57" t="s">
        <v>3476</v>
      </c>
      <c r="AO314" s="57" t="s">
        <v>3476</v>
      </c>
      <c r="AP314" s="58">
        <v>45868.5322222222</v>
      </c>
      <c r="AQ314" s="57" t="s">
        <v>3476</v>
      </c>
      <c r="AR314" s="57" t="s">
        <v>3476</v>
      </c>
      <c r="AS314" s="57" t="s">
        <v>3502</v>
      </c>
      <c r="AT314" s="57" t="s">
        <v>3745</v>
      </c>
      <c r="AU314" s="57" t="s">
        <v>3476</v>
      </c>
      <c r="AV314" s="57" t="s">
        <v>3476</v>
      </c>
      <c r="AW314" s="58">
        <v>45868.4798726852</v>
      </c>
      <c r="AX314" s="57" t="s">
        <v>3476</v>
      </c>
      <c r="AY314" s="57" t="s">
        <v>3747</v>
      </c>
      <c r="AZ314" s="57" t="s">
        <v>3476</v>
      </c>
      <c r="BA314" s="57" t="s">
        <v>3476</v>
      </c>
      <c r="BB314" s="57" t="s">
        <v>3476</v>
      </c>
      <c r="BC314" s="57" t="s">
        <v>1787</v>
      </c>
      <c r="BD314" s="57" t="s">
        <v>3659</v>
      </c>
      <c r="BE314" s="57" t="s">
        <v>3787</v>
      </c>
      <c r="BF314" s="57" t="s">
        <v>3749</v>
      </c>
      <c r="BG314" s="57" t="s">
        <v>3476</v>
      </c>
      <c r="BH314" s="57" t="s">
        <v>3476</v>
      </c>
      <c r="BI314" s="57" t="s">
        <v>2809</v>
      </c>
      <c r="BJ314" s="57" t="s">
        <v>3476</v>
      </c>
      <c r="BK314" s="57" t="s">
        <v>3476</v>
      </c>
      <c r="BL314" s="57">
        <v>3649114</v>
      </c>
      <c r="BM314" s="57" t="s">
        <v>4231</v>
      </c>
      <c r="BN314" s="57">
        <v>28</v>
      </c>
      <c r="BO314" s="57" t="s">
        <v>3476</v>
      </c>
      <c r="BP314" s="57" t="s">
        <v>3476</v>
      </c>
      <c r="BQ314" s="57" t="s">
        <v>3476</v>
      </c>
      <c r="BR314" s="57" t="s">
        <v>4232</v>
      </c>
      <c r="BS314" s="57" t="s">
        <v>1292</v>
      </c>
      <c r="BT314" s="57" t="s">
        <v>3476</v>
      </c>
      <c r="BU314" s="57" t="s">
        <v>3476</v>
      </c>
      <c r="BV314" s="57" t="s">
        <v>3753</v>
      </c>
      <c r="BW314" s="57" t="s">
        <v>3476</v>
      </c>
      <c r="BX314" s="57">
        <v>28</v>
      </c>
      <c r="BY314" s="57" t="s">
        <v>3476</v>
      </c>
      <c r="BZ314" s="57" t="s">
        <v>3476</v>
      </c>
      <c r="CA314" s="57" t="s">
        <v>3476</v>
      </c>
      <c r="CB314" s="57" t="s">
        <v>3476</v>
      </c>
      <c r="CC314" s="57" t="s">
        <v>3476</v>
      </c>
      <c r="CD314" s="57" t="s">
        <v>3476</v>
      </c>
    </row>
    <row r="315" spans="1:82">
      <c r="A315" s="57">
        <v>29075</v>
      </c>
      <c r="B315" s="57" t="s">
        <v>3476</v>
      </c>
      <c r="C315" s="57" t="s">
        <v>4226</v>
      </c>
      <c r="D315" s="57" t="s">
        <v>3476</v>
      </c>
      <c r="E315" s="57" t="s">
        <v>3730</v>
      </c>
      <c r="F315" s="57" t="s">
        <v>4227</v>
      </c>
      <c r="G315" s="57" t="s">
        <v>721</v>
      </c>
      <c r="H315" s="57" t="s">
        <v>2874</v>
      </c>
      <c r="I315" s="57">
        <v>48856.48</v>
      </c>
      <c r="J315" s="57" t="s">
        <v>3476</v>
      </c>
      <c r="K315" s="57" t="s">
        <v>3476</v>
      </c>
      <c r="L315" s="57" t="s">
        <v>3730</v>
      </c>
      <c r="M315" s="57" t="s">
        <v>4228</v>
      </c>
      <c r="N315" s="57" t="s">
        <v>4228</v>
      </c>
      <c r="O315" s="57" t="s">
        <v>3476</v>
      </c>
      <c r="P315" s="57" t="s">
        <v>3476</v>
      </c>
      <c r="Q315" s="57" t="s">
        <v>2874</v>
      </c>
      <c r="R315" s="57" t="s">
        <v>3781</v>
      </c>
      <c r="S315" s="57" t="s">
        <v>3782</v>
      </c>
      <c r="T315" s="57" t="s">
        <v>3736</v>
      </c>
      <c r="U315" s="57" t="s">
        <v>3476</v>
      </c>
      <c r="V315" s="57" t="s">
        <v>3469</v>
      </c>
      <c r="W315" s="57" t="s">
        <v>3476</v>
      </c>
      <c r="X315" s="57" t="s">
        <v>4229</v>
      </c>
      <c r="Y315" s="57" t="s">
        <v>3738</v>
      </c>
      <c r="Z315" s="57" t="s">
        <v>4230</v>
      </c>
      <c r="AA315" s="57" t="s">
        <v>3476</v>
      </c>
      <c r="AB315" s="57" t="s">
        <v>3476</v>
      </c>
      <c r="AC315" s="57" t="s">
        <v>3476</v>
      </c>
      <c r="AD315" s="57" t="s">
        <v>3476</v>
      </c>
      <c r="AE315" s="57" t="s">
        <v>3476</v>
      </c>
      <c r="AF315" s="57" t="s">
        <v>3476</v>
      </c>
      <c r="AG315" s="57" t="s">
        <v>3476</v>
      </c>
      <c r="AH315" s="57" t="s">
        <v>3476</v>
      </c>
      <c r="AI315" s="57" t="s">
        <v>3476</v>
      </c>
      <c r="AJ315" s="57" t="s">
        <v>3476</v>
      </c>
      <c r="AK315" s="57" t="s">
        <v>3476</v>
      </c>
      <c r="AL315" s="57" t="s">
        <v>3476</v>
      </c>
      <c r="AM315" s="57" t="s">
        <v>3476</v>
      </c>
      <c r="AN315" s="57" t="s">
        <v>3476</v>
      </c>
      <c r="AO315" s="57" t="s">
        <v>3476</v>
      </c>
      <c r="AP315" s="58">
        <v>45868.5322222222</v>
      </c>
      <c r="AQ315" s="57" t="s">
        <v>3476</v>
      </c>
      <c r="AR315" s="57" t="s">
        <v>3476</v>
      </c>
      <c r="AS315" s="57" t="s">
        <v>3502</v>
      </c>
      <c r="AT315" s="57" t="s">
        <v>3745</v>
      </c>
      <c r="AU315" s="57" t="s">
        <v>3476</v>
      </c>
      <c r="AV315" s="57" t="s">
        <v>3476</v>
      </c>
      <c r="AW315" s="58">
        <v>45868.4798726852</v>
      </c>
      <c r="AX315" s="57" t="s">
        <v>3476</v>
      </c>
      <c r="AY315" s="57" t="s">
        <v>3747</v>
      </c>
      <c r="AZ315" s="57" t="s">
        <v>3476</v>
      </c>
      <c r="BA315" s="57" t="s">
        <v>3476</v>
      </c>
      <c r="BB315" s="57" t="s">
        <v>3476</v>
      </c>
      <c r="BC315" s="57" t="s">
        <v>3790</v>
      </c>
      <c r="BD315" s="57" t="s">
        <v>3659</v>
      </c>
      <c r="BE315" s="57" t="s">
        <v>3787</v>
      </c>
      <c r="BF315" s="57" t="s">
        <v>3749</v>
      </c>
      <c r="BG315" s="57" t="s">
        <v>3476</v>
      </c>
      <c r="BH315" s="57" t="s">
        <v>3476</v>
      </c>
      <c r="BI315" s="57" t="s">
        <v>2809</v>
      </c>
      <c r="BJ315" s="57" t="s">
        <v>3476</v>
      </c>
      <c r="BK315" s="57" t="s">
        <v>3476</v>
      </c>
      <c r="BL315" s="57">
        <v>3649115</v>
      </c>
      <c r="BM315" s="57" t="s">
        <v>4231</v>
      </c>
      <c r="BN315" s="57">
        <v>392</v>
      </c>
      <c r="BO315" s="57" t="s">
        <v>3476</v>
      </c>
      <c r="BP315" s="57" t="s">
        <v>3476</v>
      </c>
      <c r="BQ315" s="57" t="s">
        <v>3476</v>
      </c>
      <c r="BR315" s="57" t="s">
        <v>4232</v>
      </c>
      <c r="BS315" s="57" t="s">
        <v>1292</v>
      </c>
      <c r="BT315" s="57" t="s">
        <v>3476</v>
      </c>
      <c r="BU315" s="57" t="s">
        <v>3476</v>
      </c>
      <c r="BV315" s="57" t="s">
        <v>3753</v>
      </c>
      <c r="BW315" s="57" t="s">
        <v>3476</v>
      </c>
      <c r="BX315" s="57">
        <v>392</v>
      </c>
      <c r="BY315" s="57" t="s">
        <v>3476</v>
      </c>
      <c r="BZ315" s="57" t="s">
        <v>3476</v>
      </c>
      <c r="CA315" s="57" t="s">
        <v>3476</v>
      </c>
      <c r="CB315" s="57" t="s">
        <v>3476</v>
      </c>
      <c r="CC315" s="57" t="s">
        <v>3476</v>
      </c>
      <c r="CD315" s="57" t="s">
        <v>3476</v>
      </c>
    </row>
    <row r="316" spans="1:82">
      <c r="A316" s="57">
        <v>29076</v>
      </c>
      <c r="B316" s="57" t="s">
        <v>3476</v>
      </c>
      <c r="C316" s="57" t="s">
        <v>4226</v>
      </c>
      <c r="D316" s="57" t="s">
        <v>3476</v>
      </c>
      <c r="E316" s="57" t="s">
        <v>3730</v>
      </c>
      <c r="F316" s="57" t="s">
        <v>4227</v>
      </c>
      <c r="G316" s="57" t="s">
        <v>721</v>
      </c>
      <c r="H316" s="57" t="s">
        <v>2874</v>
      </c>
      <c r="I316" s="57">
        <v>48856.48</v>
      </c>
      <c r="J316" s="57" t="s">
        <v>3476</v>
      </c>
      <c r="K316" s="57" t="s">
        <v>3476</v>
      </c>
      <c r="L316" s="57" t="s">
        <v>3730</v>
      </c>
      <c r="M316" s="57" t="s">
        <v>4228</v>
      </c>
      <c r="N316" s="57" t="s">
        <v>4228</v>
      </c>
      <c r="O316" s="57" t="s">
        <v>3476</v>
      </c>
      <c r="P316" s="57" t="s">
        <v>3476</v>
      </c>
      <c r="Q316" s="57" t="s">
        <v>2874</v>
      </c>
      <c r="R316" s="57" t="s">
        <v>3781</v>
      </c>
      <c r="S316" s="57" t="s">
        <v>3782</v>
      </c>
      <c r="T316" s="57" t="s">
        <v>3736</v>
      </c>
      <c r="U316" s="57" t="s">
        <v>3476</v>
      </c>
      <c r="V316" s="57" t="s">
        <v>3469</v>
      </c>
      <c r="W316" s="57" t="s">
        <v>3476</v>
      </c>
      <c r="X316" s="57" t="s">
        <v>4229</v>
      </c>
      <c r="Y316" s="57" t="s">
        <v>3738</v>
      </c>
      <c r="Z316" s="57" t="s">
        <v>4230</v>
      </c>
      <c r="AA316" s="57" t="s">
        <v>3476</v>
      </c>
      <c r="AB316" s="57" t="s">
        <v>3476</v>
      </c>
      <c r="AC316" s="57" t="s">
        <v>3476</v>
      </c>
      <c r="AD316" s="57" t="s">
        <v>3476</v>
      </c>
      <c r="AE316" s="57" t="s">
        <v>3476</v>
      </c>
      <c r="AF316" s="57" t="s">
        <v>3476</v>
      </c>
      <c r="AG316" s="57" t="s">
        <v>3476</v>
      </c>
      <c r="AH316" s="57" t="s">
        <v>3476</v>
      </c>
      <c r="AI316" s="57" t="s">
        <v>3476</v>
      </c>
      <c r="AJ316" s="57" t="s">
        <v>3476</v>
      </c>
      <c r="AK316" s="57" t="s">
        <v>3476</v>
      </c>
      <c r="AL316" s="57" t="s">
        <v>3476</v>
      </c>
      <c r="AM316" s="57" t="s">
        <v>3476</v>
      </c>
      <c r="AN316" s="57" t="s">
        <v>3476</v>
      </c>
      <c r="AO316" s="57" t="s">
        <v>3476</v>
      </c>
      <c r="AP316" s="58">
        <v>45868.5322222222</v>
      </c>
      <c r="AQ316" s="57" t="s">
        <v>3476</v>
      </c>
      <c r="AR316" s="57" t="s">
        <v>3476</v>
      </c>
      <c r="AS316" s="57" t="s">
        <v>3502</v>
      </c>
      <c r="AT316" s="57" t="s">
        <v>3745</v>
      </c>
      <c r="AU316" s="57" t="s">
        <v>3476</v>
      </c>
      <c r="AV316" s="57" t="s">
        <v>3476</v>
      </c>
      <c r="AW316" s="58">
        <v>45868.4798726852</v>
      </c>
      <c r="AX316" s="57" t="s">
        <v>3476</v>
      </c>
      <c r="AY316" s="57" t="s">
        <v>3747</v>
      </c>
      <c r="AZ316" s="57" t="s">
        <v>3476</v>
      </c>
      <c r="BA316" s="57" t="s">
        <v>3476</v>
      </c>
      <c r="BB316" s="57" t="s">
        <v>3476</v>
      </c>
      <c r="BC316" s="57" t="s">
        <v>3791</v>
      </c>
      <c r="BD316" s="57" t="s">
        <v>3659</v>
      </c>
      <c r="BE316" s="57" t="s">
        <v>3787</v>
      </c>
      <c r="BF316" s="57" t="s">
        <v>3749</v>
      </c>
      <c r="BG316" s="57" t="s">
        <v>3476</v>
      </c>
      <c r="BH316" s="57" t="s">
        <v>3476</v>
      </c>
      <c r="BI316" s="57" t="s">
        <v>2809</v>
      </c>
      <c r="BJ316" s="57" t="s">
        <v>3476</v>
      </c>
      <c r="BK316" s="57" t="s">
        <v>3476</v>
      </c>
      <c r="BL316" s="57">
        <v>3649116</v>
      </c>
      <c r="BM316" s="57" t="s">
        <v>4231</v>
      </c>
      <c r="BN316" s="57">
        <v>126.83</v>
      </c>
      <c r="BO316" s="57" t="s">
        <v>3476</v>
      </c>
      <c r="BP316" s="57" t="s">
        <v>3476</v>
      </c>
      <c r="BQ316" s="57" t="s">
        <v>3476</v>
      </c>
      <c r="BR316" s="57" t="s">
        <v>4232</v>
      </c>
      <c r="BS316" s="57" t="s">
        <v>1292</v>
      </c>
      <c r="BT316" s="57" t="s">
        <v>3476</v>
      </c>
      <c r="BU316" s="57" t="s">
        <v>3476</v>
      </c>
      <c r="BV316" s="57" t="s">
        <v>3753</v>
      </c>
      <c r="BW316" s="57" t="s">
        <v>3476</v>
      </c>
      <c r="BX316" s="57">
        <v>126.83</v>
      </c>
      <c r="BY316" s="57" t="s">
        <v>3476</v>
      </c>
      <c r="BZ316" s="57" t="s">
        <v>3476</v>
      </c>
      <c r="CA316" s="57" t="s">
        <v>3476</v>
      </c>
      <c r="CB316" s="57" t="s">
        <v>3476</v>
      </c>
      <c r="CC316" s="57" t="s">
        <v>3476</v>
      </c>
      <c r="CD316" s="57" t="s">
        <v>3476</v>
      </c>
    </row>
    <row r="317" spans="1:82">
      <c r="A317" s="57">
        <v>29077</v>
      </c>
      <c r="B317" s="57" t="s">
        <v>3476</v>
      </c>
      <c r="C317" s="57" t="s">
        <v>4226</v>
      </c>
      <c r="D317" s="57" t="s">
        <v>3476</v>
      </c>
      <c r="E317" s="57" t="s">
        <v>3730</v>
      </c>
      <c r="F317" s="57" t="s">
        <v>4227</v>
      </c>
      <c r="G317" s="57" t="s">
        <v>721</v>
      </c>
      <c r="H317" s="57" t="s">
        <v>2874</v>
      </c>
      <c r="I317" s="57">
        <v>48856.48</v>
      </c>
      <c r="J317" s="57" t="s">
        <v>3476</v>
      </c>
      <c r="K317" s="57" t="s">
        <v>3476</v>
      </c>
      <c r="L317" s="57" t="s">
        <v>3730</v>
      </c>
      <c r="M317" s="57" t="s">
        <v>4228</v>
      </c>
      <c r="N317" s="57" t="s">
        <v>4228</v>
      </c>
      <c r="O317" s="57" t="s">
        <v>3476</v>
      </c>
      <c r="P317" s="57" t="s">
        <v>3476</v>
      </c>
      <c r="Q317" s="57" t="s">
        <v>2874</v>
      </c>
      <c r="R317" s="57" t="s">
        <v>3781</v>
      </c>
      <c r="S317" s="57" t="s">
        <v>3782</v>
      </c>
      <c r="T317" s="57" t="s">
        <v>3736</v>
      </c>
      <c r="U317" s="57" t="s">
        <v>3476</v>
      </c>
      <c r="V317" s="57" t="s">
        <v>3469</v>
      </c>
      <c r="W317" s="57" t="s">
        <v>3476</v>
      </c>
      <c r="X317" s="57" t="s">
        <v>4229</v>
      </c>
      <c r="Y317" s="57" t="s">
        <v>3738</v>
      </c>
      <c r="Z317" s="57" t="s">
        <v>4230</v>
      </c>
      <c r="AA317" s="57" t="s">
        <v>3476</v>
      </c>
      <c r="AB317" s="57" t="s">
        <v>3476</v>
      </c>
      <c r="AC317" s="57" t="s">
        <v>3476</v>
      </c>
      <c r="AD317" s="57" t="s">
        <v>3476</v>
      </c>
      <c r="AE317" s="57" t="s">
        <v>3476</v>
      </c>
      <c r="AF317" s="57" t="s">
        <v>3476</v>
      </c>
      <c r="AG317" s="57" t="s">
        <v>3476</v>
      </c>
      <c r="AH317" s="57" t="s">
        <v>3476</v>
      </c>
      <c r="AI317" s="57" t="s">
        <v>3476</v>
      </c>
      <c r="AJ317" s="57" t="s">
        <v>3476</v>
      </c>
      <c r="AK317" s="57" t="s">
        <v>3476</v>
      </c>
      <c r="AL317" s="57" t="s">
        <v>3476</v>
      </c>
      <c r="AM317" s="57" t="s">
        <v>3476</v>
      </c>
      <c r="AN317" s="57" t="s">
        <v>3476</v>
      </c>
      <c r="AO317" s="57" t="s">
        <v>3476</v>
      </c>
      <c r="AP317" s="58">
        <v>45868.5322222222</v>
      </c>
      <c r="AQ317" s="57" t="s">
        <v>3476</v>
      </c>
      <c r="AR317" s="57" t="s">
        <v>3476</v>
      </c>
      <c r="AS317" s="57" t="s">
        <v>3502</v>
      </c>
      <c r="AT317" s="57" t="s">
        <v>3745</v>
      </c>
      <c r="AU317" s="57" t="s">
        <v>3476</v>
      </c>
      <c r="AV317" s="57" t="s">
        <v>3476</v>
      </c>
      <c r="AW317" s="58">
        <v>45868.4798726852</v>
      </c>
      <c r="AX317" s="57" t="s">
        <v>3476</v>
      </c>
      <c r="AY317" s="57" t="s">
        <v>3747</v>
      </c>
      <c r="AZ317" s="57" t="s">
        <v>3476</v>
      </c>
      <c r="BA317" s="57" t="s">
        <v>3476</v>
      </c>
      <c r="BB317" s="57" t="s">
        <v>3476</v>
      </c>
      <c r="BC317" s="57" t="s">
        <v>1787</v>
      </c>
      <c r="BD317" s="57" t="s">
        <v>3659</v>
      </c>
      <c r="BE317" s="57" t="s">
        <v>3787</v>
      </c>
      <c r="BF317" s="57" t="s">
        <v>3749</v>
      </c>
      <c r="BG317" s="57" t="s">
        <v>3476</v>
      </c>
      <c r="BH317" s="57" t="s">
        <v>3476</v>
      </c>
      <c r="BI317" s="57" t="s">
        <v>2809</v>
      </c>
      <c r="BJ317" s="57" t="s">
        <v>3476</v>
      </c>
      <c r="BK317" s="57" t="s">
        <v>3476</v>
      </c>
      <c r="BL317" s="57">
        <v>3649117</v>
      </c>
      <c r="BM317" s="57" t="s">
        <v>4231</v>
      </c>
      <c r="BN317" s="57">
        <v>18</v>
      </c>
      <c r="BO317" s="57" t="s">
        <v>3476</v>
      </c>
      <c r="BP317" s="57" t="s">
        <v>3476</v>
      </c>
      <c r="BQ317" s="57" t="s">
        <v>3476</v>
      </c>
      <c r="BR317" s="57" t="s">
        <v>4232</v>
      </c>
      <c r="BS317" s="57" t="s">
        <v>1292</v>
      </c>
      <c r="BT317" s="57" t="s">
        <v>3476</v>
      </c>
      <c r="BU317" s="57" t="s">
        <v>3476</v>
      </c>
      <c r="BV317" s="57" t="s">
        <v>3753</v>
      </c>
      <c r="BW317" s="57" t="s">
        <v>3476</v>
      </c>
      <c r="BX317" s="57">
        <v>18</v>
      </c>
      <c r="BY317" s="57" t="s">
        <v>3476</v>
      </c>
      <c r="BZ317" s="57" t="s">
        <v>3476</v>
      </c>
      <c r="CA317" s="57" t="s">
        <v>3476</v>
      </c>
      <c r="CB317" s="57" t="s">
        <v>3476</v>
      </c>
      <c r="CC317" s="57" t="s">
        <v>3476</v>
      </c>
      <c r="CD317" s="57" t="s">
        <v>3476</v>
      </c>
    </row>
    <row r="318" spans="1:82">
      <c r="A318" s="57">
        <v>29078</v>
      </c>
      <c r="B318" s="57" t="s">
        <v>3476</v>
      </c>
      <c r="C318" s="57" t="s">
        <v>4226</v>
      </c>
      <c r="D318" s="57" t="s">
        <v>3476</v>
      </c>
      <c r="E318" s="57" t="s">
        <v>3730</v>
      </c>
      <c r="F318" s="57" t="s">
        <v>4227</v>
      </c>
      <c r="G318" s="57" t="s">
        <v>721</v>
      </c>
      <c r="H318" s="57" t="s">
        <v>2874</v>
      </c>
      <c r="I318" s="57">
        <v>48856.48</v>
      </c>
      <c r="J318" s="57" t="s">
        <v>3476</v>
      </c>
      <c r="K318" s="57" t="s">
        <v>3476</v>
      </c>
      <c r="L318" s="57" t="s">
        <v>3730</v>
      </c>
      <c r="M318" s="57" t="s">
        <v>4228</v>
      </c>
      <c r="N318" s="57" t="s">
        <v>4228</v>
      </c>
      <c r="O318" s="57" t="s">
        <v>3476</v>
      </c>
      <c r="P318" s="57" t="s">
        <v>3476</v>
      </c>
      <c r="Q318" s="57" t="s">
        <v>2874</v>
      </c>
      <c r="R318" s="57" t="s">
        <v>3781</v>
      </c>
      <c r="S318" s="57" t="s">
        <v>3782</v>
      </c>
      <c r="T318" s="57" t="s">
        <v>3736</v>
      </c>
      <c r="U318" s="57" t="s">
        <v>3476</v>
      </c>
      <c r="V318" s="57" t="s">
        <v>3469</v>
      </c>
      <c r="W318" s="57" t="s">
        <v>3476</v>
      </c>
      <c r="X318" s="57" t="s">
        <v>4229</v>
      </c>
      <c r="Y318" s="57" t="s">
        <v>3738</v>
      </c>
      <c r="Z318" s="57" t="s">
        <v>4230</v>
      </c>
      <c r="AA318" s="57" t="s">
        <v>3476</v>
      </c>
      <c r="AB318" s="57" t="s">
        <v>3476</v>
      </c>
      <c r="AC318" s="57" t="s">
        <v>3476</v>
      </c>
      <c r="AD318" s="57" t="s">
        <v>3476</v>
      </c>
      <c r="AE318" s="57" t="s">
        <v>3476</v>
      </c>
      <c r="AF318" s="57" t="s">
        <v>3476</v>
      </c>
      <c r="AG318" s="57" t="s">
        <v>3476</v>
      </c>
      <c r="AH318" s="57" t="s">
        <v>3476</v>
      </c>
      <c r="AI318" s="57" t="s">
        <v>3476</v>
      </c>
      <c r="AJ318" s="57" t="s">
        <v>3476</v>
      </c>
      <c r="AK318" s="57" t="s">
        <v>3476</v>
      </c>
      <c r="AL318" s="57" t="s">
        <v>3476</v>
      </c>
      <c r="AM318" s="57" t="s">
        <v>3476</v>
      </c>
      <c r="AN318" s="57" t="s">
        <v>3476</v>
      </c>
      <c r="AO318" s="57" t="s">
        <v>3476</v>
      </c>
      <c r="AP318" s="58">
        <v>45868.5322222222</v>
      </c>
      <c r="AQ318" s="57" t="s">
        <v>3476</v>
      </c>
      <c r="AR318" s="57" t="s">
        <v>3476</v>
      </c>
      <c r="AS318" s="57" t="s">
        <v>3502</v>
      </c>
      <c r="AT318" s="57" t="s">
        <v>3745</v>
      </c>
      <c r="AU318" s="57" t="s">
        <v>3476</v>
      </c>
      <c r="AV318" s="57" t="s">
        <v>3476</v>
      </c>
      <c r="AW318" s="58">
        <v>45868.4798726852</v>
      </c>
      <c r="AX318" s="57" t="s">
        <v>3476</v>
      </c>
      <c r="AY318" s="57" t="s">
        <v>3747</v>
      </c>
      <c r="AZ318" s="57" t="s">
        <v>3476</v>
      </c>
      <c r="BA318" s="57" t="s">
        <v>3476</v>
      </c>
      <c r="BB318" s="57" t="s">
        <v>3476</v>
      </c>
      <c r="BC318" s="57" t="s">
        <v>1787</v>
      </c>
      <c r="BD318" s="57" t="s">
        <v>3659</v>
      </c>
      <c r="BE318" s="57" t="s">
        <v>3787</v>
      </c>
      <c r="BF318" s="57" t="s">
        <v>3749</v>
      </c>
      <c r="BG318" s="57" t="s">
        <v>3476</v>
      </c>
      <c r="BH318" s="57" t="s">
        <v>3476</v>
      </c>
      <c r="BI318" s="57" t="s">
        <v>2809</v>
      </c>
      <c r="BJ318" s="57" t="s">
        <v>3476</v>
      </c>
      <c r="BK318" s="57" t="s">
        <v>3476</v>
      </c>
      <c r="BL318" s="57">
        <v>3649118</v>
      </c>
      <c r="BM318" s="57" t="s">
        <v>4231</v>
      </c>
      <c r="BN318" s="57">
        <v>84</v>
      </c>
      <c r="BO318" s="57" t="s">
        <v>3476</v>
      </c>
      <c r="BP318" s="57" t="s">
        <v>3476</v>
      </c>
      <c r="BQ318" s="57" t="s">
        <v>3476</v>
      </c>
      <c r="BR318" s="57" t="s">
        <v>4232</v>
      </c>
      <c r="BS318" s="57" t="s">
        <v>1292</v>
      </c>
      <c r="BT318" s="57" t="s">
        <v>3476</v>
      </c>
      <c r="BU318" s="57" t="s">
        <v>3476</v>
      </c>
      <c r="BV318" s="57" t="s">
        <v>3753</v>
      </c>
      <c r="BW318" s="57" t="s">
        <v>3476</v>
      </c>
      <c r="BX318" s="57">
        <v>84</v>
      </c>
      <c r="BY318" s="57" t="s">
        <v>3476</v>
      </c>
      <c r="BZ318" s="57" t="s">
        <v>3476</v>
      </c>
      <c r="CA318" s="57" t="s">
        <v>3476</v>
      </c>
      <c r="CB318" s="57" t="s">
        <v>3476</v>
      </c>
      <c r="CC318" s="57" t="s">
        <v>3476</v>
      </c>
      <c r="CD318" s="57" t="s">
        <v>3476</v>
      </c>
    </row>
    <row r="319" spans="1:82">
      <c r="A319" s="57">
        <v>29079</v>
      </c>
      <c r="B319" s="57" t="s">
        <v>3476</v>
      </c>
      <c r="C319" s="57" t="s">
        <v>4226</v>
      </c>
      <c r="D319" s="57" t="s">
        <v>3476</v>
      </c>
      <c r="E319" s="57" t="s">
        <v>3730</v>
      </c>
      <c r="F319" s="57" t="s">
        <v>4227</v>
      </c>
      <c r="G319" s="57" t="s">
        <v>721</v>
      </c>
      <c r="H319" s="57" t="s">
        <v>2874</v>
      </c>
      <c r="I319" s="57">
        <v>48856.48</v>
      </c>
      <c r="J319" s="57" t="s">
        <v>3476</v>
      </c>
      <c r="K319" s="57" t="s">
        <v>3476</v>
      </c>
      <c r="L319" s="57" t="s">
        <v>3730</v>
      </c>
      <c r="M319" s="57" t="s">
        <v>4228</v>
      </c>
      <c r="N319" s="57" t="s">
        <v>4228</v>
      </c>
      <c r="O319" s="57" t="s">
        <v>3476</v>
      </c>
      <c r="P319" s="57" t="s">
        <v>3476</v>
      </c>
      <c r="Q319" s="57" t="s">
        <v>2874</v>
      </c>
      <c r="R319" s="57" t="s">
        <v>3781</v>
      </c>
      <c r="S319" s="57" t="s">
        <v>3782</v>
      </c>
      <c r="T319" s="57" t="s">
        <v>3736</v>
      </c>
      <c r="U319" s="57" t="s">
        <v>3476</v>
      </c>
      <c r="V319" s="57" t="s">
        <v>3469</v>
      </c>
      <c r="W319" s="57" t="s">
        <v>3476</v>
      </c>
      <c r="X319" s="57" t="s">
        <v>4229</v>
      </c>
      <c r="Y319" s="57" t="s">
        <v>3738</v>
      </c>
      <c r="Z319" s="57" t="s">
        <v>4230</v>
      </c>
      <c r="AA319" s="57" t="s">
        <v>3476</v>
      </c>
      <c r="AB319" s="57" t="s">
        <v>3476</v>
      </c>
      <c r="AC319" s="57" t="s">
        <v>3476</v>
      </c>
      <c r="AD319" s="57" t="s">
        <v>3476</v>
      </c>
      <c r="AE319" s="57" t="s">
        <v>3476</v>
      </c>
      <c r="AF319" s="57" t="s">
        <v>3476</v>
      </c>
      <c r="AG319" s="57" t="s">
        <v>3476</v>
      </c>
      <c r="AH319" s="57" t="s">
        <v>3476</v>
      </c>
      <c r="AI319" s="57" t="s">
        <v>3476</v>
      </c>
      <c r="AJ319" s="57" t="s">
        <v>3476</v>
      </c>
      <c r="AK319" s="57" t="s">
        <v>3476</v>
      </c>
      <c r="AL319" s="57" t="s">
        <v>3476</v>
      </c>
      <c r="AM319" s="57" t="s">
        <v>3476</v>
      </c>
      <c r="AN319" s="57" t="s">
        <v>3476</v>
      </c>
      <c r="AO319" s="57" t="s">
        <v>3476</v>
      </c>
      <c r="AP319" s="58">
        <v>45868.5322222222</v>
      </c>
      <c r="AQ319" s="57" t="s">
        <v>3476</v>
      </c>
      <c r="AR319" s="57" t="s">
        <v>3476</v>
      </c>
      <c r="AS319" s="57" t="s">
        <v>3502</v>
      </c>
      <c r="AT319" s="57" t="s">
        <v>3745</v>
      </c>
      <c r="AU319" s="57" t="s">
        <v>3476</v>
      </c>
      <c r="AV319" s="57" t="s">
        <v>3476</v>
      </c>
      <c r="AW319" s="58">
        <v>45868.4798726852</v>
      </c>
      <c r="AX319" s="57" t="s">
        <v>3476</v>
      </c>
      <c r="AY319" s="57" t="s">
        <v>3747</v>
      </c>
      <c r="AZ319" s="57" t="s">
        <v>3476</v>
      </c>
      <c r="BA319" s="57" t="s">
        <v>3476</v>
      </c>
      <c r="BB319" s="57" t="s">
        <v>3476</v>
      </c>
      <c r="BC319" s="57" t="s">
        <v>1787</v>
      </c>
      <c r="BD319" s="57" t="s">
        <v>3659</v>
      </c>
      <c r="BE319" s="57" t="s">
        <v>3787</v>
      </c>
      <c r="BF319" s="57" t="s">
        <v>3749</v>
      </c>
      <c r="BG319" s="57" t="s">
        <v>3476</v>
      </c>
      <c r="BH319" s="57" t="s">
        <v>3476</v>
      </c>
      <c r="BI319" s="57" t="s">
        <v>2809</v>
      </c>
      <c r="BJ319" s="57" t="s">
        <v>3476</v>
      </c>
      <c r="BK319" s="57" t="s">
        <v>3476</v>
      </c>
      <c r="BL319" s="57">
        <v>3649119</v>
      </c>
      <c r="BM319" s="57" t="s">
        <v>4231</v>
      </c>
      <c r="BN319" s="57">
        <v>129</v>
      </c>
      <c r="BO319" s="57" t="s">
        <v>3476</v>
      </c>
      <c r="BP319" s="57" t="s">
        <v>3476</v>
      </c>
      <c r="BQ319" s="57" t="s">
        <v>3476</v>
      </c>
      <c r="BR319" s="57" t="s">
        <v>4232</v>
      </c>
      <c r="BS319" s="57" t="s">
        <v>1292</v>
      </c>
      <c r="BT319" s="57" t="s">
        <v>3476</v>
      </c>
      <c r="BU319" s="57" t="s">
        <v>3476</v>
      </c>
      <c r="BV319" s="57" t="s">
        <v>3753</v>
      </c>
      <c r="BW319" s="57" t="s">
        <v>3476</v>
      </c>
      <c r="BX319" s="57">
        <v>129</v>
      </c>
      <c r="BY319" s="57" t="s">
        <v>3476</v>
      </c>
      <c r="BZ319" s="57" t="s">
        <v>3476</v>
      </c>
      <c r="CA319" s="57" t="s">
        <v>3476</v>
      </c>
      <c r="CB319" s="57" t="s">
        <v>3476</v>
      </c>
      <c r="CC319" s="57" t="s">
        <v>3476</v>
      </c>
      <c r="CD319" s="57" t="s">
        <v>3476</v>
      </c>
    </row>
    <row r="320" spans="1:82">
      <c r="A320" s="57">
        <v>29080</v>
      </c>
      <c r="B320" s="57" t="s">
        <v>3476</v>
      </c>
      <c r="C320" s="57" t="s">
        <v>4226</v>
      </c>
      <c r="D320" s="57" t="s">
        <v>3476</v>
      </c>
      <c r="E320" s="57" t="s">
        <v>3730</v>
      </c>
      <c r="F320" s="57" t="s">
        <v>4227</v>
      </c>
      <c r="G320" s="57" t="s">
        <v>721</v>
      </c>
      <c r="H320" s="57" t="s">
        <v>2874</v>
      </c>
      <c r="I320" s="57">
        <v>48856.48</v>
      </c>
      <c r="J320" s="57" t="s">
        <v>3476</v>
      </c>
      <c r="K320" s="57" t="s">
        <v>3476</v>
      </c>
      <c r="L320" s="57" t="s">
        <v>3730</v>
      </c>
      <c r="M320" s="57" t="s">
        <v>4228</v>
      </c>
      <c r="N320" s="57" t="s">
        <v>4228</v>
      </c>
      <c r="O320" s="57" t="s">
        <v>3476</v>
      </c>
      <c r="P320" s="57" t="s">
        <v>3476</v>
      </c>
      <c r="Q320" s="57" t="s">
        <v>2874</v>
      </c>
      <c r="R320" s="57" t="s">
        <v>3781</v>
      </c>
      <c r="S320" s="57" t="s">
        <v>3782</v>
      </c>
      <c r="T320" s="57" t="s">
        <v>3736</v>
      </c>
      <c r="U320" s="57" t="s">
        <v>3476</v>
      </c>
      <c r="V320" s="57" t="s">
        <v>3469</v>
      </c>
      <c r="W320" s="57" t="s">
        <v>3476</v>
      </c>
      <c r="X320" s="57" t="s">
        <v>4229</v>
      </c>
      <c r="Y320" s="57" t="s">
        <v>3738</v>
      </c>
      <c r="Z320" s="57" t="s">
        <v>4230</v>
      </c>
      <c r="AA320" s="57" t="s">
        <v>3476</v>
      </c>
      <c r="AB320" s="57" t="s">
        <v>3476</v>
      </c>
      <c r="AC320" s="57" t="s">
        <v>3476</v>
      </c>
      <c r="AD320" s="57" t="s">
        <v>3476</v>
      </c>
      <c r="AE320" s="57" t="s">
        <v>3476</v>
      </c>
      <c r="AF320" s="57" t="s">
        <v>3476</v>
      </c>
      <c r="AG320" s="57" t="s">
        <v>3476</v>
      </c>
      <c r="AH320" s="57" t="s">
        <v>3476</v>
      </c>
      <c r="AI320" s="57" t="s">
        <v>3476</v>
      </c>
      <c r="AJ320" s="57" t="s">
        <v>3476</v>
      </c>
      <c r="AK320" s="57" t="s">
        <v>3476</v>
      </c>
      <c r="AL320" s="57" t="s">
        <v>3476</v>
      </c>
      <c r="AM320" s="57" t="s">
        <v>3476</v>
      </c>
      <c r="AN320" s="57" t="s">
        <v>3476</v>
      </c>
      <c r="AO320" s="57" t="s">
        <v>3476</v>
      </c>
      <c r="AP320" s="58">
        <v>45868.5322222222</v>
      </c>
      <c r="AQ320" s="57" t="s">
        <v>3476</v>
      </c>
      <c r="AR320" s="57" t="s">
        <v>3476</v>
      </c>
      <c r="AS320" s="57" t="s">
        <v>3502</v>
      </c>
      <c r="AT320" s="57" t="s">
        <v>3745</v>
      </c>
      <c r="AU320" s="57" t="s">
        <v>3476</v>
      </c>
      <c r="AV320" s="57" t="s">
        <v>3476</v>
      </c>
      <c r="AW320" s="58">
        <v>45868.4798726852</v>
      </c>
      <c r="AX320" s="57" t="s">
        <v>3476</v>
      </c>
      <c r="AY320" s="57" t="s">
        <v>3747</v>
      </c>
      <c r="AZ320" s="57" t="s">
        <v>3476</v>
      </c>
      <c r="BA320" s="57" t="s">
        <v>3476</v>
      </c>
      <c r="BB320" s="57" t="s">
        <v>3476</v>
      </c>
      <c r="BC320" s="57" t="s">
        <v>1787</v>
      </c>
      <c r="BD320" s="57" t="s">
        <v>3659</v>
      </c>
      <c r="BE320" s="57" t="s">
        <v>3787</v>
      </c>
      <c r="BF320" s="57" t="s">
        <v>3749</v>
      </c>
      <c r="BG320" s="57" t="s">
        <v>3476</v>
      </c>
      <c r="BH320" s="57" t="s">
        <v>3476</v>
      </c>
      <c r="BI320" s="57" t="s">
        <v>2809</v>
      </c>
      <c r="BJ320" s="57" t="s">
        <v>3476</v>
      </c>
      <c r="BK320" s="57" t="s">
        <v>3476</v>
      </c>
      <c r="BL320" s="57">
        <v>3649120</v>
      </c>
      <c r="BM320" s="57" t="s">
        <v>4231</v>
      </c>
      <c r="BN320" s="57">
        <v>25.8</v>
      </c>
      <c r="BO320" s="57" t="s">
        <v>3476</v>
      </c>
      <c r="BP320" s="57" t="s">
        <v>3476</v>
      </c>
      <c r="BQ320" s="57" t="s">
        <v>3476</v>
      </c>
      <c r="BR320" s="57" t="s">
        <v>4232</v>
      </c>
      <c r="BS320" s="57" t="s">
        <v>1292</v>
      </c>
      <c r="BT320" s="57" t="s">
        <v>3476</v>
      </c>
      <c r="BU320" s="57" t="s">
        <v>3476</v>
      </c>
      <c r="BV320" s="57" t="s">
        <v>3753</v>
      </c>
      <c r="BW320" s="57" t="s">
        <v>3476</v>
      </c>
      <c r="BX320" s="57">
        <v>25.8</v>
      </c>
      <c r="BY320" s="57" t="s">
        <v>3476</v>
      </c>
      <c r="BZ320" s="57" t="s">
        <v>3476</v>
      </c>
      <c r="CA320" s="57" t="s">
        <v>3476</v>
      </c>
      <c r="CB320" s="57" t="s">
        <v>3476</v>
      </c>
      <c r="CC320" s="57" t="s">
        <v>3476</v>
      </c>
      <c r="CD320" s="57" t="s">
        <v>3476</v>
      </c>
    </row>
    <row r="321" spans="1:82">
      <c r="A321" s="57">
        <v>29081</v>
      </c>
      <c r="B321" s="57" t="s">
        <v>3476</v>
      </c>
      <c r="C321" s="57" t="s">
        <v>4226</v>
      </c>
      <c r="D321" s="57" t="s">
        <v>3476</v>
      </c>
      <c r="E321" s="57" t="s">
        <v>3730</v>
      </c>
      <c r="F321" s="57" t="s">
        <v>4227</v>
      </c>
      <c r="G321" s="57" t="s">
        <v>721</v>
      </c>
      <c r="H321" s="57" t="s">
        <v>2874</v>
      </c>
      <c r="I321" s="57">
        <v>48856.48</v>
      </c>
      <c r="J321" s="57" t="s">
        <v>3476</v>
      </c>
      <c r="K321" s="57" t="s">
        <v>3476</v>
      </c>
      <c r="L321" s="57" t="s">
        <v>3730</v>
      </c>
      <c r="M321" s="57" t="s">
        <v>4228</v>
      </c>
      <c r="N321" s="57" t="s">
        <v>4228</v>
      </c>
      <c r="O321" s="57" t="s">
        <v>3476</v>
      </c>
      <c r="P321" s="57" t="s">
        <v>3476</v>
      </c>
      <c r="Q321" s="57" t="s">
        <v>2874</v>
      </c>
      <c r="R321" s="57" t="s">
        <v>3781</v>
      </c>
      <c r="S321" s="57" t="s">
        <v>3782</v>
      </c>
      <c r="T321" s="57" t="s">
        <v>3736</v>
      </c>
      <c r="U321" s="57" t="s">
        <v>3476</v>
      </c>
      <c r="V321" s="57" t="s">
        <v>3469</v>
      </c>
      <c r="W321" s="57" t="s">
        <v>3476</v>
      </c>
      <c r="X321" s="57" t="s">
        <v>4229</v>
      </c>
      <c r="Y321" s="57" t="s">
        <v>3738</v>
      </c>
      <c r="Z321" s="57" t="s">
        <v>4230</v>
      </c>
      <c r="AA321" s="57" t="s">
        <v>3476</v>
      </c>
      <c r="AB321" s="57" t="s">
        <v>3476</v>
      </c>
      <c r="AC321" s="57" t="s">
        <v>3476</v>
      </c>
      <c r="AD321" s="57" t="s">
        <v>3476</v>
      </c>
      <c r="AE321" s="57" t="s">
        <v>3476</v>
      </c>
      <c r="AF321" s="57" t="s">
        <v>3476</v>
      </c>
      <c r="AG321" s="57" t="s">
        <v>3476</v>
      </c>
      <c r="AH321" s="57" t="s">
        <v>3476</v>
      </c>
      <c r="AI321" s="57" t="s">
        <v>3476</v>
      </c>
      <c r="AJ321" s="57" t="s">
        <v>3476</v>
      </c>
      <c r="AK321" s="57" t="s">
        <v>3476</v>
      </c>
      <c r="AL321" s="57" t="s">
        <v>3476</v>
      </c>
      <c r="AM321" s="57" t="s">
        <v>3476</v>
      </c>
      <c r="AN321" s="57" t="s">
        <v>3476</v>
      </c>
      <c r="AO321" s="57" t="s">
        <v>3476</v>
      </c>
      <c r="AP321" s="58">
        <v>45868.5322222222</v>
      </c>
      <c r="AQ321" s="57" t="s">
        <v>3476</v>
      </c>
      <c r="AR321" s="57" t="s">
        <v>3476</v>
      </c>
      <c r="AS321" s="57" t="s">
        <v>3502</v>
      </c>
      <c r="AT321" s="57" t="s">
        <v>3745</v>
      </c>
      <c r="AU321" s="57" t="s">
        <v>3476</v>
      </c>
      <c r="AV321" s="57" t="s">
        <v>3476</v>
      </c>
      <c r="AW321" s="58">
        <v>45868.4798726852</v>
      </c>
      <c r="AX321" s="57" t="s">
        <v>3476</v>
      </c>
      <c r="AY321" s="57" t="s">
        <v>3747</v>
      </c>
      <c r="AZ321" s="57" t="s">
        <v>3476</v>
      </c>
      <c r="BA321" s="57" t="s">
        <v>3476</v>
      </c>
      <c r="BB321" s="57" t="s">
        <v>3476</v>
      </c>
      <c r="BC321" s="57" t="s">
        <v>1787</v>
      </c>
      <c r="BD321" s="57" t="s">
        <v>3659</v>
      </c>
      <c r="BE321" s="57" t="s">
        <v>3787</v>
      </c>
      <c r="BF321" s="57" t="s">
        <v>3749</v>
      </c>
      <c r="BG321" s="57" t="s">
        <v>3476</v>
      </c>
      <c r="BH321" s="57" t="s">
        <v>3476</v>
      </c>
      <c r="BI321" s="57" t="s">
        <v>2809</v>
      </c>
      <c r="BJ321" s="57" t="s">
        <v>3476</v>
      </c>
      <c r="BK321" s="57" t="s">
        <v>3476</v>
      </c>
      <c r="BL321" s="57">
        <v>3649121</v>
      </c>
      <c r="BM321" s="57" t="s">
        <v>4231</v>
      </c>
      <c r="BN321" s="57">
        <v>187</v>
      </c>
      <c r="BO321" s="57" t="s">
        <v>3476</v>
      </c>
      <c r="BP321" s="57" t="s">
        <v>3476</v>
      </c>
      <c r="BQ321" s="57" t="s">
        <v>3476</v>
      </c>
      <c r="BR321" s="57" t="s">
        <v>4232</v>
      </c>
      <c r="BS321" s="57" t="s">
        <v>1292</v>
      </c>
      <c r="BT321" s="57" t="s">
        <v>3476</v>
      </c>
      <c r="BU321" s="57" t="s">
        <v>3476</v>
      </c>
      <c r="BV321" s="57" t="s">
        <v>3753</v>
      </c>
      <c r="BW321" s="57" t="s">
        <v>3476</v>
      </c>
      <c r="BX321" s="57">
        <v>187</v>
      </c>
      <c r="BY321" s="57" t="s">
        <v>3476</v>
      </c>
      <c r="BZ321" s="57" t="s">
        <v>3476</v>
      </c>
      <c r="CA321" s="57" t="s">
        <v>3476</v>
      </c>
      <c r="CB321" s="57" t="s">
        <v>3476</v>
      </c>
      <c r="CC321" s="57" t="s">
        <v>3476</v>
      </c>
      <c r="CD321" s="57" t="s">
        <v>3476</v>
      </c>
    </row>
    <row r="322" spans="1:82">
      <c r="A322" s="57">
        <v>29082</v>
      </c>
      <c r="B322" s="57" t="s">
        <v>3476</v>
      </c>
      <c r="C322" s="57" t="s">
        <v>4226</v>
      </c>
      <c r="D322" s="57" t="s">
        <v>3476</v>
      </c>
      <c r="E322" s="57" t="s">
        <v>3730</v>
      </c>
      <c r="F322" s="57" t="s">
        <v>4227</v>
      </c>
      <c r="G322" s="57" t="s">
        <v>721</v>
      </c>
      <c r="H322" s="57" t="s">
        <v>2874</v>
      </c>
      <c r="I322" s="57">
        <v>48856.48</v>
      </c>
      <c r="J322" s="57" t="s">
        <v>3476</v>
      </c>
      <c r="K322" s="57" t="s">
        <v>3476</v>
      </c>
      <c r="L322" s="57" t="s">
        <v>3730</v>
      </c>
      <c r="M322" s="57" t="s">
        <v>4228</v>
      </c>
      <c r="N322" s="57" t="s">
        <v>4228</v>
      </c>
      <c r="O322" s="57" t="s">
        <v>3476</v>
      </c>
      <c r="P322" s="57" t="s">
        <v>3476</v>
      </c>
      <c r="Q322" s="57" t="s">
        <v>2874</v>
      </c>
      <c r="R322" s="57" t="s">
        <v>3781</v>
      </c>
      <c r="S322" s="57" t="s">
        <v>3782</v>
      </c>
      <c r="T322" s="57" t="s">
        <v>3736</v>
      </c>
      <c r="U322" s="57" t="s">
        <v>3476</v>
      </c>
      <c r="V322" s="57" t="s">
        <v>3469</v>
      </c>
      <c r="W322" s="57" t="s">
        <v>3476</v>
      </c>
      <c r="X322" s="57" t="s">
        <v>4229</v>
      </c>
      <c r="Y322" s="57" t="s">
        <v>3738</v>
      </c>
      <c r="Z322" s="57" t="s">
        <v>4230</v>
      </c>
      <c r="AA322" s="57" t="s">
        <v>3476</v>
      </c>
      <c r="AB322" s="57" t="s">
        <v>3476</v>
      </c>
      <c r="AC322" s="57" t="s">
        <v>3476</v>
      </c>
      <c r="AD322" s="57" t="s">
        <v>3476</v>
      </c>
      <c r="AE322" s="57" t="s">
        <v>3476</v>
      </c>
      <c r="AF322" s="57" t="s">
        <v>3476</v>
      </c>
      <c r="AG322" s="57" t="s">
        <v>3476</v>
      </c>
      <c r="AH322" s="57" t="s">
        <v>3476</v>
      </c>
      <c r="AI322" s="57" t="s">
        <v>3476</v>
      </c>
      <c r="AJ322" s="57" t="s">
        <v>3476</v>
      </c>
      <c r="AK322" s="57" t="s">
        <v>3476</v>
      </c>
      <c r="AL322" s="57" t="s">
        <v>3476</v>
      </c>
      <c r="AM322" s="57" t="s">
        <v>3476</v>
      </c>
      <c r="AN322" s="57" t="s">
        <v>3476</v>
      </c>
      <c r="AO322" s="57" t="s">
        <v>3476</v>
      </c>
      <c r="AP322" s="58">
        <v>45868.5322222222</v>
      </c>
      <c r="AQ322" s="57" t="s">
        <v>3476</v>
      </c>
      <c r="AR322" s="57" t="s">
        <v>3476</v>
      </c>
      <c r="AS322" s="57" t="s">
        <v>3502</v>
      </c>
      <c r="AT322" s="57" t="s">
        <v>3745</v>
      </c>
      <c r="AU322" s="57" t="s">
        <v>3476</v>
      </c>
      <c r="AV322" s="57" t="s">
        <v>3476</v>
      </c>
      <c r="AW322" s="58">
        <v>45868.4798726852</v>
      </c>
      <c r="AX322" s="57" t="s">
        <v>3476</v>
      </c>
      <c r="AY322" s="57" t="s">
        <v>3747</v>
      </c>
      <c r="AZ322" s="57" t="s">
        <v>3476</v>
      </c>
      <c r="BA322" s="57" t="s">
        <v>3476</v>
      </c>
      <c r="BB322" s="57" t="s">
        <v>3476</v>
      </c>
      <c r="BC322" s="57" t="s">
        <v>1787</v>
      </c>
      <c r="BD322" s="57" t="s">
        <v>3659</v>
      </c>
      <c r="BE322" s="57" t="s">
        <v>3787</v>
      </c>
      <c r="BF322" s="57" t="s">
        <v>3749</v>
      </c>
      <c r="BG322" s="57" t="s">
        <v>3476</v>
      </c>
      <c r="BH322" s="57" t="s">
        <v>3476</v>
      </c>
      <c r="BI322" s="57" t="s">
        <v>2809</v>
      </c>
      <c r="BJ322" s="57" t="s">
        <v>3476</v>
      </c>
      <c r="BK322" s="57" t="s">
        <v>3476</v>
      </c>
      <c r="BL322" s="57">
        <v>3649122</v>
      </c>
      <c r="BM322" s="57" t="s">
        <v>4231</v>
      </c>
      <c r="BN322" s="57">
        <v>137.6</v>
      </c>
      <c r="BO322" s="57" t="s">
        <v>3476</v>
      </c>
      <c r="BP322" s="57" t="s">
        <v>3476</v>
      </c>
      <c r="BQ322" s="57" t="s">
        <v>3476</v>
      </c>
      <c r="BR322" s="57" t="s">
        <v>4232</v>
      </c>
      <c r="BS322" s="57" t="s">
        <v>1292</v>
      </c>
      <c r="BT322" s="57" t="s">
        <v>3476</v>
      </c>
      <c r="BU322" s="57" t="s">
        <v>3476</v>
      </c>
      <c r="BV322" s="57" t="s">
        <v>3753</v>
      </c>
      <c r="BW322" s="57" t="s">
        <v>3476</v>
      </c>
      <c r="BX322" s="57">
        <v>137.6</v>
      </c>
      <c r="BY322" s="57" t="s">
        <v>3476</v>
      </c>
      <c r="BZ322" s="57" t="s">
        <v>3476</v>
      </c>
      <c r="CA322" s="57" t="s">
        <v>3476</v>
      </c>
      <c r="CB322" s="57" t="s">
        <v>3476</v>
      </c>
      <c r="CC322" s="57" t="s">
        <v>3476</v>
      </c>
      <c r="CD322" s="57" t="s">
        <v>3476</v>
      </c>
    </row>
    <row r="323" spans="1:82">
      <c r="A323" s="57">
        <v>29083</v>
      </c>
      <c r="B323" s="57" t="s">
        <v>3476</v>
      </c>
      <c r="C323" s="57" t="s">
        <v>4226</v>
      </c>
      <c r="D323" s="57" t="s">
        <v>3476</v>
      </c>
      <c r="E323" s="57" t="s">
        <v>3730</v>
      </c>
      <c r="F323" s="57" t="s">
        <v>4227</v>
      </c>
      <c r="G323" s="57" t="s">
        <v>721</v>
      </c>
      <c r="H323" s="57" t="s">
        <v>2874</v>
      </c>
      <c r="I323" s="57">
        <v>48856.48</v>
      </c>
      <c r="J323" s="57" t="s">
        <v>3476</v>
      </c>
      <c r="K323" s="57" t="s">
        <v>3476</v>
      </c>
      <c r="L323" s="57" t="s">
        <v>3730</v>
      </c>
      <c r="M323" s="57" t="s">
        <v>4228</v>
      </c>
      <c r="N323" s="57" t="s">
        <v>4228</v>
      </c>
      <c r="O323" s="57" t="s">
        <v>3476</v>
      </c>
      <c r="P323" s="57" t="s">
        <v>3476</v>
      </c>
      <c r="Q323" s="57" t="s">
        <v>2874</v>
      </c>
      <c r="R323" s="57" t="s">
        <v>3781</v>
      </c>
      <c r="S323" s="57" t="s">
        <v>3782</v>
      </c>
      <c r="T323" s="57" t="s">
        <v>3736</v>
      </c>
      <c r="U323" s="57" t="s">
        <v>3476</v>
      </c>
      <c r="V323" s="57" t="s">
        <v>3469</v>
      </c>
      <c r="W323" s="57" t="s">
        <v>3476</v>
      </c>
      <c r="X323" s="57" t="s">
        <v>4229</v>
      </c>
      <c r="Y323" s="57" t="s">
        <v>3738</v>
      </c>
      <c r="Z323" s="57" t="s">
        <v>4230</v>
      </c>
      <c r="AA323" s="57" t="s">
        <v>3476</v>
      </c>
      <c r="AB323" s="57" t="s">
        <v>3476</v>
      </c>
      <c r="AC323" s="57" t="s">
        <v>3476</v>
      </c>
      <c r="AD323" s="57" t="s">
        <v>3476</v>
      </c>
      <c r="AE323" s="57" t="s">
        <v>3476</v>
      </c>
      <c r="AF323" s="57" t="s">
        <v>3476</v>
      </c>
      <c r="AG323" s="57" t="s">
        <v>3476</v>
      </c>
      <c r="AH323" s="57" t="s">
        <v>3476</v>
      </c>
      <c r="AI323" s="57" t="s">
        <v>3476</v>
      </c>
      <c r="AJ323" s="57" t="s">
        <v>3476</v>
      </c>
      <c r="AK323" s="57" t="s">
        <v>3476</v>
      </c>
      <c r="AL323" s="57" t="s">
        <v>3476</v>
      </c>
      <c r="AM323" s="57" t="s">
        <v>3476</v>
      </c>
      <c r="AN323" s="57" t="s">
        <v>3476</v>
      </c>
      <c r="AO323" s="57" t="s">
        <v>3476</v>
      </c>
      <c r="AP323" s="58">
        <v>45868.5322222222</v>
      </c>
      <c r="AQ323" s="57" t="s">
        <v>3476</v>
      </c>
      <c r="AR323" s="57" t="s">
        <v>3476</v>
      </c>
      <c r="AS323" s="57" t="s">
        <v>3502</v>
      </c>
      <c r="AT323" s="57" t="s">
        <v>3745</v>
      </c>
      <c r="AU323" s="57" t="s">
        <v>3476</v>
      </c>
      <c r="AV323" s="57" t="s">
        <v>3476</v>
      </c>
      <c r="AW323" s="58">
        <v>45868.4798726852</v>
      </c>
      <c r="AX323" s="57" t="s">
        <v>3476</v>
      </c>
      <c r="AY323" s="57" t="s">
        <v>3747</v>
      </c>
      <c r="AZ323" s="57" t="s">
        <v>3476</v>
      </c>
      <c r="BA323" s="57" t="s">
        <v>3476</v>
      </c>
      <c r="BB323" s="57" t="s">
        <v>3476</v>
      </c>
      <c r="BC323" s="57" t="s">
        <v>1787</v>
      </c>
      <c r="BD323" s="57" t="s">
        <v>3659</v>
      </c>
      <c r="BE323" s="57" t="s">
        <v>3787</v>
      </c>
      <c r="BF323" s="57" t="s">
        <v>3749</v>
      </c>
      <c r="BG323" s="57" t="s">
        <v>3476</v>
      </c>
      <c r="BH323" s="57" t="s">
        <v>3476</v>
      </c>
      <c r="BI323" s="57" t="s">
        <v>2809</v>
      </c>
      <c r="BJ323" s="57" t="s">
        <v>3476</v>
      </c>
      <c r="BK323" s="57" t="s">
        <v>3476</v>
      </c>
      <c r="BL323" s="57">
        <v>3649123</v>
      </c>
      <c r="BM323" s="57" t="s">
        <v>4231</v>
      </c>
      <c r="BN323" s="57">
        <v>12</v>
      </c>
      <c r="BO323" s="57" t="s">
        <v>3476</v>
      </c>
      <c r="BP323" s="57" t="s">
        <v>3476</v>
      </c>
      <c r="BQ323" s="57" t="s">
        <v>3476</v>
      </c>
      <c r="BR323" s="57" t="s">
        <v>4232</v>
      </c>
      <c r="BS323" s="57" t="s">
        <v>1292</v>
      </c>
      <c r="BT323" s="57" t="s">
        <v>3476</v>
      </c>
      <c r="BU323" s="57" t="s">
        <v>3476</v>
      </c>
      <c r="BV323" s="57" t="s">
        <v>3753</v>
      </c>
      <c r="BW323" s="57" t="s">
        <v>3476</v>
      </c>
      <c r="BX323" s="57">
        <v>12</v>
      </c>
      <c r="BY323" s="57" t="s">
        <v>3476</v>
      </c>
      <c r="BZ323" s="57" t="s">
        <v>3476</v>
      </c>
      <c r="CA323" s="57" t="s">
        <v>3476</v>
      </c>
      <c r="CB323" s="57" t="s">
        <v>3476</v>
      </c>
      <c r="CC323" s="57" t="s">
        <v>3476</v>
      </c>
      <c r="CD323" s="57" t="s">
        <v>3476</v>
      </c>
    </row>
    <row r="324" spans="1:82">
      <c r="A324" s="57">
        <v>29084</v>
      </c>
      <c r="B324" s="57" t="s">
        <v>3476</v>
      </c>
      <c r="C324" s="57" t="s">
        <v>4226</v>
      </c>
      <c r="D324" s="57" t="s">
        <v>3476</v>
      </c>
      <c r="E324" s="57" t="s">
        <v>3730</v>
      </c>
      <c r="F324" s="57" t="s">
        <v>4227</v>
      </c>
      <c r="G324" s="57" t="s">
        <v>721</v>
      </c>
      <c r="H324" s="57" t="s">
        <v>2874</v>
      </c>
      <c r="I324" s="57">
        <v>48856.48</v>
      </c>
      <c r="J324" s="57" t="s">
        <v>3476</v>
      </c>
      <c r="K324" s="57" t="s">
        <v>3476</v>
      </c>
      <c r="L324" s="57" t="s">
        <v>3730</v>
      </c>
      <c r="M324" s="57" t="s">
        <v>4228</v>
      </c>
      <c r="N324" s="57" t="s">
        <v>4228</v>
      </c>
      <c r="O324" s="57" t="s">
        <v>3476</v>
      </c>
      <c r="P324" s="57" t="s">
        <v>3476</v>
      </c>
      <c r="Q324" s="57" t="s">
        <v>2874</v>
      </c>
      <c r="R324" s="57" t="s">
        <v>3781</v>
      </c>
      <c r="S324" s="57" t="s">
        <v>3782</v>
      </c>
      <c r="T324" s="57" t="s">
        <v>3736</v>
      </c>
      <c r="U324" s="57" t="s">
        <v>3476</v>
      </c>
      <c r="V324" s="57" t="s">
        <v>3469</v>
      </c>
      <c r="W324" s="57" t="s">
        <v>3476</v>
      </c>
      <c r="X324" s="57" t="s">
        <v>4229</v>
      </c>
      <c r="Y324" s="57" t="s">
        <v>3738</v>
      </c>
      <c r="Z324" s="57" t="s">
        <v>4230</v>
      </c>
      <c r="AA324" s="57" t="s">
        <v>3476</v>
      </c>
      <c r="AB324" s="57" t="s">
        <v>3476</v>
      </c>
      <c r="AC324" s="57" t="s">
        <v>3476</v>
      </c>
      <c r="AD324" s="57" t="s">
        <v>3476</v>
      </c>
      <c r="AE324" s="57" t="s">
        <v>3476</v>
      </c>
      <c r="AF324" s="57" t="s">
        <v>3476</v>
      </c>
      <c r="AG324" s="57" t="s">
        <v>3476</v>
      </c>
      <c r="AH324" s="57" t="s">
        <v>3476</v>
      </c>
      <c r="AI324" s="57" t="s">
        <v>3476</v>
      </c>
      <c r="AJ324" s="57" t="s">
        <v>3476</v>
      </c>
      <c r="AK324" s="57" t="s">
        <v>3476</v>
      </c>
      <c r="AL324" s="57" t="s">
        <v>3476</v>
      </c>
      <c r="AM324" s="57" t="s">
        <v>3476</v>
      </c>
      <c r="AN324" s="57" t="s">
        <v>3476</v>
      </c>
      <c r="AO324" s="57" t="s">
        <v>3476</v>
      </c>
      <c r="AP324" s="58">
        <v>45868.5322222222</v>
      </c>
      <c r="AQ324" s="57" t="s">
        <v>3476</v>
      </c>
      <c r="AR324" s="57" t="s">
        <v>3476</v>
      </c>
      <c r="AS324" s="57" t="s">
        <v>3502</v>
      </c>
      <c r="AT324" s="57" t="s">
        <v>3745</v>
      </c>
      <c r="AU324" s="57" t="s">
        <v>3476</v>
      </c>
      <c r="AV324" s="57" t="s">
        <v>3476</v>
      </c>
      <c r="AW324" s="58">
        <v>45868.4798726852</v>
      </c>
      <c r="AX324" s="57" t="s">
        <v>3476</v>
      </c>
      <c r="AY324" s="57" t="s">
        <v>3747</v>
      </c>
      <c r="AZ324" s="57" t="s">
        <v>3476</v>
      </c>
      <c r="BA324" s="57" t="s">
        <v>3476</v>
      </c>
      <c r="BB324" s="57" t="s">
        <v>3476</v>
      </c>
      <c r="BC324" s="57" t="s">
        <v>1787</v>
      </c>
      <c r="BD324" s="57" t="s">
        <v>3659</v>
      </c>
      <c r="BE324" s="57" t="s">
        <v>3787</v>
      </c>
      <c r="BF324" s="57" t="s">
        <v>3749</v>
      </c>
      <c r="BG324" s="57" t="s">
        <v>3476</v>
      </c>
      <c r="BH324" s="57" t="s">
        <v>3476</v>
      </c>
      <c r="BI324" s="57" t="s">
        <v>2809</v>
      </c>
      <c r="BJ324" s="57" t="s">
        <v>3476</v>
      </c>
      <c r="BK324" s="57" t="s">
        <v>3476</v>
      </c>
      <c r="BL324" s="57">
        <v>3649124</v>
      </c>
      <c r="BM324" s="57" t="s">
        <v>4231</v>
      </c>
      <c r="BN324" s="57">
        <v>376</v>
      </c>
      <c r="BO324" s="57" t="s">
        <v>3476</v>
      </c>
      <c r="BP324" s="57" t="s">
        <v>3476</v>
      </c>
      <c r="BQ324" s="57" t="s">
        <v>3476</v>
      </c>
      <c r="BR324" s="57" t="s">
        <v>4232</v>
      </c>
      <c r="BS324" s="57" t="s">
        <v>1292</v>
      </c>
      <c r="BT324" s="57" t="s">
        <v>3476</v>
      </c>
      <c r="BU324" s="57" t="s">
        <v>3476</v>
      </c>
      <c r="BV324" s="57" t="s">
        <v>3753</v>
      </c>
      <c r="BW324" s="57" t="s">
        <v>3476</v>
      </c>
      <c r="BX324" s="57">
        <v>376</v>
      </c>
      <c r="BY324" s="57" t="s">
        <v>3476</v>
      </c>
      <c r="BZ324" s="57" t="s">
        <v>3476</v>
      </c>
      <c r="CA324" s="57" t="s">
        <v>3476</v>
      </c>
      <c r="CB324" s="57" t="s">
        <v>3476</v>
      </c>
      <c r="CC324" s="57" t="s">
        <v>3476</v>
      </c>
      <c r="CD324" s="57" t="s">
        <v>3476</v>
      </c>
    </row>
    <row r="325" spans="1:82">
      <c r="A325" s="57">
        <v>29085</v>
      </c>
      <c r="B325" s="57" t="s">
        <v>3476</v>
      </c>
      <c r="C325" s="57" t="s">
        <v>4226</v>
      </c>
      <c r="D325" s="57" t="s">
        <v>3476</v>
      </c>
      <c r="E325" s="57" t="s">
        <v>3730</v>
      </c>
      <c r="F325" s="57" t="s">
        <v>4227</v>
      </c>
      <c r="G325" s="57" t="s">
        <v>721</v>
      </c>
      <c r="H325" s="57" t="s">
        <v>2874</v>
      </c>
      <c r="I325" s="57">
        <v>48856.48</v>
      </c>
      <c r="J325" s="57" t="s">
        <v>3476</v>
      </c>
      <c r="K325" s="57" t="s">
        <v>3476</v>
      </c>
      <c r="L325" s="57" t="s">
        <v>3730</v>
      </c>
      <c r="M325" s="57" t="s">
        <v>4228</v>
      </c>
      <c r="N325" s="57" t="s">
        <v>4228</v>
      </c>
      <c r="O325" s="57" t="s">
        <v>3476</v>
      </c>
      <c r="P325" s="57" t="s">
        <v>3476</v>
      </c>
      <c r="Q325" s="57" t="s">
        <v>2874</v>
      </c>
      <c r="R325" s="57" t="s">
        <v>3781</v>
      </c>
      <c r="S325" s="57" t="s">
        <v>3782</v>
      </c>
      <c r="T325" s="57" t="s">
        <v>3736</v>
      </c>
      <c r="U325" s="57" t="s">
        <v>3476</v>
      </c>
      <c r="V325" s="57" t="s">
        <v>3469</v>
      </c>
      <c r="W325" s="57" t="s">
        <v>3476</v>
      </c>
      <c r="X325" s="57" t="s">
        <v>4229</v>
      </c>
      <c r="Y325" s="57" t="s">
        <v>3738</v>
      </c>
      <c r="Z325" s="57" t="s">
        <v>4230</v>
      </c>
      <c r="AA325" s="57" t="s">
        <v>3476</v>
      </c>
      <c r="AB325" s="57" t="s">
        <v>3476</v>
      </c>
      <c r="AC325" s="57" t="s">
        <v>3476</v>
      </c>
      <c r="AD325" s="57" t="s">
        <v>3476</v>
      </c>
      <c r="AE325" s="57" t="s">
        <v>3476</v>
      </c>
      <c r="AF325" s="57" t="s">
        <v>3476</v>
      </c>
      <c r="AG325" s="57" t="s">
        <v>3476</v>
      </c>
      <c r="AH325" s="57" t="s">
        <v>3476</v>
      </c>
      <c r="AI325" s="57" t="s">
        <v>3476</v>
      </c>
      <c r="AJ325" s="57" t="s">
        <v>3476</v>
      </c>
      <c r="AK325" s="57" t="s">
        <v>3476</v>
      </c>
      <c r="AL325" s="57" t="s">
        <v>3476</v>
      </c>
      <c r="AM325" s="57" t="s">
        <v>3476</v>
      </c>
      <c r="AN325" s="57" t="s">
        <v>3476</v>
      </c>
      <c r="AO325" s="57" t="s">
        <v>3476</v>
      </c>
      <c r="AP325" s="58">
        <v>45868.5322222222</v>
      </c>
      <c r="AQ325" s="57" t="s">
        <v>3476</v>
      </c>
      <c r="AR325" s="57" t="s">
        <v>3476</v>
      </c>
      <c r="AS325" s="57" t="s">
        <v>3502</v>
      </c>
      <c r="AT325" s="57" t="s">
        <v>3745</v>
      </c>
      <c r="AU325" s="57" t="s">
        <v>3476</v>
      </c>
      <c r="AV325" s="57" t="s">
        <v>3476</v>
      </c>
      <c r="AW325" s="58">
        <v>45868.4798726852</v>
      </c>
      <c r="AX325" s="57" t="s">
        <v>3476</v>
      </c>
      <c r="AY325" s="57" t="s">
        <v>3747</v>
      </c>
      <c r="AZ325" s="57" t="s">
        <v>3476</v>
      </c>
      <c r="BA325" s="57" t="s">
        <v>3476</v>
      </c>
      <c r="BB325" s="57" t="s">
        <v>3476</v>
      </c>
      <c r="BC325" s="57" t="s">
        <v>1787</v>
      </c>
      <c r="BD325" s="57" t="s">
        <v>3659</v>
      </c>
      <c r="BE325" s="57" t="s">
        <v>3787</v>
      </c>
      <c r="BF325" s="57" t="s">
        <v>3749</v>
      </c>
      <c r="BG325" s="57" t="s">
        <v>3476</v>
      </c>
      <c r="BH325" s="57" t="s">
        <v>3476</v>
      </c>
      <c r="BI325" s="57" t="s">
        <v>2809</v>
      </c>
      <c r="BJ325" s="57" t="s">
        <v>3476</v>
      </c>
      <c r="BK325" s="57" t="s">
        <v>3476</v>
      </c>
      <c r="BL325" s="57">
        <v>3649125</v>
      </c>
      <c r="BM325" s="57" t="s">
        <v>4231</v>
      </c>
      <c r="BN325" s="57">
        <v>810</v>
      </c>
      <c r="BO325" s="57" t="s">
        <v>3476</v>
      </c>
      <c r="BP325" s="57" t="s">
        <v>3476</v>
      </c>
      <c r="BQ325" s="57" t="s">
        <v>3476</v>
      </c>
      <c r="BR325" s="57" t="s">
        <v>4232</v>
      </c>
      <c r="BS325" s="57" t="s">
        <v>1292</v>
      </c>
      <c r="BT325" s="57" t="s">
        <v>3476</v>
      </c>
      <c r="BU325" s="57" t="s">
        <v>3476</v>
      </c>
      <c r="BV325" s="57" t="s">
        <v>3753</v>
      </c>
      <c r="BW325" s="57" t="s">
        <v>3476</v>
      </c>
      <c r="BX325" s="57">
        <v>810</v>
      </c>
      <c r="BY325" s="57" t="s">
        <v>3476</v>
      </c>
      <c r="BZ325" s="57" t="s">
        <v>3476</v>
      </c>
      <c r="CA325" s="57" t="s">
        <v>3476</v>
      </c>
      <c r="CB325" s="57" t="s">
        <v>3476</v>
      </c>
      <c r="CC325" s="57" t="s">
        <v>3476</v>
      </c>
      <c r="CD325" s="57" t="s">
        <v>3476</v>
      </c>
    </row>
    <row r="326" spans="1:82">
      <c r="A326" s="57">
        <v>29086</v>
      </c>
      <c r="B326" s="57" t="s">
        <v>3476</v>
      </c>
      <c r="C326" s="57" t="s">
        <v>4226</v>
      </c>
      <c r="D326" s="57" t="s">
        <v>3476</v>
      </c>
      <c r="E326" s="57" t="s">
        <v>3730</v>
      </c>
      <c r="F326" s="57" t="s">
        <v>4227</v>
      </c>
      <c r="G326" s="57" t="s">
        <v>721</v>
      </c>
      <c r="H326" s="57" t="s">
        <v>2874</v>
      </c>
      <c r="I326" s="57">
        <v>48856.48</v>
      </c>
      <c r="J326" s="57" t="s">
        <v>3476</v>
      </c>
      <c r="K326" s="57" t="s">
        <v>3476</v>
      </c>
      <c r="L326" s="57" t="s">
        <v>3730</v>
      </c>
      <c r="M326" s="57" t="s">
        <v>4228</v>
      </c>
      <c r="N326" s="57" t="s">
        <v>4228</v>
      </c>
      <c r="O326" s="57" t="s">
        <v>3476</v>
      </c>
      <c r="P326" s="57" t="s">
        <v>3476</v>
      </c>
      <c r="Q326" s="57" t="s">
        <v>2874</v>
      </c>
      <c r="R326" s="57" t="s">
        <v>3781</v>
      </c>
      <c r="S326" s="57" t="s">
        <v>3782</v>
      </c>
      <c r="T326" s="57" t="s">
        <v>3736</v>
      </c>
      <c r="U326" s="57" t="s">
        <v>3476</v>
      </c>
      <c r="V326" s="57" t="s">
        <v>3469</v>
      </c>
      <c r="W326" s="57" t="s">
        <v>3476</v>
      </c>
      <c r="X326" s="57" t="s">
        <v>4229</v>
      </c>
      <c r="Y326" s="57" t="s">
        <v>3738</v>
      </c>
      <c r="Z326" s="57" t="s">
        <v>4230</v>
      </c>
      <c r="AA326" s="57" t="s">
        <v>3476</v>
      </c>
      <c r="AB326" s="57" t="s">
        <v>3476</v>
      </c>
      <c r="AC326" s="57" t="s">
        <v>3476</v>
      </c>
      <c r="AD326" s="57" t="s">
        <v>3476</v>
      </c>
      <c r="AE326" s="57" t="s">
        <v>3476</v>
      </c>
      <c r="AF326" s="57" t="s">
        <v>3476</v>
      </c>
      <c r="AG326" s="57" t="s">
        <v>3476</v>
      </c>
      <c r="AH326" s="57" t="s">
        <v>3476</v>
      </c>
      <c r="AI326" s="57" t="s">
        <v>3476</v>
      </c>
      <c r="AJ326" s="57" t="s">
        <v>3476</v>
      </c>
      <c r="AK326" s="57" t="s">
        <v>3476</v>
      </c>
      <c r="AL326" s="57" t="s">
        <v>3476</v>
      </c>
      <c r="AM326" s="57" t="s">
        <v>3476</v>
      </c>
      <c r="AN326" s="57" t="s">
        <v>3476</v>
      </c>
      <c r="AO326" s="57" t="s">
        <v>3476</v>
      </c>
      <c r="AP326" s="58">
        <v>45868.5322222222</v>
      </c>
      <c r="AQ326" s="57" t="s">
        <v>3476</v>
      </c>
      <c r="AR326" s="57" t="s">
        <v>3476</v>
      </c>
      <c r="AS326" s="57" t="s">
        <v>3502</v>
      </c>
      <c r="AT326" s="57" t="s">
        <v>3745</v>
      </c>
      <c r="AU326" s="57" t="s">
        <v>3476</v>
      </c>
      <c r="AV326" s="57" t="s">
        <v>3476</v>
      </c>
      <c r="AW326" s="58">
        <v>45868.4798726852</v>
      </c>
      <c r="AX326" s="57" t="s">
        <v>3476</v>
      </c>
      <c r="AY326" s="57" t="s">
        <v>3747</v>
      </c>
      <c r="AZ326" s="57" t="s">
        <v>3476</v>
      </c>
      <c r="BA326" s="57" t="s">
        <v>3476</v>
      </c>
      <c r="BB326" s="57" t="s">
        <v>3476</v>
      </c>
      <c r="BC326" s="57" t="s">
        <v>3793</v>
      </c>
      <c r="BD326" s="57" t="s">
        <v>3659</v>
      </c>
      <c r="BE326" s="57" t="s">
        <v>3787</v>
      </c>
      <c r="BF326" s="57" t="s">
        <v>3749</v>
      </c>
      <c r="BG326" s="57" t="s">
        <v>3476</v>
      </c>
      <c r="BH326" s="57" t="s">
        <v>3476</v>
      </c>
      <c r="BI326" s="57" t="s">
        <v>2809</v>
      </c>
      <c r="BJ326" s="57" t="s">
        <v>3476</v>
      </c>
      <c r="BK326" s="57" t="s">
        <v>3476</v>
      </c>
      <c r="BL326" s="57">
        <v>3649126</v>
      </c>
      <c r="BM326" s="57" t="s">
        <v>4231</v>
      </c>
      <c r="BN326" s="57">
        <v>210</v>
      </c>
      <c r="BO326" s="57" t="s">
        <v>3476</v>
      </c>
      <c r="BP326" s="57" t="s">
        <v>3476</v>
      </c>
      <c r="BQ326" s="57" t="s">
        <v>3476</v>
      </c>
      <c r="BR326" s="57" t="s">
        <v>4232</v>
      </c>
      <c r="BS326" s="57" t="s">
        <v>1292</v>
      </c>
      <c r="BT326" s="57" t="s">
        <v>3476</v>
      </c>
      <c r="BU326" s="57" t="s">
        <v>3476</v>
      </c>
      <c r="BV326" s="57" t="s">
        <v>3753</v>
      </c>
      <c r="BW326" s="57" t="s">
        <v>3476</v>
      </c>
      <c r="BX326" s="57">
        <v>210</v>
      </c>
      <c r="BY326" s="57" t="s">
        <v>3476</v>
      </c>
      <c r="BZ326" s="57" t="s">
        <v>3476</v>
      </c>
      <c r="CA326" s="57" t="s">
        <v>3476</v>
      </c>
      <c r="CB326" s="57" t="s">
        <v>3476</v>
      </c>
      <c r="CC326" s="57" t="s">
        <v>3476</v>
      </c>
      <c r="CD326" s="57" t="s">
        <v>3476</v>
      </c>
    </row>
    <row r="327" spans="1:82">
      <c r="A327" s="57">
        <v>29087</v>
      </c>
      <c r="B327" s="57" t="s">
        <v>3476</v>
      </c>
      <c r="C327" s="57" t="s">
        <v>4226</v>
      </c>
      <c r="D327" s="57" t="s">
        <v>3476</v>
      </c>
      <c r="E327" s="57" t="s">
        <v>3730</v>
      </c>
      <c r="F327" s="57" t="s">
        <v>4227</v>
      </c>
      <c r="G327" s="57" t="s">
        <v>721</v>
      </c>
      <c r="H327" s="57" t="s">
        <v>2874</v>
      </c>
      <c r="I327" s="57">
        <v>48856.48</v>
      </c>
      <c r="J327" s="57" t="s">
        <v>3476</v>
      </c>
      <c r="K327" s="57" t="s">
        <v>3476</v>
      </c>
      <c r="L327" s="57" t="s">
        <v>3730</v>
      </c>
      <c r="M327" s="57" t="s">
        <v>4228</v>
      </c>
      <c r="N327" s="57" t="s">
        <v>4228</v>
      </c>
      <c r="O327" s="57" t="s">
        <v>3476</v>
      </c>
      <c r="P327" s="57" t="s">
        <v>3476</v>
      </c>
      <c r="Q327" s="57" t="s">
        <v>2874</v>
      </c>
      <c r="R327" s="57" t="s">
        <v>3781</v>
      </c>
      <c r="S327" s="57" t="s">
        <v>3782</v>
      </c>
      <c r="T327" s="57" t="s">
        <v>3736</v>
      </c>
      <c r="U327" s="57" t="s">
        <v>3476</v>
      </c>
      <c r="V327" s="57" t="s">
        <v>3469</v>
      </c>
      <c r="W327" s="57" t="s">
        <v>3476</v>
      </c>
      <c r="X327" s="57" t="s">
        <v>4229</v>
      </c>
      <c r="Y327" s="57" t="s">
        <v>3738</v>
      </c>
      <c r="Z327" s="57" t="s">
        <v>4230</v>
      </c>
      <c r="AA327" s="57" t="s">
        <v>3476</v>
      </c>
      <c r="AB327" s="57" t="s">
        <v>3476</v>
      </c>
      <c r="AC327" s="57" t="s">
        <v>3476</v>
      </c>
      <c r="AD327" s="57" t="s">
        <v>3476</v>
      </c>
      <c r="AE327" s="57" t="s">
        <v>3476</v>
      </c>
      <c r="AF327" s="57" t="s">
        <v>3476</v>
      </c>
      <c r="AG327" s="57" t="s">
        <v>3476</v>
      </c>
      <c r="AH327" s="57" t="s">
        <v>3476</v>
      </c>
      <c r="AI327" s="57" t="s">
        <v>3476</v>
      </c>
      <c r="AJ327" s="57" t="s">
        <v>3476</v>
      </c>
      <c r="AK327" s="57" t="s">
        <v>3476</v>
      </c>
      <c r="AL327" s="57" t="s">
        <v>3476</v>
      </c>
      <c r="AM327" s="57" t="s">
        <v>3476</v>
      </c>
      <c r="AN327" s="57" t="s">
        <v>3476</v>
      </c>
      <c r="AO327" s="57" t="s">
        <v>3476</v>
      </c>
      <c r="AP327" s="58">
        <v>45868.5322222222</v>
      </c>
      <c r="AQ327" s="57" t="s">
        <v>3476</v>
      </c>
      <c r="AR327" s="57" t="s">
        <v>3476</v>
      </c>
      <c r="AS327" s="57" t="s">
        <v>3502</v>
      </c>
      <c r="AT327" s="57" t="s">
        <v>3745</v>
      </c>
      <c r="AU327" s="57" t="s">
        <v>3476</v>
      </c>
      <c r="AV327" s="57" t="s">
        <v>3476</v>
      </c>
      <c r="AW327" s="58">
        <v>45868.4798726852</v>
      </c>
      <c r="AX327" s="57" t="s">
        <v>3476</v>
      </c>
      <c r="AY327" s="57" t="s">
        <v>3747</v>
      </c>
      <c r="AZ327" s="57" t="s">
        <v>3476</v>
      </c>
      <c r="BA327" s="57" t="s">
        <v>3476</v>
      </c>
      <c r="BB327" s="57" t="s">
        <v>3476</v>
      </c>
      <c r="BC327" s="57" t="s">
        <v>1787</v>
      </c>
      <c r="BD327" s="57" t="s">
        <v>3659</v>
      </c>
      <c r="BE327" s="57" t="s">
        <v>3787</v>
      </c>
      <c r="BF327" s="57" t="s">
        <v>3749</v>
      </c>
      <c r="BG327" s="57" t="s">
        <v>3476</v>
      </c>
      <c r="BH327" s="57" t="s">
        <v>3476</v>
      </c>
      <c r="BI327" s="57" t="s">
        <v>2809</v>
      </c>
      <c r="BJ327" s="57" t="s">
        <v>3476</v>
      </c>
      <c r="BK327" s="57" t="s">
        <v>3476</v>
      </c>
      <c r="BL327" s="57">
        <v>3649127</v>
      </c>
      <c r="BM327" s="57" t="s">
        <v>4231</v>
      </c>
      <c r="BN327" s="57">
        <v>108</v>
      </c>
      <c r="BO327" s="57" t="s">
        <v>3476</v>
      </c>
      <c r="BP327" s="57" t="s">
        <v>3476</v>
      </c>
      <c r="BQ327" s="57" t="s">
        <v>3476</v>
      </c>
      <c r="BR327" s="57" t="s">
        <v>4232</v>
      </c>
      <c r="BS327" s="57" t="s">
        <v>1292</v>
      </c>
      <c r="BT327" s="57" t="s">
        <v>3476</v>
      </c>
      <c r="BU327" s="57" t="s">
        <v>3476</v>
      </c>
      <c r="BV327" s="57" t="s">
        <v>3753</v>
      </c>
      <c r="BW327" s="57" t="s">
        <v>3476</v>
      </c>
      <c r="BX327" s="57">
        <v>108</v>
      </c>
      <c r="BY327" s="57" t="s">
        <v>3476</v>
      </c>
      <c r="BZ327" s="57" t="s">
        <v>3476</v>
      </c>
      <c r="CA327" s="57" t="s">
        <v>3476</v>
      </c>
      <c r="CB327" s="57" t="s">
        <v>3476</v>
      </c>
      <c r="CC327" s="57" t="s">
        <v>3476</v>
      </c>
      <c r="CD327" s="57" t="s">
        <v>3476</v>
      </c>
    </row>
    <row r="328" spans="1:82">
      <c r="A328" s="57">
        <v>29088</v>
      </c>
      <c r="B328" s="57" t="s">
        <v>3476</v>
      </c>
      <c r="C328" s="57" t="s">
        <v>4226</v>
      </c>
      <c r="D328" s="57" t="s">
        <v>3476</v>
      </c>
      <c r="E328" s="57" t="s">
        <v>3730</v>
      </c>
      <c r="F328" s="57" t="s">
        <v>4227</v>
      </c>
      <c r="G328" s="57" t="s">
        <v>721</v>
      </c>
      <c r="H328" s="57" t="s">
        <v>2874</v>
      </c>
      <c r="I328" s="57">
        <v>48856.48</v>
      </c>
      <c r="J328" s="57" t="s">
        <v>3476</v>
      </c>
      <c r="K328" s="57" t="s">
        <v>3476</v>
      </c>
      <c r="L328" s="57" t="s">
        <v>3730</v>
      </c>
      <c r="M328" s="57" t="s">
        <v>4228</v>
      </c>
      <c r="N328" s="57" t="s">
        <v>4228</v>
      </c>
      <c r="O328" s="57" t="s">
        <v>3476</v>
      </c>
      <c r="P328" s="57" t="s">
        <v>3476</v>
      </c>
      <c r="Q328" s="57" t="s">
        <v>2874</v>
      </c>
      <c r="R328" s="57" t="s">
        <v>3781</v>
      </c>
      <c r="S328" s="57" t="s">
        <v>3782</v>
      </c>
      <c r="T328" s="57" t="s">
        <v>3736</v>
      </c>
      <c r="U328" s="57" t="s">
        <v>3476</v>
      </c>
      <c r="V328" s="57" t="s">
        <v>3469</v>
      </c>
      <c r="W328" s="57" t="s">
        <v>3476</v>
      </c>
      <c r="X328" s="57" t="s">
        <v>4229</v>
      </c>
      <c r="Y328" s="57" t="s">
        <v>3738</v>
      </c>
      <c r="Z328" s="57" t="s">
        <v>4230</v>
      </c>
      <c r="AA328" s="57" t="s">
        <v>3476</v>
      </c>
      <c r="AB328" s="57" t="s">
        <v>3476</v>
      </c>
      <c r="AC328" s="57" t="s">
        <v>3476</v>
      </c>
      <c r="AD328" s="57" t="s">
        <v>3476</v>
      </c>
      <c r="AE328" s="57" t="s">
        <v>3476</v>
      </c>
      <c r="AF328" s="57" t="s">
        <v>3476</v>
      </c>
      <c r="AG328" s="57" t="s">
        <v>3476</v>
      </c>
      <c r="AH328" s="57" t="s">
        <v>3476</v>
      </c>
      <c r="AI328" s="57" t="s">
        <v>3476</v>
      </c>
      <c r="AJ328" s="57" t="s">
        <v>3476</v>
      </c>
      <c r="AK328" s="57" t="s">
        <v>3476</v>
      </c>
      <c r="AL328" s="57" t="s">
        <v>3476</v>
      </c>
      <c r="AM328" s="57" t="s">
        <v>3476</v>
      </c>
      <c r="AN328" s="57" t="s">
        <v>3476</v>
      </c>
      <c r="AO328" s="57" t="s">
        <v>3476</v>
      </c>
      <c r="AP328" s="58">
        <v>45868.5322222222</v>
      </c>
      <c r="AQ328" s="57" t="s">
        <v>3476</v>
      </c>
      <c r="AR328" s="57" t="s">
        <v>3476</v>
      </c>
      <c r="AS328" s="57" t="s">
        <v>3502</v>
      </c>
      <c r="AT328" s="57" t="s">
        <v>3745</v>
      </c>
      <c r="AU328" s="57" t="s">
        <v>3476</v>
      </c>
      <c r="AV328" s="57" t="s">
        <v>3476</v>
      </c>
      <c r="AW328" s="58">
        <v>45868.4798726852</v>
      </c>
      <c r="AX328" s="57" t="s">
        <v>3476</v>
      </c>
      <c r="AY328" s="57" t="s">
        <v>3747</v>
      </c>
      <c r="AZ328" s="57" t="s">
        <v>3476</v>
      </c>
      <c r="BA328" s="57" t="s">
        <v>3476</v>
      </c>
      <c r="BB328" s="57" t="s">
        <v>3476</v>
      </c>
      <c r="BC328" s="57" t="s">
        <v>1787</v>
      </c>
      <c r="BD328" s="57" t="s">
        <v>3659</v>
      </c>
      <c r="BE328" s="57" t="s">
        <v>3787</v>
      </c>
      <c r="BF328" s="57" t="s">
        <v>3749</v>
      </c>
      <c r="BG328" s="57" t="s">
        <v>3476</v>
      </c>
      <c r="BH328" s="57" t="s">
        <v>3476</v>
      </c>
      <c r="BI328" s="57" t="s">
        <v>2809</v>
      </c>
      <c r="BJ328" s="57" t="s">
        <v>3476</v>
      </c>
      <c r="BK328" s="57" t="s">
        <v>3476</v>
      </c>
      <c r="BL328" s="57">
        <v>3649128</v>
      </c>
      <c r="BM328" s="57" t="s">
        <v>4231</v>
      </c>
      <c r="BN328" s="57">
        <v>176</v>
      </c>
      <c r="BO328" s="57" t="s">
        <v>3476</v>
      </c>
      <c r="BP328" s="57" t="s">
        <v>3476</v>
      </c>
      <c r="BQ328" s="57" t="s">
        <v>3476</v>
      </c>
      <c r="BR328" s="57" t="s">
        <v>4232</v>
      </c>
      <c r="BS328" s="57" t="s">
        <v>1292</v>
      </c>
      <c r="BT328" s="57" t="s">
        <v>3476</v>
      </c>
      <c r="BU328" s="57" t="s">
        <v>3476</v>
      </c>
      <c r="BV328" s="57" t="s">
        <v>3753</v>
      </c>
      <c r="BW328" s="57" t="s">
        <v>3476</v>
      </c>
      <c r="BX328" s="57">
        <v>176</v>
      </c>
      <c r="BY328" s="57" t="s">
        <v>3476</v>
      </c>
      <c r="BZ328" s="57" t="s">
        <v>3476</v>
      </c>
      <c r="CA328" s="57" t="s">
        <v>3476</v>
      </c>
      <c r="CB328" s="57" t="s">
        <v>3476</v>
      </c>
      <c r="CC328" s="57" t="s">
        <v>3476</v>
      </c>
      <c r="CD328" s="57" t="s">
        <v>3476</v>
      </c>
    </row>
    <row r="329" spans="1:82">
      <c r="A329" s="57">
        <v>29089</v>
      </c>
      <c r="B329" s="57" t="s">
        <v>3476</v>
      </c>
      <c r="C329" s="57" t="s">
        <v>4226</v>
      </c>
      <c r="D329" s="57" t="s">
        <v>3476</v>
      </c>
      <c r="E329" s="57" t="s">
        <v>3730</v>
      </c>
      <c r="F329" s="57" t="s">
        <v>4227</v>
      </c>
      <c r="G329" s="57" t="s">
        <v>721</v>
      </c>
      <c r="H329" s="57" t="s">
        <v>2874</v>
      </c>
      <c r="I329" s="57">
        <v>48856.48</v>
      </c>
      <c r="J329" s="57" t="s">
        <v>3476</v>
      </c>
      <c r="K329" s="57" t="s">
        <v>3476</v>
      </c>
      <c r="L329" s="57" t="s">
        <v>3730</v>
      </c>
      <c r="M329" s="57" t="s">
        <v>4228</v>
      </c>
      <c r="N329" s="57" t="s">
        <v>4228</v>
      </c>
      <c r="O329" s="57" t="s">
        <v>3476</v>
      </c>
      <c r="P329" s="57" t="s">
        <v>3476</v>
      </c>
      <c r="Q329" s="57" t="s">
        <v>2874</v>
      </c>
      <c r="R329" s="57" t="s">
        <v>3781</v>
      </c>
      <c r="S329" s="57" t="s">
        <v>3782</v>
      </c>
      <c r="T329" s="57" t="s">
        <v>3736</v>
      </c>
      <c r="U329" s="57" t="s">
        <v>3476</v>
      </c>
      <c r="V329" s="57" t="s">
        <v>3469</v>
      </c>
      <c r="W329" s="57" t="s">
        <v>3476</v>
      </c>
      <c r="X329" s="57" t="s">
        <v>4229</v>
      </c>
      <c r="Y329" s="57" t="s">
        <v>3738</v>
      </c>
      <c r="Z329" s="57" t="s">
        <v>4230</v>
      </c>
      <c r="AA329" s="57" t="s">
        <v>3476</v>
      </c>
      <c r="AB329" s="57" t="s">
        <v>3476</v>
      </c>
      <c r="AC329" s="57" t="s">
        <v>3476</v>
      </c>
      <c r="AD329" s="57" t="s">
        <v>3476</v>
      </c>
      <c r="AE329" s="57" t="s">
        <v>3476</v>
      </c>
      <c r="AF329" s="57" t="s">
        <v>3476</v>
      </c>
      <c r="AG329" s="57" t="s">
        <v>3476</v>
      </c>
      <c r="AH329" s="57" t="s">
        <v>3476</v>
      </c>
      <c r="AI329" s="57" t="s">
        <v>3476</v>
      </c>
      <c r="AJ329" s="57" t="s">
        <v>3476</v>
      </c>
      <c r="AK329" s="57" t="s">
        <v>3476</v>
      </c>
      <c r="AL329" s="57" t="s">
        <v>3476</v>
      </c>
      <c r="AM329" s="57" t="s">
        <v>3476</v>
      </c>
      <c r="AN329" s="57" t="s">
        <v>3476</v>
      </c>
      <c r="AO329" s="57" t="s">
        <v>3476</v>
      </c>
      <c r="AP329" s="58">
        <v>45868.5322222222</v>
      </c>
      <c r="AQ329" s="57" t="s">
        <v>3476</v>
      </c>
      <c r="AR329" s="57" t="s">
        <v>3476</v>
      </c>
      <c r="AS329" s="57" t="s">
        <v>3502</v>
      </c>
      <c r="AT329" s="57" t="s">
        <v>3745</v>
      </c>
      <c r="AU329" s="57" t="s">
        <v>3476</v>
      </c>
      <c r="AV329" s="57" t="s">
        <v>3476</v>
      </c>
      <c r="AW329" s="58">
        <v>45868.4798726852</v>
      </c>
      <c r="AX329" s="57" t="s">
        <v>3476</v>
      </c>
      <c r="AY329" s="57" t="s">
        <v>3747</v>
      </c>
      <c r="AZ329" s="57" t="s">
        <v>3476</v>
      </c>
      <c r="BA329" s="57" t="s">
        <v>3476</v>
      </c>
      <c r="BB329" s="57" t="s">
        <v>3476</v>
      </c>
      <c r="BC329" s="57" t="s">
        <v>1787</v>
      </c>
      <c r="BD329" s="57" t="s">
        <v>3659</v>
      </c>
      <c r="BE329" s="57" t="s">
        <v>3787</v>
      </c>
      <c r="BF329" s="57" t="s">
        <v>3749</v>
      </c>
      <c r="BG329" s="57" t="s">
        <v>3476</v>
      </c>
      <c r="BH329" s="57" t="s">
        <v>3476</v>
      </c>
      <c r="BI329" s="57" t="s">
        <v>2809</v>
      </c>
      <c r="BJ329" s="57" t="s">
        <v>3476</v>
      </c>
      <c r="BK329" s="57" t="s">
        <v>3476</v>
      </c>
      <c r="BL329" s="57">
        <v>3649129</v>
      </c>
      <c r="BM329" s="57" t="s">
        <v>4231</v>
      </c>
      <c r="BN329" s="57">
        <v>18</v>
      </c>
      <c r="BO329" s="57" t="s">
        <v>3476</v>
      </c>
      <c r="BP329" s="57" t="s">
        <v>3476</v>
      </c>
      <c r="BQ329" s="57" t="s">
        <v>3476</v>
      </c>
      <c r="BR329" s="57" t="s">
        <v>4232</v>
      </c>
      <c r="BS329" s="57" t="s">
        <v>1292</v>
      </c>
      <c r="BT329" s="57" t="s">
        <v>3476</v>
      </c>
      <c r="BU329" s="57" t="s">
        <v>3476</v>
      </c>
      <c r="BV329" s="57" t="s">
        <v>3753</v>
      </c>
      <c r="BW329" s="57" t="s">
        <v>3476</v>
      </c>
      <c r="BX329" s="57">
        <v>18</v>
      </c>
      <c r="BY329" s="57" t="s">
        <v>3476</v>
      </c>
      <c r="BZ329" s="57" t="s">
        <v>3476</v>
      </c>
      <c r="CA329" s="57" t="s">
        <v>3476</v>
      </c>
      <c r="CB329" s="57" t="s">
        <v>3476</v>
      </c>
      <c r="CC329" s="57" t="s">
        <v>3476</v>
      </c>
      <c r="CD329" s="57" t="s">
        <v>3476</v>
      </c>
    </row>
    <row r="330" spans="1:82">
      <c r="A330" s="57">
        <v>29090</v>
      </c>
      <c r="B330" s="57" t="s">
        <v>3476</v>
      </c>
      <c r="C330" s="57" t="s">
        <v>4226</v>
      </c>
      <c r="D330" s="57" t="s">
        <v>3476</v>
      </c>
      <c r="E330" s="57" t="s">
        <v>3730</v>
      </c>
      <c r="F330" s="57" t="s">
        <v>4227</v>
      </c>
      <c r="G330" s="57" t="s">
        <v>721</v>
      </c>
      <c r="H330" s="57" t="s">
        <v>2874</v>
      </c>
      <c r="I330" s="57">
        <v>48856.48</v>
      </c>
      <c r="J330" s="57" t="s">
        <v>3476</v>
      </c>
      <c r="K330" s="57" t="s">
        <v>3476</v>
      </c>
      <c r="L330" s="57" t="s">
        <v>3730</v>
      </c>
      <c r="M330" s="57" t="s">
        <v>4228</v>
      </c>
      <c r="N330" s="57" t="s">
        <v>4228</v>
      </c>
      <c r="O330" s="57" t="s">
        <v>3476</v>
      </c>
      <c r="P330" s="57" t="s">
        <v>3476</v>
      </c>
      <c r="Q330" s="57" t="s">
        <v>2874</v>
      </c>
      <c r="R330" s="57" t="s">
        <v>3781</v>
      </c>
      <c r="S330" s="57" t="s">
        <v>3782</v>
      </c>
      <c r="T330" s="57" t="s">
        <v>3736</v>
      </c>
      <c r="U330" s="57" t="s">
        <v>3476</v>
      </c>
      <c r="V330" s="57" t="s">
        <v>3469</v>
      </c>
      <c r="W330" s="57" t="s">
        <v>3476</v>
      </c>
      <c r="X330" s="57" t="s">
        <v>4229</v>
      </c>
      <c r="Y330" s="57" t="s">
        <v>3738</v>
      </c>
      <c r="Z330" s="57" t="s">
        <v>4230</v>
      </c>
      <c r="AA330" s="57" t="s">
        <v>3476</v>
      </c>
      <c r="AB330" s="57" t="s">
        <v>3476</v>
      </c>
      <c r="AC330" s="57" t="s">
        <v>3476</v>
      </c>
      <c r="AD330" s="57" t="s">
        <v>3476</v>
      </c>
      <c r="AE330" s="57" t="s">
        <v>3476</v>
      </c>
      <c r="AF330" s="57" t="s">
        <v>3476</v>
      </c>
      <c r="AG330" s="57" t="s">
        <v>3476</v>
      </c>
      <c r="AH330" s="57" t="s">
        <v>3476</v>
      </c>
      <c r="AI330" s="57" t="s">
        <v>3476</v>
      </c>
      <c r="AJ330" s="57" t="s">
        <v>3476</v>
      </c>
      <c r="AK330" s="57" t="s">
        <v>3476</v>
      </c>
      <c r="AL330" s="57" t="s">
        <v>3476</v>
      </c>
      <c r="AM330" s="57" t="s">
        <v>3476</v>
      </c>
      <c r="AN330" s="57" t="s">
        <v>3476</v>
      </c>
      <c r="AO330" s="57" t="s">
        <v>3476</v>
      </c>
      <c r="AP330" s="58">
        <v>45868.5322222222</v>
      </c>
      <c r="AQ330" s="57" t="s">
        <v>3476</v>
      </c>
      <c r="AR330" s="57" t="s">
        <v>3476</v>
      </c>
      <c r="AS330" s="57" t="s">
        <v>3502</v>
      </c>
      <c r="AT330" s="57" t="s">
        <v>3745</v>
      </c>
      <c r="AU330" s="57" t="s">
        <v>3476</v>
      </c>
      <c r="AV330" s="57" t="s">
        <v>3476</v>
      </c>
      <c r="AW330" s="58">
        <v>45868.4798726852</v>
      </c>
      <c r="AX330" s="57" t="s">
        <v>3476</v>
      </c>
      <c r="AY330" s="57" t="s">
        <v>3747</v>
      </c>
      <c r="AZ330" s="57" t="s">
        <v>3476</v>
      </c>
      <c r="BA330" s="57" t="s">
        <v>3476</v>
      </c>
      <c r="BB330" s="57" t="s">
        <v>3476</v>
      </c>
      <c r="BC330" s="57" t="s">
        <v>1787</v>
      </c>
      <c r="BD330" s="57" t="s">
        <v>3659</v>
      </c>
      <c r="BE330" s="57" t="s">
        <v>3787</v>
      </c>
      <c r="BF330" s="57" t="s">
        <v>3749</v>
      </c>
      <c r="BG330" s="57" t="s">
        <v>3476</v>
      </c>
      <c r="BH330" s="57" t="s">
        <v>3476</v>
      </c>
      <c r="BI330" s="57" t="s">
        <v>2809</v>
      </c>
      <c r="BJ330" s="57" t="s">
        <v>3476</v>
      </c>
      <c r="BK330" s="57" t="s">
        <v>3476</v>
      </c>
      <c r="BL330" s="57">
        <v>3649130</v>
      </c>
      <c r="BM330" s="57" t="s">
        <v>4231</v>
      </c>
      <c r="BN330" s="57">
        <v>52</v>
      </c>
      <c r="BO330" s="57" t="s">
        <v>3476</v>
      </c>
      <c r="BP330" s="57" t="s">
        <v>3476</v>
      </c>
      <c r="BQ330" s="57" t="s">
        <v>3476</v>
      </c>
      <c r="BR330" s="57" t="s">
        <v>4232</v>
      </c>
      <c r="BS330" s="57" t="s">
        <v>1292</v>
      </c>
      <c r="BT330" s="57" t="s">
        <v>3476</v>
      </c>
      <c r="BU330" s="57" t="s">
        <v>3476</v>
      </c>
      <c r="BV330" s="57" t="s">
        <v>3753</v>
      </c>
      <c r="BW330" s="57" t="s">
        <v>3476</v>
      </c>
      <c r="BX330" s="57">
        <v>52</v>
      </c>
      <c r="BY330" s="57" t="s">
        <v>3476</v>
      </c>
      <c r="BZ330" s="57" t="s">
        <v>3476</v>
      </c>
      <c r="CA330" s="57" t="s">
        <v>3476</v>
      </c>
      <c r="CB330" s="57" t="s">
        <v>3476</v>
      </c>
      <c r="CC330" s="57" t="s">
        <v>3476</v>
      </c>
      <c r="CD330" s="57" t="s">
        <v>3476</v>
      </c>
    </row>
    <row r="331" spans="1:82">
      <c r="A331" s="57">
        <v>29091</v>
      </c>
      <c r="B331" s="57" t="s">
        <v>3476</v>
      </c>
      <c r="C331" s="57" t="s">
        <v>4226</v>
      </c>
      <c r="D331" s="57" t="s">
        <v>3476</v>
      </c>
      <c r="E331" s="57" t="s">
        <v>3730</v>
      </c>
      <c r="F331" s="57" t="s">
        <v>4227</v>
      </c>
      <c r="G331" s="57" t="s">
        <v>721</v>
      </c>
      <c r="H331" s="57" t="s">
        <v>2874</v>
      </c>
      <c r="I331" s="57">
        <v>48856.48</v>
      </c>
      <c r="J331" s="57" t="s">
        <v>3476</v>
      </c>
      <c r="K331" s="57" t="s">
        <v>3476</v>
      </c>
      <c r="L331" s="57" t="s">
        <v>3730</v>
      </c>
      <c r="M331" s="57" t="s">
        <v>4228</v>
      </c>
      <c r="N331" s="57" t="s">
        <v>4228</v>
      </c>
      <c r="O331" s="57" t="s">
        <v>3476</v>
      </c>
      <c r="P331" s="57" t="s">
        <v>3476</v>
      </c>
      <c r="Q331" s="57" t="s">
        <v>2874</v>
      </c>
      <c r="R331" s="57" t="s">
        <v>3781</v>
      </c>
      <c r="S331" s="57" t="s">
        <v>3782</v>
      </c>
      <c r="T331" s="57" t="s">
        <v>3736</v>
      </c>
      <c r="U331" s="57" t="s">
        <v>3476</v>
      </c>
      <c r="V331" s="57" t="s">
        <v>3469</v>
      </c>
      <c r="W331" s="57" t="s">
        <v>3476</v>
      </c>
      <c r="X331" s="57" t="s">
        <v>4229</v>
      </c>
      <c r="Y331" s="57" t="s">
        <v>3738</v>
      </c>
      <c r="Z331" s="57" t="s">
        <v>4230</v>
      </c>
      <c r="AA331" s="57" t="s">
        <v>3476</v>
      </c>
      <c r="AB331" s="57" t="s">
        <v>3476</v>
      </c>
      <c r="AC331" s="57" t="s">
        <v>3476</v>
      </c>
      <c r="AD331" s="57" t="s">
        <v>3476</v>
      </c>
      <c r="AE331" s="57" t="s">
        <v>3476</v>
      </c>
      <c r="AF331" s="57" t="s">
        <v>3476</v>
      </c>
      <c r="AG331" s="57" t="s">
        <v>3476</v>
      </c>
      <c r="AH331" s="57" t="s">
        <v>3476</v>
      </c>
      <c r="AI331" s="57" t="s">
        <v>3476</v>
      </c>
      <c r="AJ331" s="57" t="s">
        <v>3476</v>
      </c>
      <c r="AK331" s="57" t="s">
        <v>3476</v>
      </c>
      <c r="AL331" s="57" t="s">
        <v>3476</v>
      </c>
      <c r="AM331" s="57" t="s">
        <v>3476</v>
      </c>
      <c r="AN331" s="57" t="s">
        <v>3476</v>
      </c>
      <c r="AO331" s="57" t="s">
        <v>3476</v>
      </c>
      <c r="AP331" s="58">
        <v>45868.5322222222</v>
      </c>
      <c r="AQ331" s="57" t="s">
        <v>3476</v>
      </c>
      <c r="AR331" s="57" t="s">
        <v>3476</v>
      </c>
      <c r="AS331" s="57" t="s">
        <v>3502</v>
      </c>
      <c r="AT331" s="57" t="s">
        <v>3745</v>
      </c>
      <c r="AU331" s="57" t="s">
        <v>3476</v>
      </c>
      <c r="AV331" s="57" t="s">
        <v>3476</v>
      </c>
      <c r="AW331" s="58">
        <v>45868.4798726852</v>
      </c>
      <c r="AX331" s="57" t="s">
        <v>3476</v>
      </c>
      <c r="AY331" s="57" t="s">
        <v>3747</v>
      </c>
      <c r="AZ331" s="57" t="s">
        <v>3476</v>
      </c>
      <c r="BA331" s="57" t="s">
        <v>3476</v>
      </c>
      <c r="BB331" s="57" t="s">
        <v>3476</v>
      </c>
      <c r="BC331" s="57" t="s">
        <v>3791</v>
      </c>
      <c r="BD331" s="57" t="s">
        <v>3659</v>
      </c>
      <c r="BE331" s="57" t="s">
        <v>3787</v>
      </c>
      <c r="BF331" s="57" t="s">
        <v>3749</v>
      </c>
      <c r="BG331" s="57" t="s">
        <v>3476</v>
      </c>
      <c r="BH331" s="57" t="s">
        <v>3476</v>
      </c>
      <c r="BI331" s="57" t="s">
        <v>2809</v>
      </c>
      <c r="BJ331" s="57" t="s">
        <v>3476</v>
      </c>
      <c r="BK331" s="57" t="s">
        <v>3476</v>
      </c>
      <c r="BL331" s="57">
        <v>3649131</v>
      </c>
      <c r="BM331" s="57" t="s">
        <v>4231</v>
      </c>
      <c r="BN331" s="57">
        <v>65</v>
      </c>
      <c r="BO331" s="57" t="s">
        <v>3476</v>
      </c>
      <c r="BP331" s="57" t="s">
        <v>3476</v>
      </c>
      <c r="BQ331" s="57" t="s">
        <v>3476</v>
      </c>
      <c r="BR331" s="57" t="s">
        <v>4232</v>
      </c>
      <c r="BS331" s="57" t="s">
        <v>1292</v>
      </c>
      <c r="BT331" s="57" t="s">
        <v>3476</v>
      </c>
      <c r="BU331" s="57" t="s">
        <v>3476</v>
      </c>
      <c r="BV331" s="57" t="s">
        <v>3753</v>
      </c>
      <c r="BW331" s="57" t="s">
        <v>3476</v>
      </c>
      <c r="BX331" s="57">
        <v>65</v>
      </c>
      <c r="BY331" s="57" t="s">
        <v>3476</v>
      </c>
      <c r="BZ331" s="57" t="s">
        <v>3476</v>
      </c>
      <c r="CA331" s="57" t="s">
        <v>3476</v>
      </c>
      <c r="CB331" s="57" t="s">
        <v>3476</v>
      </c>
      <c r="CC331" s="57" t="s">
        <v>3476</v>
      </c>
      <c r="CD331" s="57" t="s">
        <v>3476</v>
      </c>
    </row>
    <row r="332" spans="1:82">
      <c r="A332" s="57">
        <v>29092</v>
      </c>
      <c r="B332" s="57" t="s">
        <v>3476</v>
      </c>
      <c r="C332" s="57" t="s">
        <v>4226</v>
      </c>
      <c r="D332" s="57" t="s">
        <v>3476</v>
      </c>
      <c r="E332" s="57" t="s">
        <v>3730</v>
      </c>
      <c r="F332" s="57" t="s">
        <v>4227</v>
      </c>
      <c r="G332" s="57" t="s">
        <v>721</v>
      </c>
      <c r="H332" s="57" t="s">
        <v>2874</v>
      </c>
      <c r="I332" s="57">
        <v>48856.48</v>
      </c>
      <c r="J332" s="57" t="s">
        <v>3476</v>
      </c>
      <c r="K332" s="57" t="s">
        <v>3476</v>
      </c>
      <c r="L332" s="57" t="s">
        <v>3730</v>
      </c>
      <c r="M332" s="57" t="s">
        <v>4228</v>
      </c>
      <c r="N332" s="57" t="s">
        <v>4228</v>
      </c>
      <c r="O332" s="57" t="s">
        <v>3476</v>
      </c>
      <c r="P332" s="57" t="s">
        <v>3476</v>
      </c>
      <c r="Q332" s="57" t="s">
        <v>2874</v>
      </c>
      <c r="R332" s="57" t="s">
        <v>3781</v>
      </c>
      <c r="S332" s="57" t="s">
        <v>3782</v>
      </c>
      <c r="T332" s="57" t="s">
        <v>3736</v>
      </c>
      <c r="U332" s="57" t="s">
        <v>3476</v>
      </c>
      <c r="V332" s="57" t="s">
        <v>3469</v>
      </c>
      <c r="W332" s="57" t="s">
        <v>3476</v>
      </c>
      <c r="X332" s="57" t="s">
        <v>4229</v>
      </c>
      <c r="Y332" s="57" t="s">
        <v>3738</v>
      </c>
      <c r="Z332" s="57" t="s">
        <v>4230</v>
      </c>
      <c r="AA332" s="57" t="s">
        <v>3476</v>
      </c>
      <c r="AB332" s="57" t="s">
        <v>3476</v>
      </c>
      <c r="AC332" s="57" t="s">
        <v>3476</v>
      </c>
      <c r="AD332" s="57" t="s">
        <v>3476</v>
      </c>
      <c r="AE332" s="57" t="s">
        <v>3476</v>
      </c>
      <c r="AF332" s="57" t="s">
        <v>3476</v>
      </c>
      <c r="AG332" s="57" t="s">
        <v>3476</v>
      </c>
      <c r="AH332" s="57" t="s">
        <v>3476</v>
      </c>
      <c r="AI332" s="57" t="s">
        <v>3476</v>
      </c>
      <c r="AJ332" s="57" t="s">
        <v>3476</v>
      </c>
      <c r="AK332" s="57" t="s">
        <v>3476</v>
      </c>
      <c r="AL332" s="57" t="s">
        <v>3476</v>
      </c>
      <c r="AM332" s="57" t="s">
        <v>3476</v>
      </c>
      <c r="AN332" s="57" t="s">
        <v>3476</v>
      </c>
      <c r="AO332" s="57" t="s">
        <v>3476</v>
      </c>
      <c r="AP332" s="58">
        <v>45868.5322222222</v>
      </c>
      <c r="AQ332" s="57" t="s">
        <v>3476</v>
      </c>
      <c r="AR332" s="57" t="s">
        <v>3476</v>
      </c>
      <c r="AS332" s="57" t="s">
        <v>3502</v>
      </c>
      <c r="AT332" s="57" t="s">
        <v>3745</v>
      </c>
      <c r="AU332" s="57" t="s">
        <v>3476</v>
      </c>
      <c r="AV332" s="57" t="s">
        <v>3476</v>
      </c>
      <c r="AW332" s="58">
        <v>45868.4798726852</v>
      </c>
      <c r="AX332" s="57" t="s">
        <v>3476</v>
      </c>
      <c r="AY332" s="57" t="s">
        <v>3747</v>
      </c>
      <c r="AZ332" s="57" t="s">
        <v>3476</v>
      </c>
      <c r="BA332" s="57" t="s">
        <v>3476</v>
      </c>
      <c r="BB332" s="57" t="s">
        <v>3476</v>
      </c>
      <c r="BC332" s="57" t="s">
        <v>3791</v>
      </c>
      <c r="BD332" s="57" t="s">
        <v>3659</v>
      </c>
      <c r="BE332" s="57" t="s">
        <v>3787</v>
      </c>
      <c r="BF332" s="57" t="s">
        <v>3749</v>
      </c>
      <c r="BG332" s="57" t="s">
        <v>3476</v>
      </c>
      <c r="BH332" s="57" t="s">
        <v>3476</v>
      </c>
      <c r="BI332" s="57" t="s">
        <v>2809</v>
      </c>
      <c r="BJ332" s="57" t="s">
        <v>3476</v>
      </c>
      <c r="BK332" s="57" t="s">
        <v>3476</v>
      </c>
      <c r="BL332" s="57">
        <v>3649132</v>
      </c>
      <c r="BM332" s="57" t="s">
        <v>4231</v>
      </c>
      <c r="BN332" s="57">
        <v>56</v>
      </c>
      <c r="BO332" s="57" t="s">
        <v>3476</v>
      </c>
      <c r="BP332" s="57" t="s">
        <v>3476</v>
      </c>
      <c r="BQ332" s="57" t="s">
        <v>3476</v>
      </c>
      <c r="BR332" s="57" t="s">
        <v>4232</v>
      </c>
      <c r="BS332" s="57" t="s">
        <v>1292</v>
      </c>
      <c r="BT332" s="57" t="s">
        <v>3476</v>
      </c>
      <c r="BU332" s="57" t="s">
        <v>3476</v>
      </c>
      <c r="BV332" s="57" t="s">
        <v>3753</v>
      </c>
      <c r="BW332" s="57" t="s">
        <v>3476</v>
      </c>
      <c r="BX332" s="57">
        <v>56</v>
      </c>
      <c r="BY332" s="57" t="s">
        <v>3476</v>
      </c>
      <c r="BZ332" s="57" t="s">
        <v>3476</v>
      </c>
      <c r="CA332" s="57" t="s">
        <v>3476</v>
      </c>
      <c r="CB332" s="57" t="s">
        <v>3476</v>
      </c>
      <c r="CC332" s="57" t="s">
        <v>3476</v>
      </c>
      <c r="CD332" s="57" t="s">
        <v>3476</v>
      </c>
    </row>
    <row r="333" spans="1:82">
      <c r="A333" s="57">
        <v>29408</v>
      </c>
      <c r="B333" s="57" t="s">
        <v>3476</v>
      </c>
      <c r="C333" s="57" t="s">
        <v>4233</v>
      </c>
      <c r="D333" s="57" t="s">
        <v>3476</v>
      </c>
      <c r="E333" s="57" t="s">
        <v>3730</v>
      </c>
      <c r="F333" s="57" t="s">
        <v>4234</v>
      </c>
      <c r="G333" s="57" t="s">
        <v>721</v>
      </c>
      <c r="H333" s="57" t="s">
        <v>3598</v>
      </c>
      <c r="I333" s="57">
        <v>7900</v>
      </c>
      <c r="J333" s="57" t="s">
        <v>3476</v>
      </c>
      <c r="K333" s="57" t="s">
        <v>3476</v>
      </c>
      <c r="L333" s="57" t="s">
        <v>3730</v>
      </c>
      <c r="M333" s="57" t="s">
        <v>4235</v>
      </c>
      <c r="N333" s="57" t="s">
        <v>4235</v>
      </c>
      <c r="O333" s="57" t="s">
        <v>3476</v>
      </c>
      <c r="P333" s="57" t="s">
        <v>3476</v>
      </c>
      <c r="Q333" s="57" t="s">
        <v>3598</v>
      </c>
      <c r="R333" s="57" t="s">
        <v>3839</v>
      </c>
      <c r="S333" s="57" t="s">
        <v>3840</v>
      </c>
      <c r="T333" s="57" t="s">
        <v>3736</v>
      </c>
      <c r="U333" s="57" t="s">
        <v>3476</v>
      </c>
      <c r="V333" s="57" t="s">
        <v>3469</v>
      </c>
      <c r="W333" s="57" t="s">
        <v>3476</v>
      </c>
      <c r="X333" s="57" t="s">
        <v>4236</v>
      </c>
      <c r="Y333" s="57" t="s">
        <v>3738</v>
      </c>
      <c r="Z333" s="57" t="s">
        <v>4230</v>
      </c>
      <c r="AA333" s="57" t="s">
        <v>3476</v>
      </c>
      <c r="AB333" s="57" t="s">
        <v>3476</v>
      </c>
      <c r="AC333" s="57" t="s">
        <v>3476</v>
      </c>
      <c r="AD333" s="57" t="s">
        <v>3476</v>
      </c>
      <c r="AE333" s="57" t="s">
        <v>3476</v>
      </c>
      <c r="AF333" s="57" t="s">
        <v>3476</v>
      </c>
      <c r="AG333" s="57" t="s">
        <v>3476</v>
      </c>
      <c r="AH333" s="57" t="s">
        <v>3476</v>
      </c>
      <c r="AI333" s="57" t="s">
        <v>3476</v>
      </c>
      <c r="AJ333" s="57" t="s">
        <v>3476</v>
      </c>
      <c r="AK333" s="57" t="s">
        <v>3476</v>
      </c>
      <c r="AL333" s="57" t="s">
        <v>3476</v>
      </c>
      <c r="AM333" s="57" t="s">
        <v>3476</v>
      </c>
      <c r="AN333" s="57" t="s">
        <v>3476</v>
      </c>
      <c r="AO333" s="57" t="s">
        <v>3476</v>
      </c>
      <c r="AP333" s="58">
        <v>45868.5318518518</v>
      </c>
      <c r="AQ333" s="57" t="s">
        <v>3476</v>
      </c>
      <c r="AR333" s="57" t="s">
        <v>3476</v>
      </c>
      <c r="AS333" s="57" t="s">
        <v>3502</v>
      </c>
      <c r="AT333" s="57" t="s">
        <v>3745</v>
      </c>
      <c r="AU333" s="57" t="s">
        <v>3476</v>
      </c>
      <c r="AV333" s="57" t="s">
        <v>3476</v>
      </c>
      <c r="AW333" s="58">
        <v>45868.4803240741</v>
      </c>
      <c r="AX333" s="57" t="s">
        <v>3476</v>
      </c>
      <c r="AY333" s="57" t="s">
        <v>3747</v>
      </c>
      <c r="AZ333" s="57" t="s">
        <v>3476</v>
      </c>
      <c r="BA333" s="57" t="s">
        <v>3476</v>
      </c>
      <c r="BB333" s="57" t="s">
        <v>3476</v>
      </c>
      <c r="BC333" s="57" t="s">
        <v>3845</v>
      </c>
      <c r="BD333" s="57" t="s">
        <v>3846</v>
      </c>
      <c r="BE333" s="57" t="s">
        <v>2828</v>
      </c>
      <c r="BF333" s="57" t="s">
        <v>3749</v>
      </c>
      <c r="BG333" s="57" t="s">
        <v>3476</v>
      </c>
      <c r="BH333" s="57" t="s">
        <v>3476</v>
      </c>
      <c r="BI333" s="57" t="s">
        <v>2809</v>
      </c>
      <c r="BJ333" s="57" t="s">
        <v>3476</v>
      </c>
      <c r="BK333" s="57" t="s">
        <v>3476</v>
      </c>
      <c r="BL333" s="57">
        <v>3316660</v>
      </c>
      <c r="BM333" s="57" t="s">
        <v>4237</v>
      </c>
      <c r="BN333" s="57">
        <v>7900</v>
      </c>
      <c r="BO333" s="57" t="s">
        <v>3476</v>
      </c>
      <c r="BP333" s="57" t="s">
        <v>3476</v>
      </c>
      <c r="BQ333" s="57" t="s">
        <v>3476</v>
      </c>
      <c r="BR333" s="57" t="s">
        <v>4238</v>
      </c>
      <c r="BS333" s="57" t="s">
        <v>1292</v>
      </c>
      <c r="BT333" s="57" t="s">
        <v>3476</v>
      </c>
      <c r="BU333" s="57" t="s">
        <v>3476</v>
      </c>
      <c r="BV333" s="57" t="s">
        <v>3753</v>
      </c>
      <c r="BW333" s="57" t="s">
        <v>3476</v>
      </c>
      <c r="BX333" s="57">
        <v>7900</v>
      </c>
      <c r="BY333" s="57" t="s">
        <v>3476</v>
      </c>
      <c r="BZ333" s="57" t="s">
        <v>3476</v>
      </c>
      <c r="CA333" s="57" t="s">
        <v>3476</v>
      </c>
      <c r="CB333" s="57" t="s">
        <v>3476</v>
      </c>
      <c r="CC333" s="57" t="s">
        <v>3476</v>
      </c>
      <c r="CD333" s="57" t="s">
        <v>3476</v>
      </c>
    </row>
    <row r="334" spans="1:82">
      <c r="A334" s="57">
        <v>29409</v>
      </c>
      <c r="B334" s="57" t="s">
        <v>3476</v>
      </c>
      <c r="C334" s="57" t="s">
        <v>4239</v>
      </c>
      <c r="D334" s="57" t="s">
        <v>3476</v>
      </c>
      <c r="E334" s="57" t="s">
        <v>3730</v>
      </c>
      <c r="F334" s="57" t="s">
        <v>4240</v>
      </c>
      <c r="G334" s="57" t="s">
        <v>721</v>
      </c>
      <c r="H334" s="57" t="s">
        <v>3598</v>
      </c>
      <c r="I334" s="57">
        <v>7900</v>
      </c>
      <c r="J334" s="57" t="s">
        <v>3476</v>
      </c>
      <c r="K334" s="57" t="s">
        <v>3476</v>
      </c>
      <c r="L334" s="57" t="s">
        <v>3730</v>
      </c>
      <c r="M334" s="57" t="s">
        <v>4235</v>
      </c>
      <c r="N334" s="57" t="s">
        <v>4235</v>
      </c>
      <c r="O334" s="57" t="s">
        <v>3476</v>
      </c>
      <c r="P334" s="57" t="s">
        <v>3476</v>
      </c>
      <c r="Q334" s="57" t="s">
        <v>3598</v>
      </c>
      <c r="R334" s="57" t="s">
        <v>3839</v>
      </c>
      <c r="S334" s="57" t="s">
        <v>3840</v>
      </c>
      <c r="T334" s="57" t="s">
        <v>3736</v>
      </c>
      <c r="U334" s="57" t="s">
        <v>3476</v>
      </c>
      <c r="V334" s="57" t="s">
        <v>3469</v>
      </c>
      <c r="W334" s="57" t="s">
        <v>3476</v>
      </c>
      <c r="X334" s="57" t="s">
        <v>4241</v>
      </c>
      <c r="Y334" s="57" t="s">
        <v>3738</v>
      </c>
      <c r="Z334" s="57" t="s">
        <v>4230</v>
      </c>
      <c r="AA334" s="57" t="s">
        <v>3476</v>
      </c>
      <c r="AB334" s="57" t="s">
        <v>3476</v>
      </c>
      <c r="AC334" s="57" t="s">
        <v>3476</v>
      </c>
      <c r="AD334" s="57" t="s">
        <v>3476</v>
      </c>
      <c r="AE334" s="57" t="s">
        <v>3476</v>
      </c>
      <c r="AF334" s="57" t="s">
        <v>3476</v>
      </c>
      <c r="AG334" s="57" t="s">
        <v>3476</v>
      </c>
      <c r="AH334" s="57" t="s">
        <v>3476</v>
      </c>
      <c r="AI334" s="57" t="s">
        <v>3476</v>
      </c>
      <c r="AJ334" s="57" t="s">
        <v>3476</v>
      </c>
      <c r="AK334" s="57" t="s">
        <v>3476</v>
      </c>
      <c r="AL334" s="57" t="s">
        <v>3476</v>
      </c>
      <c r="AM334" s="57" t="s">
        <v>3476</v>
      </c>
      <c r="AN334" s="57" t="s">
        <v>3476</v>
      </c>
      <c r="AO334" s="57" t="s">
        <v>3476</v>
      </c>
      <c r="AP334" s="58">
        <v>45868.5322222222</v>
      </c>
      <c r="AQ334" s="57" t="s">
        <v>3476</v>
      </c>
      <c r="AR334" s="57" t="s">
        <v>3476</v>
      </c>
      <c r="AS334" s="57" t="s">
        <v>3502</v>
      </c>
      <c r="AT334" s="57" t="s">
        <v>3745</v>
      </c>
      <c r="AU334" s="57" t="s">
        <v>3476</v>
      </c>
      <c r="AV334" s="57" t="s">
        <v>3476</v>
      </c>
      <c r="AW334" s="58">
        <v>45868.4805787037</v>
      </c>
      <c r="AX334" s="57" t="s">
        <v>3476</v>
      </c>
      <c r="AY334" s="57" t="s">
        <v>3747</v>
      </c>
      <c r="AZ334" s="57" t="s">
        <v>3476</v>
      </c>
      <c r="BA334" s="57" t="s">
        <v>3476</v>
      </c>
      <c r="BB334" s="57" t="s">
        <v>3476</v>
      </c>
      <c r="BC334" s="57" t="s">
        <v>3845</v>
      </c>
      <c r="BD334" s="57" t="s">
        <v>3846</v>
      </c>
      <c r="BE334" s="57" t="s">
        <v>2828</v>
      </c>
      <c r="BF334" s="57" t="s">
        <v>3749</v>
      </c>
      <c r="BG334" s="57" t="s">
        <v>3476</v>
      </c>
      <c r="BH334" s="57" t="s">
        <v>3476</v>
      </c>
      <c r="BI334" s="57" t="s">
        <v>2809</v>
      </c>
      <c r="BJ334" s="57" t="s">
        <v>3476</v>
      </c>
      <c r="BK334" s="57" t="s">
        <v>3476</v>
      </c>
      <c r="BL334" s="57">
        <v>3316660</v>
      </c>
      <c r="BM334" s="57" t="s">
        <v>4242</v>
      </c>
      <c r="BN334" s="57">
        <v>7900</v>
      </c>
      <c r="BO334" s="57" t="s">
        <v>3476</v>
      </c>
      <c r="BP334" s="57" t="s">
        <v>3476</v>
      </c>
      <c r="BQ334" s="57" t="s">
        <v>3476</v>
      </c>
      <c r="BR334" s="57" t="s">
        <v>4243</v>
      </c>
      <c r="BS334" s="57" t="s">
        <v>1292</v>
      </c>
      <c r="BT334" s="57" t="s">
        <v>3476</v>
      </c>
      <c r="BU334" s="57" t="s">
        <v>3476</v>
      </c>
      <c r="BV334" s="57" t="s">
        <v>3753</v>
      </c>
      <c r="BW334" s="57" t="s">
        <v>3476</v>
      </c>
      <c r="BX334" s="57">
        <v>7900</v>
      </c>
      <c r="BY334" s="57" t="s">
        <v>3476</v>
      </c>
      <c r="BZ334" s="57" t="s">
        <v>3476</v>
      </c>
      <c r="CA334" s="57" t="s">
        <v>3476</v>
      </c>
      <c r="CB334" s="57" t="s">
        <v>3476</v>
      </c>
      <c r="CC334" s="57" t="s">
        <v>3476</v>
      </c>
      <c r="CD334" s="57" t="s">
        <v>3476</v>
      </c>
    </row>
    <row r="335" spans="1:82">
      <c r="A335" s="57">
        <v>34598</v>
      </c>
      <c r="B335" s="57" t="s">
        <v>3476</v>
      </c>
      <c r="C335" s="57" t="s">
        <v>4244</v>
      </c>
      <c r="D335" s="57" t="s">
        <v>3476</v>
      </c>
      <c r="E335" s="57" t="s">
        <v>3730</v>
      </c>
      <c r="F335" s="57" t="s">
        <v>4245</v>
      </c>
      <c r="G335" s="57" t="s">
        <v>721</v>
      </c>
      <c r="H335" s="57" t="s">
        <v>3580</v>
      </c>
      <c r="I335" s="57">
        <v>8400</v>
      </c>
      <c r="J335" s="57" t="s">
        <v>3476</v>
      </c>
      <c r="K335" s="57" t="s">
        <v>3476</v>
      </c>
      <c r="L335" s="57" t="s">
        <v>3730</v>
      </c>
      <c r="M335" s="57" t="s">
        <v>4106</v>
      </c>
      <c r="N335" s="57" t="s">
        <v>4106</v>
      </c>
      <c r="O335" s="57" t="s">
        <v>3476</v>
      </c>
      <c r="P335" s="57" t="s">
        <v>3476</v>
      </c>
      <c r="Q335" s="57" t="s">
        <v>3580</v>
      </c>
      <c r="R335" s="57" t="s">
        <v>3825</v>
      </c>
      <c r="S335" s="57" t="s">
        <v>3826</v>
      </c>
      <c r="T335" s="57" t="s">
        <v>3736</v>
      </c>
      <c r="U335" s="57" t="s">
        <v>3476</v>
      </c>
      <c r="V335" s="57" t="s">
        <v>3469</v>
      </c>
      <c r="W335" s="57" t="s">
        <v>3476</v>
      </c>
      <c r="X335" s="57" t="s">
        <v>4246</v>
      </c>
      <c r="Y335" s="57" t="s">
        <v>3738</v>
      </c>
      <c r="Z335" s="57" t="s">
        <v>4122</v>
      </c>
      <c r="AA335" s="57" t="s">
        <v>3476</v>
      </c>
      <c r="AB335" s="57" t="s">
        <v>3476</v>
      </c>
      <c r="AC335" s="57" t="s">
        <v>3476</v>
      </c>
      <c r="AD335" s="57" t="s">
        <v>3476</v>
      </c>
      <c r="AE335" s="57" t="s">
        <v>3476</v>
      </c>
      <c r="AF335" s="57" t="s">
        <v>3476</v>
      </c>
      <c r="AG335" s="57" t="s">
        <v>3476</v>
      </c>
      <c r="AH335" s="57" t="s">
        <v>3476</v>
      </c>
      <c r="AI335" s="57" t="s">
        <v>3476</v>
      </c>
      <c r="AJ335" s="57" t="s">
        <v>3476</v>
      </c>
      <c r="AK335" s="57" t="s">
        <v>3476</v>
      </c>
      <c r="AL335" s="57" t="s">
        <v>3476</v>
      </c>
      <c r="AM335" s="57" t="s">
        <v>3476</v>
      </c>
      <c r="AN335" s="57" t="s">
        <v>3476</v>
      </c>
      <c r="AO335" s="57" t="s">
        <v>3476</v>
      </c>
      <c r="AP335" s="58">
        <v>45853.4487268518</v>
      </c>
      <c r="AQ335" s="57" t="s">
        <v>3476</v>
      </c>
      <c r="AR335" s="57" t="s">
        <v>3476</v>
      </c>
      <c r="AS335" s="57" t="s">
        <v>3502</v>
      </c>
      <c r="AT335" s="57" t="s">
        <v>3745</v>
      </c>
      <c r="AU335" s="57" t="s">
        <v>3476</v>
      </c>
      <c r="AV335" s="57" t="s">
        <v>3476</v>
      </c>
      <c r="AW335" s="58">
        <v>45853.3951736111</v>
      </c>
      <c r="AX335" s="57" t="s">
        <v>3476</v>
      </c>
      <c r="AY335" s="57" t="s">
        <v>3747</v>
      </c>
      <c r="AZ335" s="57" t="s">
        <v>3476</v>
      </c>
      <c r="BA335" s="57" t="s">
        <v>3476</v>
      </c>
      <c r="BB335" s="57" t="s">
        <v>3476</v>
      </c>
      <c r="BC335" s="57" t="s">
        <v>3569</v>
      </c>
      <c r="BD335" s="57" t="s">
        <v>3833</v>
      </c>
      <c r="BE335" s="57" t="s">
        <v>2826</v>
      </c>
      <c r="BF335" s="57" t="s">
        <v>3749</v>
      </c>
      <c r="BG335" s="57" t="s">
        <v>3476</v>
      </c>
      <c r="BH335" s="57" t="s">
        <v>3476</v>
      </c>
      <c r="BI335" s="57" t="s">
        <v>2809</v>
      </c>
      <c r="BJ335" s="57" t="s">
        <v>3476</v>
      </c>
      <c r="BK335" s="57" t="s">
        <v>3476</v>
      </c>
      <c r="BL335" s="57">
        <v>3328317</v>
      </c>
      <c r="BM335" s="57" t="s">
        <v>4247</v>
      </c>
      <c r="BN335" s="57">
        <v>8400</v>
      </c>
      <c r="BO335" s="57" t="s">
        <v>3476</v>
      </c>
      <c r="BP335" s="57" t="s">
        <v>3476</v>
      </c>
      <c r="BQ335" s="57" t="s">
        <v>3476</v>
      </c>
      <c r="BR335" s="57" t="s">
        <v>4248</v>
      </c>
      <c r="BS335" s="57" t="s">
        <v>1292</v>
      </c>
      <c r="BT335" s="57" t="s">
        <v>3476</v>
      </c>
      <c r="BU335" s="57" t="s">
        <v>3476</v>
      </c>
      <c r="BV335" s="57" t="s">
        <v>3753</v>
      </c>
      <c r="BW335" s="57" t="s">
        <v>3476</v>
      </c>
      <c r="BX335" s="57">
        <v>8400</v>
      </c>
      <c r="BY335" s="57" t="s">
        <v>3476</v>
      </c>
      <c r="BZ335" s="57" t="s">
        <v>3476</v>
      </c>
      <c r="CA335" s="57" t="s">
        <v>3476</v>
      </c>
      <c r="CB335" s="57" t="s">
        <v>3476</v>
      </c>
      <c r="CC335" s="57" t="s">
        <v>3476</v>
      </c>
      <c r="CD335" s="57" t="s">
        <v>3476</v>
      </c>
    </row>
    <row r="336" spans="1:82">
      <c r="A336" s="57">
        <v>34600</v>
      </c>
      <c r="B336" s="57" t="s">
        <v>3476</v>
      </c>
      <c r="C336" s="57" t="s">
        <v>4249</v>
      </c>
      <c r="D336" s="57" t="s">
        <v>3476</v>
      </c>
      <c r="E336" s="57" t="s">
        <v>3730</v>
      </c>
      <c r="F336" s="57" t="s">
        <v>4250</v>
      </c>
      <c r="G336" s="57" t="s">
        <v>721</v>
      </c>
      <c r="H336" s="57" t="s">
        <v>3580</v>
      </c>
      <c r="I336" s="57">
        <v>8400</v>
      </c>
      <c r="J336" s="57" t="s">
        <v>3476</v>
      </c>
      <c r="K336" s="57" t="s">
        <v>3476</v>
      </c>
      <c r="L336" s="57" t="s">
        <v>3730</v>
      </c>
      <c r="M336" s="57" t="s">
        <v>4106</v>
      </c>
      <c r="N336" s="57" t="s">
        <v>4106</v>
      </c>
      <c r="O336" s="57" t="s">
        <v>3476</v>
      </c>
      <c r="P336" s="57" t="s">
        <v>3476</v>
      </c>
      <c r="Q336" s="57" t="s">
        <v>3580</v>
      </c>
      <c r="R336" s="57" t="s">
        <v>3825</v>
      </c>
      <c r="S336" s="57" t="s">
        <v>3826</v>
      </c>
      <c r="T336" s="57" t="s">
        <v>3736</v>
      </c>
      <c r="U336" s="57" t="s">
        <v>3476</v>
      </c>
      <c r="V336" s="57" t="s">
        <v>3469</v>
      </c>
      <c r="W336" s="57" t="s">
        <v>3476</v>
      </c>
      <c r="X336" s="57" t="s">
        <v>4251</v>
      </c>
      <c r="Y336" s="57" t="s">
        <v>3738</v>
      </c>
      <c r="Z336" s="57" t="s">
        <v>4122</v>
      </c>
      <c r="AA336" s="57" t="s">
        <v>3476</v>
      </c>
      <c r="AB336" s="57" t="s">
        <v>3476</v>
      </c>
      <c r="AC336" s="57" t="s">
        <v>3476</v>
      </c>
      <c r="AD336" s="57" t="s">
        <v>3476</v>
      </c>
      <c r="AE336" s="57" t="s">
        <v>3476</v>
      </c>
      <c r="AF336" s="57" t="s">
        <v>3476</v>
      </c>
      <c r="AG336" s="57" t="s">
        <v>3476</v>
      </c>
      <c r="AH336" s="57" t="s">
        <v>3476</v>
      </c>
      <c r="AI336" s="57" t="s">
        <v>3476</v>
      </c>
      <c r="AJ336" s="57" t="s">
        <v>3476</v>
      </c>
      <c r="AK336" s="57" t="s">
        <v>3476</v>
      </c>
      <c r="AL336" s="57" t="s">
        <v>3476</v>
      </c>
      <c r="AM336" s="57" t="s">
        <v>3476</v>
      </c>
      <c r="AN336" s="57" t="s">
        <v>3476</v>
      </c>
      <c r="AO336" s="57" t="s">
        <v>3476</v>
      </c>
      <c r="AP336" s="58">
        <v>45853.5315046296</v>
      </c>
      <c r="AQ336" s="57" t="s">
        <v>3476</v>
      </c>
      <c r="AR336" s="57" t="s">
        <v>3476</v>
      </c>
      <c r="AS336" s="57" t="s">
        <v>3502</v>
      </c>
      <c r="AT336" s="57" t="s">
        <v>3745</v>
      </c>
      <c r="AU336" s="57" t="s">
        <v>3476</v>
      </c>
      <c r="AV336" s="57" t="s">
        <v>3476</v>
      </c>
      <c r="AW336" s="58">
        <v>45853.4060532407</v>
      </c>
      <c r="AX336" s="57" t="s">
        <v>3476</v>
      </c>
      <c r="AY336" s="57" t="s">
        <v>3747</v>
      </c>
      <c r="AZ336" s="57" t="s">
        <v>3476</v>
      </c>
      <c r="BA336" s="57" t="s">
        <v>3476</v>
      </c>
      <c r="BB336" s="57" t="s">
        <v>3476</v>
      </c>
      <c r="BC336" s="57" t="s">
        <v>3569</v>
      </c>
      <c r="BD336" s="57" t="s">
        <v>3833</v>
      </c>
      <c r="BE336" s="57" t="s">
        <v>2826</v>
      </c>
      <c r="BF336" s="57" t="s">
        <v>3749</v>
      </c>
      <c r="BG336" s="57" t="s">
        <v>3476</v>
      </c>
      <c r="BH336" s="57" t="s">
        <v>3476</v>
      </c>
      <c r="BI336" s="57" t="s">
        <v>2809</v>
      </c>
      <c r="BJ336" s="57" t="s">
        <v>3476</v>
      </c>
      <c r="BK336" s="57" t="s">
        <v>3476</v>
      </c>
      <c r="BL336" s="57">
        <v>3328317</v>
      </c>
      <c r="BM336" s="57" t="s">
        <v>4252</v>
      </c>
      <c r="BN336" s="57">
        <v>8400</v>
      </c>
      <c r="BO336" s="57" t="s">
        <v>3476</v>
      </c>
      <c r="BP336" s="57" t="s">
        <v>3476</v>
      </c>
      <c r="BQ336" s="57" t="s">
        <v>3476</v>
      </c>
      <c r="BR336" s="57" t="s">
        <v>4253</v>
      </c>
      <c r="BS336" s="57" t="s">
        <v>1292</v>
      </c>
      <c r="BT336" s="57" t="s">
        <v>3476</v>
      </c>
      <c r="BU336" s="57" t="s">
        <v>3476</v>
      </c>
      <c r="BV336" s="57" t="s">
        <v>3753</v>
      </c>
      <c r="BW336" s="57" t="s">
        <v>3476</v>
      </c>
      <c r="BX336" s="57">
        <v>8400</v>
      </c>
      <c r="BY336" s="57" t="s">
        <v>3476</v>
      </c>
      <c r="BZ336" s="57" t="s">
        <v>3476</v>
      </c>
      <c r="CA336" s="57" t="s">
        <v>3476</v>
      </c>
      <c r="CB336" s="57" t="s">
        <v>3476</v>
      </c>
      <c r="CC336" s="57" t="s">
        <v>3476</v>
      </c>
      <c r="CD336" s="57" t="s">
        <v>3476</v>
      </c>
    </row>
    <row r="337" spans="1:82">
      <c r="A337" s="57">
        <v>34601</v>
      </c>
      <c r="B337" s="57" t="s">
        <v>3476</v>
      </c>
      <c r="C337" s="57" t="s">
        <v>4254</v>
      </c>
      <c r="D337" s="57" t="s">
        <v>3476</v>
      </c>
      <c r="E337" s="57" t="s">
        <v>3730</v>
      </c>
      <c r="F337" s="57" t="s">
        <v>4255</v>
      </c>
      <c r="G337" s="57" t="s">
        <v>721</v>
      </c>
      <c r="H337" s="57" t="s">
        <v>3580</v>
      </c>
      <c r="I337" s="57">
        <v>8400</v>
      </c>
      <c r="J337" s="57" t="s">
        <v>3476</v>
      </c>
      <c r="K337" s="57" t="s">
        <v>3476</v>
      </c>
      <c r="L337" s="57" t="s">
        <v>3730</v>
      </c>
      <c r="M337" s="57" t="s">
        <v>4106</v>
      </c>
      <c r="N337" s="57" t="s">
        <v>4106</v>
      </c>
      <c r="O337" s="57" t="s">
        <v>3476</v>
      </c>
      <c r="P337" s="57" t="s">
        <v>3476</v>
      </c>
      <c r="Q337" s="57" t="s">
        <v>3580</v>
      </c>
      <c r="R337" s="57" t="s">
        <v>3825</v>
      </c>
      <c r="S337" s="57" t="s">
        <v>3826</v>
      </c>
      <c r="T337" s="57" t="s">
        <v>3736</v>
      </c>
      <c r="U337" s="57" t="s">
        <v>3476</v>
      </c>
      <c r="V337" s="57" t="s">
        <v>3469</v>
      </c>
      <c r="W337" s="57" t="s">
        <v>3476</v>
      </c>
      <c r="X337" s="57" t="s">
        <v>4256</v>
      </c>
      <c r="Y337" s="57" t="s">
        <v>3738</v>
      </c>
      <c r="Z337" s="57" t="s">
        <v>4122</v>
      </c>
      <c r="AA337" s="57" t="s">
        <v>3476</v>
      </c>
      <c r="AB337" s="57" t="s">
        <v>3476</v>
      </c>
      <c r="AC337" s="57" t="s">
        <v>3476</v>
      </c>
      <c r="AD337" s="57" t="s">
        <v>3476</v>
      </c>
      <c r="AE337" s="57" t="s">
        <v>3476</v>
      </c>
      <c r="AF337" s="57" t="s">
        <v>3476</v>
      </c>
      <c r="AG337" s="57" t="s">
        <v>3476</v>
      </c>
      <c r="AH337" s="57" t="s">
        <v>3476</v>
      </c>
      <c r="AI337" s="57" t="s">
        <v>3476</v>
      </c>
      <c r="AJ337" s="57" t="s">
        <v>3476</v>
      </c>
      <c r="AK337" s="57" t="s">
        <v>3476</v>
      </c>
      <c r="AL337" s="57" t="s">
        <v>3476</v>
      </c>
      <c r="AM337" s="57" t="s">
        <v>3476</v>
      </c>
      <c r="AN337" s="57" t="s">
        <v>3476</v>
      </c>
      <c r="AO337" s="57" t="s">
        <v>3476</v>
      </c>
      <c r="AP337" s="58">
        <v>45853.4487268518</v>
      </c>
      <c r="AQ337" s="57" t="s">
        <v>3476</v>
      </c>
      <c r="AR337" s="57" t="s">
        <v>3476</v>
      </c>
      <c r="AS337" s="57" t="s">
        <v>3502</v>
      </c>
      <c r="AT337" s="57" t="s">
        <v>3745</v>
      </c>
      <c r="AU337" s="57" t="s">
        <v>3476</v>
      </c>
      <c r="AV337" s="57" t="s">
        <v>3476</v>
      </c>
      <c r="AW337" s="58">
        <v>45853.4059375</v>
      </c>
      <c r="AX337" s="57" t="s">
        <v>3476</v>
      </c>
      <c r="AY337" s="57" t="s">
        <v>3747</v>
      </c>
      <c r="AZ337" s="57" t="s">
        <v>3476</v>
      </c>
      <c r="BA337" s="57" t="s">
        <v>3476</v>
      </c>
      <c r="BB337" s="57" t="s">
        <v>3476</v>
      </c>
      <c r="BC337" s="57" t="s">
        <v>3569</v>
      </c>
      <c r="BD337" s="57" t="s">
        <v>3833</v>
      </c>
      <c r="BE337" s="57" t="s">
        <v>2826</v>
      </c>
      <c r="BF337" s="57" t="s">
        <v>3749</v>
      </c>
      <c r="BG337" s="57" t="s">
        <v>3476</v>
      </c>
      <c r="BH337" s="57" t="s">
        <v>3476</v>
      </c>
      <c r="BI337" s="57" t="s">
        <v>2809</v>
      </c>
      <c r="BJ337" s="57" t="s">
        <v>3476</v>
      </c>
      <c r="BK337" s="57" t="s">
        <v>3476</v>
      </c>
      <c r="BL337" s="57">
        <v>3328317</v>
      </c>
      <c r="BM337" s="57" t="s">
        <v>4257</v>
      </c>
      <c r="BN337" s="57">
        <v>8400</v>
      </c>
      <c r="BO337" s="57" t="s">
        <v>3476</v>
      </c>
      <c r="BP337" s="57" t="s">
        <v>3476</v>
      </c>
      <c r="BQ337" s="57" t="s">
        <v>3476</v>
      </c>
      <c r="BR337" s="57" t="s">
        <v>4258</v>
      </c>
      <c r="BS337" s="57" t="s">
        <v>1292</v>
      </c>
      <c r="BT337" s="57" t="s">
        <v>3476</v>
      </c>
      <c r="BU337" s="57" t="s">
        <v>3476</v>
      </c>
      <c r="BV337" s="57" t="s">
        <v>3753</v>
      </c>
      <c r="BW337" s="57" t="s">
        <v>3476</v>
      </c>
      <c r="BX337" s="57">
        <v>8400</v>
      </c>
      <c r="BY337" s="57" t="s">
        <v>3476</v>
      </c>
      <c r="BZ337" s="57" t="s">
        <v>3476</v>
      </c>
      <c r="CA337" s="57" t="s">
        <v>3476</v>
      </c>
      <c r="CB337" s="57" t="s">
        <v>3476</v>
      </c>
      <c r="CC337" s="57" t="s">
        <v>3476</v>
      </c>
      <c r="CD337" s="57" t="s">
        <v>3476</v>
      </c>
    </row>
    <row r="338" spans="1:82">
      <c r="A338" s="57">
        <v>34602</v>
      </c>
      <c r="B338" s="57" t="s">
        <v>3476</v>
      </c>
      <c r="C338" s="57" t="s">
        <v>4259</v>
      </c>
      <c r="D338" s="57" t="s">
        <v>3476</v>
      </c>
      <c r="E338" s="57" t="s">
        <v>3730</v>
      </c>
      <c r="F338" s="57" t="s">
        <v>4260</v>
      </c>
      <c r="G338" s="57" t="s">
        <v>721</v>
      </c>
      <c r="H338" s="57" t="s">
        <v>3546</v>
      </c>
      <c r="I338" s="57">
        <v>22360</v>
      </c>
      <c r="J338" s="57" t="s">
        <v>3476</v>
      </c>
      <c r="K338" s="57" t="s">
        <v>3476</v>
      </c>
      <c r="L338" s="57" t="s">
        <v>3730</v>
      </c>
      <c r="M338" s="57" t="s">
        <v>4106</v>
      </c>
      <c r="N338" s="57" t="s">
        <v>4106</v>
      </c>
      <c r="O338" s="57" t="s">
        <v>3476</v>
      </c>
      <c r="P338" s="57" t="s">
        <v>3476</v>
      </c>
      <c r="Q338" s="57" t="s">
        <v>3546</v>
      </c>
      <c r="R338" s="57" t="s">
        <v>3734</v>
      </c>
      <c r="S338" s="57" t="s">
        <v>3735</v>
      </c>
      <c r="T338" s="57" t="s">
        <v>3736</v>
      </c>
      <c r="U338" s="57" t="s">
        <v>3476</v>
      </c>
      <c r="V338" s="57" t="s">
        <v>3469</v>
      </c>
      <c r="W338" s="57" t="s">
        <v>3476</v>
      </c>
      <c r="X338" s="57" t="s">
        <v>4261</v>
      </c>
      <c r="Y338" s="57" t="s">
        <v>3738</v>
      </c>
      <c r="Z338" s="57" t="s">
        <v>4122</v>
      </c>
      <c r="AA338" s="57" t="s">
        <v>3476</v>
      </c>
      <c r="AB338" s="57" t="s">
        <v>3476</v>
      </c>
      <c r="AC338" s="57" t="s">
        <v>3476</v>
      </c>
      <c r="AD338" s="57" t="s">
        <v>3476</v>
      </c>
      <c r="AE338" s="57" t="s">
        <v>3476</v>
      </c>
      <c r="AF338" s="57" t="s">
        <v>3476</v>
      </c>
      <c r="AG338" s="57" t="s">
        <v>3476</v>
      </c>
      <c r="AH338" s="57" t="s">
        <v>3476</v>
      </c>
      <c r="AI338" s="57" t="s">
        <v>3476</v>
      </c>
      <c r="AJ338" s="57" t="s">
        <v>3476</v>
      </c>
      <c r="AK338" s="57" t="s">
        <v>3476</v>
      </c>
      <c r="AL338" s="57" t="s">
        <v>3476</v>
      </c>
      <c r="AM338" s="57" t="s">
        <v>3476</v>
      </c>
      <c r="AN338" s="57" t="s">
        <v>3476</v>
      </c>
      <c r="AO338" s="57" t="s">
        <v>3476</v>
      </c>
      <c r="AP338" s="58">
        <v>45853.4485763889</v>
      </c>
      <c r="AQ338" s="57" t="s">
        <v>3476</v>
      </c>
      <c r="AR338" s="57" t="s">
        <v>3476</v>
      </c>
      <c r="AS338" s="57" t="s">
        <v>3502</v>
      </c>
      <c r="AT338" s="57" t="s">
        <v>3745</v>
      </c>
      <c r="AU338" s="57" t="s">
        <v>3476</v>
      </c>
      <c r="AV338" s="57" t="s">
        <v>3476</v>
      </c>
      <c r="AW338" s="58">
        <v>45853.3914814815</v>
      </c>
      <c r="AX338" s="57" t="s">
        <v>3476</v>
      </c>
      <c r="AY338" s="57" t="s">
        <v>3747</v>
      </c>
      <c r="AZ338" s="57" t="s">
        <v>3476</v>
      </c>
      <c r="BA338" s="57" t="s">
        <v>3476</v>
      </c>
      <c r="BB338" s="57" t="s">
        <v>3476</v>
      </c>
      <c r="BC338" s="57" t="s">
        <v>3535</v>
      </c>
      <c r="BD338" s="57" t="s">
        <v>3748</v>
      </c>
      <c r="BE338" s="57" t="s">
        <v>2831</v>
      </c>
      <c r="BF338" s="57" t="s">
        <v>3749</v>
      </c>
      <c r="BG338" s="57" t="s">
        <v>3476</v>
      </c>
      <c r="BH338" s="57" t="s">
        <v>3476</v>
      </c>
      <c r="BI338" s="57" t="s">
        <v>2809</v>
      </c>
      <c r="BJ338" s="57" t="s">
        <v>3476</v>
      </c>
      <c r="BK338" s="57" t="s">
        <v>3476</v>
      </c>
      <c r="BL338" s="57">
        <v>3364787</v>
      </c>
      <c r="BM338" s="57" t="s">
        <v>4262</v>
      </c>
      <c r="BN338" s="57">
        <v>22360</v>
      </c>
      <c r="BO338" s="57" t="s">
        <v>3476</v>
      </c>
      <c r="BP338" s="57" t="s">
        <v>3476</v>
      </c>
      <c r="BQ338" s="57" t="s">
        <v>3476</v>
      </c>
      <c r="BR338" s="57" t="s">
        <v>4263</v>
      </c>
      <c r="BS338" s="57" t="s">
        <v>1292</v>
      </c>
      <c r="BT338" s="57" t="s">
        <v>3476</v>
      </c>
      <c r="BU338" s="57" t="s">
        <v>3476</v>
      </c>
      <c r="BV338" s="57" t="s">
        <v>3753</v>
      </c>
      <c r="BW338" s="57" t="s">
        <v>3476</v>
      </c>
      <c r="BX338" s="57">
        <v>22360</v>
      </c>
      <c r="BY338" s="57" t="s">
        <v>3476</v>
      </c>
      <c r="BZ338" s="57" t="s">
        <v>3476</v>
      </c>
      <c r="CA338" s="57" t="s">
        <v>3476</v>
      </c>
      <c r="CB338" s="57" t="s">
        <v>3476</v>
      </c>
      <c r="CC338" s="57" t="s">
        <v>3476</v>
      </c>
      <c r="CD338" s="57" t="s">
        <v>3476</v>
      </c>
    </row>
    <row r="339" spans="1:82">
      <c r="A339" s="57">
        <v>34604</v>
      </c>
      <c r="B339" s="57" t="s">
        <v>3476</v>
      </c>
      <c r="C339" s="57" t="s">
        <v>4264</v>
      </c>
      <c r="D339" s="57" t="s">
        <v>3476</v>
      </c>
      <c r="E339" s="57" t="s">
        <v>3730</v>
      </c>
      <c r="F339" s="57" t="s">
        <v>4265</v>
      </c>
      <c r="G339" s="57" t="s">
        <v>721</v>
      </c>
      <c r="H339" s="57" t="s">
        <v>3546</v>
      </c>
      <c r="I339" s="57">
        <v>22360</v>
      </c>
      <c r="J339" s="57" t="s">
        <v>3476</v>
      </c>
      <c r="K339" s="57" t="s">
        <v>3476</v>
      </c>
      <c r="L339" s="57" t="s">
        <v>3730</v>
      </c>
      <c r="M339" s="57" t="s">
        <v>4106</v>
      </c>
      <c r="N339" s="57" t="s">
        <v>4106</v>
      </c>
      <c r="O339" s="57" t="s">
        <v>3476</v>
      </c>
      <c r="P339" s="57" t="s">
        <v>3476</v>
      </c>
      <c r="Q339" s="57" t="s">
        <v>3546</v>
      </c>
      <c r="R339" s="57" t="s">
        <v>3734</v>
      </c>
      <c r="S339" s="57" t="s">
        <v>3735</v>
      </c>
      <c r="T339" s="57" t="s">
        <v>3736</v>
      </c>
      <c r="U339" s="57" t="s">
        <v>3476</v>
      </c>
      <c r="V339" s="57" t="s">
        <v>3469</v>
      </c>
      <c r="W339" s="57" t="s">
        <v>3476</v>
      </c>
      <c r="X339" s="57" t="s">
        <v>4266</v>
      </c>
      <c r="Y339" s="57" t="s">
        <v>3738</v>
      </c>
      <c r="Z339" s="57" t="s">
        <v>4122</v>
      </c>
      <c r="AA339" s="57" t="s">
        <v>3476</v>
      </c>
      <c r="AB339" s="57" t="s">
        <v>3476</v>
      </c>
      <c r="AC339" s="57" t="s">
        <v>3476</v>
      </c>
      <c r="AD339" s="57" t="s">
        <v>3476</v>
      </c>
      <c r="AE339" s="57" t="s">
        <v>3476</v>
      </c>
      <c r="AF339" s="57" t="s">
        <v>3476</v>
      </c>
      <c r="AG339" s="57" t="s">
        <v>3476</v>
      </c>
      <c r="AH339" s="57" t="s">
        <v>3476</v>
      </c>
      <c r="AI339" s="57" t="s">
        <v>3476</v>
      </c>
      <c r="AJ339" s="57" t="s">
        <v>3476</v>
      </c>
      <c r="AK339" s="57" t="s">
        <v>3476</v>
      </c>
      <c r="AL339" s="57" t="s">
        <v>3476</v>
      </c>
      <c r="AM339" s="57" t="s">
        <v>3476</v>
      </c>
      <c r="AN339" s="57" t="s">
        <v>3476</v>
      </c>
      <c r="AO339" s="57" t="s">
        <v>3476</v>
      </c>
      <c r="AP339" s="58">
        <v>45853.4482638889</v>
      </c>
      <c r="AQ339" s="57" t="s">
        <v>3476</v>
      </c>
      <c r="AR339" s="57" t="s">
        <v>3476</v>
      </c>
      <c r="AS339" s="57" t="s">
        <v>3502</v>
      </c>
      <c r="AT339" s="57" t="s">
        <v>3745</v>
      </c>
      <c r="AU339" s="57" t="s">
        <v>3476</v>
      </c>
      <c r="AV339" s="57" t="s">
        <v>3476</v>
      </c>
      <c r="AW339" s="58">
        <v>45853.3916203704</v>
      </c>
      <c r="AX339" s="57" t="s">
        <v>3476</v>
      </c>
      <c r="AY339" s="57" t="s">
        <v>3747</v>
      </c>
      <c r="AZ339" s="57" t="s">
        <v>3476</v>
      </c>
      <c r="BA339" s="57" t="s">
        <v>3476</v>
      </c>
      <c r="BB339" s="57" t="s">
        <v>3476</v>
      </c>
      <c r="BC339" s="57" t="s">
        <v>3535</v>
      </c>
      <c r="BD339" s="57" t="s">
        <v>3748</v>
      </c>
      <c r="BE339" s="57" t="s">
        <v>2831</v>
      </c>
      <c r="BF339" s="57" t="s">
        <v>3749</v>
      </c>
      <c r="BG339" s="57" t="s">
        <v>3476</v>
      </c>
      <c r="BH339" s="57" t="s">
        <v>3476</v>
      </c>
      <c r="BI339" s="57" t="s">
        <v>2809</v>
      </c>
      <c r="BJ339" s="57" t="s">
        <v>3476</v>
      </c>
      <c r="BK339" s="57" t="s">
        <v>3476</v>
      </c>
      <c r="BL339" s="57">
        <v>3364787</v>
      </c>
      <c r="BM339" s="57" t="s">
        <v>4267</v>
      </c>
      <c r="BN339" s="57">
        <v>22360</v>
      </c>
      <c r="BO339" s="57" t="s">
        <v>3476</v>
      </c>
      <c r="BP339" s="57" t="s">
        <v>3476</v>
      </c>
      <c r="BQ339" s="57" t="s">
        <v>3476</v>
      </c>
      <c r="BR339" s="57" t="s">
        <v>4268</v>
      </c>
      <c r="BS339" s="57" t="s">
        <v>1292</v>
      </c>
      <c r="BT339" s="57" t="s">
        <v>3476</v>
      </c>
      <c r="BU339" s="57" t="s">
        <v>3476</v>
      </c>
      <c r="BV339" s="57" t="s">
        <v>3753</v>
      </c>
      <c r="BW339" s="57" t="s">
        <v>3476</v>
      </c>
      <c r="BX339" s="57">
        <v>22360</v>
      </c>
      <c r="BY339" s="57" t="s">
        <v>3476</v>
      </c>
      <c r="BZ339" s="57" t="s">
        <v>3476</v>
      </c>
      <c r="CA339" s="57" t="s">
        <v>3476</v>
      </c>
      <c r="CB339" s="57" t="s">
        <v>3476</v>
      </c>
      <c r="CC339" s="57" t="s">
        <v>3476</v>
      </c>
      <c r="CD339" s="57" t="s">
        <v>3476</v>
      </c>
    </row>
    <row r="340" spans="1:82">
      <c r="A340" s="57">
        <v>35159</v>
      </c>
      <c r="B340" s="57" t="s">
        <v>3476</v>
      </c>
      <c r="C340" s="57" t="s">
        <v>4269</v>
      </c>
      <c r="D340" s="57" t="s">
        <v>3476</v>
      </c>
      <c r="E340" s="57" t="s">
        <v>3730</v>
      </c>
      <c r="F340" s="57" t="s">
        <v>4270</v>
      </c>
      <c r="G340" s="57" t="s">
        <v>721</v>
      </c>
      <c r="H340" s="57" t="s">
        <v>3562</v>
      </c>
      <c r="I340" s="57">
        <v>19370</v>
      </c>
      <c r="J340" s="57" t="s">
        <v>3476</v>
      </c>
      <c r="K340" s="57" t="s">
        <v>3476</v>
      </c>
      <c r="L340" s="57" t="s">
        <v>3730</v>
      </c>
      <c r="M340" s="57" t="s">
        <v>4271</v>
      </c>
      <c r="N340" s="57" t="s">
        <v>4271</v>
      </c>
      <c r="O340" s="57" t="s">
        <v>3476</v>
      </c>
      <c r="P340" s="57" t="s">
        <v>3476</v>
      </c>
      <c r="Q340" s="57" t="s">
        <v>3562</v>
      </c>
      <c r="R340" s="57" t="s">
        <v>3996</v>
      </c>
      <c r="S340" s="57" t="s">
        <v>3997</v>
      </c>
      <c r="T340" s="57" t="s">
        <v>3736</v>
      </c>
      <c r="U340" s="57" t="s">
        <v>3476</v>
      </c>
      <c r="V340" s="57" t="s">
        <v>3469</v>
      </c>
      <c r="W340" s="57" t="s">
        <v>3476</v>
      </c>
      <c r="X340" s="57" t="s">
        <v>4272</v>
      </c>
      <c r="Y340" s="57" t="s">
        <v>3738</v>
      </c>
      <c r="Z340" s="57" t="s">
        <v>4106</v>
      </c>
      <c r="AA340" s="57" t="s">
        <v>3476</v>
      </c>
      <c r="AB340" s="57" t="s">
        <v>3476</v>
      </c>
      <c r="AC340" s="57" t="s">
        <v>3476</v>
      </c>
      <c r="AD340" s="57" t="s">
        <v>3476</v>
      </c>
      <c r="AE340" s="57" t="s">
        <v>3476</v>
      </c>
      <c r="AF340" s="57" t="s">
        <v>3476</v>
      </c>
      <c r="AG340" s="57" t="s">
        <v>3476</v>
      </c>
      <c r="AH340" s="57" t="s">
        <v>3476</v>
      </c>
      <c r="AI340" s="57" t="s">
        <v>3476</v>
      </c>
      <c r="AJ340" s="57" t="s">
        <v>3476</v>
      </c>
      <c r="AK340" s="57" t="s">
        <v>3476</v>
      </c>
      <c r="AL340" s="57" t="s">
        <v>3476</v>
      </c>
      <c r="AM340" s="57" t="s">
        <v>3476</v>
      </c>
      <c r="AN340" s="57" t="s">
        <v>3476</v>
      </c>
      <c r="AO340" s="57" t="s">
        <v>3476</v>
      </c>
      <c r="AP340" s="58">
        <v>45846.6987615741</v>
      </c>
      <c r="AQ340" s="57" t="s">
        <v>3476</v>
      </c>
      <c r="AR340" s="57" t="s">
        <v>3476</v>
      </c>
      <c r="AS340" s="57" t="s">
        <v>3502</v>
      </c>
      <c r="AT340" s="57" t="s">
        <v>3745</v>
      </c>
      <c r="AU340" s="57" t="s">
        <v>3476</v>
      </c>
      <c r="AV340" s="57" t="s">
        <v>3476</v>
      </c>
      <c r="AW340" s="58">
        <v>45846.6140625</v>
      </c>
      <c r="AX340" s="57" t="s">
        <v>3476</v>
      </c>
      <c r="AY340" s="57" t="s">
        <v>3747</v>
      </c>
      <c r="AZ340" s="57" t="s">
        <v>3476</v>
      </c>
      <c r="BA340" s="57" t="s">
        <v>3476</v>
      </c>
      <c r="BB340" s="57" t="s">
        <v>3476</v>
      </c>
      <c r="BC340" s="57" t="s">
        <v>3551</v>
      </c>
      <c r="BD340" s="57" t="s">
        <v>4003</v>
      </c>
      <c r="BE340" s="57" t="s">
        <v>2829</v>
      </c>
      <c r="BF340" s="57" t="s">
        <v>3749</v>
      </c>
      <c r="BG340" s="57" t="s">
        <v>3476</v>
      </c>
      <c r="BH340" s="57" t="s">
        <v>3476</v>
      </c>
      <c r="BI340" s="57" t="s">
        <v>2809</v>
      </c>
      <c r="BJ340" s="57" t="s">
        <v>3476</v>
      </c>
      <c r="BK340" s="57" t="s">
        <v>3476</v>
      </c>
      <c r="BL340" s="57">
        <v>3338569</v>
      </c>
      <c r="BM340" s="57" t="s">
        <v>4273</v>
      </c>
      <c r="BN340" s="57">
        <v>19370</v>
      </c>
      <c r="BO340" s="57" t="s">
        <v>3476</v>
      </c>
      <c r="BP340" s="57" t="s">
        <v>3476</v>
      </c>
      <c r="BQ340" s="57" t="s">
        <v>3476</v>
      </c>
      <c r="BR340" s="57" t="s">
        <v>4274</v>
      </c>
      <c r="BS340" s="57" t="s">
        <v>1292</v>
      </c>
      <c r="BT340" s="57" t="s">
        <v>3476</v>
      </c>
      <c r="BU340" s="57" t="s">
        <v>3476</v>
      </c>
      <c r="BV340" s="57" t="s">
        <v>3753</v>
      </c>
      <c r="BW340" s="57" t="s">
        <v>3476</v>
      </c>
      <c r="BX340" s="57">
        <v>19370</v>
      </c>
      <c r="BY340" s="57" t="s">
        <v>3476</v>
      </c>
      <c r="BZ340" s="57" t="s">
        <v>3476</v>
      </c>
      <c r="CA340" s="57" t="s">
        <v>3476</v>
      </c>
      <c r="CB340" s="57" t="s">
        <v>3476</v>
      </c>
      <c r="CC340" s="57" t="s">
        <v>3476</v>
      </c>
      <c r="CD340" s="57" t="s">
        <v>3476</v>
      </c>
    </row>
    <row r="341" spans="1:82">
      <c r="A341" s="57">
        <v>35160</v>
      </c>
      <c r="B341" s="57" t="s">
        <v>3476</v>
      </c>
      <c r="C341" s="57" t="s">
        <v>4275</v>
      </c>
      <c r="D341" s="57" t="s">
        <v>3476</v>
      </c>
      <c r="E341" s="57" t="s">
        <v>3730</v>
      </c>
      <c r="F341" s="57" t="s">
        <v>4276</v>
      </c>
      <c r="G341" s="57" t="s">
        <v>721</v>
      </c>
      <c r="H341" s="57" t="s">
        <v>3562</v>
      </c>
      <c r="I341" s="57">
        <v>19370</v>
      </c>
      <c r="J341" s="57" t="s">
        <v>3476</v>
      </c>
      <c r="K341" s="57" t="s">
        <v>3476</v>
      </c>
      <c r="L341" s="57" t="s">
        <v>3730</v>
      </c>
      <c r="M341" s="57" t="s">
        <v>4271</v>
      </c>
      <c r="N341" s="57" t="s">
        <v>4271</v>
      </c>
      <c r="O341" s="57" t="s">
        <v>3476</v>
      </c>
      <c r="P341" s="57" t="s">
        <v>3476</v>
      </c>
      <c r="Q341" s="57" t="s">
        <v>3562</v>
      </c>
      <c r="R341" s="57" t="s">
        <v>3996</v>
      </c>
      <c r="S341" s="57" t="s">
        <v>3997</v>
      </c>
      <c r="T341" s="57" t="s">
        <v>3736</v>
      </c>
      <c r="U341" s="57" t="s">
        <v>3476</v>
      </c>
      <c r="V341" s="57" t="s">
        <v>3469</v>
      </c>
      <c r="W341" s="57" t="s">
        <v>3476</v>
      </c>
      <c r="X341" s="57" t="s">
        <v>4277</v>
      </c>
      <c r="Y341" s="57" t="s">
        <v>3738</v>
      </c>
      <c r="Z341" s="57" t="s">
        <v>4106</v>
      </c>
      <c r="AA341" s="57" t="s">
        <v>3476</v>
      </c>
      <c r="AB341" s="57" t="s">
        <v>3476</v>
      </c>
      <c r="AC341" s="57" t="s">
        <v>3476</v>
      </c>
      <c r="AD341" s="57" t="s">
        <v>3476</v>
      </c>
      <c r="AE341" s="57" t="s">
        <v>3476</v>
      </c>
      <c r="AF341" s="57" t="s">
        <v>3476</v>
      </c>
      <c r="AG341" s="57" t="s">
        <v>3476</v>
      </c>
      <c r="AH341" s="57" t="s">
        <v>3476</v>
      </c>
      <c r="AI341" s="57" t="s">
        <v>3476</v>
      </c>
      <c r="AJ341" s="57" t="s">
        <v>3476</v>
      </c>
      <c r="AK341" s="57" t="s">
        <v>3476</v>
      </c>
      <c r="AL341" s="57" t="s">
        <v>3476</v>
      </c>
      <c r="AM341" s="57" t="s">
        <v>3476</v>
      </c>
      <c r="AN341" s="57" t="s">
        <v>3476</v>
      </c>
      <c r="AO341" s="57" t="s">
        <v>3476</v>
      </c>
      <c r="AP341" s="58">
        <v>45846.6150694444</v>
      </c>
      <c r="AQ341" s="57" t="s">
        <v>3476</v>
      </c>
      <c r="AR341" s="57" t="s">
        <v>3476</v>
      </c>
      <c r="AS341" s="57" t="s">
        <v>3502</v>
      </c>
      <c r="AT341" s="57" t="s">
        <v>3745</v>
      </c>
      <c r="AU341" s="57" t="s">
        <v>3476</v>
      </c>
      <c r="AV341" s="57" t="s">
        <v>3476</v>
      </c>
      <c r="AW341" s="58">
        <v>45846.6064351852</v>
      </c>
      <c r="AX341" s="57" t="s">
        <v>3476</v>
      </c>
      <c r="AY341" s="57" t="s">
        <v>3747</v>
      </c>
      <c r="AZ341" s="57" t="s">
        <v>3476</v>
      </c>
      <c r="BA341" s="57" t="s">
        <v>3476</v>
      </c>
      <c r="BB341" s="57" t="s">
        <v>3476</v>
      </c>
      <c r="BC341" s="57" t="s">
        <v>3551</v>
      </c>
      <c r="BD341" s="57" t="s">
        <v>4003</v>
      </c>
      <c r="BE341" s="57" t="s">
        <v>2829</v>
      </c>
      <c r="BF341" s="57" t="s">
        <v>3749</v>
      </c>
      <c r="BG341" s="57" t="s">
        <v>3476</v>
      </c>
      <c r="BH341" s="57" t="s">
        <v>3476</v>
      </c>
      <c r="BI341" s="57" t="s">
        <v>2809</v>
      </c>
      <c r="BJ341" s="57" t="s">
        <v>3476</v>
      </c>
      <c r="BK341" s="57" t="s">
        <v>3476</v>
      </c>
      <c r="BL341" s="57">
        <v>3338569</v>
      </c>
      <c r="BM341" s="57" t="s">
        <v>4278</v>
      </c>
      <c r="BN341" s="57">
        <v>19370</v>
      </c>
      <c r="BO341" s="57" t="s">
        <v>3476</v>
      </c>
      <c r="BP341" s="57" t="s">
        <v>3476</v>
      </c>
      <c r="BQ341" s="57" t="s">
        <v>3476</v>
      </c>
      <c r="BR341" s="57" t="s">
        <v>4279</v>
      </c>
      <c r="BS341" s="57" t="s">
        <v>1292</v>
      </c>
      <c r="BT341" s="57" t="s">
        <v>3476</v>
      </c>
      <c r="BU341" s="57" t="s">
        <v>3476</v>
      </c>
      <c r="BV341" s="57" t="s">
        <v>3753</v>
      </c>
      <c r="BW341" s="57" t="s">
        <v>3476</v>
      </c>
      <c r="BX341" s="57">
        <v>19370</v>
      </c>
      <c r="BY341" s="57" t="s">
        <v>3476</v>
      </c>
      <c r="BZ341" s="57" t="s">
        <v>3476</v>
      </c>
      <c r="CA341" s="57" t="s">
        <v>3476</v>
      </c>
      <c r="CB341" s="57" t="s">
        <v>3476</v>
      </c>
      <c r="CC341" s="57" t="s">
        <v>3476</v>
      </c>
      <c r="CD341" s="57" t="s">
        <v>3476</v>
      </c>
    </row>
    <row r="342" spans="1:82">
      <c r="A342" s="57">
        <v>36872</v>
      </c>
      <c r="B342" s="57" t="s">
        <v>3476</v>
      </c>
      <c r="C342" s="57" t="s">
        <v>4280</v>
      </c>
      <c r="D342" s="57" t="s">
        <v>3476</v>
      </c>
      <c r="E342" s="57" t="s">
        <v>3730</v>
      </c>
      <c r="F342" s="57" t="s">
        <v>4281</v>
      </c>
      <c r="G342" s="57" t="s">
        <v>721</v>
      </c>
      <c r="H342" s="57" t="s">
        <v>3562</v>
      </c>
      <c r="I342" s="57">
        <v>19370</v>
      </c>
      <c r="J342" s="57" t="s">
        <v>3476</v>
      </c>
      <c r="K342" s="57" t="s">
        <v>3476</v>
      </c>
      <c r="L342" s="57" t="s">
        <v>3732</v>
      </c>
      <c r="M342" s="57" t="s">
        <v>4282</v>
      </c>
      <c r="N342" s="57" t="s">
        <v>4282</v>
      </c>
      <c r="O342" s="57" t="s">
        <v>3476</v>
      </c>
      <c r="P342" s="57" t="s">
        <v>3476</v>
      </c>
      <c r="Q342" s="57" t="s">
        <v>3562</v>
      </c>
      <c r="R342" s="57" t="s">
        <v>3996</v>
      </c>
      <c r="S342" s="57" t="s">
        <v>3997</v>
      </c>
      <c r="T342" s="57" t="s">
        <v>3736</v>
      </c>
      <c r="U342" s="57" t="s">
        <v>3476</v>
      </c>
      <c r="V342" s="57" t="s">
        <v>3469</v>
      </c>
      <c r="W342" s="57" t="s">
        <v>3476</v>
      </c>
      <c r="X342" s="57" t="s">
        <v>4283</v>
      </c>
      <c r="Y342" s="57" t="s">
        <v>3738</v>
      </c>
      <c r="Z342" s="57" t="s">
        <v>4284</v>
      </c>
      <c r="AA342" s="57" t="s">
        <v>4285</v>
      </c>
      <c r="AB342" s="57" t="s">
        <v>3476</v>
      </c>
      <c r="AC342" s="57" t="s">
        <v>3741</v>
      </c>
      <c r="AD342" s="57" t="s">
        <v>3476</v>
      </c>
      <c r="AE342" s="57" t="s">
        <v>3476</v>
      </c>
      <c r="AF342" s="57" t="s">
        <v>3476</v>
      </c>
      <c r="AG342" s="57" t="s">
        <v>3476</v>
      </c>
      <c r="AH342" s="57" t="s">
        <v>3476</v>
      </c>
      <c r="AI342" s="57" t="s">
        <v>3476</v>
      </c>
      <c r="AJ342" s="57" t="s">
        <v>3476</v>
      </c>
      <c r="AK342" s="57" t="s">
        <v>1292</v>
      </c>
      <c r="AL342" s="57" t="s">
        <v>4286</v>
      </c>
      <c r="AM342" s="57" t="s">
        <v>3476</v>
      </c>
      <c r="AN342" s="57" t="s">
        <v>3865</v>
      </c>
      <c r="AO342" s="57" t="s">
        <v>3476</v>
      </c>
      <c r="AP342" s="58">
        <v>45828.6424074074</v>
      </c>
      <c r="AQ342" s="57" t="s">
        <v>3476</v>
      </c>
      <c r="AR342" s="57" t="s">
        <v>3744</v>
      </c>
      <c r="AS342" s="57" t="s">
        <v>3502</v>
      </c>
      <c r="AT342" s="57" t="s">
        <v>3745</v>
      </c>
      <c r="AU342" s="57" t="s">
        <v>4287</v>
      </c>
      <c r="AV342" s="57" t="s">
        <v>3476</v>
      </c>
      <c r="AW342" s="58">
        <v>45790.6905324074</v>
      </c>
      <c r="AX342" s="57" t="s">
        <v>4286</v>
      </c>
      <c r="AY342" s="57" t="s">
        <v>3747</v>
      </c>
      <c r="AZ342" s="57" t="s">
        <v>3476</v>
      </c>
      <c r="BA342" s="57" t="s">
        <v>3476</v>
      </c>
      <c r="BB342" s="57" t="s">
        <v>3476</v>
      </c>
      <c r="BC342" s="57" t="s">
        <v>3551</v>
      </c>
      <c r="BD342" s="57" t="s">
        <v>4003</v>
      </c>
      <c r="BE342" s="57" t="s">
        <v>2829</v>
      </c>
      <c r="BF342" s="57" t="s">
        <v>3749</v>
      </c>
      <c r="BG342" s="57" t="s">
        <v>3476</v>
      </c>
      <c r="BH342" s="57" t="s">
        <v>3476</v>
      </c>
      <c r="BI342" s="57" t="s">
        <v>2809</v>
      </c>
      <c r="BJ342" s="57" t="s">
        <v>3476</v>
      </c>
      <c r="BK342" s="57" t="s">
        <v>3476</v>
      </c>
      <c r="BL342" s="57">
        <v>3338569</v>
      </c>
      <c r="BM342" s="57" t="s">
        <v>4288</v>
      </c>
      <c r="BN342" s="57" t="s">
        <v>3476</v>
      </c>
      <c r="BO342" s="57">
        <v>19370</v>
      </c>
      <c r="BP342" s="57" t="s">
        <v>3751</v>
      </c>
      <c r="BQ342" s="57" t="s">
        <v>3476</v>
      </c>
      <c r="BR342" s="57" t="s">
        <v>4289</v>
      </c>
      <c r="BS342" s="57" t="s">
        <v>1292</v>
      </c>
      <c r="BT342" s="57" t="s">
        <v>3476</v>
      </c>
      <c r="BU342" s="57" t="s">
        <v>3476</v>
      </c>
      <c r="BV342" s="57" t="s">
        <v>3753</v>
      </c>
      <c r="BW342" s="57" t="s">
        <v>3476</v>
      </c>
      <c r="BX342" s="57">
        <v>19370</v>
      </c>
      <c r="BY342" s="57" t="s">
        <v>3476</v>
      </c>
      <c r="BZ342" s="57" t="s">
        <v>3476</v>
      </c>
      <c r="CA342" s="57" t="s">
        <v>3476</v>
      </c>
      <c r="CB342" s="57" t="s">
        <v>3476</v>
      </c>
      <c r="CC342" s="57" t="s">
        <v>3476</v>
      </c>
      <c r="CD342" s="57" t="s">
        <v>3476</v>
      </c>
    </row>
    <row r="343" spans="1:82">
      <c r="A343" s="57">
        <v>36873</v>
      </c>
      <c r="B343" s="57" t="s">
        <v>3476</v>
      </c>
      <c r="C343" s="57" t="s">
        <v>4290</v>
      </c>
      <c r="D343" s="57" t="s">
        <v>3476</v>
      </c>
      <c r="E343" s="57" t="s">
        <v>3730</v>
      </c>
      <c r="F343" s="57" t="s">
        <v>4291</v>
      </c>
      <c r="G343" s="57" t="s">
        <v>721</v>
      </c>
      <c r="H343" s="57" t="s">
        <v>3580</v>
      </c>
      <c r="I343" s="57">
        <v>8400</v>
      </c>
      <c r="J343" s="57" t="s">
        <v>3476</v>
      </c>
      <c r="K343" s="57" t="s">
        <v>3476</v>
      </c>
      <c r="L343" s="57" t="s">
        <v>3732</v>
      </c>
      <c r="M343" s="57" t="s">
        <v>4282</v>
      </c>
      <c r="N343" s="57" t="s">
        <v>4282</v>
      </c>
      <c r="O343" s="57" t="s">
        <v>3476</v>
      </c>
      <c r="P343" s="57" t="s">
        <v>3476</v>
      </c>
      <c r="Q343" s="57" t="s">
        <v>3580</v>
      </c>
      <c r="R343" s="57" t="s">
        <v>3825</v>
      </c>
      <c r="S343" s="57" t="s">
        <v>3826</v>
      </c>
      <c r="T343" s="57" t="s">
        <v>3736</v>
      </c>
      <c r="U343" s="57" t="s">
        <v>3476</v>
      </c>
      <c r="V343" s="57" t="s">
        <v>3469</v>
      </c>
      <c r="W343" s="57" t="s">
        <v>3476</v>
      </c>
      <c r="X343" s="57" t="s">
        <v>4292</v>
      </c>
      <c r="Y343" s="57" t="s">
        <v>3738</v>
      </c>
      <c r="Z343" s="57" t="s">
        <v>4293</v>
      </c>
      <c r="AA343" s="57" t="s">
        <v>3632</v>
      </c>
      <c r="AB343" s="57" t="s">
        <v>3476</v>
      </c>
      <c r="AC343" s="57" t="s">
        <v>3768</v>
      </c>
      <c r="AD343" s="57" t="s">
        <v>3476</v>
      </c>
      <c r="AE343" s="57" t="s">
        <v>3476</v>
      </c>
      <c r="AF343" s="57" t="s">
        <v>3476</v>
      </c>
      <c r="AG343" s="57" t="s">
        <v>3476</v>
      </c>
      <c r="AH343" s="57" t="s">
        <v>3476</v>
      </c>
      <c r="AI343" s="57" t="s">
        <v>3476</v>
      </c>
      <c r="AJ343" s="57" t="s">
        <v>3476</v>
      </c>
      <c r="AK343" s="57" t="s">
        <v>1292</v>
      </c>
      <c r="AL343" s="57" t="s">
        <v>4294</v>
      </c>
      <c r="AM343" s="57" t="s">
        <v>3476</v>
      </c>
      <c r="AN343" s="57" t="s">
        <v>4295</v>
      </c>
      <c r="AO343" s="57" t="s">
        <v>3476</v>
      </c>
      <c r="AP343" s="58">
        <v>45847.6217592593</v>
      </c>
      <c r="AQ343" s="57" t="s">
        <v>3476</v>
      </c>
      <c r="AR343" s="57" t="s">
        <v>3771</v>
      </c>
      <c r="AS343" s="57" t="s">
        <v>3502</v>
      </c>
      <c r="AT343" s="57" t="s">
        <v>3745</v>
      </c>
      <c r="AU343" s="57" t="s">
        <v>4296</v>
      </c>
      <c r="AV343" s="57" t="s">
        <v>3476</v>
      </c>
      <c r="AW343" s="58">
        <v>45797.5975578704</v>
      </c>
      <c r="AX343" s="57" t="s">
        <v>4294</v>
      </c>
      <c r="AY343" s="57" t="s">
        <v>3747</v>
      </c>
      <c r="AZ343" s="57" t="s">
        <v>3476</v>
      </c>
      <c r="BA343" s="57" t="s">
        <v>3476</v>
      </c>
      <c r="BB343" s="57" t="s">
        <v>3476</v>
      </c>
      <c r="BC343" s="57" t="s">
        <v>3569</v>
      </c>
      <c r="BD343" s="57" t="s">
        <v>3833</v>
      </c>
      <c r="BE343" s="57" t="s">
        <v>2826</v>
      </c>
      <c r="BF343" s="57" t="s">
        <v>3749</v>
      </c>
      <c r="BG343" s="57" t="s">
        <v>3476</v>
      </c>
      <c r="BH343" s="57" t="s">
        <v>3476</v>
      </c>
      <c r="BI343" s="57" t="s">
        <v>2809</v>
      </c>
      <c r="BJ343" s="57" t="s">
        <v>3476</v>
      </c>
      <c r="BK343" s="57" t="s">
        <v>3476</v>
      </c>
      <c r="BL343" s="57">
        <v>3328317</v>
      </c>
      <c r="BM343" s="57" t="s">
        <v>4297</v>
      </c>
      <c r="BN343" s="57" t="s">
        <v>3476</v>
      </c>
      <c r="BO343" s="57">
        <v>8400</v>
      </c>
      <c r="BP343" s="57" t="s">
        <v>3776</v>
      </c>
      <c r="BQ343" s="57" t="s">
        <v>3476</v>
      </c>
      <c r="BR343" s="57" t="s">
        <v>4298</v>
      </c>
      <c r="BS343" s="57" t="s">
        <v>1292</v>
      </c>
      <c r="BT343" s="57" t="s">
        <v>3476</v>
      </c>
      <c r="BU343" s="57" t="s">
        <v>3476</v>
      </c>
      <c r="BV343" s="57" t="s">
        <v>3753</v>
      </c>
      <c r="BW343" s="57" t="s">
        <v>3476</v>
      </c>
      <c r="BX343" s="57">
        <v>8400</v>
      </c>
      <c r="BY343" s="57" t="s">
        <v>3476</v>
      </c>
      <c r="BZ343" s="57" t="s">
        <v>3476</v>
      </c>
      <c r="CA343" s="57" t="s">
        <v>3476</v>
      </c>
      <c r="CB343" s="57" t="s">
        <v>3476</v>
      </c>
      <c r="CC343" s="57" t="s">
        <v>3476</v>
      </c>
      <c r="CD343" s="57" t="s">
        <v>3476</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N24" sqref="N24"/>
    </sheetView>
  </sheetViews>
  <sheetFormatPr defaultColWidth="9" defaultRowHeight="13.5"/>
  <cols>
    <col min="1" max="1" width="30.7583333333333" style="53" customWidth="1"/>
    <col min="4" max="5" width="10.375" customWidth="1"/>
    <col min="7" max="7" width="10.375" customWidth="1"/>
  </cols>
  <sheetData>
    <row r="1" spans="2:13">
      <c r="B1" s="19" t="s">
        <v>4299</v>
      </c>
      <c r="C1" s="19" t="s">
        <v>4300</v>
      </c>
      <c r="D1" s="19" t="s">
        <v>4301</v>
      </c>
      <c r="E1" s="19" t="s">
        <v>4302</v>
      </c>
      <c r="F1" s="19" t="s">
        <v>4303</v>
      </c>
      <c r="G1" s="19" t="s">
        <v>4304</v>
      </c>
      <c r="H1" s="19" t="s">
        <v>4305</v>
      </c>
      <c r="I1" s="19" t="s">
        <v>4306</v>
      </c>
      <c r="J1" s="19" t="s">
        <v>4307</v>
      </c>
      <c r="K1" s="19" t="s">
        <v>4308</v>
      </c>
      <c r="L1" s="19" t="s">
        <v>4309</v>
      </c>
      <c r="M1" s="19" t="s">
        <v>4310</v>
      </c>
    </row>
    <row r="2" s="52" customFormat="1" spans="1:13">
      <c r="A2" s="54" t="s">
        <v>3773</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4" t="s">
        <v>4311</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4" t="s">
        <v>4312</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4" t="s">
        <v>4313</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4" t="s">
        <v>4314</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4" t="s">
        <v>4315</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4" t="s">
        <v>4087</v>
      </c>
      <c r="B8" s="52">
        <f>SUMIFS(引用修正!$C$2:$C$10000,引用修正!$G$2:$G$10000,$A8,引用修正!$F$2:$F$10000,B$1,引用修正!$H$2:$H$10000,"",引用修正!$I$2:$I$10000,"")</f>
        <v>8540.6</v>
      </c>
      <c r="C8" s="52">
        <f>SUMIFS(引用修正!$C$2:$C$10000,引用修正!$G$2:$G$10000,$A8,引用修正!$F$2:$F$10000,C$1,引用修正!$H$2:$H$10000,"",引用修正!$I$2:$I$10000,"")</f>
        <v>16868</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4" t="s">
        <v>4316</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5" t="s">
        <v>4317</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4" t="s">
        <v>4318</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4" t="s">
        <v>4319</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4" t="s">
        <v>4320</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4" t="s">
        <v>3808</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4" t="s">
        <v>4321</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4" t="s">
        <v>3748</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4" t="s">
        <v>4322</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2" customFormat="1" spans="1:13">
      <c r="A18" s="54" t="s">
        <v>4323</v>
      </c>
      <c r="B18" s="52">
        <f>SUMIFS(引用修正!$C$2:$C$10000,引用修正!$G$2:$G$10000,$A18,引用修正!$F$2:$F$10000,B$1,引用修正!$H$2:$H$10000,"",引用修正!$I$2:$I$10000,"")</f>
        <v>0</v>
      </c>
      <c r="C18" s="52">
        <f>SUMIFS(引用修正!$C$2:$C$10000,引用修正!$G$2:$G$10000,$A18,引用修正!$F$2:$F$10000,C$1,引用修正!$H$2:$H$10000,"",引用修正!$I$2:$I$10000,"")</f>
        <v>0</v>
      </c>
      <c r="D18" s="52">
        <f>SUMIFS(引用修正!$C$2:$C$10000,引用修正!$G$2:$G$10000,$A18,引用修正!$F$2:$F$10000,D$1,引用修正!$H$2:$H$10000,"",引用修正!$I$2:$I$10000,"")</f>
        <v>0</v>
      </c>
      <c r="E18" s="52">
        <f>SUMIFS(引用修正!$C$2:$C$10000,引用修正!$G$2:$G$10000,$A18,引用修正!$F$2:$F$10000,E$1,引用修正!$H$2:$H$10000,"",引用修正!$I$2:$I$10000,"")</f>
        <v>0</v>
      </c>
      <c r="F18" s="52">
        <f>SUMIFS(引用修正!$C$2:$C$10000,引用修正!$G$2:$G$10000,$A18,引用修正!$F$2:$F$10000,F$1,引用修正!$H$2:$H$10000,"",引用修正!$I$2:$I$10000,"")</f>
        <v>0</v>
      </c>
      <c r="G18" s="52">
        <f>SUMIFS(引用修正!$C$2:$C$10000,引用修正!$G$2:$G$10000,$A18,引用修正!$F$2:$F$10000,G$1,引用修正!$H$2:$H$10000,"",引用修正!$I$2:$I$10000,"")</f>
        <v>0</v>
      </c>
      <c r="H18" s="52">
        <f>SUMIFS(引用修正!$C$2:$C$10000,引用修正!$G$2:$G$10000,$A18,引用修正!$F$2:$F$10000,H$1,引用修正!$H$2:$H$10000,"",引用修正!$I$2:$I$10000,"")</f>
        <v>0</v>
      </c>
      <c r="I18" s="52">
        <f>SUMIFS(引用修正!$C$2:$C$10000,引用修正!$G$2:$G$10000,$A18,引用修正!$F$2:$F$10000,I$1,引用修正!$H$2:$H$10000,"",引用修正!$I$2:$I$10000,"")</f>
        <v>0</v>
      </c>
      <c r="J18" s="52">
        <f>SUMIFS(引用修正!$C$2:$C$10000,引用修正!$G$2:$G$10000,$A18,引用修正!$F$2:$F$10000,J$1,引用修正!$H$2:$H$10000,"",引用修正!$I$2:$I$10000,"")</f>
        <v>0</v>
      </c>
      <c r="K18" s="52">
        <f>SUMIFS(引用修正!$C$2:$C$10000,引用修正!$G$2:$G$10000,$A18,引用修正!$F$2:$F$10000,K$1,引用修正!$H$2:$H$10000,"",引用修正!$I$2:$I$10000,"")</f>
        <v>0</v>
      </c>
      <c r="L18" s="52">
        <f>SUMIFS(引用修正!$C$2:$C$10000,引用修正!$G$2:$G$10000,$A18,引用修正!$F$2:$F$10000,L$1,引用修正!$H$2:$H$10000,"",引用修正!$I$2:$I$10000,"")</f>
        <v>0</v>
      </c>
      <c r="M18" s="52">
        <f>SUMIFS(引用修正!$C$2:$C$10000,引用修正!$G$2:$G$10000,$A18,引用修正!$F$2:$F$10000,M$1,引用修正!$H$2:$H$10000,"",引用修正!$I$2:$I$10000,"")</f>
        <v>0</v>
      </c>
    </row>
    <row r="19" s="52" customFormat="1" spans="1:13">
      <c r="A19" s="54" t="s">
        <v>4324</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4" t="s">
        <v>4325</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4" t="s">
        <v>4326</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4" t="s">
        <v>4327</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4" t="s">
        <v>4328</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4" t="s">
        <v>4329</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4" t="s">
        <v>4330</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4"/>
    </row>
    <row r="27" s="52" customFormat="1" spans="1:1">
      <c r="A27" s="54"/>
    </row>
    <row r="28" s="52" customFormat="1" spans="1:1">
      <c r="A28" s="54"/>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4331</v>
      </c>
      <c r="C1" s="18" t="s">
        <v>4332</v>
      </c>
      <c r="D1" s="19" t="s">
        <v>4299</v>
      </c>
      <c r="E1" s="19" t="s">
        <v>4300</v>
      </c>
      <c r="F1" s="19" t="s">
        <v>4301</v>
      </c>
      <c r="G1" s="19" t="s">
        <v>4302</v>
      </c>
      <c r="H1" s="19" t="s">
        <v>4303</v>
      </c>
      <c r="I1" s="19" t="s">
        <v>4304</v>
      </c>
      <c r="J1" s="19" t="s">
        <v>4305</v>
      </c>
      <c r="K1" s="19" t="s">
        <v>4306</v>
      </c>
      <c r="L1" s="19" t="s">
        <v>4307</v>
      </c>
      <c r="M1" s="19" t="s">
        <v>4308</v>
      </c>
      <c r="N1" s="19" t="s">
        <v>4309</v>
      </c>
      <c r="O1" s="19" t="s">
        <v>4310</v>
      </c>
    </row>
    <row r="2" ht="16.5" spans="1:15">
      <c r="A2" s="20" t="s">
        <v>3231</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4333</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3237</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4334</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4335</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4336</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4337</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4338</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4339</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4340</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4341</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4342</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4343</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4344</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4345</v>
      </c>
      <c r="B16" s="21" t="s">
        <v>2325</v>
      </c>
      <c r="C16" s="22" t="s">
        <v>2326</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4346</v>
      </c>
      <c r="B17" s="21" t="s">
        <v>2325</v>
      </c>
      <c r="C17" s="22" t="s">
        <v>2326</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4347</v>
      </c>
      <c r="B18" s="21" t="s">
        <v>2325</v>
      </c>
      <c r="C18" s="22" t="s">
        <v>2326</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4348</v>
      </c>
      <c r="B19" s="21" t="s">
        <v>2325</v>
      </c>
      <c r="C19" s="22" t="s">
        <v>2326</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4349</v>
      </c>
      <c r="B20" s="21" t="s">
        <v>2325</v>
      </c>
      <c r="C20" s="22" t="s">
        <v>2326</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4350</v>
      </c>
      <c r="B21" s="21" t="s">
        <v>2325</v>
      </c>
      <c r="C21" s="22" t="s">
        <v>2326</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4351</v>
      </c>
      <c r="B22" s="21" t="s">
        <v>2325</v>
      </c>
      <c r="C22" s="22" t="s">
        <v>2326</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4352</v>
      </c>
      <c r="B23" s="21" t="s">
        <v>2325</v>
      </c>
      <c r="C23" s="22" t="s">
        <v>2326</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4353</v>
      </c>
      <c r="B24" s="21" t="s">
        <v>2325</v>
      </c>
      <c r="C24" s="22" t="s">
        <v>2326</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4354</v>
      </c>
      <c r="B25" s="21" t="s">
        <v>2325</v>
      </c>
      <c r="C25" s="22" t="s">
        <v>2326</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4355</v>
      </c>
      <c r="B26" s="21" t="s">
        <v>2325</v>
      </c>
      <c r="C26" s="22" t="s">
        <v>2326</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4356</v>
      </c>
      <c r="B27" s="21" t="s">
        <v>2325</v>
      </c>
      <c r="C27" s="22" t="s">
        <v>2326</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4357</v>
      </c>
      <c r="B28" s="21" t="s">
        <v>2325</v>
      </c>
      <c r="C28" s="22" t="s">
        <v>2326</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4358</v>
      </c>
      <c r="B29" s="24"/>
      <c r="C29" s="24" t="s">
        <v>4359</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4360</v>
      </c>
      <c r="B30" s="24"/>
      <c r="C30" s="24" t="s">
        <v>4359</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4361</v>
      </c>
      <c r="B31" s="24"/>
      <c r="C31" s="24" t="s">
        <v>4359</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4362</v>
      </c>
      <c r="B32" s="24"/>
      <c r="C32" s="24" t="s">
        <v>4359</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4363</v>
      </c>
      <c r="B33" s="24"/>
      <c r="C33" s="24" t="s">
        <v>4359</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4364</v>
      </c>
      <c r="B34" s="24"/>
      <c r="C34" s="24" t="s">
        <v>4359</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4365</v>
      </c>
      <c r="B35" s="24"/>
      <c r="C35" s="24" t="s">
        <v>4359</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4366</v>
      </c>
      <c r="B36" s="24"/>
      <c r="C36" s="24" t="s">
        <v>4359</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4367</v>
      </c>
      <c r="B37" s="24"/>
      <c r="C37" s="24" t="s">
        <v>4359</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4368</v>
      </c>
      <c r="B38" s="24"/>
      <c r="C38" s="24" t="s">
        <v>4359</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4369</v>
      </c>
      <c r="B39" s="24"/>
      <c r="C39" s="24" t="s">
        <v>4359</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4370</v>
      </c>
      <c r="B40" s="24"/>
      <c r="C40" s="24" t="s">
        <v>4359</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4371</v>
      </c>
      <c r="B41" s="24"/>
      <c r="C41" s="24" t="s">
        <v>4359</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4372</v>
      </c>
      <c r="B42" s="24"/>
      <c r="C42" s="24" t="s">
        <v>4359</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4373</v>
      </c>
      <c r="B43" s="24"/>
      <c r="C43" s="24" t="s">
        <v>4359</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4374</v>
      </c>
      <c r="B44" s="24"/>
      <c r="C44" s="24" t="s">
        <v>4359</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4375</v>
      </c>
      <c r="B45" s="24"/>
      <c r="C45" s="24" t="s">
        <v>4359</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4376</v>
      </c>
      <c r="B46" s="24"/>
      <c r="C46" s="24" t="s">
        <v>4359</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4377</v>
      </c>
      <c r="B47" s="24"/>
      <c r="C47" s="24" t="s">
        <v>4359</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4378</v>
      </c>
      <c r="B48" s="24"/>
      <c r="C48" s="24" t="s">
        <v>4359</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4379</v>
      </c>
      <c r="B49" s="24"/>
      <c r="C49" s="24" t="s">
        <v>4359</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2865</v>
      </c>
      <c r="B50" s="24"/>
      <c r="C50" s="24" t="s">
        <v>4359</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4380</v>
      </c>
      <c r="B51" s="24"/>
      <c r="C51" s="24" t="s">
        <v>4359</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4381</v>
      </c>
      <c r="B52" s="24"/>
      <c r="C52" s="24" t="s">
        <v>4359</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4382</v>
      </c>
      <c r="B53" s="24"/>
      <c r="C53" s="24" t="s">
        <v>4359</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4383</v>
      </c>
      <c r="B54" s="24"/>
      <c r="C54" s="24" t="s">
        <v>4359</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4384</v>
      </c>
      <c r="B55" s="24"/>
      <c r="C55" s="24" t="s">
        <v>4359</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4385</v>
      </c>
      <c r="B56" s="24"/>
      <c r="C56" s="24" t="s">
        <v>4359</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4386</v>
      </c>
      <c r="B57" s="24"/>
      <c r="C57" s="24" t="s">
        <v>4359</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4387</v>
      </c>
      <c r="B58" s="24"/>
      <c r="C58" s="24" t="s">
        <v>4359</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4388</v>
      </c>
      <c r="B59" s="24"/>
      <c r="C59" s="24" t="s">
        <v>4359</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4389</v>
      </c>
      <c r="B60" s="24"/>
      <c r="C60" s="24" t="s">
        <v>4359</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4390</v>
      </c>
      <c r="B61" s="24"/>
      <c r="C61" s="24" t="s">
        <v>4359</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4391</v>
      </c>
      <c r="B62" s="24"/>
      <c r="C62" s="24" t="s">
        <v>4359</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4392</v>
      </c>
      <c r="B63" s="24"/>
      <c r="C63" s="24" t="s">
        <v>4359</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4393</v>
      </c>
      <c r="B64" s="24"/>
      <c r="C64" s="24" t="s">
        <v>4359</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4394</v>
      </c>
      <c r="B65" s="24"/>
      <c r="C65" s="24" t="s">
        <v>4359</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4395</v>
      </c>
      <c r="B66" s="24"/>
      <c r="C66" s="24" t="s">
        <v>4359</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4396</v>
      </c>
      <c r="B67" s="24"/>
      <c r="C67" s="24" t="s">
        <v>4359</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4397</v>
      </c>
      <c r="B68" s="24"/>
      <c r="C68" s="24" t="s">
        <v>4359</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4398</v>
      </c>
      <c r="B69" s="24"/>
      <c r="C69" s="24" t="s">
        <v>4359</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3321</v>
      </c>
      <c r="B70" s="24"/>
      <c r="C70" s="24" t="s">
        <v>4359</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4399</v>
      </c>
      <c r="B71" s="24"/>
      <c r="C71" s="24" t="s">
        <v>4359</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4400</v>
      </c>
      <c r="B72" s="24"/>
      <c r="C72" s="24" t="s">
        <v>4359</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4401</v>
      </c>
      <c r="B73" s="24"/>
      <c r="C73" s="24" t="s">
        <v>4359</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4402</v>
      </c>
      <c r="B74" s="24"/>
      <c r="C74" s="24" t="s">
        <v>4359</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4403</v>
      </c>
      <c r="B75" s="24"/>
      <c r="C75" s="24" t="s">
        <v>4359</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4404</v>
      </c>
      <c r="B76" s="24"/>
      <c r="C76" s="24" t="s">
        <v>4359</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4405</v>
      </c>
      <c r="B77" s="24"/>
      <c r="C77" s="24" t="s">
        <v>4359</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4406</v>
      </c>
      <c r="B78" s="24"/>
      <c r="C78" s="24" t="s">
        <v>4359</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4407</v>
      </c>
      <c r="B79" s="24"/>
      <c r="C79" s="24" t="s">
        <v>4359</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4408</v>
      </c>
      <c r="B80" s="24"/>
      <c r="C80" s="24" t="s">
        <v>4359</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4409</v>
      </c>
      <c r="B81" s="24"/>
      <c r="C81" s="24" t="s">
        <v>4359</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4410</v>
      </c>
      <c r="B82" s="24"/>
      <c r="C82" s="24" t="s">
        <v>4359</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4411</v>
      </c>
      <c r="B83" s="24"/>
      <c r="C83" s="24" t="s">
        <v>4359</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4412</v>
      </c>
      <c r="B84" s="24"/>
      <c r="C84" s="24" t="s">
        <v>4359</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4413</v>
      </c>
      <c r="B85" s="24"/>
      <c r="C85" s="24" t="s">
        <v>4359</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4414</v>
      </c>
      <c r="B86" s="24"/>
      <c r="C86" s="24" t="s">
        <v>4359</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4415</v>
      </c>
      <c r="B87" s="24"/>
      <c r="C87" s="24" t="s">
        <v>4359</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4416</v>
      </c>
      <c r="B88" s="24"/>
      <c r="C88" s="24" t="s">
        <v>4359</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4417</v>
      </c>
      <c r="B89" s="24"/>
      <c r="C89" s="24" t="s">
        <v>4359</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4418</v>
      </c>
      <c r="B90" s="24"/>
      <c r="C90" s="24" t="s">
        <v>4359</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4419</v>
      </c>
      <c r="B91" s="46" t="s">
        <v>2135</v>
      </c>
      <c r="C91" s="47" t="s">
        <v>2136</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4420</v>
      </c>
      <c r="B92" s="46" t="s">
        <v>2135</v>
      </c>
      <c r="C92" s="47" t="s">
        <v>2136</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4421</v>
      </c>
      <c r="B93" s="46" t="s">
        <v>2135</v>
      </c>
      <c r="C93" s="47" t="s">
        <v>2136</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4422</v>
      </c>
      <c r="B94" s="46" t="s">
        <v>2135</v>
      </c>
      <c r="C94" s="47" t="s">
        <v>2136</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4423</v>
      </c>
      <c r="B95" s="46" t="s">
        <v>2135</v>
      </c>
      <c r="C95" s="47" t="s">
        <v>2136</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4424</v>
      </c>
      <c r="B96" s="46" t="s">
        <v>2135</v>
      </c>
      <c r="C96" s="47" t="s">
        <v>2136</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4425</v>
      </c>
      <c r="B97" s="46" t="s">
        <v>2135</v>
      </c>
      <c r="C97" s="47" t="s">
        <v>2136</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4426</v>
      </c>
      <c r="B98" s="46" t="s">
        <v>2135</v>
      </c>
      <c r="C98" s="47" t="s">
        <v>2136</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4427</v>
      </c>
      <c r="B99" s="46" t="s">
        <v>2135</v>
      </c>
      <c r="C99" s="47" t="s">
        <v>2136</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4428</v>
      </c>
      <c r="B100" s="46" t="s">
        <v>2135</v>
      </c>
      <c r="C100" s="47" t="s">
        <v>2136</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4429</v>
      </c>
      <c r="B101" s="46" t="s">
        <v>2135</v>
      </c>
      <c r="C101" s="47" t="s">
        <v>2136</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4430</v>
      </c>
      <c r="B102" s="46" t="s">
        <v>2135</v>
      </c>
      <c r="C102" s="47" t="s">
        <v>2136</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4431</v>
      </c>
      <c r="B103" s="46" t="s">
        <v>2135</v>
      </c>
      <c r="C103" s="47" t="s">
        <v>2136</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4432</v>
      </c>
      <c r="B104" s="46" t="s">
        <v>2072</v>
      </c>
      <c r="C104" s="47" t="s">
        <v>2073</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4433</v>
      </c>
      <c r="B105" s="46" t="s">
        <v>2072</v>
      </c>
      <c r="C105" s="47" t="s">
        <v>2073</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4434</v>
      </c>
      <c r="B106" s="46" t="s">
        <v>2072</v>
      </c>
      <c r="C106" s="47" t="s">
        <v>2073</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4435</v>
      </c>
      <c r="B107" s="46" t="s">
        <v>2072</v>
      </c>
      <c r="C107" s="47" t="s">
        <v>2073</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4436</v>
      </c>
      <c r="B108" s="46" t="s">
        <v>2072</v>
      </c>
      <c r="C108" s="47" t="s">
        <v>2073</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4437</v>
      </c>
      <c r="B109" s="46" t="s">
        <v>2072</v>
      </c>
      <c r="C109" s="47" t="s">
        <v>2073</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4438</v>
      </c>
      <c r="B110" s="46" t="s">
        <v>2072</v>
      </c>
      <c r="C110" s="47" t="s">
        <v>2073</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4439</v>
      </c>
      <c r="B111" s="46" t="s">
        <v>2072</v>
      </c>
      <c r="C111" s="47" t="s">
        <v>2073</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4440</v>
      </c>
      <c r="B112" s="46" t="s">
        <v>2095</v>
      </c>
      <c r="C112" s="47" t="s">
        <v>2096</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4441</v>
      </c>
      <c r="B113" s="46" t="s">
        <v>2095</v>
      </c>
      <c r="C113" s="47" t="s">
        <v>2096</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4442</v>
      </c>
      <c r="B114" s="46" t="s">
        <v>2095</v>
      </c>
      <c r="C114" s="47" t="s">
        <v>2096</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4443</v>
      </c>
      <c r="B115" s="46" t="s">
        <v>2095</v>
      </c>
      <c r="C115" s="47" t="s">
        <v>2096</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4444</v>
      </c>
      <c r="B116" s="46" t="s">
        <v>2095</v>
      </c>
      <c r="C116" s="47" t="s">
        <v>2096</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4445</v>
      </c>
      <c r="B117" s="46" t="s">
        <v>2095</v>
      </c>
      <c r="C117" s="47" t="s">
        <v>2096</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4446</v>
      </c>
      <c r="B118" s="46" t="s">
        <v>2095</v>
      </c>
      <c r="C118" s="47" t="s">
        <v>2096</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4447</v>
      </c>
      <c r="B119" s="46" t="s">
        <v>2095</v>
      </c>
      <c r="C119" s="47" t="s">
        <v>2096</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4448</v>
      </c>
      <c r="B120" s="46" t="s">
        <v>2095</v>
      </c>
      <c r="C120" s="47" t="s">
        <v>2096</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4449</v>
      </c>
      <c r="B121" s="46" t="s">
        <v>2095</v>
      </c>
      <c r="C121" s="47" t="s">
        <v>2096</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4450</v>
      </c>
      <c r="B122" s="46" t="s">
        <v>2095</v>
      </c>
      <c r="C122" s="47" t="s">
        <v>2096</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4451</v>
      </c>
      <c r="B123" s="46" t="s">
        <v>2095</v>
      </c>
      <c r="C123" s="47" t="s">
        <v>2096</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4452</v>
      </c>
      <c r="B124" s="46" t="s">
        <v>2095</v>
      </c>
      <c r="C124" s="47" t="s">
        <v>2096</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4453</v>
      </c>
      <c r="B125" s="46" t="s">
        <v>2095</v>
      </c>
      <c r="C125" s="47" t="s">
        <v>2096</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4454</v>
      </c>
      <c r="B126" s="46" t="s">
        <v>2095</v>
      </c>
      <c r="C126" s="47" t="s">
        <v>2096</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4455</v>
      </c>
      <c r="B127" s="46" t="s">
        <v>2095</v>
      </c>
      <c r="C127" s="47" t="s">
        <v>2096</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4456</v>
      </c>
      <c r="B128" s="46" t="s">
        <v>2095</v>
      </c>
      <c r="C128" s="47" t="s">
        <v>2096</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4457</v>
      </c>
      <c r="B129" s="46" t="s">
        <v>2095</v>
      </c>
      <c r="C129" s="47" t="s">
        <v>2096</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4458</v>
      </c>
      <c r="B130" s="46" t="s">
        <v>2095</v>
      </c>
      <c r="C130" s="47" t="s">
        <v>2096</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4459</v>
      </c>
      <c r="B131" s="46" t="s">
        <v>2095</v>
      </c>
      <c r="C131" s="47" t="s">
        <v>2096</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4460</v>
      </c>
      <c r="B132" s="46" t="s">
        <v>2095</v>
      </c>
      <c r="C132" s="47" t="s">
        <v>2096</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4461</v>
      </c>
      <c r="B133" s="46" t="s">
        <v>2095</v>
      </c>
      <c r="C133" s="47" t="s">
        <v>2096</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4462</v>
      </c>
      <c r="B134" s="46" t="s">
        <v>2095</v>
      </c>
      <c r="C134" s="47" t="s">
        <v>2096</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4463</v>
      </c>
      <c r="B135" s="46" t="s">
        <v>2095</v>
      </c>
      <c r="C135" s="47" t="s">
        <v>2096</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4464</v>
      </c>
      <c r="B136" s="46" t="s">
        <v>2095</v>
      </c>
      <c r="C136" s="47" t="s">
        <v>2096</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4465</v>
      </c>
      <c r="B137" s="46" t="s">
        <v>2095</v>
      </c>
      <c r="C137" s="47" t="s">
        <v>2096</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4466</v>
      </c>
      <c r="B138" s="46" t="s">
        <v>2095</v>
      </c>
      <c r="C138" s="47" t="s">
        <v>2096</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4467</v>
      </c>
      <c r="B139" s="46" t="s">
        <v>2095</v>
      </c>
      <c r="C139" s="47" t="s">
        <v>2096</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4468</v>
      </c>
      <c r="B140" s="46" t="s">
        <v>2095</v>
      </c>
      <c r="C140" s="47" t="s">
        <v>2096</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4469</v>
      </c>
      <c r="B141" s="46" t="s">
        <v>2135</v>
      </c>
      <c r="C141" s="47" t="s">
        <v>2136</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4470</v>
      </c>
      <c r="B142" s="46" t="s">
        <v>2135</v>
      </c>
      <c r="C142" s="47" t="s">
        <v>2136</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4471</v>
      </c>
      <c r="B143" s="46" t="s">
        <v>2135</v>
      </c>
      <c r="C143" s="47" t="s">
        <v>2136</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4472</v>
      </c>
      <c r="B144" s="46" t="s">
        <v>2135</v>
      </c>
      <c r="C144" s="47" t="s">
        <v>2136</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4473</v>
      </c>
      <c r="B145" s="46" t="s">
        <v>2135</v>
      </c>
      <c r="C145" s="47" t="s">
        <v>2136</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4474</v>
      </c>
      <c r="B146" s="46" t="s">
        <v>2135</v>
      </c>
      <c r="C146" s="47" t="s">
        <v>2136</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4475</v>
      </c>
      <c r="B147" s="46" t="s">
        <v>2135</v>
      </c>
      <c r="C147" s="47" t="s">
        <v>2136</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4476</v>
      </c>
      <c r="B148" s="46" t="s">
        <v>2135</v>
      </c>
      <c r="C148" s="47" t="s">
        <v>2136</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4477</v>
      </c>
      <c r="B149" s="46" t="s">
        <v>2135</v>
      </c>
      <c r="C149" s="47" t="s">
        <v>2136</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4478</v>
      </c>
      <c r="B150" s="46" t="s">
        <v>2135</v>
      </c>
      <c r="C150" s="47" t="s">
        <v>2136</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4479</v>
      </c>
      <c r="B151" s="46" t="s">
        <v>2135</v>
      </c>
      <c r="C151" s="47" t="s">
        <v>2136</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4480</v>
      </c>
      <c r="B152" s="46" t="s">
        <v>2135</v>
      </c>
      <c r="C152" s="47" t="s">
        <v>2136</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4481</v>
      </c>
      <c r="B153" s="46" t="s">
        <v>2135</v>
      </c>
      <c r="C153" s="47" t="s">
        <v>2136</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4482</v>
      </c>
      <c r="B154" s="46" t="s">
        <v>2135</v>
      </c>
      <c r="C154" s="47" t="s">
        <v>2136</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4483</v>
      </c>
      <c r="B155" s="46" t="s">
        <v>2135</v>
      </c>
      <c r="C155" s="47" t="s">
        <v>2136</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4484</v>
      </c>
      <c r="B156" s="46" t="s">
        <v>2135</v>
      </c>
      <c r="C156" s="47" t="s">
        <v>2136</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4485</v>
      </c>
      <c r="B157" s="46" t="s">
        <v>2135</v>
      </c>
      <c r="C157" s="47" t="s">
        <v>2136</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4486</v>
      </c>
      <c r="B158" s="46" t="s">
        <v>2135</v>
      </c>
      <c r="C158" s="47" t="s">
        <v>2136</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4487</v>
      </c>
      <c r="B159" s="46" t="s">
        <v>2135</v>
      </c>
      <c r="C159" s="47" t="s">
        <v>2136</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4488</v>
      </c>
      <c r="B160" s="46" t="s">
        <v>2135</v>
      </c>
      <c r="C160" s="47" t="s">
        <v>2136</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4489</v>
      </c>
      <c r="B161" s="46" t="s">
        <v>2135</v>
      </c>
      <c r="C161" s="47" t="s">
        <v>2136</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4490</v>
      </c>
      <c r="B162" s="46" t="s">
        <v>2135</v>
      </c>
      <c r="C162" s="47" t="s">
        <v>2136</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4491</v>
      </c>
      <c r="B163" s="46" t="s">
        <v>2135</v>
      </c>
      <c r="C163" s="47" t="s">
        <v>2136</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4492</v>
      </c>
      <c r="B164" s="46" t="s">
        <v>2135</v>
      </c>
      <c r="C164" s="47" t="s">
        <v>2136</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4493</v>
      </c>
      <c r="B165" s="46" t="s">
        <v>2135</v>
      </c>
      <c r="C165" s="47" t="s">
        <v>2136</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4494</v>
      </c>
      <c r="B166" s="46" t="s">
        <v>2135</v>
      </c>
      <c r="C166" s="47" t="s">
        <v>2136</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4495</v>
      </c>
      <c r="B167" s="46" t="s">
        <v>2135</v>
      </c>
      <c r="C167" s="47" t="s">
        <v>2136</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4496</v>
      </c>
      <c r="B168" s="46" t="s">
        <v>2135</v>
      </c>
      <c r="C168" s="47" t="s">
        <v>2136</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4497</v>
      </c>
      <c r="B169" s="46" t="s">
        <v>2135</v>
      </c>
      <c r="C169" s="47" t="s">
        <v>2136</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4498</v>
      </c>
      <c r="B170" s="46" t="s">
        <v>2135</v>
      </c>
      <c r="C170" s="47" t="s">
        <v>2136</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4499</v>
      </c>
      <c r="B171" s="46" t="s">
        <v>2135</v>
      </c>
      <c r="C171" s="47" t="s">
        <v>2136</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4500</v>
      </c>
      <c r="B172" s="46" t="s">
        <v>2135</v>
      </c>
      <c r="C172" s="47" t="s">
        <v>2136</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4501</v>
      </c>
      <c r="B173" s="46" t="s">
        <v>2135</v>
      </c>
      <c r="C173" s="47" t="s">
        <v>2136</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4502</v>
      </c>
      <c r="B174" s="46" t="s">
        <v>2135</v>
      </c>
      <c r="C174" s="47" t="s">
        <v>2136</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4503</v>
      </c>
      <c r="B175" s="46" t="s">
        <v>2135</v>
      </c>
      <c r="C175" s="47" t="s">
        <v>2136</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4504</v>
      </c>
      <c r="B176" s="46" t="s">
        <v>2135</v>
      </c>
      <c r="C176" s="47" t="s">
        <v>2136</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4505</v>
      </c>
      <c r="B177" s="46" t="s">
        <v>2135</v>
      </c>
      <c r="C177" s="47" t="s">
        <v>2136</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4506</v>
      </c>
      <c r="B178" s="46" t="s">
        <v>2135</v>
      </c>
      <c r="C178" s="47" t="s">
        <v>2136</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4507</v>
      </c>
      <c r="B179" s="46" t="s">
        <v>2135</v>
      </c>
      <c r="C179" s="47" t="s">
        <v>2136</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4508</v>
      </c>
      <c r="B180" s="46" t="s">
        <v>2135</v>
      </c>
      <c r="C180" s="47" t="s">
        <v>2136</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4509</v>
      </c>
      <c r="B181" s="46" t="s">
        <v>2135</v>
      </c>
      <c r="C181" s="47" t="s">
        <v>2136</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4510</v>
      </c>
      <c r="B182" s="46" t="s">
        <v>2135</v>
      </c>
      <c r="C182" s="47" t="s">
        <v>2136</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4511</v>
      </c>
      <c r="B183" s="46" t="s">
        <v>2135</v>
      </c>
      <c r="C183" s="47" t="s">
        <v>2136</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4512</v>
      </c>
      <c r="B184" s="46" t="s">
        <v>2135</v>
      </c>
      <c r="C184" s="47" t="s">
        <v>2136</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4513</v>
      </c>
      <c r="B185" s="46" t="s">
        <v>2135</v>
      </c>
      <c r="C185" s="47" t="s">
        <v>2136</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4514</v>
      </c>
      <c r="B186" s="46" t="s">
        <v>2135</v>
      </c>
      <c r="C186" s="47" t="s">
        <v>2136</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4515</v>
      </c>
      <c r="B187" s="46" t="s">
        <v>2135</v>
      </c>
      <c r="C187" s="47" t="s">
        <v>2136</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4516</v>
      </c>
      <c r="B188" s="46" t="s">
        <v>2135</v>
      </c>
      <c r="C188" s="47" t="s">
        <v>2136</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4517</v>
      </c>
      <c r="B189" s="46" t="s">
        <v>2135</v>
      </c>
      <c r="C189" s="47" t="s">
        <v>2136</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4518</v>
      </c>
      <c r="B190" s="46" t="s">
        <v>2135</v>
      </c>
      <c r="C190" s="47" t="s">
        <v>2136</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4519</v>
      </c>
      <c r="B191" s="46" t="s">
        <v>2135</v>
      </c>
      <c r="C191" s="47" t="s">
        <v>2136</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4520</v>
      </c>
      <c r="B192" s="46" t="s">
        <v>2135</v>
      </c>
      <c r="C192" s="47" t="s">
        <v>2136</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4521</v>
      </c>
      <c r="B193" s="46" t="s">
        <v>2135</v>
      </c>
      <c r="C193" s="47" t="s">
        <v>2136</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4522</v>
      </c>
      <c r="B194" s="46" t="s">
        <v>2135</v>
      </c>
      <c r="C194" s="47" t="s">
        <v>2136</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4523</v>
      </c>
      <c r="B195" s="46" t="s">
        <v>2135</v>
      </c>
      <c r="C195" s="47" t="s">
        <v>2136</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4524</v>
      </c>
      <c r="B196" s="46" t="s">
        <v>2135</v>
      </c>
      <c r="C196" s="47" t="s">
        <v>2136</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4525</v>
      </c>
      <c r="B197" s="46" t="s">
        <v>2135</v>
      </c>
      <c r="C197" s="47" t="s">
        <v>2136</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4526</v>
      </c>
      <c r="B198" s="46" t="s">
        <v>2135</v>
      </c>
      <c r="C198" s="47" t="s">
        <v>2136</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4527</v>
      </c>
      <c r="B199" s="46" t="s">
        <v>2135</v>
      </c>
      <c r="C199" s="47" t="s">
        <v>2136</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4528</v>
      </c>
      <c r="B200" s="46" t="s">
        <v>2135</v>
      </c>
      <c r="C200" s="47" t="s">
        <v>2136</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4529</v>
      </c>
      <c r="B201" s="46" t="s">
        <v>2135</v>
      </c>
      <c r="C201" s="47" t="s">
        <v>2136</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4530</v>
      </c>
      <c r="B202" s="46" t="s">
        <v>2135</v>
      </c>
      <c r="C202" s="47" t="s">
        <v>2136</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4531</v>
      </c>
      <c r="B203" s="46" t="s">
        <v>2135</v>
      </c>
      <c r="C203" s="47" t="s">
        <v>2136</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4532</v>
      </c>
      <c r="B204" s="46" t="s">
        <v>2135</v>
      </c>
      <c r="C204" s="47" t="s">
        <v>2136</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4533</v>
      </c>
      <c r="B205" s="46" t="s">
        <v>2135</v>
      </c>
      <c r="C205" s="47" t="s">
        <v>2136</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4534</v>
      </c>
      <c r="B206" s="46" t="s">
        <v>2135</v>
      </c>
      <c r="C206" s="47" t="s">
        <v>2136</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4535</v>
      </c>
      <c r="B207" s="46" t="s">
        <v>2135</v>
      </c>
      <c r="C207" s="47" t="s">
        <v>2136</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4536</v>
      </c>
      <c r="B208" s="46" t="s">
        <v>2135</v>
      </c>
      <c r="C208" s="47" t="s">
        <v>2136</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4537</v>
      </c>
      <c r="B209" s="46" t="s">
        <v>2135</v>
      </c>
      <c r="C209" s="47" t="s">
        <v>2136</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4538</v>
      </c>
      <c r="B210" s="46" t="s">
        <v>2135</v>
      </c>
      <c r="C210" s="47" t="s">
        <v>2136</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4539</v>
      </c>
      <c r="B211" s="46" t="s">
        <v>2135</v>
      </c>
      <c r="C211" s="47" t="s">
        <v>2136</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4540</v>
      </c>
      <c r="B212" s="46" t="s">
        <v>2135</v>
      </c>
      <c r="C212" s="47" t="s">
        <v>2136</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4541</v>
      </c>
      <c r="B213" s="46" t="s">
        <v>2135</v>
      </c>
      <c r="C213" s="47" t="s">
        <v>2136</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4542</v>
      </c>
      <c r="B214" s="46" t="s">
        <v>2135</v>
      </c>
      <c r="C214" s="47" t="s">
        <v>2136</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4543</v>
      </c>
      <c r="B215" s="46" t="s">
        <v>2135</v>
      </c>
      <c r="C215" s="47" t="s">
        <v>2136</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4544</v>
      </c>
      <c r="B216" s="46" t="s">
        <v>2135</v>
      </c>
      <c r="C216" s="47" t="s">
        <v>2136</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4545</v>
      </c>
      <c r="B217" s="46" t="s">
        <v>2135</v>
      </c>
      <c r="C217" s="47" t="s">
        <v>2136</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4546</v>
      </c>
      <c r="B218" s="46" t="s">
        <v>2135</v>
      </c>
      <c r="C218" s="47" t="s">
        <v>2136</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4547</v>
      </c>
      <c r="B219" s="46" t="s">
        <v>2135</v>
      </c>
      <c r="C219" s="47" t="s">
        <v>2136</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4548</v>
      </c>
      <c r="B220" s="46" t="s">
        <v>2135</v>
      </c>
      <c r="C220" s="47" t="s">
        <v>2136</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4549</v>
      </c>
      <c r="B221" s="46" t="s">
        <v>2135</v>
      </c>
      <c r="C221" s="47" t="s">
        <v>2136</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4550</v>
      </c>
      <c r="B222" s="46" t="s">
        <v>2135</v>
      </c>
      <c r="C222" s="47" t="s">
        <v>2136</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4551</v>
      </c>
      <c r="B223" s="46" t="s">
        <v>2135</v>
      </c>
      <c r="C223" s="47" t="s">
        <v>2136</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4552</v>
      </c>
      <c r="B224" s="46" t="s">
        <v>2135</v>
      </c>
      <c r="C224" s="47" t="s">
        <v>2136</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4553</v>
      </c>
      <c r="B225" s="46" t="s">
        <v>2135</v>
      </c>
      <c r="C225" s="47" t="s">
        <v>2136</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4554</v>
      </c>
      <c r="B226" s="46" t="s">
        <v>2135</v>
      </c>
      <c r="C226" s="47" t="s">
        <v>2136</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4555</v>
      </c>
      <c r="B227" s="46" t="s">
        <v>2135</v>
      </c>
      <c r="C227" s="47" t="s">
        <v>2136</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4556</v>
      </c>
      <c r="B228" s="46" t="s">
        <v>2135</v>
      </c>
      <c r="C228" s="47" t="s">
        <v>2136</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4557</v>
      </c>
      <c r="B229" s="46" t="s">
        <v>2135</v>
      </c>
      <c r="C229" s="47" t="s">
        <v>2136</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4558</v>
      </c>
      <c r="B230" s="46" t="s">
        <v>2135</v>
      </c>
      <c r="C230" s="47" t="s">
        <v>2136</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4559</v>
      </c>
      <c r="B231" s="46" t="s">
        <v>2135</v>
      </c>
      <c r="C231" s="47" t="s">
        <v>2136</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4560</v>
      </c>
      <c r="B232" s="46" t="s">
        <v>2135</v>
      </c>
      <c r="C232" s="47" t="s">
        <v>2136</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4561</v>
      </c>
      <c r="B233" s="46" t="s">
        <v>2135</v>
      </c>
      <c r="C233" s="47" t="s">
        <v>2136</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4562</v>
      </c>
      <c r="B234" s="46" t="s">
        <v>2135</v>
      </c>
      <c r="C234" s="47" t="s">
        <v>2136</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4563</v>
      </c>
      <c r="B235" s="46" t="s">
        <v>2135</v>
      </c>
      <c r="C235" s="47" t="s">
        <v>2136</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4564</v>
      </c>
      <c r="B236" s="46" t="s">
        <v>2135</v>
      </c>
      <c r="C236" s="47" t="s">
        <v>2136</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4565</v>
      </c>
      <c r="B237" s="46" t="s">
        <v>2135</v>
      </c>
      <c r="C237" s="47" t="s">
        <v>2136</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4566</v>
      </c>
      <c r="B238" s="46" t="s">
        <v>2135</v>
      </c>
      <c r="C238" s="47" t="s">
        <v>2136</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4567</v>
      </c>
      <c r="B239" s="46" t="s">
        <v>2135</v>
      </c>
      <c r="C239" s="47" t="s">
        <v>2136</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4568</v>
      </c>
      <c r="B240" s="46" t="s">
        <v>2135</v>
      </c>
      <c r="C240" s="47" t="s">
        <v>2136</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4569</v>
      </c>
      <c r="B241" s="46" t="s">
        <v>2135</v>
      </c>
      <c r="C241" s="47" t="s">
        <v>2136</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4570</v>
      </c>
      <c r="B242" s="46" t="s">
        <v>2135</v>
      </c>
      <c r="C242" s="47" t="s">
        <v>2136</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4571</v>
      </c>
      <c r="B243" s="46" t="s">
        <v>2135</v>
      </c>
      <c r="C243" s="47" t="s">
        <v>2136</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4572</v>
      </c>
      <c r="B244" s="46" t="s">
        <v>2135</v>
      </c>
      <c r="C244" s="47" t="s">
        <v>2136</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4573</v>
      </c>
      <c r="B245" s="46" t="s">
        <v>2135</v>
      </c>
      <c r="C245" s="47" t="s">
        <v>2136</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4574</v>
      </c>
      <c r="B246" s="46" t="s">
        <v>2135</v>
      </c>
      <c r="C246" s="47" t="s">
        <v>2136</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4575</v>
      </c>
      <c r="B247" s="46" t="s">
        <v>2135</v>
      </c>
      <c r="C247" s="47" t="s">
        <v>2136</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4576</v>
      </c>
      <c r="B248" s="46" t="s">
        <v>2135</v>
      </c>
      <c r="C248" s="47" t="s">
        <v>2136</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4577</v>
      </c>
      <c r="B249" s="46" t="s">
        <v>2135</v>
      </c>
      <c r="C249" s="47" t="s">
        <v>2136</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4578</v>
      </c>
      <c r="B250" s="46" t="s">
        <v>2135</v>
      </c>
      <c r="C250" s="47" t="s">
        <v>2136</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4579</v>
      </c>
      <c r="B251" s="46" t="s">
        <v>2135</v>
      </c>
      <c r="C251" s="47" t="s">
        <v>2136</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4580</v>
      </c>
      <c r="B252" s="46" t="s">
        <v>2135</v>
      </c>
      <c r="C252" s="47" t="s">
        <v>2136</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4581</v>
      </c>
      <c r="B253" s="46" t="s">
        <v>2135</v>
      </c>
      <c r="C253" s="47" t="s">
        <v>2136</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4582</v>
      </c>
      <c r="B254" s="46" t="s">
        <v>2135</v>
      </c>
      <c r="C254" s="47" t="s">
        <v>2136</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4583</v>
      </c>
      <c r="B255" s="46" t="s">
        <v>2135</v>
      </c>
      <c r="C255" s="47" t="s">
        <v>2136</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4584</v>
      </c>
      <c r="B256" s="46" t="s">
        <v>2135</v>
      </c>
      <c r="C256" s="47" t="s">
        <v>2136</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4585</v>
      </c>
      <c r="B257" s="46" t="s">
        <v>2135</v>
      </c>
      <c r="C257" s="47" t="s">
        <v>2136</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4586</v>
      </c>
      <c r="B258" s="46" t="s">
        <v>2135</v>
      </c>
      <c r="C258" s="47" t="s">
        <v>2136</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4587</v>
      </c>
      <c r="B259" s="46" t="s">
        <v>2135</v>
      </c>
      <c r="C259" s="47" t="s">
        <v>2136</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4588</v>
      </c>
      <c r="B260" s="46" t="s">
        <v>2135</v>
      </c>
      <c r="C260" s="47" t="s">
        <v>2136</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4589</v>
      </c>
      <c r="B261" s="46" t="s">
        <v>2135</v>
      </c>
      <c r="C261" s="47" t="s">
        <v>2136</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4590</v>
      </c>
      <c r="B262" s="46" t="s">
        <v>2135</v>
      </c>
      <c r="C262" s="47" t="s">
        <v>2136</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4591</v>
      </c>
      <c r="B263" s="46" t="s">
        <v>2135</v>
      </c>
      <c r="C263" s="47" t="s">
        <v>2136</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4592</v>
      </c>
      <c r="B264" s="46" t="s">
        <v>2135</v>
      </c>
      <c r="C264" s="47" t="s">
        <v>2136</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4593</v>
      </c>
      <c r="B265" s="46" t="s">
        <v>2135</v>
      </c>
      <c r="C265" s="47" t="s">
        <v>2136</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4594</v>
      </c>
      <c r="B266" s="46" t="s">
        <v>2135</v>
      </c>
      <c r="C266" s="47" t="s">
        <v>2136</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4595</v>
      </c>
      <c r="B267" s="46" t="s">
        <v>2135</v>
      </c>
      <c r="C267" s="47" t="s">
        <v>2136</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4596</v>
      </c>
      <c r="B268" s="46" t="s">
        <v>2135</v>
      </c>
      <c r="C268" s="47" t="s">
        <v>2136</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4597</v>
      </c>
      <c r="B269" s="46" t="s">
        <v>2135</v>
      </c>
      <c r="C269" s="47" t="s">
        <v>2136</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4598</v>
      </c>
      <c r="B270" s="46" t="s">
        <v>2135</v>
      </c>
      <c r="C270" s="47" t="s">
        <v>2136</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4599</v>
      </c>
      <c r="B271" s="46" t="s">
        <v>2135</v>
      </c>
      <c r="C271" s="47" t="s">
        <v>2136</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4600</v>
      </c>
      <c r="B272" s="46" t="s">
        <v>2135</v>
      </c>
      <c r="C272" s="47" t="s">
        <v>2136</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4601</v>
      </c>
      <c r="B273" s="46" t="s">
        <v>2135</v>
      </c>
      <c r="C273" s="47" t="s">
        <v>2136</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4602</v>
      </c>
      <c r="B274" s="46" t="s">
        <v>2135</v>
      </c>
      <c r="C274" s="47" t="s">
        <v>2136</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4603</v>
      </c>
      <c r="B275" s="46" t="s">
        <v>2135</v>
      </c>
      <c r="C275" s="47" t="s">
        <v>2136</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4604</v>
      </c>
      <c r="B276" s="46" t="s">
        <v>2135</v>
      </c>
      <c r="C276" s="47" t="s">
        <v>2136</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4605</v>
      </c>
      <c r="B277" s="46" t="s">
        <v>2135</v>
      </c>
      <c r="C277" s="47" t="s">
        <v>2136</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4606</v>
      </c>
      <c r="B278" s="46" t="s">
        <v>2135</v>
      </c>
      <c r="C278" s="47" t="s">
        <v>2136</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4607</v>
      </c>
      <c r="B279" s="46" t="s">
        <v>2135</v>
      </c>
      <c r="C279" s="47" t="s">
        <v>2136</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4608</v>
      </c>
      <c r="B280" s="46" t="s">
        <v>2135</v>
      </c>
      <c r="C280" s="47" t="s">
        <v>2136</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4609</v>
      </c>
      <c r="B281" s="46" t="s">
        <v>2135</v>
      </c>
      <c r="C281" s="47" t="s">
        <v>2136</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4610</v>
      </c>
      <c r="B282" s="46" t="s">
        <v>2135</v>
      </c>
      <c r="C282" s="47" t="s">
        <v>2136</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4611</v>
      </c>
      <c r="B283" s="46" t="s">
        <v>2135</v>
      </c>
      <c r="C283" s="47" t="s">
        <v>2136</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4612</v>
      </c>
      <c r="B284" s="46" t="s">
        <v>2135</v>
      </c>
      <c r="C284" s="47" t="s">
        <v>2136</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4613</v>
      </c>
      <c r="B285" s="46" t="s">
        <v>2135</v>
      </c>
      <c r="C285" s="47" t="s">
        <v>2136</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4614</v>
      </c>
      <c r="B286" s="46" t="s">
        <v>2135</v>
      </c>
      <c r="C286" s="47" t="s">
        <v>2136</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4615</v>
      </c>
      <c r="B287" s="46" t="s">
        <v>2135</v>
      </c>
      <c r="C287" s="47" t="s">
        <v>2136</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4616</v>
      </c>
      <c r="B288" s="46" t="s">
        <v>2135</v>
      </c>
      <c r="C288" s="47" t="s">
        <v>2136</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4617</v>
      </c>
      <c r="B289" s="46" t="s">
        <v>2135</v>
      </c>
      <c r="C289" s="47" t="s">
        <v>2136</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4618</v>
      </c>
      <c r="B290" s="46" t="s">
        <v>2135</v>
      </c>
      <c r="C290" s="47" t="s">
        <v>2136</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4619</v>
      </c>
      <c r="B291" s="46" t="s">
        <v>2135</v>
      </c>
      <c r="C291" s="47" t="s">
        <v>2136</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4620</v>
      </c>
      <c r="B292" s="46" t="s">
        <v>2135</v>
      </c>
      <c r="C292" s="47" t="s">
        <v>2136</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4621</v>
      </c>
      <c r="B293" s="46" t="s">
        <v>2135</v>
      </c>
      <c r="C293" s="47" t="s">
        <v>2136</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4622</v>
      </c>
      <c r="B294" s="46" t="s">
        <v>2135</v>
      </c>
      <c r="C294" s="47" t="s">
        <v>2136</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4623</v>
      </c>
      <c r="B295" s="46" t="s">
        <v>2135</v>
      </c>
      <c r="C295" s="47" t="s">
        <v>2136</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4624</v>
      </c>
      <c r="B296" s="46" t="s">
        <v>2135</v>
      </c>
      <c r="C296" s="47" t="s">
        <v>2136</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4625</v>
      </c>
      <c r="B297" s="46" t="s">
        <v>2135</v>
      </c>
      <c r="C297" s="47" t="s">
        <v>2136</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4626</v>
      </c>
      <c r="B298" s="46" t="s">
        <v>2135</v>
      </c>
      <c r="C298" s="47" t="s">
        <v>2136</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4627</v>
      </c>
      <c r="B299" s="46" t="s">
        <v>2135</v>
      </c>
      <c r="C299" s="47" t="s">
        <v>2136</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4628</v>
      </c>
      <c r="B300" s="46" t="s">
        <v>2135</v>
      </c>
      <c r="C300" s="47" t="s">
        <v>2136</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4629</v>
      </c>
      <c r="B301" s="46" t="s">
        <v>2135</v>
      </c>
      <c r="C301" s="47" t="s">
        <v>2136</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4630</v>
      </c>
      <c r="B302" s="46" t="s">
        <v>2135</v>
      </c>
      <c r="C302" s="47" t="s">
        <v>2136</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4631</v>
      </c>
      <c r="B303" s="46" t="s">
        <v>2072</v>
      </c>
      <c r="C303" s="47" t="s">
        <v>2073</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4632</v>
      </c>
      <c r="B304" s="46" t="s">
        <v>2072</v>
      </c>
      <c r="C304" s="47" t="s">
        <v>2073</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4633</v>
      </c>
      <c r="B305" s="46" t="s">
        <v>2072</v>
      </c>
      <c r="C305" s="47" t="s">
        <v>2073</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4634</v>
      </c>
      <c r="B306" s="46" t="s">
        <v>2072</v>
      </c>
      <c r="C306" s="47" t="s">
        <v>2073</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4635</v>
      </c>
      <c r="B307" s="46" t="s">
        <v>2072</v>
      </c>
      <c r="C307" s="47" t="s">
        <v>2073</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4636</v>
      </c>
      <c r="B308" s="46" t="s">
        <v>2072</v>
      </c>
      <c r="C308" s="47" t="s">
        <v>2073</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4637</v>
      </c>
      <c r="B309" s="46" t="s">
        <v>2095</v>
      </c>
      <c r="C309" s="47" t="s">
        <v>2096</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4638</v>
      </c>
      <c r="B310" s="46" t="s">
        <v>2095</v>
      </c>
      <c r="C310" s="47" t="s">
        <v>2096</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4639</v>
      </c>
      <c r="B311" s="46" t="s">
        <v>2095</v>
      </c>
      <c r="C311" s="47" t="s">
        <v>2096</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4640</v>
      </c>
      <c r="B312" s="46" t="s">
        <v>2095</v>
      </c>
      <c r="C312" s="47" t="s">
        <v>2096</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4641</v>
      </c>
      <c r="B313" s="46" t="s">
        <v>2095</v>
      </c>
      <c r="C313" s="47" t="s">
        <v>2096</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4642</v>
      </c>
      <c r="B314" s="46" t="s">
        <v>2095</v>
      </c>
      <c r="C314" s="47" t="s">
        <v>2096</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4643</v>
      </c>
      <c r="B315" s="46" t="s">
        <v>2095</v>
      </c>
      <c r="C315" s="47" t="s">
        <v>2096</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4644</v>
      </c>
      <c r="B316" s="46" t="s">
        <v>2095</v>
      </c>
      <c r="C316" s="47" t="s">
        <v>2096</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4645</v>
      </c>
      <c r="B317" s="46" t="s">
        <v>2095</v>
      </c>
      <c r="C317" s="47" t="s">
        <v>2096</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4646</v>
      </c>
      <c r="B318" s="46" t="s">
        <v>2095</v>
      </c>
      <c r="C318" s="47" t="s">
        <v>2096</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4647</v>
      </c>
      <c r="B319" s="46" t="s">
        <v>2095</v>
      </c>
      <c r="C319" s="47" t="s">
        <v>2096</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4648</v>
      </c>
      <c r="B320" s="46" t="s">
        <v>2095</v>
      </c>
      <c r="C320" s="47" t="s">
        <v>2096</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4649</v>
      </c>
      <c r="B321" s="46" t="s">
        <v>2095</v>
      </c>
      <c r="C321" s="47" t="s">
        <v>2096</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4650</v>
      </c>
      <c r="B322" s="46" t="s">
        <v>2095</v>
      </c>
      <c r="C322" s="47" t="s">
        <v>2096</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4651</v>
      </c>
      <c r="B323" s="46" t="s">
        <v>2095</v>
      </c>
      <c r="C323" s="47" t="s">
        <v>2096</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4652</v>
      </c>
      <c r="B324" s="46" t="s">
        <v>2095</v>
      </c>
      <c r="C324" s="47" t="s">
        <v>2096</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4653</v>
      </c>
      <c r="B325" s="46" t="s">
        <v>2095</v>
      </c>
      <c r="C325" s="47" t="s">
        <v>2096</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4654</v>
      </c>
      <c r="B326" s="46" t="s">
        <v>2095</v>
      </c>
      <c r="C326" s="47" t="s">
        <v>2096</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4655</v>
      </c>
      <c r="B327" s="46" t="s">
        <v>2095</v>
      </c>
      <c r="C327" s="47" t="s">
        <v>2096</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4656</v>
      </c>
      <c r="B328" s="46" t="s">
        <v>2095</v>
      </c>
      <c r="C328" s="47" t="s">
        <v>2096</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4657</v>
      </c>
      <c r="B329" s="46" t="s">
        <v>2095</v>
      </c>
      <c r="C329" s="47" t="s">
        <v>2096</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4658</v>
      </c>
      <c r="B330" s="46" t="s">
        <v>2095</v>
      </c>
      <c r="C330" s="47" t="s">
        <v>2096</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4659</v>
      </c>
      <c r="B331" s="46" t="s">
        <v>2095</v>
      </c>
      <c r="C331" s="47" t="s">
        <v>2096</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4660</v>
      </c>
      <c r="B332" s="46" t="s">
        <v>2095</v>
      </c>
      <c r="C332" s="47" t="s">
        <v>2096</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4661</v>
      </c>
      <c r="B333" s="46" t="s">
        <v>2095</v>
      </c>
      <c r="C333" s="47" t="s">
        <v>2096</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4662</v>
      </c>
      <c r="B334" s="46" t="s">
        <v>2095</v>
      </c>
      <c r="C334" s="47" t="s">
        <v>2096</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4663</v>
      </c>
      <c r="B335" s="46" t="s">
        <v>2095</v>
      </c>
      <c r="C335" s="47" t="s">
        <v>2096</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4664</v>
      </c>
      <c r="B336" s="46" t="s">
        <v>2095</v>
      </c>
      <c r="C336" s="47" t="s">
        <v>2096</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4665</v>
      </c>
      <c r="B337" s="46" t="s">
        <v>2095</v>
      </c>
      <c r="C337" s="47" t="s">
        <v>2096</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4666</v>
      </c>
      <c r="B338" s="46" t="s">
        <v>2095</v>
      </c>
      <c r="C338" s="47" t="s">
        <v>2096</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4667</v>
      </c>
      <c r="B339" s="46" t="s">
        <v>2095</v>
      </c>
      <c r="C339" s="47" t="s">
        <v>2096</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4668</v>
      </c>
      <c r="B340" s="46" t="s">
        <v>2095</v>
      </c>
      <c r="C340" s="47" t="s">
        <v>2096</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4669</v>
      </c>
      <c r="B341" s="46" t="s">
        <v>2095</v>
      </c>
      <c r="C341" s="47" t="s">
        <v>2096</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4670</v>
      </c>
      <c r="B342" s="46" t="s">
        <v>2095</v>
      </c>
      <c r="C342" s="47" t="s">
        <v>2096</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4671</v>
      </c>
      <c r="B343" s="46" t="s">
        <v>2095</v>
      </c>
      <c r="C343" s="47" t="s">
        <v>2096</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4672</v>
      </c>
      <c r="B344" s="46" t="s">
        <v>2095</v>
      </c>
      <c r="C344" s="47" t="s">
        <v>2096</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4673</v>
      </c>
      <c r="B345" s="46" t="s">
        <v>2095</v>
      </c>
      <c r="C345" s="47" t="s">
        <v>2096</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4674</v>
      </c>
      <c r="B346" s="46" t="s">
        <v>2095</v>
      </c>
      <c r="C346" s="47" t="s">
        <v>2096</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4675</v>
      </c>
      <c r="B347" s="46" t="s">
        <v>2095</v>
      </c>
      <c r="C347" s="47" t="s">
        <v>2096</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4676</v>
      </c>
      <c r="B348" s="46" t="s">
        <v>2095</v>
      </c>
      <c r="C348" s="47" t="s">
        <v>2096</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4677</v>
      </c>
      <c r="B349" s="46" t="s">
        <v>2095</v>
      </c>
      <c r="C349" s="47" t="s">
        <v>2096</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4678</v>
      </c>
      <c r="B350" s="46" t="s">
        <v>2095</v>
      </c>
      <c r="C350" s="47" t="s">
        <v>2096</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4679</v>
      </c>
      <c r="B351" s="46" t="s">
        <v>2095</v>
      </c>
      <c r="C351" s="47" t="s">
        <v>2096</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4680</v>
      </c>
      <c r="B352" s="46" t="s">
        <v>2095</v>
      </c>
      <c r="C352" s="47" t="s">
        <v>2096</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4681</v>
      </c>
      <c r="B353" s="46" t="s">
        <v>2095</v>
      </c>
      <c r="C353" s="47" t="s">
        <v>2096</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4682</v>
      </c>
      <c r="B354" s="46" t="s">
        <v>2095</v>
      </c>
      <c r="C354" s="47" t="s">
        <v>2096</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4683</v>
      </c>
      <c r="B355" s="46" t="s">
        <v>2095</v>
      </c>
      <c r="C355" s="47" t="s">
        <v>2096</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4684</v>
      </c>
      <c r="B356" s="46" t="s">
        <v>2095</v>
      </c>
      <c r="C356" s="47" t="s">
        <v>2096</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4685</v>
      </c>
      <c r="B357" s="46" t="s">
        <v>2095</v>
      </c>
      <c r="C357" s="47" t="s">
        <v>2096</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4686</v>
      </c>
      <c r="B358" s="46" t="s">
        <v>2095</v>
      </c>
      <c r="C358" s="47" t="s">
        <v>2096</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4687</v>
      </c>
      <c r="B359" s="46" t="s">
        <v>2095</v>
      </c>
      <c r="C359" s="47" t="s">
        <v>2096</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4688</v>
      </c>
      <c r="B360" s="46" t="s">
        <v>2095</v>
      </c>
      <c r="C360" s="47" t="s">
        <v>2096</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4689</v>
      </c>
      <c r="B361" s="46" t="s">
        <v>2095</v>
      </c>
      <c r="C361" s="47" t="s">
        <v>2096</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4690</v>
      </c>
      <c r="B362" s="46" t="s">
        <v>2095</v>
      </c>
      <c r="C362" s="47" t="s">
        <v>2096</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4691</v>
      </c>
      <c r="B363" s="46" t="s">
        <v>2095</v>
      </c>
      <c r="C363" s="47" t="s">
        <v>2096</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4692</v>
      </c>
      <c r="B364" s="46" t="s">
        <v>2095</v>
      </c>
      <c r="C364" s="47" t="s">
        <v>2096</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4693</v>
      </c>
      <c r="B365" s="46" t="s">
        <v>2095</v>
      </c>
      <c r="C365" s="47" t="s">
        <v>2096</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4694</v>
      </c>
      <c r="B366" s="46" t="s">
        <v>2135</v>
      </c>
      <c r="C366" s="47" t="s">
        <v>2136</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4695</v>
      </c>
      <c r="B367" s="46" t="s">
        <v>2135</v>
      </c>
      <c r="C367" s="47" t="s">
        <v>2136</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4696</v>
      </c>
      <c r="B368" s="46" t="s">
        <v>2135</v>
      </c>
      <c r="C368" s="47" t="s">
        <v>2136</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4697</v>
      </c>
      <c r="B369" s="46" t="s">
        <v>2135</v>
      </c>
      <c r="C369" s="47" t="s">
        <v>2136</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4698</v>
      </c>
      <c r="B370" s="46" t="s">
        <v>2135</v>
      </c>
      <c r="C370" s="47" t="s">
        <v>2136</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4699</v>
      </c>
      <c r="B371" s="46" t="s">
        <v>2135</v>
      </c>
      <c r="C371" s="47" t="s">
        <v>2136</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4700</v>
      </c>
      <c r="B372" s="46" t="s">
        <v>2135</v>
      </c>
      <c r="C372" s="47" t="s">
        <v>2136</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4701</v>
      </c>
      <c r="B373" s="46" t="s">
        <v>2135</v>
      </c>
      <c r="C373" s="47" t="s">
        <v>2136</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4702</v>
      </c>
      <c r="B374" s="46" t="s">
        <v>2135</v>
      </c>
      <c r="C374" s="47" t="s">
        <v>2136</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4703</v>
      </c>
      <c r="B375" s="46" t="s">
        <v>2135</v>
      </c>
      <c r="C375" s="47" t="s">
        <v>2136</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4704</v>
      </c>
      <c r="B376" s="46" t="s">
        <v>2135</v>
      </c>
      <c r="C376" s="47" t="s">
        <v>2136</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4705</v>
      </c>
      <c r="B377" s="46" t="s">
        <v>2135</v>
      </c>
      <c r="C377" s="47" t="s">
        <v>2136</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4706</v>
      </c>
      <c r="B378" s="46" t="s">
        <v>2135</v>
      </c>
      <c r="C378" s="47" t="s">
        <v>2136</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4707</v>
      </c>
      <c r="B379" s="46" t="s">
        <v>2135</v>
      </c>
      <c r="C379" s="47" t="s">
        <v>2136</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4708</v>
      </c>
      <c r="B380" s="46" t="s">
        <v>2135</v>
      </c>
      <c r="C380" s="47" t="s">
        <v>2136</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4709</v>
      </c>
      <c r="B381" s="46" t="s">
        <v>2135</v>
      </c>
      <c r="C381" s="47" t="s">
        <v>2136</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4710</v>
      </c>
      <c r="B382" s="46" t="s">
        <v>2135</v>
      </c>
      <c r="C382" s="47" t="s">
        <v>2136</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4711</v>
      </c>
      <c r="B383" s="46" t="s">
        <v>2135</v>
      </c>
      <c r="C383" s="47" t="s">
        <v>2136</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4712</v>
      </c>
      <c r="B384" s="46" t="s">
        <v>2135</v>
      </c>
      <c r="C384" s="47" t="s">
        <v>2136</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4713</v>
      </c>
      <c r="B385" s="46" t="s">
        <v>2135</v>
      </c>
      <c r="C385" s="47" t="s">
        <v>2136</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4714</v>
      </c>
      <c r="B386" s="46" t="s">
        <v>2135</v>
      </c>
      <c r="C386" s="47" t="s">
        <v>2136</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4715</v>
      </c>
      <c r="B387" s="46" t="s">
        <v>2135</v>
      </c>
      <c r="C387" s="47" t="s">
        <v>2136</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4716</v>
      </c>
      <c r="B388" s="46" t="s">
        <v>2135</v>
      </c>
      <c r="C388" s="47" t="s">
        <v>2136</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4717</v>
      </c>
      <c r="B389" s="46" t="s">
        <v>2135</v>
      </c>
      <c r="C389" s="47" t="s">
        <v>2136</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4718</v>
      </c>
      <c r="B390" s="46" t="s">
        <v>2135</v>
      </c>
      <c r="C390" s="47" t="s">
        <v>2136</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4719</v>
      </c>
      <c r="B391" s="46" t="s">
        <v>2135</v>
      </c>
      <c r="C391" s="47" t="s">
        <v>2136</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4720</v>
      </c>
      <c r="B392" s="46" t="s">
        <v>2135</v>
      </c>
      <c r="C392" s="47" t="s">
        <v>2136</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4721</v>
      </c>
      <c r="B393" s="46" t="s">
        <v>2135</v>
      </c>
      <c r="C393" s="47" t="s">
        <v>2136</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4722</v>
      </c>
      <c r="B394" s="46" t="s">
        <v>2135</v>
      </c>
      <c r="C394" s="47" t="s">
        <v>2136</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4723</v>
      </c>
      <c r="B395" s="46" t="s">
        <v>2135</v>
      </c>
      <c r="C395" s="47" t="s">
        <v>2136</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4724</v>
      </c>
      <c r="B396" s="46" t="s">
        <v>2135</v>
      </c>
      <c r="C396" s="47" t="s">
        <v>2136</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4725</v>
      </c>
      <c r="B397" s="46" t="s">
        <v>2135</v>
      </c>
      <c r="C397" s="47" t="s">
        <v>2136</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4726</v>
      </c>
      <c r="B398" s="46" t="s">
        <v>2135</v>
      </c>
      <c r="C398" s="47" t="s">
        <v>2136</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4727</v>
      </c>
      <c r="B399" s="46" t="s">
        <v>2135</v>
      </c>
      <c r="C399" s="47" t="s">
        <v>2136</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4728</v>
      </c>
      <c r="B400" s="46" t="s">
        <v>2135</v>
      </c>
      <c r="C400" s="47" t="s">
        <v>2136</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4729</v>
      </c>
      <c r="B401" s="46" t="s">
        <v>2135</v>
      </c>
      <c r="C401" s="47" t="s">
        <v>2136</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4730</v>
      </c>
      <c r="B402" s="46" t="s">
        <v>2135</v>
      </c>
      <c r="C402" s="47" t="s">
        <v>2136</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4731</v>
      </c>
      <c r="B403" s="46" t="s">
        <v>2135</v>
      </c>
      <c r="C403" s="47" t="s">
        <v>2136</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4732</v>
      </c>
      <c r="B404" s="46" t="s">
        <v>2135</v>
      </c>
      <c r="C404" s="47" t="s">
        <v>2136</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4733</v>
      </c>
      <c r="B405" s="46" t="s">
        <v>2135</v>
      </c>
      <c r="C405" s="47" t="s">
        <v>2136</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4734</v>
      </c>
      <c r="B406" s="46" t="s">
        <v>2135</v>
      </c>
      <c r="C406" s="47" t="s">
        <v>2136</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4735</v>
      </c>
      <c r="B407" s="46" t="s">
        <v>2135</v>
      </c>
      <c r="C407" s="47" t="s">
        <v>2136</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4736</v>
      </c>
      <c r="B408" s="46" t="s">
        <v>2135</v>
      </c>
      <c r="C408" s="47" t="s">
        <v>2136</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4737</v>
      </c>
      <c r="B409" s="46" t="s">
        <v>2135</v>
      </c>
      <c r="C409" s="47" t="s">
        <v>2136</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4738</v>
      </c>
      <c r="B410" s="46" t="s">
        <v>2135</v>
      </c>
      <c r="C410" s="47" t="s">
        <v>2136</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4739</v>
      </c>
      <c r="B411" s="46" t="s">
        <v>2135</v>
      </c>
      <c r="C411" s="47" t="s">
        <v>2136</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4740</v>
      </c>
      <c r="B412" s="46" t="s">
        <v>2135</v>
      </c>
      <c r="C412" s="47" t="s">
        <v>2136</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4741</v>
      </c>
      <c r="B413" s="46" t="s">
        <v>2135</v>
      </c>
      <c r="C413" s="47" t="s">
        <v>2136</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4742</v>
      </c>
      <c r="B414" s="46" t="s">
        <v>2135</v>
      </c>
      <c r="C414" s="47" t="s">
        <v>2136</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4743</v>
      </c>
      <c r="B415" s="46" t="s">
        <v>2135</v>
      </c>
      <c r="C415" s="47" t="s">
        <v>2136</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4744</v>
      </c>
      <c r="B416" s="46" t="s">
        <v>2135</v>
      </c>
      <c r="C416" s="47" t="s">
        <v>2136</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4745</v>
      </c>
      <c r="B417" s="46" t="s">
        <v>2135</v>
      </c>
      <c r="C417" s="47" t="s">
        <v>2136</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4746</v>
      </c>
      <c r="B418" s="46" t="s">
        <v>2135</v>
      </c>
      <c r="C418" s="47" t="s">
        <v>2136</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4747</v>
      </c>
      <c r="B419" s="46" t="s">
        <v>2135</v>
      </c>
      <c r="C419" s="47" t="s">
        <v>2136</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4748</v>
      </c>
      <c r="B420" s="46" t="s">
        <v>2135</v>
      </c>
      <c r="C420" s="47" t="s">
        <v>2136</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4749</v>
      </c>
      <c r="B421" s="46" t="s">
        <v>2135</v>
      </c>
      <c r="C421" s="47" t="s">
        <v>2136</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4750</v>
      </c>
      <c r="B422" s="46" t="s">
        <v>2135</v>
      </c>
      <c r="C422" s="47" t="s">
        <v>2136</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4751</v>
      </c>
      <c r="B423" s="46" t="s">
        <v>2135</v>
      </c>
      <c r="C423" s="47" t="s">
        <v>2136</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4752</v>
      </c>
      <c r="B424" s="46" t="s">
        <v>2135</v>
      </c>
      <c r="C424" s="47" t="s">
        <v>2136</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4753</v>
      </c>
      <c r="B425" s="46" t="s">
        <v>2135</v>
      </c>
      <c r="C425" s="47" t="s">
        <v>2136</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4754</v>
      </c>
      <c r="B426" s="46" t="s">
        <v>2135</v>
      </c>
      <c r="C426" s="47" t="s">
        <v>2136</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4755</v>
      </c>
      <c r="B427" s="46" t="s">
        <v>2135</v>
      </c>
      <c r="C427" s="47" t="s">
        <v>2136</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4756</v>
      </c>
      <c r="B428" s="46" t="s">
        <v>2135</v>
      </c>
      <c r="C428" s="47" t="s">
        <v>2136</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4757</v>
      </c>
      <c r="B429" s="46" t="s">
        <v>2135</v>
      </c>
      <c r="C429" s="47" t="s">
        <v>2136</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4758</v>
      </c>
      <c r="B430" s="46" t="s">
        <v>2135</v>
      </c>
      <c r="C430" s="47" t="s">
        <v>2136</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4759</v>
      </c>
      <c r="B431" s="46" t="s">
        <v>2135</v>
      </c>
      <c r="C431" s="47" t="s">
        <v>2136</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4760</v>
      </c>
      <c r="B432" s="46" t="s">
        <v>2135</v>
      </c>
      <c r="C432" s="47" t="s">
        <v>2136</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4761</v>
      </c>
      <c r="B433" s="46" t="s">
        <v>2135</v>
      </c>
      <c r="C433" s="47" t="s">
        <v>2136</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4762</v>
      </c>
      <c r="B434" s="46" t="s">
        <v>2135</v>
      </c>
      <c r="C434" s="47" t="s">
        <v>2136</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4763</v>
      </c>
      <c r="B435" s="46" t="s">
        <v>2135</v>
      </c>
      <c r="C435" s="47" t="s">
        <v>2136</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4764</v>
      </c>
      <c r="B436" s="46" t="s">
        <v>2135</v>
      </c>
      <c r="C436" s="47" t="s">
        <v>2136</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4765</v>
      </c>
      <c r="B437" s="46" t="s">
        <v>2135</v>
      </c>
      <c r="C437" s="47" t="s">
        <v>2136</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4766</v>
      </c>
      <c r="B438" s="46" t="s">
        <v>2135</v>
      </c>
      <c r="C438" s="47" t="s">
        <v>2136</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4767</v>
      </c>
      <c r="B439" s="46" t="s">
        <v>2135</v>
      </c>
      <c r="C439" s="47" t="s">
        <v>2136</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4768</v>
      </c>
      <c r="B440" s="46" t="s">
        <v>2135</v>
      </c>
      <c r="C440" s="47" t="s">
        <v>2136</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4769</v>
      </c>
      <c r="B441" s="46" t="s">
        <v>2135</v>
      </c>
      <c r="C441" s="47" t="s">
        <v>2136</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4770</v>
      </c>
      <c r="B442" s="46" t="s">
        <v>2135</v>
      </c>
      <c r="C442" s="47" t="s">
        <v>2136</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4771</v>
      </c>
      <c r="B443" s="46" t="s">
        <v>2135</v>
      </c>
      <c r="C443" s="47" t="s">
        <v>2136</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4772</v>
      </c>
      <c r="B444" s="46" t="s">
        <v>2135</v>
      </c>
      <c r="C444" s="47" t="s">
        <v>2136</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4773</v>
      </c>
      <c r="B445" s="46" t="s">
        <v>2135</v>
      </c>
      <c r="C445" s="47" t="s">
        <v>2136</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4774</v>
      </c>
      <c r="B446" s="46" t="s">
        <v>2135</v>
      </c>
      <c r="C446" s="47" t="s">
        <v>2136</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4775</v>
      </c>
      <c r="B447" s="46" t="s">
        <v>2135</v>
      </c>
      <c r="C447" s="47" t="s">
        <v>2136</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4776</v>
      </c>
      <c r="B448" s="46" t="s">
        <v>2135</v>
      </c>
      <c r="C448" s="47" t="s">
        <v>2136</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4777</v>
      </c>
      <c r="B449" s="46" t="s">
        <v>2135</v>
      </c>
      <c r="C449" s="47" t="s">
        <v>2136</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4778</v>
      </c>
      <c r="B450" s="46" t="s">
        <v>2135</v>
      </c>
      <c r="C450" s="47" t="s">
        <v>2136</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4779</v>
      </c>
      <c r="B451" s="46" t="s">
        <v>2135</v>
      </c>
      <c r="C451" s="47" t="s">
        <v>2136</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4780</v>
      </c>
      <c r="B452" s="46" t="s">
        <v>2135</v>
      </c>
      <c r="C452" s="47" t="s">
        <v>2136</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4781</v>
      </c>
      <c r="B453" s="46" t="s">
        <v>2135</v>
      </c>
      <c r="C453" s="47" t="s">
        <v>2136</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4782</v>
      </c>
      <c r="B454" s="46" t="s">
        <v>2135</v>
      </c>
      <c r="C454" s="47" t="s">
        <v>2136</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4783</v>
      </c>
      <c r="B455" s="46" t="s">
        <v>2135</v>
      </c>
      <c r="C455" s="47" t="s">
        <v>2136</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4784</v>
      </c>
      <c r="B456" s="46" t="s">
        <v>2135</v>
      </c>
      <c r="C456" s="47" t="s">
        <v>2136</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4785</v>
      </c>
      <c r="B457" s="46" t="s">
        <v>2135</v>
      </c>
      <c r="C457" s="47" t="s">
        <v>2136</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4786</v>
      </c>
      <c r="B458" s="46" t="s">
        <v>2135</v>
      </c>
      <c r="C458" s="47" t="s">
        <v>2136</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4787</v>
      </c>
      <c r="B459" s="46" t="s">
        <v>2135</v>
      </c>
      <c r="C459" s="47" t="s">
        <v>2136</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4788</v>
      </c>
      <c r="B460" s="46" t="s">
        <v>2135</v>
      </c>
      <c r="C460" s="47" t="s">
        <v>2136</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4789</v>
      </c>
      <c r="B461" s="46" t="s">
        <v>2135</v>
      </c>
      <c r="C461" s="47" t="s">
        <v>2136</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4790</v>
      </c>
      <c r="B462" s="46" t="s">
        <v>2135</v>
      </c>
      <c r="C462" s="47" t="s">
        <v>2136</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4791</v>
      </c>
      <c r="B463" s="46" t="s">
        <v>2135</v>
      </c>
      <c r="C463" s="47" t="s">
        <v>2136</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4792</v>
      </c>
      <c r="B464" s="46" t="s">
        <v>2135</v>
      </c>
      <c r="C464" s="47" t="s">
        <v>2136</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4793</v>
      </c>
      <c r="B465" s="46" t="s">
        <v>2135</v>
      </c>
      <c r="C465" s="47" t="s">
        <v>2136</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4794</v>
      </c>
      <c r="B466" s="46" t="s">
        <v>2135</v>
      </c>
      <c r="C466" s="47" t="s">
        <v>2136</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4795</v>
      </c>
      <c r="B467" s="46" t="s">
        <v>2135</v>
      </c>
      <c r="C467" s="47" t="s">
        <v>2136</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4796</v>
      </c>
      <c r="B468" s="46" t="s">
        <v>2135</v>
      </c>
      <c r="C468" s="47" t="s">
        <v>2136</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4797</v>
      </c>
      <c r="B469" s="46" t="s">
        <v>2135</v>
      </c>
      <c r="C469" s="47" t="s">
        <v>2136</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4798</v>
      </c>
      <c r="B470" s="46" t="s">
        <v>2135</v>
      </c>
      <c r="C470" s="47" t="s">
        <v>2136</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4799</v>
      </c>
      <c r="B471" s="46" t="s">
        <v>2135</v>
      </c>
      <c r="C471" s="47" t="s">
        <v>2136</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4800</v>
      </c>
      <c r="B472" s="46" t="s">
        <v>2135</v>
      </c>
      <c r="C472" s="47" t="s">
        <v>2136</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4801</v>
      </c>
      <c r="B473" s="46" t="s">
        <v>2135</v>
      </c>
      <c r="C473" s="47" t="s">
        <v>2136</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4802</v>
      </c>
      <c r="B474" s="46" t="s">
        <v>2135</v>
      </c>
      <c r="C474" s="47" t="s">
        <v>2136</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4803</v>
      </c>
      <c r="B475" s="46" t="s">
        <v>2135</v>
      </c>
      <c r="C475" s="47" t="s">
        <v>2136</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4804</v>
      </c>
      <c r="B476" s="46" t="s">
        <v>2135</v>
      </c>
      <c r="C476" s="47" t="s">
        <v>2136</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4805</v>
      </c>
      <c r="B477" s="46" t="s">
        <v>2135</v>
      </c>
      <c r="C477" s="47" t="s">
        <v>2136</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4806</v>
      </c>
      <c r="B478" s="46" t="s">
        <v>2135</v>
      </c>
      <c r="C478" s="47" t="s">
        <v>2136</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4807</v>
      </c>
      <c r="B479" s="46" t="s">
        <v>2135</v>
      </c>
      <c r="C479" s="47" t="s">
        <v>2136</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4808</v>
      </c>
      <c r="B480" s="46" t="s">
        <v>2135</v>
      </c>
      <c r="C480" s="47" t="s">
        <v>2136</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4809</v>
      </c>
      <c r="B481" s="46" t="s">
        <v>2095</v>
      </c>
      <c r="C481" s="47" t="s">
        <v>2096</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4810</v>
      </c>
      <c r="B482" s="46" t="s">
        <v>2095</v>
      </c>
      <c r="C482" s="47" t="s">
        <v>2096</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4811</v>
      </c>
      <c r="B483" s="46" t="s">
        <v>2095</v>
      </c>
      <c r="C483" s="47" t="s">
        <v>2096</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4812</v>
      </c>
      <c r="B484" s="46" t="s">
        <v>2095</v>
      </c>
      <c r="C484" s="47" t="s">
        <v>2096</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4813</v>
      </c>
      <c r="B485" s="46" t="s">
        <v>2095</v>
      </c>
      <c r="C485" s="47" t="s">
        <v>2096</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4814</v>
      </c>
      <c r="B486" s="46" t="s">
        <v>2095</v>
      </c>
      <c r="C486" s="47" t="s">
        <v>2096</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4815</v>
      </c>
      <c r="B487" s="46" t="s">
        <v>2095</v>
      </c>
      <c r="C487" s="47" t="s">
        <v>2096</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4816</v>
      </c>
      <c r="B488" s="46" t="s">
        <v>2095</v>
      </c>
      <c r="C488" s="47" t="s">
        <v>2096</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4817</v>
      </c>
      <c r="B489" s="46" t="s">
        <v>2095</v>
      </c>
      <c r="C489" s="47" t="s">
        <v>2096</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4818</v>
      </c>
      <c r="B490" s="46" t="s">
        <v>2095</v>
      </c>
      <c r="C490" s="47" t="s">
        <v>2096</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4819</v>
      </c>
      <c r="B491" s="46" t="s">
        <v>2095</v>
      </c>
      <c r="C491" s="47" t="s">
        <v>2096</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4820</v>
      </c>
      <c r="B492" s="46" t="s">
        <v>2095</v>
      </c>
      <c r="C492" s="47" t="s">
        <v>2096</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4821</v>
      </c>
      <c r="B493" s="46" t="s">
        <v>2095</v>
      </c>
      <c r="C493" s="47" t="s">
        <v>2096</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4822</v>
      </c>
      <c r="B494" s="46" t="s">
        <v>2095</v>
      </c>
      <c r="C494" s="47" t="s">
        <v>2096</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4823</v>
      </c>
      <c r="B495" s="46" t="s">
        <v>2095</v>
      </c>
      <c r="C495" s="47" t="s">
        <v>2096</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4824</v>
      </c>
      <c r="B496" s="46" t="s">
        <v>2095</v>
      </c>
      <c r="C496" s="47" t="s">
        <v>2096</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4825</v>
      </c>
      <c r="B497" s="46" t="s">
        <v>2095</v>
      </c>
      <c r="C497" s="47" t="s">
        <v>2096</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4826</v>
      </c>
      <c r="B498" s="46" t="s">
        <v>2095</v>
      </c>
      <c r="C498" s="47" t="s">
        <v>2096</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4827</v>
      </c>
      <c r="B499" s="46" t="s">
        <v>2135</v>
      </c>
      <c r="C499" s="47" t="s">
        <v>2136</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4828</v>
      </c>
      <c r="B500" s="46" t="s">
        <v>2135</v>
      </c>
      <c r="C500" s="47" t="s">
        <v>2136</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4829</v>
      </c>
      <c r="B501" s="46" t="s">
        <v>2135</v>
      </c>
      <c r="C501" s="47" t="s">
        <v>2136</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4830</v>
      </c>
      <c r="B502" s="46" t="s">
        <v>2135</v>
      </c>
      <c r="C502" s="47" t="s">
        <v>2136</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4831</v>
      </c>
      <c r="B503" s="46" t="s">
        <v>2135</v>
      </c>
      <c r="C503" s="47" t="s">
        <v>2136</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4832</v>
      </c>
      <c r="B504" s="46" t="s">
        <v>2135</v>
      </c>
      <c r="C504" s="47" t="s">
        <v>2136</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4833</v>
      </c>
      <c r="B505" s="46" t="s">
        <v>2135</v>
      </c>
      <c r="C505" s="47" t="s">
        <v>2136</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4834</v>
      </c>
      <c r="B506" s="46" t="s">
        <v>2135</v>
      </c>
      <c r="C506" s="47" t="s">
        <v>2136</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4835</v>
      </c>
      <c r="B507" s="46" t="s">
        <v>2135</v>
      </c>
      <c r="C507" s="47" t="s">
        <v>2136</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4836</v>
      </c>
      <c r="B508" s="46" t="s">
        <v>2135</v>
      </c>
      <c r="C508" s="47" t="s">
        <v>2136</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4837</v>
      </c>
      <c r="B509" s="46" t="s">
        <v>2135</v>
      </c>
      <c r="C509" s="47" t="s">
        <v>2136</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4838</v>
      </c>
      <c r="B510" s="46" t="s">
        <v>2135</v>
      </c>
      <c r="C510" s="47" t="s">
        <v>2136</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4839</v>
      </c>
      <c r="B511" s="46" t="s">
        <v>2135</v>
      </c>
      <c r="C511" s="47" t="s">
        <v>2136</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4840</v>
      </c>
      <c r="B512" s="46" t="s">
        <v>2135</v>
      </c>
      <c r="C512" s="47" t="s">
        <v>2136</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4841</v>
      </c>
      <c r="B513" s="46" t="s">
        <v>2135</v>
      </c>
      <c r="C513" s="47" t="s">
        <v>2136</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4842</v>
      </c>
      <c r="B514" s="46" t="s">
        <v>2135</v>
      </c>
      <c r="C514" s="47" t="s">
        <v>2136</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4843</v>
      </c>
      <c r="B515" s="46" t="s">
        <v>2135</v>
      </c>
      <c r="C515" s="47" t="s">
        <v>2136</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4844</v>
      </c>
      <c r="B516" s="46" t="s">
        <v>2135</v>
      </c>
      <c r="C516" s="47" t="s">
        <v>2136</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4845</v>
      </c>
      <c r="B517" s="46" t="s">
        <v>2135</v>
      </c>
      <c r="C517" s="47" t="s">
        <v>2136</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4846</v>
      </c>
      <c r="B518" s="46" t="s">
        <v>2135</v>
      </c>
      <c r="C518" s="47" t="s">
        <v>2136</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4847</v>
      </c>
      <c r="B519" s="46" t="s">
        <v>2135</v>
      </c>
      <c r="C519" s="47" t="s">
        <v>2136</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4848</v>
      </c>
      <c r="B520" s="46" t="s">
        <v>2135</v>
      </c>
      <c r="C520" s="47" t="s">
        <v>2136</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3120</v>
      </c>
      <c r="B521" s="21" t="s">
        <v>2325</v>
      </c>
      <c r="C521" s="22" t="s">
        <v>2326</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4849</v>
      </c>
      <c r="B522" s="21" t="s">
        <v>2325</v>
      </c>
      <c r="C522" s="22" t="s">
        <v>2326</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4850</v>
      </c>
      <c r="B523" s="21" t="s">
        <v>2325</v>
      </c>
      <c r="C523" s="22" t="s">
        <v>2326</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4851</v>
      </c>
      <c r="B524" s="21" t="s">
        <v>2325</v>
      </c>
      <c r="C524" s="22" t="s">
        <v>2326</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4852</v>
      </c>
      <c r="B525" s="21" t="s">
        <v>2325</v>
      </c>
      <c r="C525" s="22" t="s">
        <v>2326</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4853</v>
      </c>
      <c r="B526" s="21" t="s">
        <v>2325</v>
      </c>
      <c r="C526" s="22" t="s">
        <v>2326</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4854</v>
      </c>
      <c r="B527" s="21" t="s">
        <v>2325</v>
      </c>
      <c r="C527" s="22" t="s">
        <v>2326</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4855</v>
      </c>
      <c r="B528" s="21" t="s">
        <v>2325</v>
      </c>
      <c r="C528" s="22" t="s">
        <v>2326</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4856</v>
      </c>
      <c r="B529" s="21" t="s">
        <v>2325</v>
      </c>
      <c r="C529" s="22" t="s">
        <v>2326</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4857</v>
      </c>
      <c r="B530" s="21" t="s">
        <v>2325</v>
      </c>
      <c r="C530" s="22" t="s">
        <v>2326</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4858</v>
      </c>
      <c r="B531" s="21" t="s">
        <v>2325</v>
      </c>
      <c r="C531" s="22" t="s">
        <v>2326</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4859</v>
      </c>
      <c r="B532" s="46" t="s">
        <v>1726</v>
      </c>
      <c r="C532" s="47" t="s">
        <v>4860</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2879</v>
      </c>
      <c r="B533" s="46" t="s">
        <v>1726</v>
      </c>
      <c r="C533" s="47" t="s">
        <v>4860</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4861</v>
      </c>
      <c r="B534" s="46" t="s">
        <v>1726</v>
      </c>
      <c r="C534" s="47" t="s">
        <v>4860</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3274</v>
      </c>
      <c r="B535" s="46" t="s">
        <v>1726</v>
      </c>
      <c r="C535" s="47" t="s">
        <v>4860</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4862</v>
      </c>
      <c r="B536" s="46" t="s">
        <v>1726</v>
      </c>
      <c r="C536" s="47" t="s">
        <v>4860</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4863</v>
      </c>
      <c r="B537" s="46" t="s">
        <v>1726</v>
      </c>
      <c r="C537" s="47" t="s">
        <v>4860</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4864</v>
      </c>
      <c r="B538" s="46" t="s">
        <v>1726</v>
      </c>
      <c r="C538" s="47" t="s">
        <v>4860</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4865</v>
      </c>
      <c r="B539" s="46" t="s">
        <v>1726</v>
      </c>
      <c r="C539" s="47" t="s">
        <v>4860</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4866</v>
      </c>
      <c r="B540" s="46" t="s">
        <v>1726</v>
      </c>
      <c r="C540" s="47" t="s">
        <v>4860</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4867</v>
      </c>
      <c r="B541" s="46" t="s">
        <v>1726</v>
      </c>
      <c r="C541" s="47" t="s">
        <v>4860</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4868</v>
      </c>
      <c r="B542" s="46" t="s">
        <v>1726</v>
      </c>
      <c r="C542" s="47" t="s">
        <v>4860</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4869</v>
      </c>
      <c r="B543" s="46" t="s">
        <v>1726</v>
      </c>
      <c r="C543" s="47" t="s">
        <v>4860</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4870</v>
      </c>
      <c r="B544" s="46" t="s">
        <v>1726</v>
      </c>
      <c r="C544" s="47" t="s">
        <v>4860</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4871</v>
      </c>
      <c r="B545" s="46" t="s">
        <v>1726</v>
      </c>
      <c r="C545" s="47" t="s">
        <v>4860</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4872</v>
      </c>
      <c r="B546" s="46" t="s">
        <v>1726</v>
      </c>
      <c r="C546" s="47" t="s">
        <v>4860</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4873</v>
      </c>
      <c r="B547" s="46" t="s">
        <v>1866</v>
      </c>
      <c r="C547" s="47" t="s">
        <v>1867</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4874</v>
      </c>
      <c r="B548" s="46" t="s">
        <v>1866</v>
      </c>
      <c r="C548" s="47" t="s">
        <v>1867</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4875</v>
      </c>
      <c r="B549" s="46" t="s">
        <v>1866</v>
      </c>
      <c r="C549" s="47" t="s">
        <v>1867</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4876</v>
      </c>
      <c r="B550" s="46" t="s">
        <v>1866</v>
      </c>
      <c r="C550" s="47" t="s">
        <v>1867</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4877</v>
      </c>
      <c r="B551" s="46" t="s">
        <v>1866</v>
      </c>
      <c r="C551" s="47" t="s">
        <v>1867</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4878</v>
      </c>
      <c r="B552" s="46" t="s">
        <v>1866</v>
      </c>
      <c r="C552" s="47" t="s">
        <v>1867</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4879</v>
      </c>
      <c r="B553" s="46" t="s">
        <v>1866</v>
      </c>
      <c r="C553" s="47" t="s">
        <v>1867</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4880</v>
      </c>
      <c r="B554" s="46" t="s">
        <v>1854</v>
      </c>
      <c r="C554" s="47" t="s">
        <v>1855</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4881</v>
      </c>
      <c r="B555" s="46" t="s">
        <v>1854</v>
      </c>
      <c r="C555" s="47" t="s">
        <v>1855</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4882</v>
      </c>
      <c r="B556" s="46" t="s">
        <v>1854</v>
      </c>
      <c r="C556" s="47" t="s">
        <v>1855</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4883</v>
      </c>
      <c r="B557" s="46" t="s">
        <v>1854</v>
      </c>
      <c r="C557" s="47" t="s">
        <v>1855</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4884</v>
      </c>
      <c r="B558" s="46" t="s">
        <v>1854</v>
      </c>
      <c r="C558" s="47" t="s">
        <v>1855</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4885</v>
      </c>
      <c r="B559" s="46" t="s">
        <v>1854</v>
      </c>
      <c r="C559" s="47" t="s">
        <v>1855</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4886</v>
      </c>
      <c r="B560" s="46" t="s">
        <v>1854</v>
      </c>
      <c r="C560" s="47" t="s">
        <v>1855</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4887</v>
      </c>
      <c r="B561" s="46" t="s">
        <v>1854</v>
      </c>
      <c r="C561" s="47" t="s">
        <v>1855</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4888</v>
      </c>
      <c r="B562" s="46" t="s">
        <v>1854</v>
      </c>
      <c r="C562" s="47" t="s">
        <v>1855</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4889</v>
      </c>
      <c r="B563" s="46" t="s">
        <v>1854</v>
      </c>
      <c r="C563" s="47" t="s">
        <v>1855</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4890</v>
      </c>
      <c r="B564" s="46" t="s">
        <v>1854</v>
      </c>
      <c r="C564" s="47" t="s">
        <v>1855</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4891</v>
      </c>
      <c r="B565" s="46" t="s">
        <v>1854</v>
      </c>
      <c r="C565" s="47" t="s">
        <v>1855</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4892</v>
      </c>
      <c r="B566" s="46" t="s">
        <v>1854</v>
      </c>
      <c r="C566" s="47" t="s">
        <v>1855</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4893</v>
      </c>
      <c r="B567" s="46" t="s">
        <v>1854</v>
      </c>
      <c r="C567" s="47" t="s">
        <v>1855</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4894</v>
      </c>
      <c r="B568" s="46" t="s">
        <v>1854</v>
      </c>
      <c r="C568" s="47" t="s">
        <v>1855</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4895</v>
      </c>
      <c r="B569" s="46" t="s">
        <v>1854</v>
      </c>
      <c r="C569" s="47" t="s">
        <v>1855</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4896</v>
      </c>
      <c r="B570" s="46" t="s">
        <v>1854</v>
      </c>
      <c r="C570" s="47" t="s">
        <v>1855</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4897</v>
      </c>
      <c r="B571" s="46" t="s">
        <v>1854</v>
      </c>
      <c r="C571" s="47" t="s">
        <v>1855</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4898</v>
      </c>
      <c r="B572" s="46" t="s">
        <v>1854</v>
      </c>
      <c r="C572" s="47" t="s">
        <v>1855</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4899</v>
      </c>
      <c r="B573" s="46" t="s">
        <v>1854</v>
      </c>
      <c r="C573" s="47" t="s">
        <v>1855</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4900</v>
      </c>
      <c r="B574" s="46" t="s">
        <v>1854</v>
      </c>
      <c r="C574" s="47" t="s">
        <v>1855</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4901</v>
      </c>
      <c r="B575" s="46" t="s">
        <v>1854</v>
      </c>
      <c r="C575" s="47" t="s">
        <v>1855</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4902</v>
      </c>
      <c r="B576" s="46" t="s">
        <v>1854</v>
      </c>
      <c r="C576" s="47" t="s">
        <v>1855</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4903</v>
      </c>
      <c r="B577" s="46" t="s">
        <v>1854</v>
      </c>
      <c r="C577" s="47" t="s">
        <v>1855</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4904</v>
      </c>
      <c r="B578" s="46" t="s">
        <v>1854</v>
      </c>
      <c r="C578" s="47" t="s">
        <v>1855</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4905</v>
      </c>
      <c r="B579" s="46" t="s">
        <v>1854</v>
      </c>
      <c r="C579" s="47" t="s">
        <v>1855</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4906</v>
      </c>
      <c r="B580" s="46" t="s">
        <v>1854</v>
      </c>
      <c r="C580" s="47" t="s">
        <v>1855</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4907</v>
      </c>
      <c r="B581" s="46" t="s">
        <v>1854</v>
      </c>
      <c r="C581" s="47" t="s">
        <v>1855</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4908</v>
      </c>
      <c r="B582" s="46" t="s">
        <v>1854</v>
      </c>
      <c r="C582" s="47" t="s">
        <v>1855</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4909</v>
      </c>
      <c r="B583" s="46" t="s">
        <v>1854</v>
      </c>
      <c r="C583" s="47" t="s">
        <v>1855</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4910</v>
      </c>
      <c r="B584" s="46" t="s">
        <v>1854</v>
      </c>
      <c r="C584" s="47" t="s">
        <v>1855</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4911</v>
      </c>
      <c r="B585" s="46" t="s">
        <v>1854</v>
      </c>
      <c r="C585" s="47" t="s">
        <v>1855</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4912</v>
      </c>
      <c r="B586" s="46" t="s">
        <v>1854</v>
      </c>
      <c r="C586" s="47" t="s">
        <v>1855</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4913</v>
      </c>
      <c r="B587" s="46" t="s">
        <v>1854</v>
      </c>
      <c r="C587" s="47" t="s">
        <v>1855</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4914</v>
      </c>
      <c r="B588" s="46" t="s">
        <v>1866</v>
      </c>
      <c r="C588" s="47" t="s">
        <v>1867</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4915</v>
      </c>
      <c r="B589" s="46" t="s">
        <v>1866</v>
      </c>
      <c r="C589" s="47" t="s">
        <v>1867</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4916</v>
      </c>
      <c r="B590" s="46" t="s">
        <v>1866</v>
      </c>
      <c r="C590" s="47" t="s">
        <v>1867</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4917</v>
      </c>
      <c r="B591" s="46" t="s">
        <v>1893</v>
      </c>
      <c r="C591" s="47" t="s">
        <v>1894</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4918</v>
      </c>
      <c r="B592" s="46" t="s">
        <v>1893</v>
      </c>
      <c r="C592" s="47" t="s">
        <v>1894</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4919</v>
      </c>
      <c r="B593" s="46" t="s">
        <v>1893</v>
      </c>
      <c r="C593" s="47" t="s">
        <v>1894</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4920</v>
      </c>
      <c r="B594" s="46" t="s">
        <v>1893</v>
      </c>
      <c r="C594" s="47" t="s">
        <v>1894</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4921</v>
      </c>
      <c r="B595" s="46" t="s">
        <v>1893</v>
      </c>
      <c r="C595" s="47" t="s">
        <v>1894</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4922</v>
      </c>
      <c r="B596" s="46" t="s">
        <v>1893</v>
      </c>
      <c r="C596" s="47" t="s">
        <v>1894</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4923</v>
      </c>
      <c r="B597" s="46" t="s">
        <v>1893</v>
      </c>
      <c r="C597" s="47" t="s">
        <v>1894</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4924</v>
      </c>
      <c r="B598" s="46" t="s">
        <v>1893</v>
      </c>
      <c r="C598" s="47" t="s">
        <v>1894</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4925</v>
      </c>
      <c r="B599" s="46" t="s">
        <v>1893</v>
      </c>
      <c r="C599" s="47" t="s">
        <v>1894</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4926</v>
      </c>
      <c r="B600" s="46" t="s">
        <v>1893</v>
      </c>
      <c r="C600" s="47" t="s">
        <v>1894</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4927</v>
      </c>
      <c r="B601" s="46" t="s">
        <v>1893</v>
      </c>
      <c r="C601" s="47" t="s">
        <v>1894</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4928</v>
      </c>
      <c r="B602" s="46" t="s">
        <v>1893</v>
      </c>
      <c r="C602" s="47" t="s">
        <v>1894</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4929</v>
      </c>
      <c r="B603" s="46" t="s">
        <v>1893</v>
      </c>
      <c r="C603" s="47" t="s">
        <v>1894</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4930</v>
      </c>
      <c r="B604" s="46" t="s">
        <v>1893</v>
      </c>
      <c r="C604" s="47" t="s">
        <v>1894</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4931</v>
      </c>
      <c r="B605" s="46" t="s">
        <v>1799</v>
      </c>
      <c r="C605" s="47" t="s">
        <v>1800</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4932</v>
      </c>
      <c r="B606" s="46" t="s">
        <v>1799</v>
      </c>
      <c r="C606" s="47" t="s">
        <v>1800</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4933</v>
      </c>
      <c r="B607" s="46" t="s">
        <v>1799</v>
      </c>
      <c r="C607" s="47" t="s">
        <v>1800</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4934</v>
      </c>
      <c r="B608" s="46" t="s">
        <v>1799</v>
      </c>
      <c r="C608" s="47" t="s">
        <v>1800</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4935</v>
      </c>
      <c r="B609" s="46" t="s">
        <v>1799</v>
      </c>
      <c r="C609" s="47" t="s">
        <v>1800</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4936</v>
      </c>
      <c r="B610" s="46" t="s">
        <v>1799</v>
      </c>
      <c r="C610" s="47" t="s">
        <v>1800</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4937</v>
      </c>
      <c r="B611" s="46" t="s">
        <v>1799</v>
      </c>
      <c r="C611" s="47" t="s">
        <v>1800</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4938</v>
      </c>
      <c r="B612" s="46" t="s">
        <v>1799</v>
      </c>
      <c r="C612" s="47" t="s">
        <v>1800</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4939</v>
      </c>
      <c r="B613" s="46" t="s">
        <v>1799</v>
      </c>
      <c r="C613" s="47" t="s">
        <v>1800</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3169</v>
      </c>
      <c r="B614" s="46" t="s">
        <v>1799</v>
      </c>
      <c r="C614" s="47" t="s">
        <v>1800</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4940</v>
      </c>
      <c r="B615" s="46" t="s">
        <v>1786</v>
      </c>
      <c r="C615" s="47" t="s">
        <v>1787</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4941</v>
      </c>
      <c r="B616" s="46" t="s">
        <v>1786</v>
      </c>
      <c r="C616" s="47" t="s">
        <v>1787</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3040</v>
      </c>
      <c r="B617" s="46" t="s">
        <v>1786</v>
      </c>
      <c r="C617" s="47" t="s">
        <v>1787</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4942</v>
      </c>
      <c r="B618" s="46" t="s">
        <v>1786</v>
      </c>
      <c r="C618" s="47" t="s">
        <v>1787</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4943</v>
      </c>
      <c r="B619" s="46" t="s">
        <v>1786</v>
      </c>
      <c r="C619" s="47" t="s">
        <v>1787</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4944</v>
      </c>
      <c r="B620" s="46" t="s">
        <v>1786</v>
      </c>
      <c r="C620" s="47" t="s">
        <v>1787</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4945</v>
      </c>
      <c r="B621" s="46" t="s">
        <v>1786</v>
      </c>
      <c r="C621" s="47" t="s">
        <v>1787</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2888</v>
      </c>
      <c r="B622" s="46" t="s">
        <v>1786</v>
      </c>
      <c r="C622" s="47" t="s">
        <v>1787</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3148</v>
      </c>
      <c r="B623" s="46" t="s">
        <v>1786</v>
      </c>
      <c r="C623" s="47" t="s">
        <v>1787</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2902</v>
      </c>
      <c r="B624" s="46" t="s">
        <v>1786</v>
      </c>
      <c r="C624" s="47" t="s">
        <v>1787</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4946</v>
      </c>
      <c r="B625" s="46" t="s">
        <v>1786</v>
      </c>
      <c r="C625" s="47" t="s">
        <v>1787</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4947</v>
      </c>
      <c r="B626" s="46" t="s">
        <v>1786</v>
      </c>
      <c r="C626" s="47" t="s">
        <v>1787</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4948</v>
      </c>
      <c r="B627" s="46" t="s">
        <v>1786</v>
      </c>
      <c r="C627" s="47" t="s">
        <v>1787</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2911</v>
      </c>
      <c r="B628" s="46" t="s">
        <v>1786</v>
      </c>
      <c r="C628" s="47" t="s">
        <v>1787</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2923</v>
      </c>
      <c r="B629" s="46" t="s">
        <v>1786</v>
      </c>
      <c r="C629" s="47" t="s">
        <v>1787</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4949</v>
      </c>
      <c r="B630" s="46" t="s">
        <v>1786</v>
      </c>
      <c r="C630" s="47" t="s">
        <v>1787</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4950</v>
      </c>
      <c r="B631" s="46" t="s">
        <v>1786</v>
      </c>
      <c r="C631" s="47" t="s">
        <v>1787</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4951</v>
      </c>
      <c r="B632" s="46" t="s">
        <v>1786</v>
      </c>
      <c r="C632" s="47" t="s">
        <v>1787</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4952</v>
      </c>
      <c r="B633" s="46" t="s">
        <v>1786</v>
      </c>
      <c r="C633" s="47" t="s">
        <v>1787</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3090</v>
      </c>
      <c r="B634" s="46" t="s">
        <v>1786</v>
      </c>
      <c r="C634" s="47" t="s">
        <v>1787</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2893</v>
      </c>
      <c r="B635" s="46" t="s">
        <v>1786</v>
      </c>
      <c r="C635" s="47" t="s">
        <v>1787</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3156</v>
      </c>
      <c r="B636" s="46" t="s">
        <v>1786</v>
      </c>
      <c r="C636" s="47" t="s">
        <v>1787</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4953</v>
      </c>
      <c r="B637" s="46" t="s">
        <v>1786</v>
      </c>
      <c r="C637" s="47" t="s">
        <v>1787</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4954</v>
      </c>
      <c r="B638" s="46" t="s">
        <v>1786</v>
      </c>
      <c r="C638" s="47" t="s">
        <v>1787</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3141</v>
      </c>
      <c r="B639" s="46" t="s">
        <v>1786</v>
      </c>
      <c r="C639" s="47" t="s">
        <v>1787</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2946</v>
      </c>
      <c r="B640" s="46" t="s">
        <v>1786</v>
      </c>
      <c r="C640" s="47" t="s">
        <v>1787</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4955</v>
      </c>
      <c r="B641" s="46" t="s">
        <v>1786</v>
      </c>
      <c r="C641" s="47" t="s">
        <v>1787</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4956</v>
      </c>
      <c r="B642" s="46" t="s">
        <v>1786</v>
      </c>
      <c r="C642" s="47" t="s">
        <v>1787</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2975</v>
      </c>
      <c r="B643" s="46" t="s">
        <v>1786</v>
      </c>
      <c r="C643" s="47" t="s">
        <v>1787</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2873</v>
      </c>
      <c r="B644" s="46" t="s">
        <v>1786</v>
      </c>
      <c r="C644" s="47" t="s">
        <v>1787</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4957</v>
      </c>
      <c r="B645" s="46" t="s">
        <v>1786</v>
      </c>
      <c r="C645" s="47" t="s">
        <v>1787</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4958</v>
      </c>
      <c r="B646" s="46" t="s">
        <v>1786</v>
      </c>
      <c r="C646" s="47" t="s">
        <v>1787</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4959</v>
      </c>
      <c r="B647" s="46" t="s">
        <v>1786</v>
      </c>
      <c r="C647" s="47" t="s">
        <v>1787</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4960</v>
      </c>
      <c r="B648" s="46" t="s">
        <v>1786</v>
      </c>
      <c r="C648" s="47" t="s">
        <v>1787</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4961</v>
      </c>
      <c r="B649" s="46" t="s">
        <v>1786</v>
      </c>
      <c r="C649" s="47" t="s">
        <v>1787</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4962</v>
      </c>
      <c r="B650" s="46" t="s">
        <v>1786</v>
      </c>
      <c r="C650" s="47" t="s">
        <v>1787</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4963</v>
      </c>
      <c r="B651" s="46" t="s">
        <v>1799</v>
      </c>
      <c r="C651" s="47" t="s">
        <v>1800</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4964</v>
      </c>
      <c r="B652" s="46" t="s">
        <v>1799</v>
      </c>
      <c r="C652" s="47" t="s">
        <v>1800</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2951</v>
      </c>
      <c r="B653" s="46" t="s">
        <v>1799</v>
      </c>
      <c r="C653" s="47" t="s">
        <v>1800</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4965</v>
      </c>
      <c r="B654" s="46" t="s">
        <v>1799</v>
      </c>
      <c r="C654" s="47" t="s">
        <v>1800</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4966</v>
      </c>
      <c r="B655" s="46" t="s">
        <v>1799</v>
      </c>
      <c r="C655" s="47" t="s">
        <v>1800</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4967</v>
      </c>
      <c r="B656" s="46" t="s">
        <v>1799</v>
      </c>
      <c r="C656" s="47" t="s">
        <v>1800</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4968</v>
      </c>
      <c r="B657" s="46" t="s">
        <v>1799</v>
      </c>
      <c r="C657" s="47" t="s">
        <v>1800</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4969</v>
      </c>
      <c r="B658" s="46" t="s">
        <v>1799</v>
      </c>
      <c r="C658" s="47" t="s">
        <v>1800</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4970</v>
      </c>
      <c r="B659" s="46" t="s">
        <v>1799</v>
      </c>
      <c r="C659" s="47" t="s">
        <v>1800</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2884</v>
      </c>
      <c r="B660" s="46" t="s">
        <v>1799</v>
      </c>
      <c r="C660" s="47" t="s">
        <v>1800</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4971</v>
      </c>
      <c r="B661" s="46" t="s">
        <v>1799</v>
      </c>
      <c r="C661" s="47" t="s">
        <v>1800</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4972</v>
      </c>
      <c r="B662" s="46" t="s">
        <v>1799</v>
      </c>
      <c r="C662" s="47" t="s">
        <v>1800</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4973</v>
      </c>
      <c r="B663" s="46" t="s">
        <v>1799</v>
      </c>
      <c r="C663" s="47" t="s">
        <v>1800</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2984</v>
      </c>
      <c r="B664" s="46" t="s">
        <v>1799</v>
      </c>
      <c r="C664" s="47" t="s">
        <v>1800</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2906</v>
      </c>
      <c r="B665" s="46" t="s">
        <v>1799</v>
      </c>
      <c r="C665" s="47" t="s">
        <v>1800</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4974</v>
      </c>
      <c r="B666" s="46" t="s">
        <v>1799</v>
      </c>
      <c r="C666" s="47" t="s">
        <v>1800</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4975</v>
      </c>
      <c r="B667" s="46" t="s">
        <v>1799</v>
      </c>
      <c r="C667" s="47" t="s">
        <v>1800</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4976</v>
      </c>
      <c r="B668" s="46" t="s">
        <v>1799</v>
      </c>
      <c r="C668" s="47" t="s">
        <v>1800</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4977</v>
      </c>
      <c r="B669" s="46" t="s">
        <v>1799</v>
      </c>
      <c r="C669" s="47" t="s">
        <v>1800</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4978</v>
      </c>
      <c r="B670" s="46" t="s">
        <v>1799</v>
      </c>
      <c r="C670" s="47" t="s">
        <v>1800</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4979</v>
      </c>
      <c r="B671" s="46" t="s">
        <v>1799</v>
      </c>
      <c r="C671" s="47" t="s">
        <v>1800</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4980</v>
      </c>
      <c r="B672" s="46" t="s">
        <v>1799</v>
      </c>
      <c r="C672" s="47" t="s">
        <v>1800</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4981</v>
      </c>
      <c r="B673" s="46" t="s">
        <v>1799</v>
      </c>
      <c r="C673" s="47" t="s">
        <v>1800</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4982</v>
      </c>
      <c r="B674" s="46" t="s">
        <v>1799</v>
      </c>
      <c r="C674" s="47" t="s">
        <v>1800</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4983</v>
      </c>
      <c r="B675" s="46" t="s">
        <v>1799</v>
      </c>
      <c r="C675" s="47" t="s">
        <v>1800</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4984</v>
      </c>
      <c r="B676" s="46" t="s">
        <v>1799</v>
      </c>
      <c r="C676" s="47" t="s">
        <v>1800</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4985</v>
      </c>
      <c r="B677" s="46" t="s">
        <v>1799</v>
      </c>
      <c r="C677" s="47" t="s">
        <v>1800</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4986</v>
      </c>
      <c r="B678" s="46" t="s">
        <v>1799</v>
      </c>
      <c r="C678" s="47" t="s">
        <v>1800</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4987</v>
      </c>
      <c r="B679" s="46" t="s">
        <v>1799</v>
      </c>
      <c r="C679" s="47" t="s">
        <v>1800</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4988</v>
      </c>
      <c r="B680" s="46" t="s">
        <v>1799</v>
      </c>
      <c r="C680" s="47" t="s">
        <v>1800</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4989</v>
      </c>
      <c r="B681" s="46" t="s">
        <v>1799</v>
      </c>
      <c r="C681" s="47" t="s">
        <v>1800</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4990</v>
      </c>
      <c r="B682" s="46" t="s">
        <v>1799</v>
      </c>
      <c r="C682" s="47" t="s">
        <v>1800</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4991</v>
      </c>
      <c r="B683" s="46" t="s">
        <v>1799</v>
      </c>
      <c r="C683" s="47" t="s">
        <v>1800</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4992</v>
      </c>
      <c r="B684" s="46" t="s">
        <v>1799</v>
      </c>
      <c r="C684" s="47" t="s">
        <v>1800</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4993</v>
      </c>
      <c r="B685" s="46" t="s">
        <v>1799</v>
      </c>
      <c r="C685" s="47" t="s">
        <v>1800</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4994</v>
      </c>
      <c r="B686" s="46" t="s">
        <v>1799</v>
      </c>
      <c r="C686" s="47" t="s">
        <v>1800</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4995</v>
      </c>
      <c r="B687" s="46" t="s">
        <v>1799</v>
      </c>
      <c r="C687" s="47" t="s">
        <v>1800</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4996</v>
      </c>
      <c r="B688" s="46" t="s">
        <v>1799</v>
      </c>
      <c r="C688" s="47" t="s">
        <v>1800</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4997</v>
      </c>
      <c r="B689" s="46" t="s">
        <v>1799</v>
      </c>
      <c r="C689" s="47" t="s">
        <v>1800</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4998</v>
      </c>
      <c r="B690" s="46" t="s">
        <v>1799</v>
      </c>
      <c r="C690" s="47" t="s">
        <v>1800</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4999</v>
      </c>
      <c r="B691" s="46" t="s">
        <v>1799</v>
      </c>
      <c r="C691" s="47" t="s">
        <v>1800</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5000</v>
      </c>
      <c r="B692" s="46" t="s">
        <v>1799</v>
      </c>
      <c r="C692" s="47" t="s">
        <v>1800</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5001</v>
      </c>
      <c r="B693" s="46" t="s">
        <v>1799</v>
      </c>
      <c r="C693" s="47" t="s">
        <v>1800</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5002</v>
      </c>
      <c r="B694" s="46" t="s">
        <v>1799</v>
      </c>
      <c r="C694" s="47" t="s">
        <v>1800</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5003</v>
      </c>
      <c r="B695" s="46" t="s">
        <v>1799</v>
      </c>
      <c r="C695" s="47" t="s">
        <v>1800</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5004</v>
      </c>
      <c r="B696" s="46" t="s">
        <v>1799</v>
      </c>
      <c r="C696" s="47" t="s">
        <v>1800</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5005</v>
      </c>
      <c r="B697" s="46" t="s">
        <v>1799</v>
      </c>
      <c r="C697" s="47" t="s">
        <v>1800</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5006</v>
      </c>
      <c r="B698" s="46" t="s">
        <v>1799</v>
      </c>
      <c r="C698" s="47" t="s">
        <v>1800</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5007</v>
      </c>
      <c r="B699" s="49" t="s">
        <v>1766</v>
      </c>
      <c r="C699" s="50" t="s">
        <v>1767</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5008</v>
      </c>
      <c r="B700" s="49" t="s">
        <v>1766</v>
      </c>
      <c r="C700" s="50" t="s">
        <v>1767</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5009</v>
      </c>
      <c r="B701" s="49" t="s">
        <v>1766</v>
      </c>
      <c r="C701" s="50" t="s">
        <v>1767</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5010</v>
      </c>
      <c r="B702" s="49" t="s">
        <v>1766</v>
      </c>
      <c r="C702" s="50" t="s">
        <v>1767</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5011</v>
      </c>
      <c r="B703" s="49" t="s">
        <v>1766</v>
      </c>
      <c r="C703" s="50" t="s">
        <v>1767</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5012</v>
      </c>
      <c r="B704" s="49" t="s">
        <v>1766</v>
      </c>
      <c r="C704" s="50" t="s">
        <v>1767</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5013</v>
      </c>
      <c r="B705" s="49" t="s">
        <v>1766</v>
      </c>
      <c r="C705" s="50" t="s">
        <v>1767</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5014</v>
      </c>
      <c r="B706" s="49" t="s">
        <v>1766</v>
      </c>
      <c r="C706" s="50" t="s">
        <v>1767</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5015</v>
      </c>
      <c r="B707" s="49" t="s">
        <v>1766</v>
      </c>
      <c r="C707" s="50" t="s">
        <v>1767</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5016</v>
      </c>
      <c r="B708" s="49" t="s">
        <v>1766</v>
      </c>
      <c r="C708" s="50" t="s">
        <v>1767</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5017</v>
      </c>
      <c r="B709" s="49" t="s">
        <v>1766</v>
      </c>
      <c r="C709" s="50" t="s">
        <v>1767</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5018</v>
      </c>
      <c r="B710" s="49" t="s">
        <v>1766</v>
      </c>
      <c r="C710" s="50" t="s">
        <v>1767</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5019</v>
      </c>
      <c r="B711" s="49" t="s">
        <v>1766</v>
      </c>
      <c r="C711" s="50" t="s">
        <v>1767</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5020</v>
      </c>
      <c r="B712" s="49" t="s">
        <v>1766</v>
      </c>
      <c r="C712" s="50" t="s">
        <v>1767</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5021</v>
      </c>
      <c r="B713" s="49" t="s">
        <v>1766</v>
      </c>
      <c r="C713" s="50" t="s">
        <v>1767</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2898</v>
      </c>
      <c r="B714" s="49" t="s">
        <v>1799</v>
      </c>
      <c r="C714" s="50" t="s">
        <v>1800</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5022</v>
      </c>
      <c r="B715" s="49" t="s">
        <v>1799</v>
      </c>
      <c r="C715" s="50" t="s">
        <v>1800</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5023</v>
      </c>
      <c r="B716" s="49" t="s">
        <v>1799</v>
      </c>
      <c r="C716" s="50" t="s">
        <v>1800</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5024</v>
      </c>
      <c r="B717" s="49" t="s">
        <v>1799</v>
      </c>
      <c r="C717" s="50" t="s">
        <v>1800</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2996</v>
      </c>
      <c r="B718" s="49" t="s">
        <v>1799</v>
      </c>
      <c r="C718" s="50" t="s">
        <v>1800</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5025</v>
      </c>
      <c r="B719" s="49" t="s">
        <v>1799</v>
      </c>
      <c r="C719" s="50" t="s">
        <v>1800</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5026</v>
      </c>
      <c r="B720" s="49" t="s">
        <v>1799</v>
      </c>
      <c r="C720" s="50" t="s">
        <v>1800</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2928</v>
      </c>
      <c r="B721" s="49" t="s">
        <v>1799</v>
      </c>
      <c r="C721" s="50" t="s">
        <v>1800</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5027</v>
      </c>
      <c r="B722" s="49" t="s">
        <v>1799</v>
      </c>
      <c r="C722" s="50" t="s">
        <v>1800</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5028</v>
      </c>
      <c r="B723" s="49" t="s">
        <v>1799</v>
      </c>
      <c r="C723" s="50" t="s">
        <v>1800</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5029</v>
      </c>
      <c r="B724" s="49" t="s">
        <v>1799</v>
      </c>
      <c r="C724" s="50" t="s">
        <v>1800</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5030</v>
      </c>
      <c r="B725" s="49" t="s">
        <v>1799</v>
      </c>
      <c r="C725" s="50" t="s">
        <v>1800</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5031</v>
      </c>
      <c r="B726" s="49" t="s">
        <v>1799</v>
      </c>
      <c r="C726" s="50" t="s">
        <v>1800</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5032</v>
      </c>
      <c r="B727" s="49" t="s">
        <v>1799</v>
      </c>
      <c r="C727" s="50" t="s">
        <v>1800</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5033</v>
      </c>
      <c r="B728" s="49" t="s">
        <v>1799</v>
      </c>
      <c r="C728" s="50" t="s">
        <v>1800</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5034</v>
      </c>
      <c r="B729" s="49" t="s">
        <v>1799</v>
      </c>
      <c r="C729" s="50" t="s">
        <v>1800</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5035</v>
      </c>
      <c r="B730" s="49" t="s">
        <v>1799</v>
      </c>
      <c r="C730" s="50" t="s">
        <v>1800</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5036</v>
      </c>
      <c r="B731" s="49" t="s">
        <v>1799</v>
      </c>
      <c r="C731" s="50" t="s">
        <v>1800</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5037</v>
      </c>
      <c r="B732" s="49" t="s">
        <v>1799</v>
      </c>
      <c r="C732" s="50" t="s">
        <v>1800</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5038</v>
      </c>
      <c r="B733" s="49" t="s">
        <v>1799</v>
      </c>
      <c r="C733" s="50" t="s">
        <v>1800</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5039</v>
      </c>
      <c r="B734" s="49" t="s">
        <v>1799</v>
      </c>
      <c r="C734" s="50" t="s">
        <v>1800</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5040</v>
      </c>
      <c r="B735" s="49" t="s">
        <v>1799</v>
      </c>
      <c r="C735" s="50" t="s">
        <v>1800</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5041</v>
      </c>
      <c r="B736" s="49" t="s">
        <v>1799</v>
      </c>
      <c r="C736" s="50" t="s">
        <v>1800</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5042</v>
      </c>
      <c r="B737" s="49" t="s">
        <v>1799</v>
      </c>
      <c r="C737" s="50" t="s">
        <v>1800</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5043</v>
      </c>
      <c r="B738" s="49" t="s">
        <v>1799</v>
      </c>
      <c r="C738" s="50" t="s">
        <v>1800</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5044</v>
      </c>
      <c r="B739" s="49" t="s">
        <v>1799</v>
      </c>
      <c r="C739" s="50" t="s">
        <v>1800</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5045</v>
      </c>
      <c r="B740" s="49" t="s">
        <v>1799</v>
      </c>
      <c r="C740" s="50" t="s">
        <v>1800</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5046</v>
      </c>
      <c r="B741" s="49" t="s">
        <v>1799</v>
      </c>
      <c r="C741" s="50" t="s">
        <v>1800</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5047</v>
      </c>
      <c r="B742" s="49" t="s">
        <v>1799</v>
      </c>
      <c r="C742" s="50" t="s">
        <v>1800</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5048</v>
      </c>
      <c r="B743" s="49" t="s">
        <v>1799</v>
      </c>
      <c r="C743" s="50" t="s">
        <v>1800</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5049</v>
      </c>
      <c r="B744" s="49" t="s">
        <v>1799</v>
      </c>
      <c r="C744" s="50" t="s">
        <v>1800</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5050</v>
      </c>
      <c r="B745" s="49" t="s">
        <v>1799</v>
      </c>
      <c r="C745" s="50" t="s">
        <v>1800</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5051</v>
      </c>
      <c r="B746" s="49" t="s">
        <v>1799</v>
      </c>
      <c r="C746" s="50" t="s">
        <v>1800</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5052</v>
      </c>
      <c r="B747" s="49" t="s">
        <v>1799</v>
      </c>
      <c r="C747" s="50" t="s">
        <v>1800</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5053</v>
      </c>
      <c r="B748" s="49" t="s">
        <v>1799</v>
      </c>
      <c r="C748" s="50" t="s">
        <v>1800</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5054</v>
      </c>
      <c r="B749" s="49" t="s">
        <v>1799</v>
      </c>
      <c r="C749" s="50" t="s">
        <v>1800</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5055</v>
      </c>
      <c r="B750" s="46" t="s">
        <v>1961</v>
      </c>
      <c r="C750" s="47" t="s">
        <v>1962</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5056</v>
      </c>
      <c r="B751" s="46" t="s">
        <v>1961</v>
      </c>
      <c r="C751" s="47" t="s">
        <v>1962</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5057</v>
      </c>
      <c r="B752" s="46" t="s">
        <v>1961</v>
      </c>
      <c r="C752" s="47" t="s">
        <v>1962</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5058</v>
      </c>
      <c r="B753" s="46" t="s">
        <v>1961</v>
      </c>
      <c r="C753" s="47" t="s">
        <v>1962</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5059</v>
      </c>
      <c r="B754" s="46" t="s">
        <v>1961</v>
      </c>
      <c r="C754" s="47" t="s">
        <v>1962</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5060</v>
      </c>
      <c r="B755" s="46" t="s">
        <v>1961</v>
      </c>
      <c r="C755" s="47" t="s">
        <v>1962</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5061</v>
      </c>
      <c r="B756" s="46" t="s">
        <v>1961</v>
      </c>
      <c r="C756" s="47" t="s">
        <v>1962</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5062</v>
      </c>
      <c r="B757" s="46" t="s">
        <v>1961</v>
      </c>
      <c r="C757" s="47" t="s">
        <v>1962</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5063</v>
      </c>
      <c r="B758" s="46" t="s">
        <v>1961</v>
      </c>
      <c r="C758" s="47" t="s">
        <v>1962</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5064</v>
      </c>
      <c r="B759" s="46" t="s">
        <v>1961</v>
      </c>
      <c r="C759" s="47" t="s">
        <v>1962</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5065</v>
      </c>
      <c r="B760" s="46" t="s">
        <v>1961</v>
      </c>
      <c r="C760" s="47" t="s">
        <v>1962</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3293</v>
      </c>
      <c r="B761" s="49" t="s">
        <v>1961</v>
      </c>
      <c r="C761" s="50" t="s">
        <v>1962</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5066</v>
      </c>
      <c r="B762" s="49" t="s">
        <v>1961</v>
      </c>
      <c r="C762" s="50" t="s">
        <v>1962</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5067</v>
      </c>
      <c r="B763" s="49" t="s">
        <v>1961</v>
      </c>
      <c r="C763" s="50" t="s">
        <v>1962</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5068</v>
      </c>
      <c r="B764" s="49" t="s">
        <v>1961</v>
      </c>
      <c r="C764" s="50" t="s">
        <v>1962</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5069</v>
      </c>
      <c r="B765" s="49" t="s">
        <v>1987</v>
      </c>
      <c r="C765" s="50" t="s">
        <v>1988</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5070</v>
      </c>
      <c r="B766" s="49" t="s">
        <v>1987</v>
      </c>
      <c r="C766" s="50" t="s">
        <v>1988</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5071</v>
      </c>
      <c r="B767" s="49" t="s">
        <v>1987</v>
      </c>
      <c r="C767" s="50" t="s">
        <v>1988</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5072</v>
      </c>
      <c r="B768" s="49" t="s">
        <v>1987</v>
      </c>
      <c r="C768" s="50" t="s">
        <v>1988</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5073</v>
      </c>
      <c r="B769" s="49" t="s">
        <v>1987</v>
      </c>
      <c r="C769" s="50" t="s">
        <v>1988</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5074</v>
      </c>
      <c r="B770" s="49" t="s">
        <v>1987</v>
      </c>
      <c r="C770" s="50" t="s">
        <v>1988</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5075</v>
      </c>
      <c r="B771" s="49" t="s">
        <v>1987</v>
      </c>
      <c r="C771" s="50" t="s">
        <v>1988</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5076</v>
      </c>
      <c r="B772" s="49" t="s">
        <v>1987</v>
      </c>
      <c r="C772" s="50" t="s">
        <v>1988</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5077</v>
      </c>
      <c r="B773" s="49" t="s">
        <v>1987</v>
      </c>
      <c r="C773" s="50" t="s">
        <v>1988</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5078</v>
      </c>
      <c r="B774" s="49" t="s">
        <v>1987</v>
      </c>
      <c r="C774" s="50" t="s">
        <v>1988</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5079</v>
      </c>
      <c r="B775" s="49" t="s">
        <v>1987</v>
      </c>
      <c r="C775" s="50" t="s">
        <v>1988</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5080</v>
      </c>
      <c r="B776" s="49" t="s">
        <v>1987</v>
      </c>
      <c r="C776" s="50" t="s">
        <v>1988</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5081</v>
      </c>
      <c r="B777" s="49" t="s">
        <v>1987</v>
      </c>
      <c r="C777" s="50" t="s">
        <v>1988</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5082</v>
      </c>
      <c r="B778" s="49" t="s">
        <v>1987</v>
      </c>
      <c r="C778" s="50" t="s">
        <v>1988</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5083</v>
      </c>
      <c r="B779" s="49" t="s">
        <v>1987</v>
      </c>
      <c r="C779" s="50" t="s">
        <v>1988</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5084</v>
      </c>
      <c r="B780" s="49" t="s">
        <v>1987</v>
      </c>
      <c r="C780" s="50" t="s">
        <v>1988</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5085</v>
      </c>
      <c r="B781" s="49" t="s">
        <v>1987</v>
      </c>
      <c r="C781" s="50" t="s">
        <v>1988</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5086</v>
      </c>
      <c r="B782" s="49" t="s">
        <v>1987</v>
      </c>
      <c r="C782" s="50" t="s">
        <v>1988</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5087</v>
      </c>
      <c r="B783" s="49" t="s">
        <v>1987</v>
      </c>
      <c r="C783" s="50" t="s">
        <v>1988</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5088</v>
      </c>
      <c r="B784" s="49" t="s">
        <v>1987</v>
      </c>
      <c r="C784" s="50" t="s">
        <v>1988</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5089</v>
      </c>
      <c r="B785" s="49" t="s">
        <v>1987</v>
      </c>
      <c r="C785" s="50" t="s">
        <v>1988</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5090</v>
      </c>
      <c r="B786" s="49" t="s">
        <v>1987</v>
      </c>
      <c r="C786" s="50" t="s">
        <v>1988</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5091</v>
      </c>
      <c r="B787" s="49" t="s">
        <v>1987</v>
      </c>
      <c r="C787" s="50" t="s">
        <v>1988</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5092</v>
      </c>
      <c r="B788" s="49" t="s">
        <v>2013</v>
      </c>
      <c r="C788" s="50" t="s">
        <v>2014</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5093</v>
      </c>
      <c r="B789" s="49" t="s">
        <v>2013</v>
      </c>
      <c r="C789" s="50" t="s">
        <v>2014</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5094</v>
      </c>
      <c r="B790" s="49" t="s">
        <v>2013</v>
      </c>
      <c r="C790" s="50" t="s">
        <v>2014</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5095</v>
      </c>
      <c r="B791" s="49" t="s">
        <v>2013</v>
      </c>
      <c r="C791" s="50" t="s">
        <v>2014</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5096</v>
      </c>
      <c r="B792" s="49" t="s">
        <v>2013</v>
      </c>
      <c r="C792" s="50" t="s">
        <v>2014</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5097</v>
      </c>
      <c r="B793" s="49" t="s">
        <v>2013</v>
      </c>
      <c r="C793" s="50" t="s">
        <v>2014</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5098</v>
      </c>
      <c r="B794" s="49" t="s">
        <v>2013</v>
      </c>
      <c r="C794" s="50" t="s">
        <v>2014</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5099</v>
      </c>
      <c r="B795" s="49" t="s">
        <v>2013</v>
      </c>
      <c r="C795" s="50" t="s">
        <v>2014</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5100</v>
      </c>
      <c r="B796" s="49" t="s">
        <v>2013</v>
      </c>
      <c r="C796" s="50" t="s">
        <v>2014</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5101</v>
      </c>
      <c r="B797" s="49" t="s">
        <v>2013</v>
      </c>
      <c r="C797" s="50" t="s">
        <v>2014</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5102</v>
      </c>
      <c r="B798" s="49" t="s">
        <v>2013</v>
      </c>
      <c r="C798" s="50" t="s">
        <v>2014</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5103</v>
      </c>
      <c r="B799" s="49" t="s">
        <v>2013</v>
      </c>
      <c r="C799" s="50" t="s">
        <v>2014</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5104</v>
      </c>
      <c r="B800" s="49" t="s">
        <v>2013</v>
      </c>
      <c r="C800" s="50" t="s">
        <v>2014</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5105</v>
      </c>
      <c r="B801" s="49" t="s">
        <v>2013</v>
      </c>
      <c r="C801" s="50" t="s">
        <v>2014</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5106</v>
      </c>
      <c r="B802" s="49" t="s">
        <v>2013</v>
      </c>
      <c r="C802" s="50" t="s">
        <v>2014</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5107</v>
      </c>
      <c r="B803" s="49" t="s">
        <v>2013</v>
      </c>
      <c r="C803" s="50" t="s">
        <v>2014</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5108</v>
      </c>
      <c r="B804" s="49" t="s">
        <v>2013</v>
      </c>
      <c r="C804" s="50" t="s">
        <v>2014</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5109</v>
      </c>
      <c r="B805" s="49" t="s">
        <v>2013</v>
      </c>
      <c r="C805" s="50" t="s">
        <v>2014</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5110</v>
      </c>
      <c r="B806" s="49" t="s">
        <v>2013</v>
      </c>
      <c r="C806" s="50" t="s">
        <v>2014</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5111</v>
      </c>
      <c r="B807" s="49" t="s">
        <v>2013</v>
      </c>
      <c r="C807" s="50" t="s">
        <v>2014</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5112</v>
      </c>
      <c r="B808" s="49" t="s">
        <v>1936</v>
      </c>
      <c r="C808" s="50" t="s">
        <v>1937</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5113</v>
      </c>
      <c r="B809" s="49" t="s">
        <v>1936</v>
      </c>
      <c r="C809" s="50" t="s">
        <v>1937</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5114</v>
      </c>
      <c r="B810" s="49" t="s">
        <v>1936</v>
      </c>
      <c r="C810" s="50" t="s">
        <v>1937</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5115</v>
      </c>
      <c r="B811" s="49" t="s">
        <v>1936</v>
      </c>
      <c r="C811" s="50" t="s">
        <v>1937</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5116</v>
      </c>
      <c r="B812" s="49" t="s">
        <v>1936</v>
      </c>
      <c r="C812" s="50" t="s">
        <v>1937</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2970</v>
      </c>
      <c r="B813" s="49" t="s">
        <v>1936</v>
      </c>
      <c r="C813" s="50" t="s">
        <v>1937</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5117</v>
      </c>
      <c r="B814" s="49" t="s">
        <v>1936</v>
      </c>
      <c r="C814" s="50" t="s">
        <v>1937</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5118</v>
      </c>
      <c r="B815" s="49" t="s">
        <v>1936</v>
      </c>
      <c r="C815" s="50" t="s">
        <v>1937</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5119</v>
      </c>
      <c r="B816" s="49" t="s">
        <v>1936</v>
      </c>
      <c r="C816" s="50" t="s">
        <v>1937</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5120</v>
      </c>
      <c r="B817" s="49" t="s">
        <v>1936</v>
      </c>
      <c r="C817" s="50" t="s">
        <v>1937</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5121</v>
      </c>
      <c r="B818" s="49" t="s">
        <v>1936</v>
      </c>
      <c r="C818" s="50" t="s">
        <v>1937</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5122</v>
      </c>
      <c r="B819" s="49" t="s">
        <v>1936</v>
      </c>
      <c r="C819" s="50" t="s">
        <v>1937</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5123</v>
      </c>
      <c r="B820" s="49" t="s">
        <v>1936</v>
      </c>
      <c r="C820" s="50" t="s">
        <v>1937</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5124</v>
      </c>
      <c r="B821" s="49" t="s">
        <v>1936</v>
      </c>
      <c r="C821" s="50" t="s">
        <v>1937</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5125</v>
      </c>
      <c r="B822" s="49" t="s">
        <v>1936</v>
      </c>
      <c r="C822" s="50" t="s">
        <v>1937</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5126</v>
      </c>
      <c r="B823" s="49" t="s">
        <v>1936</v>
      </c>
      <c r="C823" s="50" t="s">
        <v>1937</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5127</v>
      </c>
      <c r="B824" s="49" t="s">
        <v>1936</v>
      </c>
      <c r="C824" s="50" t="s">
        <v>1937</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5128</v>
      </c>
      <c r="B825" s="49" t="s">
        <v>1936</v>
      </c>
      <c r="C825" s="50" t="s">
        <v>1937</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5129</v>
      </c>
      <c r="B826" s="49" t="s">
        <v>1936</v>
      </c>
      <c r="C826" s="50" t="s">
        <v>1937</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5130</v>
      </c>
      <c r="B827" s="49" t="s">
        <v>1936</v>
      </c>
      <c r="C827" s="50" t="s">
        <v>1937</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5131</v>
      </c>
      <c r="B828" s="49" t="s">
        <v>1936</v>
      </c>
      <c r="C828" s="50" t="s">
        <v>1937</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5132</v>
      </c>
      <c r="B829" s="49" t="s">
        <v>1936</v>
      </c>
      <c r="C829" s="50" t="s">
        <v>1937</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5133</v>
      </c>
      <c r="B830" s="49" t="s">
        <v>1936</v>
      </c>
      <c r="C830" s="50" t="s">
        <v>1937</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5134</v>
      </c>
      <c r="B831" s="49" t="s">
        <v>1936</v>
      </c>
      <c r="C831" s="50" t="s">
        <v>1937</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5135</v>
      </c>
      <c r="B832" s="49" t="s">
        <v>1936</v>
      </c>
      <c r="C832" s="50" t="s">
        <v>1937</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5136</v>
      </c>
      <c r="B833" s="49" t="s">
        <v>1936</v>
      </c>
      <c r="C833" s="50" t="s">
        <v>1937</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5137</v>
      </c>
      <c r="B834" s="49" t="s">
        <v>1936</v>
      </c>
      <c r="C834" s="50" t="s">
        <v>1937</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5138</v>
      </c>
      <c r="B835" s="49" t="s">
        <v>1936</v>
      </c>
      <c r="C835" s="50" t="s">
        <v>1937</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5139</v>
      </c>
      <c r="B836" s="49" t="s">
        <v>1936</v>
      </c>
      <c r="C836" s="50" t="s">
        <v>1937</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5140</v>
      </c>
      <c r="B837" s="49" t="s">
        <v>1936</v>
      </c>
      <c r="C837" s="50" t="s">
        <v>1937</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5141</v>
      </c>
      <c r="B838" s="49" t="s">
        <v>1936</v>
      </c>
      <c r="C838" s="50" t="s">
        <v>1937</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5142</v>
      </c>
      <c r="B839" s="49" t="s">
        <v>1936</v>
      </c>
      <c r="C839" s="50" t="s">
        <v>1937</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5143</v>
      </c>
      <c r="B840" s="49" t="s">
        <v>1920</v>
      </c>
      <c r="C840" s="50" t="s">
        <v>1921</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5144</v>
      </c>
      <c r="B841" s="49" t="s">
        <v>1920</v>
      </c>
      <c r="C841" s="50" t="s">
        <v>1921</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5145</v>
      </c>
      <c r="B842" s="49" t="s">
        <v>1920</v>
      </c>
      <c r="C842" s="50" t="s">
        <v>1921</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5146</v>
      </c>
      <c r="B843" s="49" t="s">
        <v>1920</v>
      </c>
      <c r="C843" s="50" t="s">
        <v>1921</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5147</v>
      </c>
      <c r="B844" s="49" t="s">
        <v>1920</v>
      </c>
      <c r="C844" s="50" t="s">
        <v>1921</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5148</v>
      </c>
      <c r="B845" s="49" t="s">
        <v>1920</v>
      </c>
      <c r="C845" s="50" t="s">
        <v>1921</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5149</v>
      </c>
      <c r="B846" s="49" t="s">
        <v>1920</v>
      </c>
      <c r="C846" s="50" t="s">
        <v>1921</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5150</v>
      </c>
      <c r="B847" s="49" t="s">
        <v>1920</v>
      </c>
      <c r="C847" s="50" t="s">
        <v>1921</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5151</v>
      </c>
      <c r="B848" s="49" t="s">
        <v>1920</v>
      </c>
      <c r="C848" s="50" t="s">
        <v>1921</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5152</v>
      </c>
      <c r="B849" s="49" t="s">
        <v>1920</v>
      </c>
      <c r="C849" s="50" t="s">
        <v>1921</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5153</v>
      </c>
      <c r="B850" s="49" t="s">
        <v>1920</v>
      </c>
      <c r="C850" s="50" t="s">
        <v>1921</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5154</v>
      </c>
      <c r="B851" s="49" t="s">
        <v>1920</v>
      </c>
      <c r="C851" s="50" t="s">
        <v>1921</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5155</v>
      </c>
      <c r="B852" s="49" t="s">
        <v>1628</v>
      </c>
      <c r="C852" s="50" t="s">
        <v>1629</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5156</v>
      </c>
      <c r="B853" s="49" t="s">
        <v>1628</v>
      </c>
      <c r="C853" s="50" t="s">
        <v>1629</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3197</v>
      </c>
      <c r="B854" s="49" t="s">
        <v>1670</v>
      </c>
      <c r="C854" s="50" t="s">
        <v>1671</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5157</v>
      </c>
      <c r="B855" s="49" t="s">
        <v>1670</v>
      </c>
      <c r="C855" s="50" t="s">
        <v>1671</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5158</v>
      </c>
      <c r="B856" s="49" t="s">
        <v>1670</v>
      </c>
      <c r="C856" s="50" t="s">
        <v>1671</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5159</v>
      </c>
      <c r="B857" s="49" t="s">
        <v>1670</v>
      </c>
      <c r="C857" s="50" t="s">
        <v>1671</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5160</v>
      </c>
      <c r="B858" s="49" t="s">
        <v>1670</v>
      </c>
      <c r="C858" s="50" t="s">
        <v>1671</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5161</v>
      </c>
      <c r="B859" s="49" t="s">
        <v>1670</v>
      </c>
      <c r="C859" s="50" t="s">
        <v>1671</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5162</v>
      </c>
      <c r="B860" s="49" t="s">
        <v>1670</v>
      </c>
      <c r="C860" s="50" t="s">
        <v>1671</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5163</v>
      </c>
      <c r="B861" s="49" t="s">
        <v>1670</v>
      </c>
      <c r="C861" s="50" t="s">
        <v>1671</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5164</v>
      </c>
      <c r="B862" s="49" t="s">
        <v>1670</v>
      </c>
      <c r="C862" s="50" t="s">
        <v>1671</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5165</v>
      </c>
      <c r="B863" s="49" t="s">
        <v>1703</v>
      </c>
      <c r="C863" s="50" t="s">
        <v>1704</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5166</v>
      </c>
      <c r="B864" s="49" t="s">
        <v>1703</v>
      </c>
      <c r="C864" s="50" t="s">
        <v>1704</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5167</v>
      </c>
      <c r="B865" s="49" t="s">
        <v>1703</v>
      </c>
      <c r="C865" s="50" t="s">
        <v>1704</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5168</v>
      </c>
      <c r="B866" s="49" t="s">
        <v>1703</v>
      </c>
      <c r="C866" s="50" t="s">
        <v>1704</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5169</v>
      </c>
      <c r="B867" s="49" t="s">
        <v>1703</v>
      </c>
      <c r="C867" s="50" t="s">
        <v>1704</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5170</v>
      </c>
      <c r="B868" s="49" t="s">
        <v>1703</v>
      </c>
      <c r="C868" s="50" t="s">
        <v>1704</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5171</v>
      </c>
      <c r="B869" s="49" t="s">
        <v>1703</v>
      </c>
      <c r="C869" s="50" t="s">
        <v>1704</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5172</v>
      </c>
      <c r="B870" s="49" t="s">
        <v>1628</v>
      </c>
      <c r="C870" s="50" t="s">
        <v>1629</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5173</v>
      </c>
      <c r="B871" s="49" t="s">
        <v>1628</v>
      </c>
      <c r="C871" s="50" t="s">
        <v>1629</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5174</v>
      </c>
      <c r="B872" s="49" t="s">
        <v>1628</v>
      </c>
      <c r="C872" s="50" t="s">
        <v>1629</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5175</v>
      </c>
      <c r="B873" s="49" t="s">
        <v>1628</v>
      </c>
      <c r="C873" s="50" t="s">
        <v>1629</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5176</v>
      </c>
      <c r="B874" s="49" t="s">
        <v>1703</v>
      </c>
      <c r="C874" s="50" t="s">
        <v>1704</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5177</v>
      </c>
      <c r="B875" s="49" t="s">
        <v>1703</v>
      </c>
      <c r="C875" s="50" t="s">
        <v>1704</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5178</v>
      </c>
      <c r="B876" s="49" t="s">
        <v>1703</v>
      </c>
      <c r="C876" s="50" t="s">
        <v>1704</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5179</v>
      </c>
      <c r="B877" s="49" t="s">
        <v>1703</v>
      </c>
      <c r="C877" s="50" t="s">
        <v>1704</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5180</v>
      </c>
      <c r="B878" s="49" t="s">
        <v>1703</v>
      </c>
      <c r="C878" s="50" t="s">
        <v>1704</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5181</v>
      </c>
      <c r="B879" s="49" t="s">
        <v>1703</v>
      </c>
      <c r="C879" s="50" t="s">
        <v>1704</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5182</v>
      </c>
      <c r="B880" s="49" t="s">
        <v>1703</v>
      </c>
      <c r="C880" s="50" t="s">
        <v>1704</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5183</v>
      </c>
      <c r="B881" s="49" t="s">
        <v>1703</v>
      </c>
      <c r="C881" s="50" t="s">
        <v>1704</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5184</v>
      </c>
      <c r="B882" s="49" t="s">
        <v>1703</v>
      </c>
      <c r="C882" s="50" t="s">
        <v>1704</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5185</v>
      </c>
      <c r="B883" s="49" t="s">
        <v>1703</v>
      </c>
      <c r="C883" s="50" t="s">
        <v>1704</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5186</v>
      </c>
      <c r="B884" s="49" t="s">
        <v>1628</v>
      </c>
      <c r="C884" s="50" t="s">
        <v>1629</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5187</v>
      </c>
      <c r="B885" s="49" t="s">
        <v>1628</v>
      </c>
      <c r="C885" s="50" t="s">
        <v>1629</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5188</v>
      </c>
      <c r="B886" s="49" t="s">
        <v>1628</v>
      </c>
      <c r="C886" s="50" t="s">
        <v>1629</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5189</v>
      </c>
      <c r="B887" s="49" t="s">
        <v>1628</v>
      </c>
      <c r="C887" s="50" t="s">
        <v>1629</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5190</v>
      </c>
      <c r="B888" s="49" t="s">
        <v>1628</v>
      </c>
      <c r="C888" s="50" t="s">
        <v>1629</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5191</v>
      </c>
      <c r="B889" s="49" t="s">
        <v>1628</v>
      </c>
      <c r="C889" s="50" t="s">
        <v>1629</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5192</v>
      </c>
      <c r="B890" s="49" t="s">
        <v>1628</v>
      </c>
      <c r="C890" s="50" t="s">
        <v>1629</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5193</v>
      </c>
      <c r="B891" s="49" t="s">
        <v>1628</v>
      </c>
      <c r="C891" s="50" t="s">
        <v>1629</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5194</v>
      </c>
      <c r="B892" s="49" t="s">
        <v>1628</v>
      </c>
      <c r="C892" s="50" t="s">
        <v>1629</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5195</v>
      </c>
      <c r="B893" s="49" t="s">
        <v>1628</v>
      </c>
      <c r="C893" s="50" t="s">
        <v>1629</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5196</v>
      </c>
      <c r="B894" s="49" t="s">
        <v>1628</v>
      </c>
      <c r="C894" s="50" t="s">
        <v>1629</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5197</v>
      </c>
      <c r="B895" s="49" t="s">
        <v>1628</v>
      </c>
      <c r="C895" s="50" t="s">
        <v>1629</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3254</v>
      </c>
      <c r="B896" s="49" t="s">
        <v>1628</v>
      </c>
      <c r="C896" s="50" t="s">
        <v>1629</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5198</v>
      </c>
      <c r="B897" s="49" t="s">
        <v>1726</v>
      </c>
      <c r="C897" s="50" t="s">
        <v>4860</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5199</v>
      </c>
      <c r="B898" s="49" t="s">
        <v>1726</v>
      </c>
      <c r="C898" s="50" t="s">
        <v>4860</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5200</v>
      </c>
      <c r="B899" s="49" t="s">
        <v>1726</v>
      </c>
      <c r="C899" s="50" t="s">
        <v>4860</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5201</v>
      </c>
      <c r="B900" s="49" t="s">
        <v>1726</v>
      </c>
      <c r="C900" s="50" t="s">
        <v>4860</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5202</v>
      </c>
      <c r="B901" s="49" t="s">
        <v>1726</v>
      </c>
      <c r="C901" s="50" t="s">
        <v>4860</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5203</v>
      </c>
      <c r="B902" s="49" t="s">
        <v>1726</v>
      </c>
      <c r="C902" s="50" t="s">
        <v>4860</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5204</v>
      </c>
      <c r="B903" s="49" t="s">
        <v>1726</v>
      </c>
      <c r="C903" s="50" t="s">
        <v>4860</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5205</v>
      </c>
      <c r="B904" s="49" t="s">
        <v>1726</v>
      </c>
      <c r="C904" s="50" t="s">
        <v>4860</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5206</v>
      </c>
      <c r="B905" s="49" t="s">
        <v>1726</v>
      </c>
      <c r="C905" s="50" t="s">
        <v>4860</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5207</v>
      </c>
      <c r="B906" s="49" t="s">
        <v>1726</v>
      </c>
      <c r="C906" s="50" t="s">
        <v>4860</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5208</v>
      </c>
      <c r="B907" s="49" t="s">
        <v>1726</v>
      </c>
      <c r="C907" s="50" t="s">
        <v>4860</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5209</v>
      </c>
      <c r="B908" s="49" t="s">
        <v>1726</v>
      </c>
      <c r="C908" s="50" t="s">
        <v>4860</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5210</v>
      </c>
      <c r="B909" s="49" t="s">
        <v>1726</v>
      </c>
      <c r="C909" s="50" t="s">
        <v>4860</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5211</v>
      </c>
      <c r="B910" s="49" t="s">
        <v>1726</v>
      </c>
      <c r="C910" s="50" t="s">
        <v>4860</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5212</v>
      </c>
      <c r="B911" s="49" t="s">
        <v>1726</v>
      </c>
      <c r="C911" s="50" t="s">
        <v>4860</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5213</v>
      </c>
      <c r="B912" s="49" t="s">
        <v>1726</v>
      </c>
      <c r="C912" s="50" t="s">
        <v>4860</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5214</v>
      </c>
      <c r="B913" s="49" t="s">
        <v>1726</v>
      </c>
      <c r="C913" s="50" t="s">
        <v>4860</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5215</v>
      </c>
      <c r="B914" s="49" t="s">
        <v>1726</v>
      </c>
      <c r="C914" s="50" t="s">
        <v>4860</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5216</v>
      </c>
      <c r="B915" s="49" t="s">
        <v>1628</v>
      </c>
      <c r="C915" s="50" t="s">
        <v>1629</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2965</v>
      </c>
      <c r="B916" s="49" t="s">
        <v>1628</v>
      </c>
      <c r="C916" s="50" t="s">
        <v>1629</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5217</v>
      </c>
      <c r="B917" s="49" t="s">
        <v>1628</v>
      </c>
      <c r="C917" s="50" t="s">
        <v>1629</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5218</v>
      </c>
      <c r="B918" s="49" t="s">
        <v>1628</v>
      </c>
      <c r="C918" s="50" t="s">
        <v>1629</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5219</v>
      </c>
      <c r="B919" s="49" t="s">
        <v>1628</v>
      </c>
      <c r="C919" s="50" t="s">
        <v>1629</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5220</v>
      </c>
      <c r="B920" s="49" t="s">
        <v>1628</v>
      </c>
      <c r="C920" s="50" t="s">
        <v>1629</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5221</v>
      </c>
      <c r="B921" s="49" t="s">
        <v>1628</v>
      </c>
      <c r="C921" s="50" t="s">
        <v>1629</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5222</v>
      </c>
      <c r="B922" s="49" t="s">
        <v>1628</v>
      </c>
      <c r="C922" s="50" t="s">
        <v>1629</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5223</v>
      </c>
      <c r="B923" s="49" t="s">
        <v>1628</v>
      </c>
      <c r="C923" s="50" t="s">
        <v>1629</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5224</v>
      </c>
      <c r="B924" s="49" t="s">
        <v>1628</v>
      </c>
      <c r="C924" s="50" t="s">
        <v>1629</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5225</v>
      </c>
      <c r="B925" s="49" t="s">
        <v>1628</v>
      </c>
      <c r="C925" s="50" t="s">
        <v>1629</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5226</v>
      </c>
      <c r="B926" s="49" t="s">
        <v>1628</v>
      </c>
      <c r="C926" s="50" t="s">
        <v>1629</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5227</v>
      </c>
      <c r="B927" s="49" t="s">
        <v>1628</v>
      </c>
      <c r="C927" s="50" t="s">
        <v>1629</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5228</v>
      </c>
      <c r="B928" s="49" t="s">
        <v>1628</v>
      </c>
      <c r="C928" s="50" t="s">
        <v>1629</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5229</v>
      </c>
      <c r="B929" s="49" t="s">
        <v>1628</v>
      </c>
      <c r="C929" s="50" t="s">
        <v>1629</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5230</v>
      </c>
      <c r="B930" s="49" t="s">
        <v>1628</v>
      </c>
      <c r="C930" s="50" t="s">
        <v>1629</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5231</v>
      </c>
      <c r="B931" s="49" t="s">
        <v>1628</v>
      </c>
      <c r="C931" s="50" t="s">
        <v>1629</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5232</v>
      </c>
      <c r="B932" s="49" t="s">
        <v>1628</v>
      </c>
      <c r="C932" s="50" t="s">
        <v>1629</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3076</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5233</v>
      </c>
      <c r="C934" s="35" t="s">
        <v>4359</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5234</v>
      </c>
      <c r="B935" s="46" t="s">
        <v>2135</v>
      </c>
      <c r="C935" s="47" t="s">
        <v>2136</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5235</v>
      </c>
      <c r="B936" s="46" t="s">
        <v>2135</v>
      </c>
      <c r="C936" s="47" t="s">
        <v>2136</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5236</v>
      </c>
      <c r="B937" s="46" t="s">
        <v>2135</v>
      </c>
      <c r="C937" s="47" t="s">
        <v>2136</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5237</v>
      </c>
      <c r="B938" s="46" t="s">
        <v>2135</v>
      </c>
      <c r="C938" s="47" t="s">
        <v>2136</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5238</v>
      </c>
      <c r="B939" s="46" t="s">
        <v>2135</v>
      </c>
      <c r="C939" s="47" t="s">
        <v>2136</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5239</v>
      </c>
      <c r="B940" s="46" t="s">
        <v>2135</v>
      </c>
      <c r="C940" s="47" t="s">
        <v>2136</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5240</v>
      </c>
      <c r="B941" s="46" t="s">
        <v>2135</v>
      </c>
      <c r="C941" s="47" t="s">
        <v>2136</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5241</v>
      </c>
      <c r="B942" s="46" t="s">
        <v>2135</v>
      </c>
      <c r="C942" s="47" t="s">
        <v>2136</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5242</v>
      </c>
      <c r="B943" s="46" t="s">
        <v>2135</v>
      </c>
      <c r="C943" s="47" t="s">
        <v>2136</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5243</v>
      </c>
      <c r="B944" s="46" t="s">
        <v>2135</v>
      </c>
      <c r="C944" s="47" t="s">
        <v>2136</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5244</v>
      </c>
      <c r="B945" s="46" t="s">
        <v>2135</v>
      </c>
      <c r="C945" s="47" t="s">
        <v>2136</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5245</v>
      </c>
      <c r="B946" s="46" t="s">
        <v>2135</v>
      </c>
      <c r="C946" s="47" t="s">
        <v>2136</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5246</v>
      </c>
      <c r="B947" s="46" t="s">
        <v>2135</v>
      </c>
      <c r="C947" s="47" t="s">
        <v>2136</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5247</v>
      </c>
      <c r="B948" s="46" t="s">
        <v>2135</v>
      </c>
      <c r="C948" s="47" t="s">
        <v>2136</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5248</v>
      </c>
      <c r="B949" s="46" t="s">
        <v>2135</v>
      </c>
      <c r="C949" s="47" t="s">
        <v>2136</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5249</v>
      </c>
      <c r="B950" s="46" t="s">
        <v>2135</v>
      </c>
      <c r="C950" s="47" t="s">
        <v>2136</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5250</v>
      </c>
      <c r="B951" s="46" t="s">
        <v>2135</v>
      </c>
      <c r="C951" s="47" t="s">
        <v>2136</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5251</v>
      </c>
      <c r="B952" s="46" t="s">
        <v>2135</v>
      </c>
      <c r="C952" s="47" t="s">
        <v>2136</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D26" sqref="D26"/>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5252</v>
      </c>
      <c r="B1" s="42" t="s">
        <v>5253</v>
      </c>
      <c r="C1" s="43" t="s">
        <v>5254</v>
      </c>
      <c r="D1" s="43" t="s">
        <v>5255</v>
      </c>
      <c r="E1" s="43" t="s">
        <v>5256</v>
      </c>
      <c r="F1" s="43" t="s">
        <v>5257</v>
      </c>
      <c r="G1" s="42" t="s">
        <v>5258</v>
      </c>
      <c r="H1" s="42" t="s">
        <v>5259</v>
      </c>
      <c r="I1" s="9"/>
      <c r="J1" s="9"/>
      <c r="K1" s="9"/>
      <c r="L1" s="9"/>
      <c r="M1" s="9"/>
    </row>
    <row r="2" spans="1:8">
      <c r="A2" s="37" t="str">
        <f>'2 过程管理表单'!$BE$1</f>
        <v>2025年</v>
      </c>
      <c r="B2" s="42" t="s">
        <v>766</v>
      </c>
      <c r="C2" s="43">
        <f>'2 过程管理表单'!Z4</f>
        <v>77737.4139726028</v>
      </c>
      <c r="D2" s="43">
        <f>C2</f>
        <v>77737.4139726028</v>
      </c>
      <c r="E2" s="44">
        <f>'2 过程管理表单'!X4</f>
        <v>5228436.69035764</v>
      </c>
      <c r="F2" s="44">
        <f>E2</f>
        <v>5228436.69035764</v>
      </c>
      <c r="G2" s="45">
        <f>表1[[#This Row],[发生费用]]/表1[[#This Row],[预算费用]]</f>
        <v>0.0148681945630072</v>
      </c>
      <c r="H2" s="45">
        <f>表1[[#This Row],[累计发生费用]]/表1[[#This Row],[累计预算费用]]</f>
        <v>0.0148681945630072</v>
      </c>
    </row>
    <row r="3" spans="1:8">
      <c r="A3" s="37" t="str">
        <f>'2 过程管理表单'!$BE$1</f>
        <v>2025年</v>
      </c>
      <c r="B3" s="42" t="s">
        <v>767</v>
      </c>
      <c r="C3" s="43">
        <f>'2 过程管理表单'!AC4</f>
        <v>90918.2706849314</v>
      </c>
      <c r="D3" s="43">
        <f>D2+C3</f>
        <v>168655.684657534</v>
      </c>
      <c r="E3" s="44">
        <f>'2 过程管理表单'!AA4</f>
        <v>3546788.16798743</v>
      </c>
      <c r="F3" s="44">
        <f>F2+E3</f>
        <v>8775224.85834507</v>
      </c>
      <c r="G3" s="45">
        <f>表1[[#This Row],[发生费用]]/表1[[#This Row],[预算费用]]</f>
        <v>0.0256339725911857</v>
      </c>
      <c r="H3" s="45">
        <f>表1[[#This Row],[累计发生费用]]/表1[[#This Row],[累计预算费用]]</f>
        <v>0.0192195285454305</v>
      </c>
    </row>
    <row r="4" spans="1:8">
      <c r="A4" s="37" t="str">
        <f>'2 过程管理表单'!$BE$1</f>
        <v>2025年</v>
      </c>
      <c r="B4" s="42" t="s">
        <v>768</v>
      </c>
      <c r="C4" s="43">
        <f>'2 过程管理表单'!AF4</f>
        <v>75340.8739726028</v>
      </c>
      <c r="D4" s="43">
        <f t="shared" ref="D4:D13" si="0">D3+C4</f>
        <v>243996.558630137</v>
      </c>
      <c r="E4" s="44">
        <f>'2 过程管理表单'!AD4</f>
        <v>3546788.16798743</v>
      </c>
      <c r="F4" s="44">
        <f t="shared" ref="F4:F13" si="1">F3+E4</f>
        <v>12322013.0263325</v>
      </c>
      <c r="G4" s="45">
        <f>表1[[#This Row],[发生费用]]/表1[[#This Row],[预算费用]]</f>
        <v>0.0212419999177323</v>
      </c>
      <c r="H4" s="45">
        <f>表1[[#This Row],[累计发生费用]]/表1[[#This Row],[累计预算费用]]</f>
        <v>0.0198016799778339</v>
      </c>
    </row>
    <row r="5" spans="1:8">
      <c r="A5" s="37" t="str">
        <f>'2 过程管理表单'!$BE$1</f>
        <v>2025年</v>
      </c>
      <c r="B5" s="42" t="s">
        <v>769</v>
      </c>
      <c r="C5" s="43">
        <f>'2 过程管理表单'!AI4</f>
        <v>179601.412876712</v>
      </c>
      <c r="D5" s="43">
        <f t="shared" si="0"/>
        <v>423597.971506849</v>
      </c>
      <c r="E5" s="44">
        <f>'2 过程管理表单'!AG4</f>
        <v>3546788.16798743</v>
      </c>
      <c r="F5" s="44">
        <f t="shared" si="1"/>
        <v>15868801.1943199</v>
      </c>
      <c r="G5" s="45">
        <f>表1[[#This Row],[发生费用]]/表1[[#This Row],[预算费用]]</f>
        <v>0.0506377613689357</v>
      </c>
      <c r="H5" s="45">
        <f>表1[[#This Row],[累计发生费用]]/表1[[#This Row],[累计预算费用]]</f>
        <v>0.0266937600591072</v>
      </c>
    </row>
    <row r="6" spans="1:8">
      <c r="A6" s="37" t="str">
        <f>'2 过程管理表单'!$BE$1</f>
        <v>2025年</v>
      </c>
      <c r="B6" s="42" t="s">
        <v>770</v>
      </c>
      <c r="C6" s="43">
        <f>'2 过程管理表单'!AL4</f>
        <v>156768.593972603</v>
      </c>
      <c r="D6" s="43">
        <f t="shared" si="0"/>
        <v>580366.565479452</v>
      </c>
      <c r="E6" s="44">
        <f>'2 过程管理表单'!AJ4</f>
        <v>3546788.16798743</v>
      </c>
      <c r="F6" s="44">
        <f t="shared" si="1"/>
        <v>19415589.3623073</v>
      </c>
      <c r="G6" s="45">
        <f>表1[[#This Row],[发生费用]]/表1[[#This Row],[预算费用]]</f>
        <v>0.0442001570287066</v>
      </c>
      <c r="H6" s="45">
        <f>表1[[#This Row],[累计发生费用]]/表1[[#This Row],[累计预算费用]]</f>
        <v>0.0298917820442862</v>
      </c>
    </row>
    <row r="7" spans="1:8">
      <c r="A7" s="37" t="str">
        <f>'2 过程管理表单'!$BE$1</f>
        <v>2025年</v>
      </c>
      <c r="B7" s="42" t="s">
        <v>771</v>
      </c>
      <c r="C7" s="43">
        <f>'2 过程管理表单'!AO4</f>
        <v>59875.2328767124</v>
      </c>
      <c r="D7" s="43">
        <f t="shared" si="0"/>
        <v>640241.798356165</v>
      </c>
      <c r="E7" s="44">
        <f>'2 过程管理表单'!AM4</f>
        <v>3546788.16798743</v>
      </c>
      <c r="F7" s="44">
        <f t="shared" si="1"/>
        <v>22962377.5302948</v>
      </c>
      <c r="G7" s="45">
        <f>表1[[#This Row],[发生费用]]/表1[[#This Row],[预算费用]]</f>
        <v>0.0168815362070771</v>
      </c>
      <c r="H7" s="45">
        <f>表1[[#This Row],[累计发生费用]]/表1[[#This Row],[累计预算费用]]</f>
        <v>0.0278822085174534</v>
      </c>
    </row>
    <row r="8" spans="1:8">
      <c r="A8" s="37" t="str">
        <f>'2 过程管理表单'!$BE$1</f>
        <v>2025年</v>
      </c>
      <c r="B8" s="42" t="s">
        <v>772</v>
      </c>
      <c r="C8" s="43">
        <f>'2 过程管理表单'!AR4</f>
        <v>61871.0739726028</v>
      </c>
      <c r="D8" s="43">
        <f t="shared" si="0"/>
        <v>702112.872328767</v>
      </c>
      <c r="E8" s="44">
        <f>'2 过程管理表单'!AP4</f>
        <v>3546788.16798743</v>
      </c>
      <c r="F8" s="44">
        <f t="shared" si="1"/>
        <v>26509165.6982822</v>
      </c>
      <c r="G8" s="45">
        <f>表1[[#This Row],[发生费用]]/表1[[#This Row],[预算费用]]</f>
        <v>0.0174442540806463</v>
      </c>
      <c r="H8" s="45">
        <f>表1[[#This Row],[累计发生费用]]/表1[[#This Row],[累计预算费用]]</f>
        <v>0.0264856646308663</v>
      </c>
    </row>
    <row r="9" spans="1:8">
      <c r="A9" s="37" t="str">
        <f>'2 过程管理表单'!$BE$1</f>
        <v>2025年</v>
      </c>
      <c r="B9" s="42" t="s">
        <v>773</v>
      </c>
      <c r="C9" s="43">
        <f>'2 过程管理表单'!AU4</f>
        <v>61871.0739726028</v>
      </c>
      <c r="D9" s="43">
        <f t="shared" si="0"/>
        <v>763983.94630137</v>
      </c>
      <c r="E9" s="44">
        <f>'2 过程管理表单'!AS4</f>
        <v>3546788.16798743</v>
      </c>
      <c r="F9" s="44">
        <f t="shared" si="1"/>
        <v>30055953.8662696</v>
      </c>
      <c r="G9" s="45">
        <f>表1[[#This Row],[发生费用]]/表1[[#This Row],[预算费用]]</f>
        <v>0.0174442540806463</v>
      </c>
      <c r="H9" s="45">
        <f>表1[[#This Row],[累计发生费用]]/表1[[#This Row],[累计预算费用]]</f>
        <v>0.0254187223503411</v>
      </c>
    </row>
    <row r="10" spans="1:8">
      <c r="A10" s="37" t="str">
        <f>'2 过程管理表单'!$BE$1</f>
        <v>2025年</v>
      </c>
      <c r="B10" s="42" t="s">
        <v>774</v>
      </c>
      <c r="C10" s="43">
        <f>'2 过程管理表单'!AX4</f>
        <v>43859.3643835617</v>
      </c>
      <c r="D10" s="43">
        <f t="shared" si="0"/>
        <v>807843.310684932</v>
      </c>
      <c r="E10" s="44">
        <f>'2 过程管理表单'!AV4</f>
        <v>3546788.16798743</v>
      </c>
      <c r="F10" s="44">
        <f t="shared" si="1"/>
        <v>33602742.034257</v>
      </c>
      <c r="G10" s="45">
        <f>表1[[#This Row],[发生费用]]/表1[[#This Row],[预算费用]]</f>
        <v>0.0123659385072464</v>
      </c>
      <c r="H10" s="45">
        <f>表1[[#This Row],[累计发生费用]]/表1[[#This Row],[累计预算费用]]</f>
        <v>0.0240409937338256</v>
      </c>
    </row>
    <row r="11" spans="1:8">
      <c r="A11" s="37" t="str">
        <f>'2 过程管理表单'!$BE$1</f>
        <v>2025年</v>
      </c>
      <c r="B11" s="42" t="s">
        <v>775</v>
      </c>
      <c r="C11" s="43">
        <f>'2 过程管理表单'!BA4</f>
        <v>10291.7260273973</v>
      </c>
      <c r="D11" s="43">
        <f t="shared" si="0"/>
        <v>818135.036712329</v>
      </c>
      <c r="E11" s="44">
        <f>'2 过程管理表单'!AY4</f>
        <v>3546788.16798743</v>
      </c>
      <c r="F11" s="44">
        <f t="shared" si="1"/>
        <v>37149530.2022445</v>
      </c>
      <c r="G11" s="45">
        <f>表1[[#This Row],[发生费用]]/表1[[#This Row],[预算费用]]</f>
        <v>0.00290170304510664</v>
      </c>
      <c r="H11" s="45">
        <f>表1[[#This Row],[累计发生费用]]/表1[[#This Row],[累计预算费用]]</f>
        <v>0.0220227559341491</v>
      </c>
    </row>
    <row r="12" spans="1:8">
      <c r="A12" s="37" t="str">
        <f>'2 过程管理表单'!$BE$1</f>
        <v>2025年</v>
      </c>
      <c r="B12" s="42" t="s">
        <v>776</v>
      </c>
      <c r="C12" s="43">
        <f>'2 过程管理表单'!BD4</f>
        <v>0</v>
      </c>
      <c r="D12" s="43">
        <f t="shared" si="0"/>
        <v>818135.036712329</v>
      </c>
      <c r="E12" s="44">
        <f>'2 过程管理表单'!BB4</f>
        <v>3546788.16798743</v>
      </c>
      <c r="F12" s="44">
        <f t="shared" si="1"/>
        <v>40696318.3702319</v>
      </c>
      <c r="G12" s="45">
        <f>表1[[#This Row],[发生费用]]/表1[[#This Row],[预算费用]]</f>
        <v>0</v>
      </c>
      <c r="H12" s="45">
        <f>表1[[#This Row],[累计发生费用]]/表1[[#This Row],[累计预算费用]]</f>
        <v>0.020103416463116</v>
      </c>
    </row>
    <row r="13" spans="1:8">
      <c r="A13" s="37" t="str">
        <f>'2 过程管理表单'!$BE$1</f>
        <v>2025年</v>
      </c>
      <c r="B13" s="42" t="s">
        <v>777</v>
      </c>
      <c r="C13" s="43">
        <f>'2 过程管理表单'!BG4</f>
        <v>0</v>
      </c>
      <c r="D13" s="43">
        <f t="shared" si="0"/>
        <v>818135.036712329</v>
      </c>
      <c r="E13" s="44">
        <f>'2 过程管理表单'!BE4</f>
        <v>4322190.10798742</v>
      </c>
      <c r="F13" s="44">
        <f t="shared" si="1"/>
        <v>45018508.4782193</v>
      </c>
      <c r="G13" s="45">
        <f>表1[[#This Row],[发生费用]]/表1[[#This Row],[预算费用]]</f>
        <v>0</v>
      </c>
      <c r="H13" s="45">
        <f>表1[[#This Row],[累计发生费用]]/表1[[#This Row],[累计预算费用]]</f>
        <v>0.0181733039225001</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5260</v>
      </c>
      <c r="B1" s="20" t="s">
        <v>5261</v>
      </c>
      <c r="C1" s="9" t="s">
        <v>766</v>
      </c>
      <c r="D1" s="9" t="s">
        <v>767</v>
      </c>
      <c r="E1" s="9" t="s">
        <v>768</v>
      </c>
      <c r="F1" s="9" t="s">
        <v>769</v>
      </c>
      <c r="G1" s="9" t="s">
        <v>770</v>
      </c>
      <c r="H1" s="9" t="s">
        <v>771</v>
      </c>
      <c r="I1" s="9" t="s">
        <v>772</v>
      </c>
      <c r="J1" s="9" t="s">
        <v>773</v>
      </c>
      <c r="K1" s="9" t="s">
        <v>774</v>
      </c>
      <c r="L1" s="9" t="s">
        <v>775</v>
      </c>
      <c r="M1" s="9" t="s">
        <v>776</v>
      </c>
      <c r="N1" s="9" t="s">
        <v>777</v>
      </c>
    </row>
    <row r="2" hidden="1" spans="1:14">
      <c r="A2" s="14" t="s">
        <v>214</v>
      </c>
      <c r="B2" s="20" t="s">
        <v>5262</v>
      </c>
      <c r="C2">
        <f>'2 过程管理表单'!Z5</f>
        <v>68566.2739726028</v>
      </c>
      <c r="D2">
        <f>'2 过程管理表单'!AC5</f>
        <v>67621.1506849314</v>
      </c>
      <c r="E2">
        <f>'2 过程管理表单'!AF5</f>
        <v>74866.2739726028</v>
      </c>
      <c r="F2">
        <f>'2 过程管理表单'!AI5</f>
        <v>58951.2328767124</v>
      </c>
      <c r="G2">
        <f>'2 过程管理表单'!AL5</f>
        <v>60916.2739726028</v>
      </c>
      <c r="H2">
        <f>'2 过程管理表单'!AO5</f>
        <v>59875.2328767124</v>
      </c>
      <c r="I2">
        <f>'2 过程管理表单'!AR5</f>
        <v>61871.0739726028</v>
      </c>
      <c r="J2">
        <f>'2 过程管理表单'!AU5</f>
        <v>61871.0739726028</v>
      </c>
      <c r="K2">
        <f>'2 过程管理表单'!AX5</f>
        <v>43859.3643835617</v>
      </c>
      <c r="L2">
        <f>'2 过程管理表单'!BA5</f>
        <v>10291.7260273973</v>
      </c>
      <c r="M2">
        <f>'2 过程管理表单'!BD5</f>
        <v>0</v>
      </c>
      <c r="N2">
        <f>'2 过程管理表单'!BG4</f>
        <v>0</v>
      </c>
    </row>
    <row r="3" hidden="1" spans="1:14">
      <c r="A3" s="14" t="s">
        <v>214</v>
      </c>
      <c r="B3" s="20" t="s">
        <v>5263</v>
      </c>
      <c r="C3">
        <f t="shared" ref="C3:C7" si="0">C2</f>
        <v>68566.2739726028</v>
      </c>
      <c r="D3">
        <f t="shared" ref="D3:N3" si="1">C3+D2</f>
        <v>136187.424657534</v>
      </c>
      <c r="E3">
        <f t="shared" si="1"/>
        <v>211053.698630137</v>
      </c>
      <c r="F3">
        <f t="shared" si="1"/>
        <v>270004.931506849</v>
      </c>
      <c r="G3">
        <f t="shared" si="1"/>
        <v>330921.205479452</v>
      </c>
      <c r="H3">
        <f t="shared" si="1"/>
        <v>390796.438356165</v>
      </c>
      <c r="I3">
        <f t="shared" si="1"/>
        <v>452667.512328767</v>
      </c>
      <c r="J3">
        <f t="shared" si="1"/>
        <v>514538.58630137</v>
      </c>
      <c r="K3">
        <f t="shared" si="1"/>
        <v>558397.950684932</v>
      </c>
      <c r="L3">
        <f t="shared" si="1"/>
        <v>568689.676712329</v>
      </c>
      <c r="M3">
        <f t="shared" si="1"/>
        <v>568689.676712329</v>
      </c>
      <c r="N3">
        <f t="shared" si="1"/>
        <v>568689.676712329</v>
      </c>
    </row>
    <row r="4" hidden="1" spans="1:14">
      <c r="A4" s="14" t="s">
        <v>214</v>
      </c>
      <c r="B4" s="20" t="s">
        <v>5264</v>
      </c>
      <c r="C4">
        <f>'2 过程管理表单'!X5</f>
        <v>3808839.38338066</v>
      </c>
      <c r="D4">
        <f>'2 过程管理表单'!AA5</f>
        <v>3523184.01704403</v>
      </c>
      <c r="E4">
        <f>'2 过程管理表单'!AD5</f>
        <v>3523184.01704403</v>
      </c>
      <c r="F4">
        <f>'2 过程管理表单'!AG5</f>
        <v>3523184.01704403</v>
      </c>
      <c r="G4">
        <f>'2 过程管理表单'!AJ5</f>
        <v>3523184.01704403</v>
      </c>
      <c r="H4">
        <f>'2 过程管理表单'!AM5</f>
        <v>3523184.01704403</v>
      </c>
      <c r="I4">
        <f>'2 过程管理表单'!AP5</f>
        <v>3523184.01704403</v>
      </c>
      <c r="J4">
        <f>'2 过程管理表单'!AS5</f>
        <v>3523184.01704403</v>
      </c>
      <c r="K4">
        <f>'2 过程管理表单'!AV5</f>
        <v>3523184.01704403</v>
      </c>
      <c r="L4">
        <f>'2 过程管理表单'!AY5</f>
        <v>3523184.01704403</v>
      </c>
      <c r="M4">
        <f>'2 过程管理表单'!BB5</f>
        <v>3523184.01704403</v>
      </c>
      <c r="N4">
        <f>'2 过程管理表单'!BE5</f>
        <v>4298585.95704402</v>
      </c>
    </row>
    <row r="5" hidden="1" spans="1:14">
      <c r="A5" s="14" t="s">
        <v>214</v>
      </c>
      <c r="B5" s="20" t="s">
        <v>5265</v>
      </c>
      <c r="C5">
        <f t="shared" si="0"/>
        <v>3808839.38338066</v>
      </c>
      <c r="D5">
        <f t="shared" ref="D5:N5" si="2">C5+D4</f>
        <v>7332023.40042469</v>
      </c>
      <c r="E5">
        <f t="shared" si="2"/>
        <v>10855207.4174687</v>
      </c>
      <c r="F5">
        <f t="shared" si="2"/>
        <v>14378391.4345127</v>
      </c>
      <c r="G5">
        <f t="shared" si="2"/>
        <v>17901575.4515568</v>
      </c>
      <c r="H5">
        <f t="shared" si="2"/>
        <v>21424759.4686008</v>
      </c>
      <c r="I5">
        <f t="shared" si="2"/>
        <v>24947943.4856448</v>
      </c>
      <c r="J5">
        <f t="shared" si="2"/>
        <v>28471127.5026889</v>
      </c>
      <c r="K5">
        <f t="shared" si="2"/>
        <v>31994311.5197329</v>
      </c>
      <c r="L5">
        <f t="shared" si="2"/>
        <v>35517495.5367769</v>
      </c>
      <c r="M5">
        <f t="shared" si="2"/>
        <v>39040679.553821</v>
      </c>
      <c r="N5">
        <f t="shared" si="2"/>
        <v>43339265.510865</v>
      </c>
    </row>
    <row r="6" hidden="1" spans="1:14">
      <c r="A6" s="14" t="s">
        <v>9</v>
      </c>
      <c r="B6" s="36" t="s">
        <v>5266</v>
      </c>
      <c r="C6">
        <f>'2 过程管理表单'!Z508</f>
        <v>630.54</v>
      </c>
      <c r="D6">
        <f>'2 过程管理表单'!AC508</f>
        <v>6429.12</v>
      </c>
      <c r="E6">
        <f>'2 过程管理表单'!AF508</f>
        <v>474.6</v>
      </c>
      <c r="F6">
        <f>'2 过程管理表单'!AI508</f>
        <v>119031.39</v>
      </c>
      <c r="G6">
        <f>'2 过程管理表单'!AL508</f>
        <v>95852.32</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5267</v>
      </c>
      <c r="C7">
        <f t="shared" si="0"/>
        <v>630.54</v>
      </c>
      <c r="D7">
        <f t="shared" ref="D7:N7" si="3">C7+D6</f>
        <v>7059.66</v>
      </c>
      <c r="E7">
        <f t="shared" si="3"/>
        <v>7534.26</v>
      </c>
      <c r="F7">
        <f t="shared" si="3"/>
        <v>126565.65</v>
      </c>
      <c r="G7">
        <f t="shared" si="3"/>
        <v>222417.97</v>
      </c>
      <c r="H7">
        <f t="shared" si="3"/>
        <v>222417.97</v>
      </c>
      <c r="I7">
        <f t="shared" si="3"/>
        <v>222417.97</v>
      </c>
      <c r="J7">
        <f t="shared" si="3"/>
        <v>222417.97</v>
      </c>
      <c r="K7">
        <f t="shared" si="3"/>
        <v>222417.97</v>
      </c>
      <c r="L7">
        <f t="shared" si="3"/>
        <v>222417.97</v>
      </c>
      <c r="M7">
        <f t="shared" si="3"/>
        <v>222417.97</v>
      </c>
      <c r="N7">
        <f t="shared" si="3"/>
        <v>222417.97</v>
      </c>
    </row>
    <row r="8" hidden="1" spans="1:14">
      <c r="A8" s="14" t="s">
        <v>9</v>
      </c>
      <c r="B8" s="20" t="s">
        <v>5268</v>
      </c>
      <c r="C8">
        <f>'2 过程管理表单'!X508</f>
        <v>1174083.72207132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5269</v>
      </c>
      <c r="C9">
        <f t="shared" ref="C9:C13" si="4">C8</f>
        <v>1174083.72207132</v>
      </c>
      <c r="D9">
        <f t="shared" ref="D9:N9" si="5">C9+D8</f>
        <v>1174083.72207132</v>
      </c>
      <c r="E9">
        <f t="shared" si="5"/>
        <v>1174083.72207132</v>
      </c>
      <c r="F9">
        <f t="shared" si="5"/>
        <v>1174083.72207132</v>
      </c>
      <c r="G9">
        <f t="shared" si="5"/>
        <v>1174083.72207132</v>
      </c>
      <c r="H9">
        <f t="shared" si="5"/>
        <v>1174083.72207132</v>
      </c>
      <c r="I9">
        <f t="shared" si="5"/>
        <v>1174083.72207132</v>
      </c>
      <c r="J9">
        <f t="shared" si="5"/>
        <v>1174083.72207132</v>
      </c>
      <c r="K9">
        <f t="shared" si="5"/>
        <v>1174083.72207132</v>
      </c>
      <c r="L9">
        <f t="shared" si="5"/>
        <v>1174083.72207132</v>
      </c>
      <c r="M9">
        <f t="shared" si="5"/>
        <v>1174083.72207132</v>
      </c>
      <c r="N9">
        <f t="shared" si="5"/>
        <v>1174083.72207132</v>
      </c>
    </row>
    <row r="10" hidden="1" spans="1:14">
      <c r="A10" s="14" t="s">
        <v>64</v>
      </c>
      <c r="B10" s="20" t="s">
        <v>5270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4" t="s">
        <v>64</v>
      </c>
      <c r="B11" s="20" t="s">
        <v>5271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14" t="s">
        <v>64</v>
      </c>
      <c r="B12" s="20" t="s">
        <v>5272</v>
      </c>
      <c r="C12">
        <f>'2 过程管理表单'!X536</f>
        <v>33204.1509433962</v>
      </c>
      <c r="D12">
        <f>'2 过程管理表单'!AA536</f>
        <v>12804.1509433962</v>
      </c>
      <c r="E12">
        <f>'2 过程管理表单'!AD536</f>
        <v>12804.1509433962</v>
      </c>
      <c r="F12">
        <f>'2 过程管理表单'!AG536</f>
        <v>12804.1509433962</v>
      </c>
      <c r="G12">
        <f>'2 过程管理表单'!AJ536</f>
        <v>12804.1509433962</v>
      </c>
      <c r="H12">
        <f>'2 过程管理表单'!AM536</f>
        <v>12804.1509433962</v>
      </c>
      <c r="I12">
        <f>'2 过程管理表单'!AP536</f>
        <v>12804.1509433962</v>
      </c>
      <c r="J12">
        <f>'2 过程管理表单'!AS536</f>
        <v>12804.1509433962</v>
      </c>
      <c r="K12">
        <f>'2 过程管理表单'!AV536</f>
        <v>12804.1509433962</v>
      </c>
      <c r="L12">
        <f>'2 过程管理表单'!AY536</f>
        <v>12804.1509433962</v>
      </c>
      <c r="M12">
        <f>'2 过程管理表单'!BB536</f>
        <v>12804.1509433962</v>
      </c>
      <c r="N12">
        <f>'2 过程管理表单'!BE536</f>
        <v>12804.1509433962</v>
      </c>
    </row>
    <row r="13" hidden="1" spans="1:14">
      <c r="A13" s="14" t="s">
        <v>64</v>
      </c>
      <c r="B13" s="20" t="s">
        <v>5273</v>
      </c>
      <c r="C13">
        <f t="shared" si="4"/>
        <v>33204.1509433962</v>
      </c>
      <c r="D13">
        <f t="shared" ref="D13:N13" si="7">C13+D12</f>
        <v>46008.3018867924</v>
      </c>
      <c r="E13">
        <f t="shared" si="7"/>
        <v>58812.4528301886</v>
      </c>
      <c r="F13">
        <f t="shared" si="7"/>
        <v>71616.6037735848</v>
      </c>
      <c r="G13">
        <f t="shared" si="7"/>
        <v>84420.754716981</v>
      </c>
      <c r="H13">
        <f t="shared" si="7"/>
        <v>97224.9056603772</v>
      </c>
      <c r="I13">
        <f t="shared" si="7"/>
        <v>110029.056603773</v>
      </c>
      <c r="J13">
        <f t="shared" si="7"/>
        <v>122833.20754717</v>
      </c>
      <c r="K13">
        <f t="shared" si="7"/>
        <v>135637.358490566</v>
      </c>
      <c r="L13">
        <f t="shared" si="7"/>
        <v>148441.509433962</v>
      </c>
      <c r="M13">
        <f t="shared" si="7"/>
        <v>161245.660377358</v>
      </c>
      <c r="N13">
        <f t="shared" si="7"/>
        <v>174049.811320754</v>
      </c>
    </row>
    <row r="14" spans="1:14">
      <c r="A14" s="14" t="s">
        <v>215</v>
      </c>
      <c r="B14" s="20" t="s">
        <v>5274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5275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5276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5277</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5278</v>
      </c>
      <c r="C18">
        <f>'2 过程管理表单'!Z603</f>
        <v>8540.6</v>
      </c>
      <c r="D18">
        <f>'2 过程管理表单'!AC603</f>
        <v>16868</v>
      </c>
      <c r="E18">
        <f>'2 过程管理表单'!AF603</f>
        <v>0</v>
      </c>
      <c r="F18">
        <f>'2 过程管理表单'!AI603</f>
        <v>1250.29</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5279</v>
      </c>
      <c r="C19">
        <f t="shared" si="8"/>
        <v>8540.6</v>
      </c>
      <c r="D19">
        <f>表3_37[[#This Row],[1月]]+D18</f>
        <v>25408.6</v>
      </c>
      <c r="E19">
        <f>表3_37[[#This Row],[2月]]+E18</f>
        <v>25408.6</v>
      </c>
      <c r="F19">
        <f>表3_37[[#This Row],[3月]]+F18</f>
        <v>26658.89</v>
      </c>
      <c r="G19">
        <f>表3_37[[#This Row],[4月]]+G18</f>
        <v>26658.89</v>
      </c>
      <c r="H19">
        <f>表3_37[[#This Row],[5月]]+H18</f>
        <v>26658.89</v>
      </c>
      <c r="I19">
        <f>表3_37[[#This Row],[6月]]+I18</f>
        <v>26658.89</v>
      </c>
      <c r="J19">
        <f>表3_37[[#This Row],[7月]]+J18</f>
        <v>26658.89</v>
      </c>
      <c r="K19">
        <f>表3_37[[#This Row],[8月]]+K18</f>
        <v>26658.89</v>
      </c>
      <c r="L19">
        <f>表3_37[[#This Row],[9月]]+L18</f>
        <v>26658.89</v>
      </c>
      <c r="M19">
        <f>表3_37[[#This Row],[10月]]+M18</f>
        <v>26658.89</v>
      </c>
      <c r="N19">
        <f>表3_37[[#This Row],[11月]]+N18</f>
        <v>26658.89</v>
      </c>
    </row>
    <row r="20" hidden="1" spans="1:14">
      <c r="A20" s="14" t="s">
        <v>216</v>
      </c>
      <c r="B20" s="20" t="s">
        <v>5280</v>
      </c>
      <c r="C20">
        <f>'2 过程管理表单'!X603</f>
        <v>10800</v>
      </c>
      <c r="D20">
        <f>'2 过程管理表单'!AA603</f>
        <v>10800</v>
      </c>
      <c r="E20">
        <f>'2 过程管理表单'!AD603</f>
        <v>10800</v>
      </c>
      <c r="F20">
        <f>'2 过程管理表单'!AG603</f>
        <v>10800</v>
      </c>
      <c r="G20">
        <f>'2 过程管理表单'!AJ603</f>
        <v>10800</v>
      </c>
      <c r="H20">
        <f>'2 过程管理表单'!AM603</f>
        <v>10800</v>
      </c>
      <c r="I20">
        <f>'2 过程管理表单'!AP603</f>
        <v>10800</v>
      </c>
      <c r="J20">
        <f>'2 过程管理表单'!AS603</f>
        <v>10800</v>
      </c>
      <c r="K20">
        <f>'2 过程管理表单'!AV603</f>
        <v>10800</v>
      </c>
      <c r="L20">
        <f>'2 过程管理表单'!AY603</f>
        <v>10800</v>
      </c>
      <c r="M20">
        <f>'2 过程管理表单'!BB603</f>
        <v>10800</v>
      </c>
      <c r="N20">
        <f>'2 过程管理表单'!BE603</f>
        <v>10800</v>
      </c>
    </row>
    <row r="21" hidden="1" spans="1:14">
      <c r="A21" s="14" t="s">
        <v>216</v>
      </c>
      <c r="B21" s="20" t="s">
        <v>5281</v>
      </c>
      <c r="C21">
        <f t="shared" ref="C21:C25" si="10">C20</f>
        <v>10800</v>
      </c>
      <c r="D21">
        <f>表3_37[[#This Row],[1月]]+D20</f>
        <v>21600</v>
      </c>
      <c r="E21">
        <f>表3_37[[#This Row],[2月]]+E20</f>
        <v>32400</v>
      </c>
      <c r="F21">
        <f>表3_37[[#This Row],[3月]]+F20</f>
        <v>43200</v>
      </c>
      <c r="G21">
        <f>表3_37[[#This Row],[4月]]+G20</f>
        <v>54000</v>
      </c>
      <c r="H21">
        <f>表3_37[[#This Row],[5月]]+H20</f>
        <v>64800</v>
      </c>
      <c r="I21">
        <f>表3_37[[#This Row],[6月]]+I20</f>
        <v>75600</v>
      </c>
      <c r="J21">
        <f>表3_37[[#This Row],[7月]]+J20</f>
        <v>86400</v>
      </c>
      <c r="K21">
        <f>表3_37[[#This Row],[8月]]+K20</f>
        <v>97200</v>
      </c>
      <c r="L21">
        <f>表3_37[[#This Row],[9月]]+L20</f>
        <v>108000</v>
      </c>
      <c r="M21">
        <f>表3_37[[#This Row],[10月]]+M20</f>
        <v>118800</v>
      </c>
      <c r="N21">
        <f>表3_37[[#This Row],[11月]]+N20</f>
        <v>129600</v>
      </c>
    </row>
    <row r="22" hidden="1" spans="1:14">
      <c r="A22" s="14" t="s">
        <v>217</v>
      </c>
      <c r="B22" s="20" t="s">
        <v>5282</v>
      </c>
      <c r="C22">
        <f>'2 过程管理表单'!Z616</f>
        <v>0</v>
      </c>
      <c r="D22">
        <f>'2 过程管理表单'!AC616</f>
        <v>0</v>
      </c>
      <c r="E22">
        <f>'2 过程管理表单'!AF616</f>
        <v>0</v>
      </c>
      <c r="F22">
        <f>'2 过程管理表单'!AI616</f>
        <v>368.5</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5283</v>
      </c>
      <c r="C23">
        <f t="shared" si="10"/>
        <v>0</v>
      </c>
      <c r="D23">
        <f>表3_37[[#This Row],[1月]]+D22</f>
        <v>0</v>
      </c>
      <c r="E23">
        <f>表3_37[[#This Row],[2月]]+E22</f>
        <v>0</v>
      </c>
      <c r="F23">
        <f>表3_37[[#This Row],[3月]]+F22</f>
        <v>368.5</v>
      </c>
      <c r="G23">
        <f>表3_37[[#This Row],[4月]]+G22</f>
        <v>368.5</v>
      </c>
      <c r="H23">
        <f>表3_37[[#This Row],[5月]]+H22</f>
        <v>368.5</v>
      </c>
      <c r="I23">
        <f>表3_37[[#This Row],[6月]]+I22</f>
        <v>368.5</v>
      </c>
      <c r="J23">
        <f>表3_37[[#This Row],[7月]]+J22</f>
        <v>368.5</v>
      </c>
      <c r="K23">
        <f>表3_37[[#This Row],[8月]]+K22</f>
        <v>368.5</v>
      </c>
      <c r="L23">
        <f>表3_37[[#This Row],[9月]]+L22</f>
        <v>368.5</v>
      </c>
      <c r="M23">
        <f>表3_37[[#This Row],[10月]]+M22</f>
        <v>368.5</v>
      </c>
      <c r="N23">
        <f>表3_37[[#This Row],[11月]]+N22</f>
        <v>368.5</v>
      </c>
    </row>
    <row r="24" hidden="1" spans="1:14">
      <c r="A24" s="14" t="s">
        <v>217</v>
      </c>
      <c r="B24" s="20" t="s">
        <v>5284</v>
      </c>
      <c r="C24">
        <f>'2 过程管理表单'!X616</f>
        <v>201509.433962264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5285</v>
      </c>
      <c r="C25">
        <f t="shared" si="10"/>
        <v>201509.433962264</v>
      </c>
      <c r="D25">
        <f>表3_37[[#This Row],[1月]]+D24</f>
        <v>201509.433962264</v>
      </c>
      <c r="E25">
        <f>表3_37[[#This Row],[2月]]+E24</f>
        <v>201509.433962264</v>
      </c>
      <c r="F25">
        <f>表3_37[[#This Row],[3月]]+F24</f>
        <v>201509.433962264</v>
      </c>
      <c r="G25">
        <f>表3_37[[#This Row],[4月]]+G24</f>
        <v>201509.433962264</v>
      </c>
      <c r="H25">
        <f>表3_37[[#This Row],[5月]]+H24</f>
        <v>201509.433962264</v>
      </c>
      <c r="I25">
        <f>表3_37[[#This Row],[6月]]+I24</f>
        <v>201509.433962264</v>
      </c>
      <c r="J25">
        <f>表3_37[[#This Row],[7月]]+J24</f>
        <v>201509.433962264</v>
      </c>
      <c r="K25">
        <f>表3_37[[#This Row],[8月]]+K24</f>
        <v>201509.433962264</v>
      </c>
      <c r="L25">
        <f>表3_37[[#This Row],[9月]]+L24</f>
        <v>201509.433962264</v>
      </c>
      <c r="M25">
        <f>表3_37[[#This Row],[10月]]+M24</f>
        <v>201509.433962264</v>
      </c>
      <c r="N25">
        <f>表3_37[[#This Row],[11月]]+N24</f>
        <v>201509.433962264</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5260</v>
      </c>
      <c r="B1" s="13" t="s">
        <v>766</v>
      </c>
      <c r="C1" s="13" t="s">
        <v>767</v>
      </c>
      <c r="D1" s="13" t="s">
        <v>768</v>
      </c>
      <c r="E1" s="13" t="s">
        <v>769</v>
      </c>
      <c r="F1" s="13" t="s">
        <v>770</v>
      </c>
      <c r="G1" s="13" t="s">
        <v>771</v>
      </c>
      <c r="H1" s="13" t="s">
        <v>772</v>
      </c>
      <c r="I1" s="13" t="s">
        <v>773</v>
      </c>
      <c r="J1" s="13" t="s">
        <v>774</v>
      </c>
      <c r="K1" s="13" t="s">
        <v>775</v>
      </c>
      <c r="L1" s="13" t="s">
        <v>776</v>
      </c>
      <c r="M1" s="13" t="s">
        <v>777</v>
      </c>
    </row>
    <row r="2" spans="1:13">
      <c r="A2" s="14" t="s">
        <v>214</v>
      </c>
      <c r="B2" s="14">
        <f>COUNTIF('2 过程管理表单'!Y6:Y507,"&lt;"&amp;0)</f>
        <v>6</v>
      </c>
      <c r="C2" s="14">
        <f>COUNTIF('2 过程管理表单'!AB6:AB507,"&lt;"&amp;0)</f>
        <v>7</v>
      </c>
      <c r="D2" s="14">
        <f>COUNTIF('2 过程管理表单'!AE6:AE507,"&lt;"&amp;0)</f>
        <v>9</v>
      </c>
      <c r="E2" s="14">
        <f>COUNTIF('2 过程管理表单'!AH6:AH507,"&lt;"&amp;0)</f>
        <v>8</v>
      </c>
      <c r="F2" s="14">
        <f>COUNTIF('2 过程管理表单'!AK6:AK507,"&lt;"&amp;0)</f>
        <v>8</v>
      </c>
      <c r="G2" s="14">
        <f>COUNTIF('2 过程管理表单'!AN6:AN507,"&lt;"&amp;0)</f>
        <v>8</v>
      </c>
      <c r="H2" s="14">
        <f>COUNTIF('2 过程管理表单'!AQ6:AQ507,"&lt;"&amp;0)</f>
        <v>8</v>
      </c>
      <c r="I2" s="14">
        <f>COUNTIF('2 过程管理表单'!AT6:AT507,"&lt;"&amp;0)</f>
        <v>8</v>
      </c>
      <c r="J2" s="14">
        <f>COUNTIF('2 过程管理表单'!AW6:AW507,"&lt;"&amp;0)</f>
        <v>6</v>
      </c>
      <c r="K2" s="14">
        <f>COUNTIF('2 过程管理表单'!AW6:AW507,"&lt;"&amp;0)</f>
        <v>6</v>
      </c>
      <c r="L2" s="14">
        <f>COUNTIF('2 过程管理表单'!BC6:BC507,"&lt;"&amp;0)</f>
        <v>0</v>
      </c>
      <c r="M2" s="14">
        <f>COUNTIF('2 过程管理表单'!BF6:BF507,"&lt;"&amp;0)</f>
        <v>0</v>
      </c>
    </row>
    <row r="3" spans="1:13">
      <c r="A3" s="14" t="s">
        <v>9</v>
      </c>
      <c r="B3" s="14">
        <f>COUNTIF('2 过程管理表单'!Y509:Y535,"&lt;0")</f>
        <v>0</v>
      </c>
      <c r="C3" s="14">
        <f>COUNTIF('2 过程管理表单'!AB508:AB535,"&lt;"&amp;0)</f>
        <v>5</v>
      </c>
      <c r="D3" s="14">
        <f>COUNTIF('2 过程管理表单'!AE508:AE535,"&lt;"&amp;0)</f>
        <v>3</v>
      </c>
      <c r="E3" s="14">
        <f>COUNTIF('2 过程管理表单'!AH508:AH535,"&lt;"&amp;0)</f>
        <v>9</v>
      </c>
      <c r="F3" s="14">
        <f>COUNTIF('2 过程管理表单'!AK508:AK535,"&lt;"&amp;0)</f>
        <v>8</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1</v>
      </c>
      <c r="C6" s="14">
        <f>COUNTIF('2 过程管理表单'!AB604:AB615,"&lt;"&amp;0)</f>
        <v>1</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1</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5286</v>
      </c>
      <c r="B8" s="14">
        <f>B2+B3+B4+B5+B6+B7</f>
        <v>7</v>
      </c>
      <c r="C8" s="14">
        <f t="shared" ref="C8:M8" si="0">SUM(C2:C7)</f>
        <v>13</v>
      </c>
      <c r="D8" s="14">
        <f t="shared" si="0"/>
        <v>12</v>
      </c>
      <c r="E8" s="14">
        <f t="shared" si="0"/>
        <v>18</v>
      </c>
      <c r="F8" s="14">
        <f t="shared" si="0"/>
        <v>16</v>
      </c>
      <c r="G8" s="14">
        <f t="shared" si="0"/>
        <v>8</v>
      </c>
      <c r="H8" s="14">
        <f t="shared" si="0"/>
        <v>8</v>
      </c>
      <c r="I8" s="14">
        <f t="shared" si="0"/>
        <v>8</v>
      </c>
      <c r="J8" s="14">
        <f t="shared" si="0"/>
        <v>6</v>
      </c>
      <c r="K8" s="14">
        <f t="shared" si="0"/>
        <v>6</v>
      </c>
      <c r="L8" s="14">
        <f t="shared" si="0"/>
        <v>0</v>
      </c>
      <c r="M8" s="14">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5260</v>
      </c>
      <c r="B1" s="20" t="s">
        <v>5261</v>
      </c>
      <c r="C1" s="9" t="s">
        <v>766</v>
      </c>
      <c r="D1" s="9" t="s">
        <v>767</v>
      </c>
      <c r="E1" s="9" t="s">
        <v>768</v>
      </c>
      <c r="F1" s="9" t="s">
        <v>769</v>
      </c>
      <c r="G1" s="9" t="s">
        <v>770</v>
      </c>
      <c r="H1" s="9" t="s">
        <v>771</v>
      </c>
      <c r="I1" s="9" t="s">
        <v>772</v>
      </c>
      <c r="J1" s="9" t="s">
        <v>773</v>
      </c>
      <c r="K1" s="9" t="s">
        <v>774</v>
      </c>
      <c r="L1" s="9" t="s">
        <v>775</v>
      </c>
      <c r="M1" s="9" t="s">
        <v>776</v>
      </c>
      <c r="N1" s="9" t="s">
        <v>777</v>
      </c>
    </row>
    <row r="2" spans="1:14">
      <c r="A2" s="14" t="s">
        <v>214</v>
      </c>
      <c r="B2" s="20" t="s">
        <v>5262</v>
      </c>
      <c r="C2">
        <f>'2 过程管理表单'!Z5</f>
        <v>68566.2739726028</v>
      </c>
      <c r="D2">
        <f>'2 过程管理表单'!AC5</f>
        <v>67621.1506849314</v>
      </c>
      <c r="E2">
        <f>'2 过程管理表单'!AF5</f>
        <v>74866.2739726028</v>
      </c>
      <c r="F2">
        <f>'2 过程管理表单'!AI5</f>
        <v>58951.2328767124</v>
      </c>
      <c r="G2">
        <f>'2 过程管理表单'!AL5</f>
        <v>60916.2739726028</v>
      </c>
      <c r="H2">
        <f>'2 过程管理表单'!AO5</f>
        <v>59875.2328767124</v>
      </c>
      <c r="I2">
        <f>'2 过程管理表单'!AR5</f>
        <v>61871.0739726028</v>
      </c>
      <c r="J2">
        <f>'2 过程管理表单'!AU5</f>
        <v>61871.0739726028</v>
      </c>
      <c r="K2">
        <f>'2 过程管理表单'!AX5</f>
        <v>43859.3643835617</v>
      </c>
      <c r="L2">
        <f>'2 过程管理表单'!BA5</f>
        <v>10291.7260273973</v>
      </c>
      <c r="M2">
        <f>'2 过程管理表单'!BD5</f>
        <v>0</v>
      </c>
      <c r="N2">
        <f>'2 过程管理表单'!BG4</f>
        <v>0</v>
      </c>
    </row>
    <row r="3" spans="1:14">
      <c r="A3" s="14" t="s">
        <v>214</v>
      </c>
      <c r="B3" s="20" t="s">
        <v>5263</v>
      </c>
      <c r="C3">
        <f>C2</f>
        <v>68566.2739726028</v>
      </c>
      <c r="D3">
        <f t="shared" ref="D3:N3" si="0">C3+D2</f>
        <v>136187.424657534</v>
      </c>
      <c r="E3">
        <f t="shared" si="0"/>
        <v>211053.698630137</v>
      </c>
      <c r="F3">
        <f t="shared" si="0"/>
        <v>270004.931506849</v>
      </c>
      <c r="G3">
        <f t="shared" si="0"/>
        <v>330921.205479452</v>
      </c>
      <c r="H3">
        <f t="shared" si="0"/>
        <v>390796.438356165</v>
      </c>
      <c r="I3">
        <f t="shared" si="0"/>
        <v>452667.512328767</v>
      </c>
      <c r="J3">
        <f t="shared" si="0"/>
        <v>514538.58630137</v>
      </c>
      <c r="K3">
        <f t="shared" si="0"/>
        <v>558397.950684932</v>
      </c>
      <c r="L3">
        <f t="shared" si="0"/>
        <v>568689.676712329</v>
      </c>
      <c r="M3">
        <f t="shared" si="0"/>
        <v>568689.676712329</v>
      </c>
      <c r="N3">
        <f t="shared" si="0"/>
        <v>568689.676712329</v>
      </c>
    </row>
    <row r="4" spans="1:14">
      <c r="A4" s="14" t="s">
        <v>214</v>
      </c>
      <c r="B4" s="20" t="s">
        <v>5264</v>
      </c>
      <c r="C4">
        <f>'2 过程管理表单'!X5</f>
        <v>3808839.38338066</v>
      </c>
      <c r="D4">
        <f>'2 过程管理表单'!AA5</f>
        <v>3523184.01704403</v>
      </c>
      <c r="E4">
        <f>'2 过程管理表单'!AD5</f>
        <v>3523184.01704403</v>
      </c>
      <c r="F4">
        <f>'2 过程管理表单'!AG5</f>
        <v>3523184.01704403</v>
      </c>
      <c r="G4">
        <f>'2 过程管理表单'!AJ5</f>
        <v>3523184.01704403</v>
      </c>
      <c r="H4">
        <f>'2 过程管理表单'!AM5</f>
        <v>3523184.01704403</v>
      </c>
      <c r="I4">
        <f>'2 过程管理表单'!AP5</f>
        <v>3523184.01704403</v>
      </c>
      <c r="J4">
        <f>'2 过程管理表单'!AS5</f>
        <v>3523184.01704403</v>
      </c>
      <c r="K4">
        <f>'2 过程管理表单'!AV5</f>
        <v>3523184.01704403</v>
      </c>
      <c r="L4">
        <f>'2 过程管理表单'!AY5</f>
        <v>3523184.01704403</v>
      </c>
      <c r="M4">
        <f>'2 过程管理表单'!BB5</f>
        <v>3523184.01704403</v>
      </c>
      <c r="N4">
        <f>'2 过程管理表单'!BE5</f>
        <v>4298585.95704402</v>
      </c>
    </row>
    <row r="5" spans="1:14">
      <c r="A5" s="14" t="s">
        <v>214</v>
      </c>
      <c r="B5" s="20" t="s">
        <v>5265</v>
      </c>
      <c r="C5">
        <f>C4</f>
        <v>3808839.38338066</v>
      </c>
      <c r="D5">
        <f t="shared" ref="D5:N5" si="1">C5+D4</f>
        <v>7332023.40042469</v>
      </c>
      <c r="E5">
        <f t="shared" si="1"/>
        <v>10855207.4174687</v>
      </c>
      <c r="F5">
        <f t="shared" si="1"/>
        <v>14378391.4345127</v>
      </c>
      <c r="G5">
        <f t="shared" si="1"/>
        <v>17901575.4515568</v>
      </c>
      <c r="H5">
        <f t="shared" si="1"/>
        <v>21424759.4686008</v>
      </c>
      <c r="I5">
        <f t="shared" si="1"/>
        <v>24947943.4856448</v>
      </c>
      <c r="J5">
        <f t="shared" si="1"/>
        <v>28471127.5026889</v>
      </c>
      <c r="K5">
        <f t="shared" si="1"/>
        <v>31994311.5197329</v>
      </c>
      <c r="L5">
        <f t="shared" si="1"/>
        <v>35517495.5367769</v>
      </c>
      <c r="M5">
        <f t="shared" si="1"/>
        <v>39040679.553821</v>
      </c>
      <c r="N5">
        <f t="shared" si="1"/>
        <v>43339265.510865</v>
      </c>
    </row>
    <row r="6" spans="1:14">
      <c r="A6" s="14" t="s">
        <v>9</v>
      </c>
      <c r="B6" s="36" t="s">
        <v>5266</v>
      </c>
      <c r="C6">
        <f>'2 过程管理表单'!Z508</f>
        <v>630.54</v>
      </c>
      <c r="D6">
        <f>'2 过程管理表单'!AC508</f>
        <v>6429.12</v>
      </c>
      <c r="E6">
        <f>'2 过程管理表单'!AF508</f>
        <v>474.6</v>
      </c>
      <c r="F6">
        <f>'2 过程管理表单'!AI508</f>
        <v>119031.39</v>
      </c>
      <c r="G6">
        <f>'2 过程管理表单'!AL508</f>
        <v>95852.32</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5267</v>
      </c>
      <c r="C7">
        <f>C6</f>
        <v>630.54</v>
      </c>
      <c r="D7">
        <f t="shared" ref="D7:N7" si="2">C7+D6</f>
        <v>7059.66</v>
      </c>
      <c r="E7">
        <f t="shared" si="2"/>
        <v>7534.26</v>
      </c>
      <c r="F7">
        <f t="shared" si="2"/>
        <v>126565.65</v>
      </c>
      <c r="G7">
        <f t="shared" si="2"/>
        <v>222417.97</v>
      </c>
      <c r="H7">
        <f t="shared" si="2"/>
        <v>222417.97</v>
      </c>
      <c r="I7">
        <f t="shared" si="2"/>
        <v>222417.97</v>
      </c>
      <c r="J7">
        <f t="shared" si="2"/>
        <v>222417.97</v>
      </c>
      <c r="K7">
        <f t="shared" si="2"/>
        <v>222417.97</v>
      </c>
      <c r="L7">
        <f t="shared" si="2"/>
        <v>222417.97</v>
      </c>
      <c r="M7">
        <f t="shared" si="2"/>
        <v>222417.97</v>
      </c>
      <c r="N7">
        <f t="shared" si="2"/>
        <v>222417.97</v>
      </c>
    </row>
    <row r="8" spans="1:14">
      <c r="A8" s="14" t="s">
        <v>9</v>
      </c>
      <c r="B8" s="20" t="s">
        <v>5268</v>
      </c>
      <c r="C8">
        <f>'2 过程管理表单'!X508</f>
        <v>1174083.72207132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5269</v>
      </c>
      <c r="C9">
        <f>C8</f>
        <v>1174083.72207132</v>
      </c>
      <c r="D9">
        <f t="shared" ref="D9:N9" si="3">C9+D8</f>
        <v>1174083.72207132</v>
      </c>
      <c r="E9">
        <f t="shared" si="3"/>
        <v>1174083.72207132</v>
      </c>
      <c r="F9">
        <f t="shared" si="3"/>
        <v>1174083.72207132</v>
      </c>
      <c r="G9">
        <f t="shared" si="3"/>
        <v>1174083.72207132</v>
      </c>
      <c r="H9">
        <f t="shared" si="3"/>
        <v>1174083.72207132</v>
      </c>
      <c r="I9">
        <f t="shared" si="3"/>
        <v>1174083.72207132</v>
      </c>
      <c r="J9">
        <f t="shared" si="3"/>
        <v>1174083.72207132</v>
      </c>
      <c r="K9">
        <f t="shared" si="3"/>
        <v>1174083.72207132</v>
      </c>
      <c r="L9">
        <f t="shared" si="3"/>
        <v>1174083.72207132</v>
      </c>
      <c r="M9">
        <f t="shared" si="3"/>
        <v>1174083.72207132</v>
      </c>
      <c r="N9">
        <f t="shared" si="3"/>
        <v>1174083.72207132</v>
      </c>
    </row>
    <row r="10" spans="1:14">
      <c r="A10" s="14" t="s">
        <v>64</v>
      </c>
      <c r="B10" s="20" t="s">
        <v>5270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5271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5272</v>
      </c>
      <c r="C12">
        <f>'2 过程管理表单'!X536</f>
        <v>33204.1509433962</v>
      </c>
      <c r="D12">
        <f>'2 过程管理表单'!AA536</f>
        <v>12804.1509433962</v>
      </c>
      <c r="E12">
        <f>'2 过程管理表单'!AD536</f>
        <v>12804.1509433962</v>
      </c>
      <c r="F12">
        <f>'2 过程管理表单'!AG536</f>
        <v>12804.1509433962</v>
      </c>
      <c r="G12">
        <f>'2 过程管理表单'!AJ536</f>
        <v>12804.1509433962</v>
      </c>
      <c r="H12">
        <f>'2 过程管理表单'!AM536</f>
        <v>12804.1509433962</v>
      </c>
      <c r="I12">
        <f>'2 过程管理表单'!AP536</f>
        <v>12804.1509433962</v>
      </c>
      <c r="J12">
        <f>'2 过程管理表单'!AS536</f>
        <v>12804.1509433962</v>
      </c>
      <c r="K12">
        <f>'2 过程管理表单'!AV536</f>
        <v>12804.1509433962</v>
      </c>
      <c r="L12">
        <f>'2 过程管理表单'!AY536</f>
        <v>12804.1509433962</v>
      </c>
      <c r="M12">
        <f>'2 过程管理表单'!BB536</f>
        <v>12804.1509433962</v>
      </c>
      <c r="N12">
        <f>'2 过程管理表单'!BE536</f>
        <v>12804.1509433962</v>
      </c>
    </row>
    <row r="13" spans="1:14">
      <c r="A13" s="14" t="s">
        <v>64</v>
      </c>
      <c r="B13" s="20" t="s">
        <v>5273</v>
      </c>
      <c r="C13">
        <f>C12</f>
        <v>33204.1509433962</v>
      </c>
      <c r="D13">
        <f t="shared" ref="D13:N13" si="5">C13+D12</f>
        <v>46008.3018867924</v>
      </c>
      <c r="E13">
        <f t="shared" si="5"/>
        <v>58812.4528301886</v>
      </c>
      <c r="F13">
        <f t="shared" si="5"/>
        <v>71616.6037735848</v>
      </c>
      <c r="G13">
        <f t="shared" si="5"/>
        <v>84420.754716981</v>
      </c>
      <c r="H13">
        <f t="shared" si="5"/>
        <v>97224.9056603772</v>
      </c>
      <c r="I13">
        <f t="shared" si="5"/>
        <v>110029.056603773</v>
      </c>
      <c r="J13">
        <f t="shared" si="5"/>
        <v>122833.20754717</v>
      </c>
      <c r="K13">
        <f t="shared" si="5"/>
        <v>135637.358490566</v>
      </c>
      <c r="L13">
        <f t="shared" si="5"/>
        <v>148441.509433962</v>
      </c>
      <c r="M13">
        <f t="shared" si="5"/>
        <v>161245.660377358</v>
      </c>
      <c r="N13">
        <f t="shared" si="5"/>
        <v>174049.811320754</v>
      </c>
    </row>
    <row r="14" spans="1:14">
      <c r="A14" s="14" t="s">
        <v>215</v>
      </c>
      <c r="B14" s="20" t="s">
        <v>5274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5275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5276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5277</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5278</v>
      </c>
      <c r="C18">
        <f>'2 过程管理表单'!Z603</f>
        <v>8540.6</v>
      </c>
      <c r="D18">
        <f>'2 过程管理表单'!AC603</f>
        <v>16868</v>
      </c>
      <c r="E18">
        <f>'2 过程管理表单'!AF603</f>
        <v>0</v>
      </c>
      <c r="F18">
        <f>'2 过程管理表单'!AI603</f>
        <v>1250.29</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5279</v>
      </c>
      <c r="C19">
        <f>C18</f>
        <v>8540.6</v>
      </c>
      <c r="D19">
        <f>表3_3[[#This Row],[1月]]+D18</f>
        <v>25408.6</v>
      </c>
      <c r="E19">
        <f>表3_3[[#This Row],[2月]]+E18</f>
        <v>25408.6</v>
      </c>
      <c r="F19">
        <f>表3_3[[#This Row],[3月]]+F18</f>
        <v>26658.89</v>
      </c>
      <c r="G19">
        <f>表3_3[[#This Row],[4月]]+G18</f>
        <v>26658.89</v>
      </c>
      <c r="H19">
        <f>表3_3[[#This Row],[5月]]+H18</f>
        <v>26658.89</v>
      </c>
      <c r="I19">
        <f>表3_3[[#This Row],[6月]]+I18</f>
        <v>26658.89</v>
      </c>
      <c r="J19">
        <f>表3_3[[#This Row],[7月]]+J18</f>
        <v>26658.89</v>
      </c>
      <c r="K19">
        <f>表3_3[[#This Row],[8月]]+K18</f>
        <v>26658.89</v>
      </c>
      <c r="L19">
        <f>表3_3[[#This Row],[9月]]+L18</f>
        <v>26658.89</v>
      </c>
      <c r="M19">
        <f>表3_3[[#This Row],[10月]]+M18</f>
        <v>26658.89</v>
      </c>
      <c r="N19">
        <f>表3_3[[#This Row],[11月]]+N18</f>
        <v>26658.89</v>
      </c>
    </row>
    <row r="20" spans="1:14">
      <c r="A20" s="14" t="s">
        <v>216</v>
      </c>
      <c r="B20" s="20" t="s">
        <v>5280</v>
      </c>
      <c r="C20">
        <f>'2 过程管理表单'!X603</f>
        <v>10800</v>
      </c>
      <c r="D20">
        <f>'2 过程管理表单'!AA603</f>
        <v>10800</v>
      </c>
      <c r="E20">
        <f>'2 过程管理表单'!AD603</f>
        <v>10800</v>
      </c>
      <c r="F20">
        <f>'2 过程管理表单'!AG603</f>
        <v>10800</v>
      </c>
      <c r="G20">
        <f>'2 过程管理表单'!AJ603</f>
        <v>10800</v>
      </c>
      <c r="H20">
        <f>'2 过程管理表单'!AM603</f>
        <v>10800</v>
      </c>
      <c r="I20">
        <f>'2 过程管理表单'!AP603</f>
        <v>10800</v>
      </c>
      <c r="J20">
        <f>'2 过程管理表单'!AS603</f>
        <v>10800</v>
      </c>
      <c r="K20">
        <f>'2 过程管理表单'!AV603</f>
        <v>10800</v>
      </c>
      <c r="L20">
        <f>'2 过程管理表单'!AY603</f>
        <v>10800</v>
      </c>
      <c r="M20">
        <f>'2 过程管理表单'!BB603</f>
        <v>10800</v>
      </c>
      <c r="N20">
        <f>'2 过程管理表单'!BE603</f>
        <v>10800</v>
      </c>
    </row>
    <row r="21" spans="1:14">
      <c r="A21" s="14" t="s">
        <v>216</v>
      </c>
      <c r="B21" s="20" t="s">
        <v>5281</v>
      </c>
      <c r="C21">
        <f>C20</f>
        <v>10800</v>
      </c>
      <c r="D21">
        <f>表3_3[[#This Row],[1月]]+D20</f>
        <v>21600</v>
      </c>
      <c r="E21">
        <f>表3_3[[#This Row],[2月]]+E20</f>
        <v>32400</v>
      </c>
      <c r="F21">
        <f>表3_3[[#This Row],[3月]]+F20</f>
        <v>43200</v>
      </c>
      <c r="G21">
        <f>表3_3[[#This Row],[4月]]+G20</f>
        <v>54000</v>
      </c>
      <c r="H21">
        <f>表3_3[[#This Row],[5月]]+H20</f>
        <v>64800</v>
      </c>
      <c r="I21">
        <f>表3_3[[#This Row],[6月]]+I20</f>
        <v>75600</v>
      </c>
      <c r="J21">
        <f>表3_3[[#This Row],[7月]]+J20</f>
        <v>86400</v>
      </c>
      <c r="K21">
        <f>表3_3[[#This Row],[8月]]+K20</f>
        <v>97200</v>
      </c>
      <c r="L21">
        <f>表3_3[[#This Row],[9月]]+L20</f>
        <v>108000</v>
      </c>
      <c r="M21">
        <f>表3_3[[#This Row],[10月]]+M20</f>
        <v>118800</v>
      </c>
      <c r="N21">
        <f>表3_3[[#This Row],[11月]]+N20</f>
        <v>129600</v>
      </c>
    </row>
    <row r="22" spans="1:14">
      <c r="A22" s="14" t="s">
        <v>217</v>
      </c>
      <c r="B22" s="20" t="s">
        <v>5282</v>
      </c>
      <c r="C22">
        <f>'2 过程管理表单'!Z616</f>
        <v>0</v>
      </c>
      <c r="D22">
        <f>'2 过程管理表单'!AC616</f>
        <v>0</v>
      </c>
      <c r="E22">
        <f>'2 过程管理表单'!AF616</f>
        <v>0</v>
      </c>
      <c r="F22">
        <f>'2 过程管理表单'!AI616</f>
        <v>368.5</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5283</v>
      </c>
      <c r="C23">
        <f>C22</f>
        <v>0</v>
      </c>
      <c r="D23">
        <f>表3_3[[#This Row],[1月]]+D22</f>
        <v>0</v>
      </c>
      <c r="E23">
        <f>表3_3[[#This Row],[2月]]+E22</f>
        <v>0</v>
      </c>
      <c r="F23">
        <f>表3_3[[#This Row],[3月]]+F22</f>
        <v>368.5</v>
      </c>
      <c r="G23">
        <f>表3_3[[#This Row],[4月]]+G22</f>
        <v>368.5</v>
      </c>
      <c r="H23">
        <f>表3_3[[#This Row],[5月]]+H22</f>
        <v>368.5</v>
      </c>
      <c r="I23">
        <f>表3_3[[#This Row],[6月]]+I22</f>
        <v>368.5</v>
      </c>
      <c r="J23">
        <f>表3_3[[#This Row],[7月]]+J22</f>
        <v>368.5</v>
      </c>
      <c r="K23">
        <f>表3_3[[#This Row],[8月]]+K22</f>
        <v>368.5</v>
      </c>
      <c r="L23">
        <f>表3_3[[#This Row],[9月]]+L22</f>
        <v>368.5</v>
      </c>
      <c r="M23">
        <f>表3_3[[#This Row],[10月]]+M22</f>
        <v>368.5</v>
      </c>
      <c r="N23">
        <f>表3_3[[#This Row],[11月]]+N22</f>
        <v>368.5</v>
      </c>
    </row>
    <row r="24" spans="1:14">
      <c r="A24" s="14" t="s">
        <v>217</v>
      </c>
      <c r="B24" s="20" t="s">
        <v>5284</v>
      </c>
      <c r="C24">
        <f>'2 过程管理表单'!X616</f>
        <v>201509.433962264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5285</v>
      </c>
      <c r="C25">
        <f>C24</f>
        <v>201509.433962264</v>
      </c>
      <c r="D25">
        <f>表3_3[[#This Row],[1月]]+D24</f>
        <v>201509.433962264</v>
      </c>
      <c r="E25">
        <f>表3_3[[#This Row],[2月]]+E24</f>
        <v>201509.433962264</v>
      </c>
      <c r="F25">
        <f>表3_3[[#This Row],[3月]]+F24</f>
        <v>201509.433962264</v>
      </c>
      <c r="G25">
        <f>表3_3[[#This Row],[4月]]+G24</f>
        <v>201509.433962264</v>
      </c>
      <c r="H25">
        <f>表3_3[[#This Row],[5月]]+H24</f>
        <v>201509.433962264</v>
      </c>
      <c r="I25">
        <f>表3_3[[#This Row],[6月]]+I24</f>
        <v>201509.433962264</v>
      </c>
      <c r="J25">
        <f>表3_3[[#This Row],[7月]]+J24</f>
        <v>201509.433962264</v>
      </c>
      <c r="K25">
        <f>表3_3[[#This Row],[8月]]+K24</f>
        <v>201509.433962264</v>
      </c>
      <c r="L25">
        <f>表3_3[[#This Row],[9月]]+L24</f>
        <v>201509.433962264</v>
      </c>
      <c r="M25">
        <f>表3_3[[#This Row],[10月]]+M24</f>
        <v>201509.433962264</v>
      </c>
      <c r="N25">
        <f>表3_3[[#This Row],[11月]]+N24</f>
        <v>201509.433962264</v>
      </c>
    </row>
    <row r="26" spans="1:14">
      <c r="A26" s="38" t="s">
        <v>5287</v>
      </c>
      <c r="B26" s="39" t="s">
        <v>5288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5287</v>
      </c>
      <c r="B27" s="39" t="s">
        <v>5289</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5287</v>
      </c>
      <c r="B28" s="39" t="s">
        <v>5290</v>
      </c>
      <c r="C28">
        <f>'2 过程管理表单'!X6</f>
        <v>3493064.52018868</v>
      </c>
      <c r="D28">
        <f>'2 过程管理表单'!AA6</f>
        <v>3493064.52018868</v>
      </c>
      <c r="E28">
        <f>'2 过程管理表单'!AD6</f>
        <v>3493064.52018868</v>
      </c>
      <c r="F28">
        <f>'2 过程管理表单'!AG6</f>
        <v>3493064.52018868</v>
      </c>
      <c r="G28">
        <f>'2 过程管理表单'!AJ6</f>
        <v>3493064.52018868</v>
      </c>
      <c r="H28">
        <f>'2 过程管理表单'!AM6</f>
        <v>3493064.52018868</v>
      </c>
      <c r="I28">
        <f>'2 过程管理表单'!AP6</f>
        <v>3493064.52018868</v>
      </c>
      <c r="J28">
        <f>'2 过程管理表单'!AS6</f>
        <v>3493064.52018868</v>
      </c>
      <c r="K28">
        <f>'2 过程管理表单'!AV6</f>
        <v>3493064.52018868</v>
      </c>
      <c r="L28">
        <f>'2 过程管理表单'!AY6</f>
        <v>3493064.52018868</v>
      </c>
      <c r="M28">
        <f>'2 过程管理表单'!BB6</f>
        <v>3493064.52018868</v>
      </c>
      <c r="N28">
        <f>'2 过程管理表单'!BE6</f>
        <v>4268466.46018868</v>
      </c>
    </row>
    <row r="29" spans="1:14">
      <c r="A29" s="38" t="s">
        <v>5287</v>
      </c>
      <c r="B29" s="39" t="s">
        <v>5291</v>
      </c>
      <c r="C29">
        <f>C28</f>
        <v>3493064.52018868</v>
      </c>
      <c r="D29">
        <f>表3_3[[#This Row],[1月]]+D28</f>
        <v>6986129.04037736</v>
      </c>
      <c r="E29">
        <f>表3_3[[#This Row],[2月]]+E28</f>
        <v>10479193.560566</v>
      </c>
      <c r="F29">
        <f>表3_3[[#This Row],[3月]]+F28</f>
        <v>13972258.0807547</v>
      </c>
      <c r="G29">
        <f>表3_3[[#This Row],[4月]]+G28</f>
        <v>17465322.6009434</v>
      </c>
      <c r="H29">
        <f>表3_3[[#This Row],[5月]]+H28</f>
        <v>20958387.1211321</v>
      </c>
      <c r="I29">
        <f>表3_3[[#This Row],[6月]]+I28</f>
        <v>24451451.6413208</v>
      </c>
      <c r="J29">
        <f>表3_3[[#This Row],[7月]]+J28</f>
        <v>27944516.1615094</v>
      </c>
      <c r="K29">
        <f>表3_3[[#This Row],[8月]]+K28</f>
        <v>31437580.6816981</v>
      </c>
      <c r="L29">
        <f>表3_3[[#This Row],[9月]]+L28</f>
        <v>34930645.2018868</v>
      </c>
      <c r="M29">
        <f>表3_3[[#This Row],[10月]]+M28</f>
        <v>38423709.7220755</v>
      </c>
      <c r="N29">
        <f>表3_3[[#This Row],[11月]]+N28</f>
        <v>42692176.1822642</v>
      </c>
    </row>
    <row r="30" spans="1:14">
      <c r="A30" s="38" t="s">
        <v>5292</v>
      </c>
      <c r="B30" s="39" t="s">
        <v>5288</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5292</v>
      </c>
      <c r="B31" s="39" t="s">
        <v>5289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5292</v>
      </c>
      <c r="B32" s="39" t="s">
        <v>5290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5292</v>
      </c>
      <c r="B33" s="39" t="s">
        <v>5291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5293</v>
      </c>
      <c r="B34" s="39" t="s">
        <v>5288</v>
      </c>
      <c r="C34" s="40">
        <f>'2 过程管理表单'!Z177</f>
        <v>68566.2739726028</v>
      </c>
      <c r="D34" s="40">
        <f>'2 过程管理表单'!AC177</f>
        <v>67621.1506849314</v>
      </c>
      <c r="E34" s="40">
        <f>'2 过程管理表单'!AF177</f>
        <v>74866.2739726028</v>
      </c>
      <c r="F34" s="40">
        <f>'2 过程管理表单'!AI177</f>
        <v>58951.2328767124</v>
      </c>
      <c r="G34" s="40">
        <f>'2 过程管理表单'!AL177</f>
        <v>60916.2739726028</v>
      </c>
      <c r="H34" s="40">
        <f>'2 过程管理表单'!AO177</f>
        <v>59875.2328767124</v>
      </c>
      <c r="I34" s="40">
        <f>'2 过程管理表单'!AR177</f>
        <v>61871.0739726028</v>
      </c>
      <c r="J34" s="40">
        <f>'2 过程管理表单'!AU177</f>
        <v>61871.0739726028</v>
      </c>
      <c r="K34" s="40">
        <f>'2 过程管理表单'!AX177</f>
        <v>43859.3643835617</v>
      </c>
      <c r="L34" s="40">
        <f>'2 过程管理表单'!BA177</f>
        <v>10291.7260273973</v>
      </c>
      <c r="M34" s="40">
        <f>'2 过程管理表单'!BD177</f>
        <v>0</v>
      </c>
      <c r="N34" s="40">
        <f>'2 过程管理表单'!BG177</f>
        <v>0</v>
      </c>
    </row>
    <row r="35" spans="1:14">
      <c r="A35" s="38" t="s">
        <v>5293</v>
      </c>
      <c r="B35" s="39" t="s">
        <v>5289</v>
      </c>
      <c r="C35" s="40">
        <f>C34</f>
        <v>68566.2739726028</v>
      </c>
      <c r="D35" s="40">
        <f>C35+C34</f>
        <v>137132.547945206</v>
      </c>
      <c r="E35" s="40">
        <f>D35+E34</f>
        <v>211998.821917808</v>
      </c>
      <c r="F35" s="40">
        <f>E35+F34</f>
        <v>270950.054794521</v>
      </c>
      <c r="G35" s="40">
        <f>F35+G34</f>
        <v>331866.328767124</v>
      </c>
      <c r="H35" s="40">
        <f t="shared" ref="H35:N35" si="7">H34+G35</f>
        <v>391741.561643836</v>
      </c>
      <c r="I35" s="40">
        <f t="shared" si="7"/>
        <v>453612.635616439</v>
      </c>
      <c r="J35" s="40">
        <f t="shared" si="7"/>
        <v>515483.709589041</v>
      </c>
      <c r="K35" s="40">
        <f t="shared" si="7"/>
        <v>559343.073972603</v>
      </c>
      <c r="L35" s="40">
        <f t="shared" si="7"/>
        <v>569634.800000001</v>
      </c>
      <c r="M35" s="40">
        <f t="shared" si="7"/>
        <v>569634.800000001</v>
      </c>
      <c r="N35" s="40">
        <f t="shared" si="7"/>
        <v>569634.800000001</v>
      </c>
    </row>
    <row r="36" spans="1:14">
      <c r="A36" s="38" t="s">
        <v>5293</v>
      </c>
      <c r="B36" s="39" t="s">
        <v>5290</v>
      </c>
      <c r="C36" s="40">
        <f>'2 过程管理表单'!X177</f>
        <v>315774.86319198</v>
      </c>
      <c r="D36" s="40">
        <f>'2 过程管理表单'!AA177</f>
        <v>30119.4968553459</v>
      </c>
      <c r="E36" s="40">
        <f>'2 过程管理表单'!AD177</f>
        <v>30119.4968553459</v>
      </c>
      <c r="F36" s="40">
        <f>'2 过程管理表单'!AG177</f>
        <v>30119.4968553459</v>
      </c>
      <c r="G36" s="40">
        <f>'2 过程管理表单'!AJ177</f>
        <v>30119.4968553459</v>
      </c>
      <c r="H36" s="40">
        <f>'2 过程管理表单'!AM177</f>
        <v>30119.4968553459</v>
      </c>
      <c r="I36" s="40">
        <f>'2 过程管理表单'!AP177</f>
        <v>30119.4968553459</v>
      </c>
      <c r="J36" s="40">
        <f>'2 过程管理表单'!AS177</f>
        <v>30119.4968553459</v>
      </c>
      <c r="K36" s="40">
        <f>'2 过程管理表单'!AV177</f>
        <v>30119.4968553459</v>
      </c>
      <c r="L36" s="40">
        <f>'2 过程管理表单'!AY177</f>
        <v>30119.4968553459</v>
      </c>
      <c r="M36" s="40">
        <f>'2 过程管理表单'!BB177</f>
        <v>30119.4968553459</v>
      </c>
      <c r="N36" s="40">
        <f>'2 过程管理表单'!BE177</f>
        <v>30119.4968553459</v>
      </c>
    </row>
    <row r="37" spans="1:14">
      <c r="A37" s="38" t="s">
        <v>5293</v>
      </c>
      <c r="B37" s="39" t="s">
        <v>5291</v>
      </c>
      <c r="C37" s="6">
        <f>C36</f>
        <v>315774.86319198</v>
      </c>
      <c r="D37" s="5">
        <f t="shared" ref="D37:N37" si="8">D36+C37</f>
        <v>345894.360047326</v>
      </c>
      <c r="E37" s="6">
        <f t="shared" si="8"/>
        <v>376013.856902672</v>
      </c>
      <c r="F37" s="6">
        <f t="shared" si="8"/>
        <v>406133.353758018</v>
      </c>
      <c r="G37" s="6">
        <f t="shared" si="8"/>
        <v>436252.850613364</v>
      </c>
      <c r="H37" s="6">
        <f t="shared" si="8"/>
        <v>466372.34746871</v>
      </c>
      <c r="I37" s="6">
        <f t="shared" si="8"/>
        <v>496491.844324055</v>
      </c>
      <c r="J37" s="6">
        <f t="shared" si="8"/>
        <v>526611.341179401</v>
      </c>
      <c r="K37" s="6">
        <f t="shared" si="8"/>
        <v>556730.838034747</v>
      </c>
      <c r="L37" s="6">
        <f t="shared" si="8"/>
        <v>586850.334890093</v>
      </c>
      <c r="M37" s="6">
        <f t="shared" si="8"/>
        <v>616969.831745439</v>
      </c>
      <c r="N37" s="5">
        <f t="shared" si="8"/>
        <v>647089.328600785</v>
      </c>
    </row>
    <row r="38" spans="1:14">
      <c r="A38" s="41" t="s">
        <v>5294</v>
      </c>
      <c r="B38" s="20" t="s">
        <v>5295</v>
      </c>
      <c r="C38">
        <f>C5+C9+C13+C17+C21+C25</f>
        <v>5228436.69035764</v>
      </c>
      <c r="D38">
        <f t="shared" ref="D38:N38" si="9">D5+D9+D13+D17+D21+D25</f>
        <v>8775224.85834507</v>
      </c>
      <c r="E38">
        <f t="shared" si="9"/>
        <v>12322013.0263325</v>
      </c>
      <c r="F38">
        <f t="shared" si="9"/>
        <v>15868801.1943199</v>
      </c>
      <c r="G38">
        <f t="shared" si="9"/>
        <v>19415589.3623073</v>
      </c>
      <c r="H38">
        <f t="shared" si="9"/>
        <v>22962377.5302948</v>
      </c>
      <c r="I38">
        <f t="shared" si="9"/>
        <v>26509165.6982822</v>
      </c>
      <c r="J38">
        <f t="shared" si="9"/>
        <v>30055953.8662696</v>
      </c>
      <c r="K38">
        <f t="shared" si="9"/>
        <v>33602742.0342571</v>
      </c>
      <c r="L38">
        <f t="shared" si="9"/>
        <v>37149530.2022445</v>
      </c>
      <c r="M38">
        <f t="shared" si="9"/>
        <v>40696318.3702319</v>
      </c>
      <c r="N38">
        <f t="shared" si="9"/>
        <v>45018508.4782193</v>
      </c>
    </row>
    <row r="39" spans="1:14">
      <c r="A39" s="41" t="s">
        <v>5294</v>
      </c>
      <c r="B39" s="20" t="s">
        <v>5296</v>
      </c>
      <c r="C39">
        <f>C3+C7+C11+C15+C19+C23</f>
        <v>77737.4139726028</v>
      </c>
      <c r="D39">
        <f t="shared" ref="D39:N39" si="10">D3+D7+D11+D15+D19+D23</f>
        <v>168655.684657534</v>
      </c>
      <c r="E39">
        <f t="shared" si="10"/>
        <v>243996.558630137</v>
      </c>
      <c r="F39">
        <f t="shared" si="10"/>
        <v>423597.971506849</v>
      </c>
      <c r="G39">
        <f t="shared" si="10"/>
        <v>580366.565479452</v>
      </c>
      <c r="H39">
        <f t="shared" si="10"/>
        <v>640241.798356165</v>
      </c>
      <c r="I39">
        <f t="shared" si="10"/>
        <v>702112.872328767</v>
      </c>
      <c r="J39">
        <f t="shared" si="10"/>
        <v>763983.94630137</v>
      </c>
      <c r="K39">
        <f t="shared" si="10"/>
        <v>807843.310684932</v>
      </c>
      <c r="L39">
        <f t="shared" si="10"/>
        <v>818135.036712329</v>
      </c>
      <c r="M39">
        <f t="shared" si="10"/>
        <v>818135.036712329</v>
      </c>
      <c r="N39">
        <f t="shared" si="10"/>
        <v>818135.036712329</v>
      </c>
    </row>
    <row r="42" spans="1:14">
      <c r="A42" s="4" t="s">
        <v>214</v>
      </c>
      <c r="B42" t="s">
        <v>5297</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5297</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5297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5297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5297</v>
      </c>
      <c r="C46">
        <f>IF(C19&gt;C21,1,0)</f>
        <v>0</v>
      </c>
      <c r="D46">
        <f t="shared" ref="D46:N46" si="15">IF(D19&gt;D21,1,0)</f>
        <v>1</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5297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1</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8" sqref="P8"/>
    </sheetView>
  </sheetViews>
  <sheetFormatPr defaultColWidth="9" defaultRowHeight="13.5"/>
  <cols>
    <col min="3" max="14" width="12.625"/>
  </cols>
  <sheetData>
    <row r="1" spans="1:14">
      <c r="A1" s="3" t="s">
        <v>5260</v>
      </c>
      <c r="B1" s="20" t="s">
        <v>5261</v>
      </c>
      <c r="C1" s="9" t="s">
        <v>766</v>
      </c>
      <c r="D1" s="9" t="s">
        <v>767</v>
      </c>
      <c r="E1" s="9" t="s">
        <v>768</v>
      </c>
      <c r="F1" s="9" t="s">
        <v>769</v>
      </c>
      <c r="G1" s="9" t="s">
        <v>770</v>
      </c>
      <c r="H1" s="9" t="s">
        <v>771</v>
      </c>
      <c r="I1" s="9" t="s">
        <v>772</v>
      </c>
      <c r="J1" s="9" t="s">
        <v>773</v>
      </c>
      <c r="K1" s="9" t="s">
        <v>774</v>
      </c>
      <c r="L1" s="9" t="s">
        <v>775</v>
      </c>
      <c r="M1" s="9" t="s">
        <v>776</v>
      </c>
      <c r="N1" s="9" t="s">
        <v>777</v>
      </c>
    </row>
    <row r="2" spans="1:14">
      <c r="A2" s="14" t="s">
        <v>214</v>
      </c>
      <c r="B2" s="20" t="s">
        <v>5262</v>
      </c>
      <c r="C2">
        <f>'2 过程管理表单'!Z5</f>
        <v>68566.2739726028</v>
      </c>
      <c r="D2">
        <f>'2 过程管理表单'!AC5</f>
        <v>67621.1506849314</v>
      </c>
      <c r="E2">
        <f>'2 过程管理表单'!AF5</f>
        <v>74866.2739726028</v>
      </c>
      <c r="F2">
        <f>'2 过程管理表单'!AI5</f>
        <v>58951.2328767124</v>
      </c>
      <c r="G2">
        <f>'2 过程管理表单'!AL5</f>
        <v>60916.2739726028</v>
      </c>
      <c r="H2">
        <f>'2 过程管理表单'!AO5</f>
        <v>59875.2328767124</v>
      </c>
      <c r="I2">
        <f>'2 过程管理表单'!AR5</f>
        <v>61871.0739726028</v>
      </c>
      <c r="J2">
        <f>'2 过程管理表单'!AU5</f>
        <v>61871.0739726028</v>
      </c>
      <c r="K2">
        <f>'2 过程管理表单'!AX5</f>
        <v>43859.3643835617</v>
      </c>
      <c r="L2">
        <f>'2 过程管理表单'!BA5</f>
        <v>10291.7260273973</v>
      </c>
      <c r="M2">
        <f>'2 过程管理表单'!BD5</f>
        <v>0</v>
      </c>
      <c r="N2">
        <f>'2 过程管理表单'!BG4</f>
        <v>0</v>
      </c>
    </row>
    <row r="3" spans="1:14">
      <c r="A3" s="14" t="s">
        <v>214</v>
      </c>
      <c r="B3" s="20" t="s">
        <v>5263</v>
      </c>
      <c r="C3">
        <f t="shared" ref="C3:C7" si="0">C2</f>
        <v>68566.2739726028</v>
      </c>
      <c r="D3">
        <f t="shared" ref="D3:N3" si="1">C3+D2</f>
        <v>136187.424657534</v>
      </c>
      <c r="E3">
        <f t="shared" si="1"/>
        <v>211053.698630137</v>
      </c>
      <c r="F3">
        <f t="shared" si="1"/>
        <v>270004.931506849</v>
      </c>
      <c r="G3">
        <f t="shared" si="1"/>
        <v>330921.205479452</v>
      </c>
      <c r="H3">
        <f t="shared" si="1"/>
        <v>390796.438356165</v>
      </c>
      <c r="I3">
        <f t="shared" si="1"/>
        <v>452667.512328767</v>
      </c>
      <c r="J3">
        <f t="shared" si="1"/>
        <v>514538.58630137</v>
      </c>
      <c r="K3">
        <f t="shared" si="1"/>
        <v>558397.950684932</v>
      </c>
      <c r="L3">
        <f t="shared" si="1"/>
        <v>568689.676712329</v>
      </c>
      <c r="M3">
        <f t="shared" si="1"/>
        <v>568689.676712329</v>
      </c>
      <c r="N3">
        <f t="shared" si="1"/>
        <v>568689.676712329</v>
      </c>
    </row>
    <row r="4" spans="1:14">
      <c r="A4" s="14" t="s">
        <v>214</v>
      </c>
      <c r="B4" s="20" t="s">
        <v>5264</v>
      </c>
      <c r="C4">
        <f>'2 过程管理表单'!X5-'2 过程管理表单'!X8-'2 过程管理表单'!X27-'2 过程管理表单'!X46-'2 过程管理表单'!X71-'2 过程管理表单'!X96-'2 过程管理表单'!X115-'2 过程管理表单'!X140-'2 过程管理表单'!X159</f>
        <v>323227.69338066</v>
      </c>
      <c r="D4">
        <f>'2 过程管理表单'!AA5-'2 过程管理表单'!AA8-'2 过程管理表单'!AA27-'2 过程管理表单'!AA46-'2 过程管理表单'!AA71-'2 过程管理表单'!AA96-'2 过程管理表单'!AA115-'2 过程管理表单'!AA140-'2 过程管理表单'!AA159</f>
        <v>37572.3270440302</v>
      </c>
      <c r="E4">
        <f>'2 过程管理表单'!AD5-'2 过程管理表单'!AD8-'2 过程管理表单'!AD27-'2 过程管理表单'!AD46-'2 过程管理表单'!AD71-'2 过程管理表单'!AD96-'2 过程管理表单'!AD115-'2 过程管理表单'!AD140-'2 过程管理表单'!AD159</f>
        <v>37572.3270440302</v>
      </c>
      <c r="F4">
        <f>'2 过程管理表单'!AG5-'2 过程管理表单'!AG8-'2 过程管理表单'!AG27-'2 过程管理表单'!AG46-'2 过程管理表单'!AG71-'2 过程管理表单'!AG96-'2 过程管理表单'!AG115-'2 过程管理表单'!AG140-'2 过程管理表单'!AG159</f>
        <v>37572.3270440302</v>
      </c>
      <c r="G4">
        <f>'2 过程管理表单'!AJ5-'2 过程管理表单'!AJ8-'2 过程管理表单'!AJ27-'2 过程管理表单'!AJ46-'2 过程管理表单'!AJ71-'2 过程管理表单'!AJ96-'2 过程管理表单'!AJ115-'2 过程管理表单'!AJ140-'2 过程管理表单'!AJ159</f>
        <v>37572.3270440302</v>
      </c>
      <c r="H4">
        <f>'2 过程管理表单'!AM5-'2 过程管理表单'!AM8-'2 过程管理表单'!AM27-'2 过程管理表单'!AM46-'2 过程管理表单'!AM71-'2 过程管理表单'!AM96-'2 过程管理表单'!AM115-'2 过程管理表单'!AM140-'2 过程管理表单'!AM159</f>
        <v>37572.3270440302</v>
      </c>
      <c r="I4">
        <f>'2 过程管理表单'!AP5-'2 过程管理表单'!AP8-'2 过程管理表单'!AP27-'2 过程管理表单'!AP46-'2 过程管理表单'!AP71-'2 过程管理表单'!AP96-'2 过程管理表单'!AP115-'2 过程管理表单'!AP140-'2 过程管理表单'!AP159</f>
        <v>37572.3270440302</v>
      </c>
      <c r="J4">
        <f>'2 过程管理表单'!AS5-'2 过程管理表单'!AS8-'2 过程管理表单'!AS27-'2 过程管理表单'!AS46-'2 过程管理表单'!AS71-'2 过程管理表单'!AS96-'2 过程管理表单'!AS115-'2 过程管理表单'!AS140-'2 过程管理表单'!AS159</f>
        <v>37572.3270440302</v>
      </c>
      <c r="K4">
        <f>'2 过程管理表单'!AV5-'2 过程管理表单'!AV8-'2 过程管理表单'!AV27-'2 过程管理表单'!AV46-'2 过程管理表单'!AV71-'2 过程管理表单'!AV96-'2 过程管理表单'!AV115-'2 过程管理表单'!AV140-'2 过程管理表单'!AV159</f>
        <v>37572.3270440302</v>
      </c>
      <c r="L4">
        <f>'2 过程管理表单'!AY5-'2 过程管理表单'!AY8-'2 过程管理表单'!AY27-'2 过程管理表单'!AY46-'2 过程管理表单'!AY71-'2 过程管理表单'!AY96-'2 过程管理表单'!AY115-'2 过程管理表单'!AY140-'2 过程管理表单'!AY159</f>
        <v>37572.3270440302</v>
      </c>
      <c r="M4">
        <f>'2 过程管理表单'!BB5-'2 过程管理表单'!BB8-'2 过程管理表单'!BB27-'2 过程管理表单'!BB46-'2 过程管理表单'!BB71-'2 过程管理表单'!BB96-'2 过程管理表单'!BB115-'2 过程管理表单'!BB140-'2 过程管理表单'!BB159</f>
        <v>37572.3270440302</v>
      </c>
      <c r="N4">
        <f>'2 过程管理表单'!BE5-'2 过程管理表单'!BE8-'2 过程管理表单'!BE27-'2 过程管理表单'!BE46-'2 过程管理表单'!BE71-'2 过程管理表单'!BE96-'2 过程管理表单'!BE115-'2 过程管理表单'!BE140-'2 过程管理表单'!BE159</f>
        <v>37572.3270440206</v>
      </c>
    </row>
    <row r="5" spans="1:14">
      <c r="A5" s="14" t="s">
        <v>214</v>
      </c>
      <c r="B5" s="20" t="s">
        <v>5265</v>
      </c>
      <c r="C5">
        <f t="shared" si="0"/>
        <v>323227.69338066</v>
      </c>
      <c r="D5">
        <f t="shared" ref="D5:N5" si="2">C5+D4</f>
        <v>360800.02042469</v>
      </c>
      <c r="E5">
        <f t="shared" si="2"/>
        <v>398372.34746872</v>
      </c>
      <c r="F5">
        <f t="shared" si="2"/>
        <v>435944.67451275</v>
      </c>
      <c r="G5">
        <f t="shared" si="2"/>
        <v>473517.001556781</v>
      </c>
      <c r="H5">
        <f t="shared" si="2"/>
        <v>511089.328600811</v>
      </c>
      <c r="I5">
        <f t="shared" si="2"/>
        <v>548661.655644841</v>
      </c>
      <c r="J5">
        <f t="shared" si="2"/>
        <v>586233.982688871</v>
      </c>
      <c r="K5">
        <f t="shared" si="2"/>
        <v>623806.309732901</v>
      </c>
      <c r="L5">
        <f t="shared" si="2"/>
        <v>661378.636776932</v>
      </c>
      <c r="M5">
        <f t="shared" si="2"/>
        <v>698950.963820962</v>
      </c>
      <c r="N5">
        <f t="shared" si="2"/>
        <v>736523.290864982</v>
      </c>
    </row>
    <row r="6" spans="1:14">
      <c r="A6" s="14" t="s">
        <v>9</v>
      </c>
      <c r="B6" s="36" t="s">
        <v>5266</v>
      </c>
      <c r="C6">
        <f>'2 过程管理表单'!Z508</f>
        <v>630.54</v>
      </c>
      <c r="D6">
        <f>'2 过程管理表单'!AC508</f>
        <v>6429.12</v>
      </c>
      <c r="E6">
        <f>'2 过程管理表单'!AF508</f>
        <v>474.6</v>
      </c>
      <c r="F6">
        <f>'2 过程管理表单'!AI508</f>
        <v>119031.39</v>
      </c>
      <c r="G6">
        <f>'2 过程管理表单'!AL508</f>
        <v>95852.32</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5267</v>
      </c>
      <c r="C7">
        <f t="shared" si="0"/>
        <v>630.54</v>
      </c>
      <c r="D7">
        <f t="shared" ref="D7:N7" si="3">C7+D6</f>
        <v>7059.66</v>
      </c>
      <c r="E7">
        <f t="shared" si="3"/>
        <v>7534.26</v>
      </c>
      <c r="F7">
        <f t="shared" si="3"/>
        <v>126565.65</v>
      </c>
      <c r="G7">
        <f t="shared" si="3"/>
        <v>222417.97</v>
      </c>
      <c r="H7">
        <f t="shared" si="3"/>
        <v>222417.97</v>
      </c>
      <c r="I7">
        <f t="shared" si="3"/>
        <v>222417.97</v>
      </c>
      <c r="J7">
        <f t="shared" si="3"/>
        <v>222417.97</v>
      </c>
      <c r="K7">
        <f t="shared" si="3"/>
        <v>222417.97</v>
      </c>
      <c r="L7">
        <f t="shared" si="3"/>
        <v>222417.97</v>
      </c>
      <c r="M7">
        <f t="shared" si="3"/>
        <v>222417.97</v>
      </c>
      <c r="N7">
        <f t="shared" si="3"/>
        <v>222417.97</v>
      </c>
    </row>
    <row r="8" spans="1:14">
      <c r="A8" s="14" t="s">
        <v>9</v>
      </c>
      <c r="B8" s="20" t="s">
        <v>5268</v>
      </c>
      <c r="C8">
        <f>'2 过程管理表单'!X508</f>
        <v>1174083.72207132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5269</v>
      </c>
      <c r="C9">
        <f t="shared" ref="C9:C13" si="4">C8</f>
        <v>1174083.72207132</v>
      </c>
      <c r="D9">
        <f t="shared" ref="D9:N9" si="5">C9+D8</f>
        <v>1174083.72207132</v>
      </c>
      <c r="E9">
        <f t="shared" si="5"/>
        <v>1174083.72207132</v>
      </c>
      <c r="F9">
        <f t="shared" si="5"/>
        <v>1174083.72207132</v>
      </c>
      <c r="G9">
        <f t="shared" si="5"/>
        <v>1174083.72207132</v>
      </c>
      <c r="H9">
        <f t="shared" si="5"/>
        <v>1174083.72207132</v>
      </c>
      <c r="I9">
        <f t="shared" si="5"/>
        <v>1174083.72207132</v>
      </c>
      <c r="J9">
        <f t="shared" si="5"/>
        <v>1174083.72207132</v>
      </c>
      <c r="K9">
        <f t="shared" si="5"/>
        <v>1174083.72207132</v>
      </c>
      <c r="L9">
        <f t="shared" si="5"/>
        <v>1174083.72207132</v>
      </c>
      <c r="M9">
        <f t="shared" si="5"/>
        <v>1174083.72207132</v>
      </c>
      <c r="N9">
        <f t="shared" si="5"/>
        <v>1174083.72207132</v>
      </c>
    </row>
    <row r="10" spans="1:14">
      <c r="A10" s="14" t="s">
        <v>64</v>
      </c>
      <c r="B10" s="20" t="s">
        <v>5270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5271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5272</v>
      </c>
      <c r="C12">
        <f>'2 过程管理表单'!X536</f>
        <v>33204.1509433962</v>
      </c>
      <c r="D12">
        <f>'2 过程管理表单'!AA536</f>
        <v>12804.1509433962</v>
      </c>
      <c r="E12">
        <f>'2 过程管理表单'!AD536</f>
        <v>12804.1509433962</v>
      </c>
      <c r="F12">
        <f>'2 过程管理表单'!AG536</f>
        <v>12804.1509433962</v>
      </c>
      <c r="G12">
        <f>'2 过程管理表单'!AJ536</f>
        <v>12804.1509433962</v>
      </c>
      <c r="H12">
        <f>'2 过程管理表单'!AM536</f>
        <v>12804.1509433962</v>
      </c>
      <c r="I12">
        <f>'2 过程管理表单'!AP536</f>
        <v>12804.1509433962</v>
      </c>
      <c r="J12">
        <f>'2 过程管理表单'!AS536</f>
        <v>12804.1509433962</v>
      </c>
      <c r="K12">
        <f>'2 过程管理表单'!AV536</f>
        <v>12804.1509433962</v>
      </c>
      <c r="L12">
        <f>'2 过程管理表单'!AY536</f>
        <v>12804.1509433962</v>
      </c>
      <c r="M12">
        <f>'2 过程管理表单'!BB536</f>
        <v>12804.1509433962</v>
      </c>
      <c r="N12">
        <f>'2 过程管理表单'!BE536</f>
        <v>12804.1509433962</v>
      </c>
    </row>
    <row r="13" spans="1:14">
      <c r="A13" s="14" t="s">
        <v>64</v>
      </c>
      <c r="B13" s="20" t="s">
        <v>5273</v>
      </c>
      <c r="C13">
        <f t="shared" si="4"/>
        <v>33204.1509433962</v>
      </c>
      <c r="D13">
        <f t="shared" ref="D13:N13" si="7">C13+D12</f>
        <v>46008.3018867924</v>
      </c>
      <c r="E13">
        <f t="shared" si="7"/>
        <v>58812.4528301886</v>
      </c>
      <c r="F13">
        <f t="shared" si="7"/>
        <v>71616.6037735848</v>
      </c>
      <c r="G13">
        <f t="shared" si="7"/>
        <v>84420.754716981</v>
      </c>
      <c r="H13">
        <f t="shared" si="7"/>
        <v>97224.9056603772</v>
      </c>
      <c r="I13">
        <f t="shared" si="7"/>
        <v>110029.056603773</v>
      </c>
      <c r="J13">
        <f t="shared" si="7"/>
        <v>122833.20754717</v>
      </c>
      <c r="K13">
        <f t="shared" si="7"/>
        <v>135637.358490566</v>
      </c>
      <c r="L13">
        <f t="shared" si="7"/>
        <v>148441.509433962</v>
      </c>
      <c r="M13">
        <f t="shared" si="7"/>
        <v>161245.660377358</v>
      </c>
      <c r="N13">
        <f t="shared" si="7"/>
        <v>174049.811320754</v>
      </c>
    </row>
    <row r="14" spans="1:14">
      <c r="A14" s="14" t="s">
        <v>215</v>
      </c>
      <c r="B14" s="20" t="s">
        <v>5274</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5275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5276</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5277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5278</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5279</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5280</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5281</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5282</v>
      </c>
      <c r="C22">
        <f>'2 过程管理表单'!Z617</f>
        <v>0</v>
      </c>
      <c r="D22">
        <f>'2 过程管理表单'!AC617</f>
        <v>0</v>
      </c>
      <c r="E22">
        <f>'2 过程管理表单'!AF617</f>
        <v>0</v>
      </c>
      <c r="F22">
        <f>'2 过程管理表单'!AI617</f>
        <v>368.5</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5283</v>
      </c>
      <c r="C23">
        <f t="shared" si="10"/>
        <v>0</v>
      </c>
      <c r="D23">
        <f>表3_36[[#This Row],[1月]]+D22</f>
        <v>0</v>
      </c>
      <c r="E23">
        <f>表3_36[[#This Row],[2月]]+E22</f>
        <v>0</v>
      </c>
      <c r="F23">
        <f>表3_36[[#This Row],[3月]]+F22</f>
        <v>368.5</v>
      </c>
      <c r="G23">
        <f>表3_36[[#This Row],[4月]]+G22</f>
        <v>368.5</v>
      </c>
      <c r="H23">
        <f>表3_36[[#This Row],[5月]]+H22</f>
        <v>368.5</v>
      </c>
      <c r="I23">
        <f>表3_36[[#This Row],[6月]]+I22</f>
        <v>368.5</v>
      </c>
      <c r="J23">
        <f>表3_36[[#This Row],[7月]]+J22</f>
        <v>368.5</v>
      </c>
      <c r="K23">
        <f>表3_36[[#This Row],[8月]]+K22</f>
        <v>368.5</v>
      </c>
      <c r="L23">
        <f>表3_36[[#This Row],[9月]]+L22</f>
        <v>368.5</v>
      </c>
      <c r="M23">
        <f>表3_36[[#This Row],[10月]]+M22</f>
        <v>368.5</v>
      </c>
      <c r="N23">
        <f>表3_36[[#This Row],[11月]]+N22</f>
        <v>368.5</v>
      </c>
    </row>
    <row r="24" spans="1:14">
      <c r="A24" s="14" t="s">
        <v>217</v>
      </c>
      <c r="B24" s="20" t="s">
        <v>5284</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5285</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5287</v>
      </c>
      <c r="B26" s="39" t="s">
        <v>5288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5287</v>
      </c>
      <c r="B27" s="39" t="s">
        <v>5289</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5287</v>
      </c>
      <c r="B28" s="39" t="s">
        <v>5290</v>
      </c>
      <c r="C28">
        <f>'2 过程管理表单'!X6</f>
        <v>3493064.52018868</v>
      </c>
      <c r="D28">
        <f>'2 过程管理表单'!AA6</f>
        <v>3493064.52018868</v>
      </c>
      <c r="E28">
        <f>'2 过程管理表单'!AD6</f>
        <v>3493064.52018868</v>
      </c>
      <c r="F28">
        <f>'2 过程管理表单'!AG6</f>
        <v>3493064.52018868</v>
      </c>
      <c r="G28">
        <f>'2 过程管理表单'!AJ6</f>
        <v>3493064.52018868</v>
      </c>
      <c r="H28">
        <f>'2 过程管理表单'!AM6</f>
        <v>3493064.52018868</v>
      </c>
      <c r="I28">
        <f>'2 过程管理表单'!AP6</f>
        <v>3493064.52018868</v>
      </c>
      <c r="J28">
        <f>'2 过程管理表单'!AS6</f>
        <v>3493064.52018868</v>
      </c>
      <c r="K28">
        <f>'2 过程管理表单'!AV6</f>
        <v>3493064.52018868</v>
      </c>
      <c r="L28">
        <f>'2 过程管理表单'!AY6</f>
        <v>3493064.52018868</v>
      </c>
      <c r="M28">
        <f>'2 过程管理表单'!BB6</f>
        <v>3493064.52018868</v>
      </c>
      <c r="N28">
        <f>'2 过程管理表单'!BE6</f>
        <v>4268466.46018868</v>
      </c>
    </row>
    <row r="29" spans="1:14">
      <c r="A29" s="38" t="s">
        <v>5287</v>
      </c>
      <c r="B29" s="39" t="s">
        <v>5291</v>
      </c>
      <c r="C29">
        <f t="shared" si="11"/>
        <v>3493064.52018868</v>
      </c>
      <c r="D29">
        <f>表3_36[[#This Row],[1月]]+D28</f>
        <v>6986129.04037736</v>
      </c>
      <c r="E29">
        <f>表3_36[[#This Row],[2月]]+E28</f>
        <v>10479193.560566</v>
      </c>
      <c r="F29">
        <f>表3_36[[#This Row],[3月]]+F28</f>
        <v>13972258.0807547</v>
      </c>
      <c r="G29">
        <f>表3_36[[#This Row],[4月]]+G28</f>
        <v>17465322.6009434</v>
      </c>
      <c r="H29">
        <f>表3_36[[#This Row],[5月]]+H28</f>
        <v>20958387.1211321</v>
      </c>
      <c r="I29">
        <f>表3_36[[#This Row],[6月]]+I28</f>
        <v>24451451.6413208</v>
      </c>
      <c r="J29">
        <f>表3_36[[#This Row],[7月]]+J28</f>
        <v>27944516.1615094</v>
      </c>
      <c r="K29">
        <f>表3_36[[#This Row],[8月]]+K28</f>
        <v>31437580.6816981</v>
      </c>
      <c r="L29">
        <f>表3_36[[#This Row],[9月]]+L28</f>
        <v>34930645.2018868</v>
      </c>
      <c r="M29">
        <f>表3_36[[#This Row],[10月]]+M28</f>
        <v>38423709.7220755</v>
      </c>
      <c r="N29">
        <f>表3_36[[#This Row],[11月]]+N28</f>
        <v>42692176.1822642</v>
      </c>
    </row>
    <row r="30" spans="1:14">
      <c r="A30" s="38" t="s">
        <v>5292</v>
      </c>
      <c r="B30" s="39" t="s">
        <v>5288</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5292</v>
      </c>
      <c r="B31" s="39" t="s">
        <v>5289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5292</v>
      </c>
      <c r="B32" s="39" t="s">
        <v>5290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5292</v>
      </c>
      <c r="B33" s="39" t="s">
        <v>5291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5293</v>
      </c>
      <c r="B34" s="39" t="s">
        <v>5288</v>
      </c>
      <c r="C34" s="40">
        <f>'2 过程管理表单'!Z177</f>
        <v>68566.2739726028</v>
      </c>
      <c r="D34" s="40">
        <f>'2 过程管理表单'!AC177</f>
        <v>67621.1506849314</v>
      </c>
      <c r="E34" s="40">
        <f>'2 过程管理表单'!AF177</f>
        <v>74866.2739726028</v>
      </c>
      <c r="F34" s="40">
        <f>'2 过程管理表单'!AI177</f>
        <v>58951.2328767124</v>
      </c>
      <c r="G34" s="40">
        <f>'2 过程管理表单'!AL177</f>
        <v>60916.2739726028</v>
      </c>
      <c r="H34" s="40">
        <f>'2 过程管理表单'!AO177</f>
        <v>59875.2328767124</v>
      </c>
      <c r="I34" s="40">
        <f>'2 过程管理表单'!AR177</f>
        <v>61871.0739726028</v>
      </c>
      <c r="J34" s="40">
        <f>'2 过程管理表单'!AU177</f>
        <v>61871.0739726028</v>
      </c>
      <c r="K34" s="40">
        <f>'2 过程管理表单'!AX177</f>
        <v>43859.3643835617</v>
      </c>
      <c r="L34" s="40">
        <f>'2 过程管理表单'!BA177</f>
        <v>10291.7260273973</v>
      </c>
      <c r="M34" s="40">
        <f>'2 过程管理表单'!BD177</f>
        <v>0</v>
      </c>
      <c r="N34" s="40">
        <f>'2 过程管理表单'!BG177</f>
        <v>0</v>
      </c>
    </row>
    <row r="35" spans="1:14">
      <c r="A35" s="38" t="s">
        <v>5293</v>
      </c>
      <c r="B35" s="39" t="s">
        <v>5289</v>
      </c>
      <c r="C35" s="40">
        <f t="shared" si="12"/>
        <v>68566.2739726028</v>
      </c>
      <c r="D35" s="40">
        <f>C35+C34</f>
        <v>137132.547945206</v>
      </c>
      <c r="E35" s="40">
        <f t="shared" ref="E35:G35" si="13">D35+E34</f>
        <v>211998.821917808</v>
      </c>
      <c r="F35" s="40">
        <f t="shared" si="13"/>
        <v>270950.054794521</v>
      </c>
      <c r="G35" s="40">
        <f t="shared" si="13"/>
        <v>331866.328767124</v>
      </c>
      <c r="H35" s="40">
        <f t="shared" ref="H35:N35" si="14">H34+G35</f>
        <v>391741.561643836</v>
      </c>
      <c r="I35" s="40">
        <f t="shared" si="14"/>
        <v>453612.635616439</v>
      </c>
      <c r="J35" s="40">
        <f t="shared" si="14"/>
        <v>515483.709589042</v>
      </c>
      <c r="K35" s="40">
        <f t="shared" si="14"/>
        <v>559343.073972603</v>
      </c>
      <c r="L35" s="40">
        <f t="shared" si="14"/>
        <v>569634.800000001</v>
      </c>
      <c r="M35" s="40">
        <f t="shared" si="14"/>
        <v>569634.800000001</v>
      </c>
      <c r="N35" s="40">
        <f t="shared" si="14"/>
        <v>569634.800000001</v>
      </c>
    </row>
    <row r="36" spans="1:14">
      <c r="A36" s="38" t="s">
        <v>5293</v>
      </c>
      <c r="B36" s="39" t="s">
        <v>5290</v>
      </c>
      <c r="C36" s="40">
        <f>'2 过程管理表单'!X177</f>
        <v>315774.86319198</v>
      </c>
      <c r="D36" s="40">
        <f>'2 过程管理表单'!AA177</f>
        <v>30119.4968553459</v>
      </c>
      <c r="E36" s="40">
        <f>'2 过程管理表单'!AD177</f>
        <v>30119.4968553459</v>
      </c>
      <c r="F36" s="40">
        <f>'2 过程管理表单'!AG177</f>
        <v>30119.4968553459</v>
      </c>
      <c r="G36" s="40">
        <f>'2 过程管理表单'!AJ177</f>
        <v>30119.4968553459</v>
      </c>
      <c r="H36" s="40">
        <f>'2 过程管理表单'!AM177</f>
        <v>30119.4968553459</v>
      </c>
      <c r="I36" s="40">
        <f>'2 过程管理表单'!AP177</f>
        <v>30119.4968553459</v>
      </c>
      <c r="J36" s="40">
        <f>'2 过程管理表单'!AS177</f>
        <v>30119.4968553459</v>
      </c>
      <c r="K36" s="40">
        <f>'2 过程管理表单'!AV177</f>
        <v>30119.4968553459</v>
      </c>
      <c r="L36" s="40">
        <f>'2 过程管理表单'!AY177</f>
        <v>30119.4968553459</v>
      </c>
      <c r="M36" s="40">
        <f>'2 过程管理表单'!BB177</f>
        <v>30119.4968553459</v>
      </c>
      <c r="N36" s="40">
        <f>'2 过程管理表单'!BE177</f>
        <v>30119.4968553459</v>
      </c>
    </row>
    <row r="37" spans="1:14">
      <c r="A37" s="38" t="s">
        <v>5293</v>
      </c>
      <c r="B37" s="39" t="s">
        <v>5291</v>
      </c>
      <c r="C37" s="6">
        <f t="shared" si="12"/>
        <v>315774.86319198</v>
      </c>
      <c r="D37" s="5">
        <f t="shared" ref="D37:N37" si="15">D36+C37</f>
        <v>345894.360047326</v>
      </c>
      <c r="E37" s="6">
        <f t="shared" si="15"/>
        <v>376013.856902672</v>
      </c>
      <c r="F37" s="6">
        <f t="shared" si="15"/>
        <v>406133.353758018</v>
      </c>
      <c r="G37" s="6">
        <f t="shared" si="15"/>
        <v>436252.850613364</v>
      </c>
      <c r="H37" s="6">
        <f t="shared" si="15"/>
        <v>466372.34746871</v>
      </c>
      <c r="I37" s="6">
        <f t="shared" si="15"/>
        <v>496491.844324055</v>
      </c>
      <c r="J37" s="6">
        <f t="shared" si="15"/>
        <v>526611.341179401</v>
      </c>
      <c r="K37" s="6">
        <f t="shared" si="15"/>
        <v>556730.838034747</v>
      </c>
      <c r="L37" s="6">
        <f t="shared" si="15"/>
        <v>586850.334890093</v>
      </c>
      <c r="M37" s="6">
        <f t="shared" si="15"/>
        <v>616969.831745439</v>
      </c>
      <c r="N37" s="5">
        <f t="shared" si="15"/>
        <v>647089.328600785</v>
      </c>
    </row>
    <row r="38" spans="1:14">
      <c r="A38" s="41" t="s">
        <v>5294</v>
      </c>
      <c r="B38" s="20" t="s">
        <v>5295</v>
      </c>
      <c r="C38">
        <f t="shared" ref="C38:N38" si="16">C5+C9+C13+C17+C21+C25</f>
        <v>1530515.56639538</v>
      </c>
      <c r="D38">
        <f t="shared" si="16"/>
        <v>1580892.0443828</v>
      </c>
      <c r="E38">
        <f t="shared" si="16"/>
        <v>1631268.52237023</v>
      </c>
      <c r="F38">
        <f t="shared" si="16"/>
        <v>1681645.00035766</v>
      </c>
      <c r="G38">
        <f t="shared" si="16"/>
        <v>1732021.47834508</v>
      </c>
      <c r="H38">
        <f t="shared" si="16"/>
        <v>1782397.95633251</v>
      </c>
      <c r="I38">
        <f t="shared" si="16"/>
        <v>1832774.43431994</v>
      </c>
      <c r="J38">
        <f t="shared" si="16"/>
        <v>1883150.91230736</v>
      </c>
      <c r="K38">
        <f t="shared" si="16"/>
        <v>1933527.39029479</v>
      </c>
      <c r="L38">
        <f t="shared" si="16"/>
        <v>1983903.86828222</v>
      </c>
      <c r="M38">
        <f t="shared" si="16"/>
        <v>2034280.34626964</v>
      </c>
      <c r="N38">
        <f t="shared" si="16"/>
        <v>2084656.82425706</v>
      </c>
    </row>
    <row r="39" spans="1:14">
      <c r="A39" s="41" t="s">
        <v>5294</v>
      </c>
      <c r="B39" s="20" t="s">
        <v>5296</v>
      </c>
      <c r="C39">
        <f t="shared" ref="C39:N39" si="17">C3+C7+C11+C15+C19+C23</f>
        <v>69196.8139726028</v>
      </c>
      <c r="D39">
        <f t="shared" si="17"/>
        <v>143247.084657534</v>
      </c>
      <c r="E39">
        <f t="shared" si="17"/>
        <v>218587.958630137</v>
      </c>
      <c r="F39">
        <f t="shared" si="17"/>
        <v>396939.081506849</v>
      </c>
      <c r="G39">
        <f t="shared" si="17"/>
        <v>553707.675479452</v>
      </c>
      <c r="H39">
        <f t="shared" si="17"/>
        <v>613582.908356165</v>
      </c>
      <c r="I39">
        <f t="shared" si="17"/>
        <v>675453.982328767</v>
      </c>
      <c r="J39">
        <f t="shared" si="17"/>
        <v>737325.05630137</v>
      </c>
      <c r="K39">
        <f t="shared" si="17"/>
        <v>781184.420684932</v>
      </c>
      <c r="L39">
        <f t="shared" si="17"/>
        <v>791476.146712329</v>
      </c>
      <c r="M39">
        <f t="shared" si="17"/>
        <v>791476.146712329</v>
      </c>
      <c r="N39">
        <f t="shared" si="17"/>
        <v>791476.146712329</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942" workbookViewId="0">
      <selection activeCell="P949" sqref="P949"/>
    </sheetView>
  </sheetViews>
  <sheetFormatPr defaultColWidth="9" defaultRowHeight="13.5"/>
  <cols>
    <col min="1" max="1" width="53.875" customWidth="1"/>
    <col min="2" max="2" width="6.125" customWidth="1"/>
    <col min="4" max="5" width="10.375"/>
    <col min="6" max="6" width="14.875"/>
    <col min="7" max="8" width="10.375"/>
    <col min="9" max="9" width="9.375"/>
  </cols>
  <sheetData>
    <row r="1" spans="1:15">
      <c r="A1" s="17" t="s">
        <v>4331</v>
      </c>
      <c r="B1" s="18"/>
      <c r="C1" s="18" t="s">
        <v>4332</v>
      </c>
      <c r="D1" s="19" t="s">
        <v>4299</v>
      </c>
      <c r="E1" s="19" t="s">
        <v>4300</v>
      </c>
      <c r="F1" s="19" t="s">
        <v>4301</v>
      </c>
      <c r="G1" s="19" t="s">
        <v>4302</v>
      </c>
      <c r="H1" s="19" t="s">
        <v>4303</v>
      </c>
      <c r="I1" s="19" t="s">
        <v>4304</v>
      </c>
      <c r="J1" s="19" t="s">
        <v>4305</v>
      </c>
      <c r="K1" s="19" t="s">
        <v>4306</v>
      </c>
      <c r="L1" s="19" t="s">
        <v>4307</v>
      </c>
      <c r="M1" s="19" t="s">
        <v>4308</v>
      </c>
      <c r="N1" s="19" t="s">
        <v>4309</v>
      </c>
      <c r="O1" s="19" t="s">
        <v>4310</v>
      </c>
    </row>
    <row r="2" ht="16.5" spans="1:15">
      <c r="A2" s="20" t="s">
        <v>3231</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1177.9</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4333</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3237</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72.39</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4334</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4335</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4336</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4337</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4338</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4339</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4340</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4341</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4342</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4343</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4344</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4345</v>
      </c>
      <c r="B16" s="21" t="s">
        <v>2325</v>
      </c>
      <c r="C16" s="22" t="s">
        <v>2326</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4346</v>
      </c>
      <c r="B17" s="21" t="s">
        <v>2325</v>
      </c>
      <c r="C17" s="22" t="s">
        <v>2326</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4347</v>
      </c>
      <c r="B18" s="21" t="s">
        <v>2325</v>
      </c>
      <c r="C18" s="22" t="s">
        <v>2326</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4348</v>
      </c>
      <c r="B19" s="21" t="s">
        <v>2325</v>
      </c>
      <c r="C19" s="22" t="s">
        <v>2326</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4349</v>
      </c>
      <c r="B20" s="21" t="s">
        <v>2325</v>
      </c>
      <c r="C20" s="22" t="s">
        <v>2326</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4350</v>
      </c>
      <c r="B21" s="21" t="s">
        <v>2325</v>
      </c>
      <c r="C21" s="22" t="s">
        <v>2326</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4351</v>
      </c>
      <c r="B22" s="21" t="s">
        <v>2325</v>
      </c>
      <c r="C22" s="22" t="s">
        <v>2326</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4352</v>
      </c>
      <c r="B23" s="21" t="s">
        <v>2325</v>
      </c>
      <c r="C23" s="22" t="s">
        <v>2326</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4353</v>
      </c>
      <c r="B24" s="21" t="s">
        <v>2325</v>
      </c>
      <c r="C24" s="22" t="s">
        <v>2326</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4354</v>
      </c>
      <c r="B25" s="21" t="s">
        <v>2325</v>
      </c>
      <c r="C25" s="22" t="s">
        <v>2326</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4355</v>
      </c>
      <c r="B26" s="21" t="s">
        <v>2325</v>
      </c>
      <c r="C26" s="22" t="s">
        <v>2326</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4356</v>
      </c>
      <c r="B27" s="21" t="s">
        <v>2325</v>
      </c>
      <c r="C27" s="22" t="s">
        <v>2326</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4357</v>
      </c>
      <c r="B28" s="21" t="s">
        <v>2325</v>
      </c>
      <c r="C28" s="22" t="s">
        <v>2326</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4358</v>
      </c>
      <c r="B29" s="24"/>
      <c r="C29" s="24" t="s">
        <v>4359</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4360</v>
      </c>
      <c r="B30" s="24"/>
      <c r="C30" s="24" t="s">
        <v>4359</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4361</v>
      </c>
      <c r="B31" s="24"/>
      <c r="C31" s="24" t="s">
        <v>4359</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4362</v>
      </c>
      <c r="B32" s="24"/>
      <c r="C32" s="24" t="s">
        <v>4359</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4363</v>
      </c>
      <c r="B33" s="24"/>
      <c r="C33" s="24" t="s">
        <v>4359</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4364</v>
      </c>
      <c r="B34" s="24"/>
      <c r="C34" s="24" t="s">
        <v>4359</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4365</v>
      </c>
      <c r="B35" s="24"/>
      <c r="C35" s="24" t="s">
        <v>4359</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4366</v>
      </c>
      <c r="B36" s="24"/>
      <c r="C36" s="24" t="s">
        <v>4359</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4367</v>
      </c>
      <c r="B37" s="24"/>
      <c r="C37" s="24" t="s">
        <v>4359</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4368</v>
      </c>
      <c r="B38" s="24"/>
      <c r="C38" s="24" t="s">
        <v>4359</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4369</v>
      </c>
      <c r="B39" s="24"/>
      <c r="C39" s="24" t="s">
        <v>4359</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4370</v>
      </c>
      <c r="B40" s="24"/>
      <c r="C40" s="24" t="s">
        <v>4359</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4371</v>
      </c>
      <c r="B41" s="24"/>
      <c r="C41" s="24" t="s">
        <v>4359</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4372</v>
      </c>
      <c r="B42" s="24"/>
      <c r="C42" s="24" t="s">
        <v>4359</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4373</v>
      </c>
      <c r="B43" s="24"/>
      <c r="C43" s="24" t="s">
        <v>4359</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4374</v>
      </c>
      <c r="B44" s="24"/>
      <c r="C44" s="24" t="s">
        <v>4359</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4375</v>
      </c>
      <c r="B45" s="24"/>
      <c r="C45" s="24" t="s">
        <v>4359</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4376</v>
      </c>
      <c r="B46" s="24"/>
      <c r="C46" s="24" t="s">
        <v>4359</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4377</v>
      </c>
      <c r="B47" s="24"/>
      <c r="C47" s="24" t="s">
        <v>4359</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4378</v>
      </c>
      <c r="B48" s="24"/>
      <c r="C48" s="24" t="s">
        <v>4359</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4379</v>
      </c>
      <c r="B49" s="24"/>
      <c r="C49" s="24" t="s">
        <v>4359</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2865</v>
      </c>
      <c r="B50" s="24"/>
      <c r="C50" s="24" t="s">
        <v>4359</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3264.8</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4380</v>
      </c>
      <c r="B51" s="24"/>
      <c r="C51" s="24" t="s">
        <v>4359</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4381</v>
      </c>
      <c r="B52" s="24"/>
      <c r="C52" s="24" t="s">
        <v>4359</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4382</v>
      </c>
      <c r="B53" s="24"/>
      <c r="C53" s="24" t="s">
        <v>4359</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4383</v>
      </c>
      <c r="B54" s="24"/>
      <c r="C54" s="24" t="s">
        <v>4359</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4384</v>
      </c>
      <c r="B55" s="24"/>
      <c r="C55" s="24" t="s">
        <v>4359</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4385</v>
      </c>
      <c r="B56" s="24"/>
      <c r="C56" s="24" t="s">
        <v>4359</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4386</v>
      </c>
      <c r="B57" s="24"/>
      <c r="C57" s="24" t="s">
        <v>4359</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4387</v>
      </c>
      <c r="B58" s="24"/>
      <c r="C58" s="24" t="s">
        <v>4359</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4388</v>
      </c>
      <c r="B59" s="24"/>
      <c r="C59" s="24" t="s">
        <v>4359</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4389</v>
      </c>
      <c r="B60" s="24"/>
      <c r="C60" s="24" t="s">
        <v>4359</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4390</v>
      </c>
      <c r="B61" s="24"/>
      <c r="C61" s="24" t="s">
        <v>4359</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4391</v>
      </c>
      <c r="B62" s="24"/>
      <c r="C62" s="24" t="s">
        <v>4359</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4392</v>
      </c>
      <c r="B63" s="24"/>
      <c r="C63" s="24" t="s">
        <v>4359</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4393</v>
      </c>
      <c r="B64" s="24"/>
      <c r="C64" s="24" t="s">
        <v>4359</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4394</v>
      </c>
      <c r="B65" s="24"/>
      <c r="C65" s="24" t="s">
        <v>4359</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4395</v>
      </c>
      <c r="B66" s="24"/>
      <c r="C66" s="24" t="s">
        <v>4359</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4396</v>
      </c>
      <c r="B67" s="24"/>
      <c r="C67" s="24" t="s">
        <v>4359</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4397</v>
      </c>
      <c r="B68" s="24"/>
      <c r="C68" s="24" t="s">
        <v>4359</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4398</v>
      </c>
      <c r="B69" s="24"/>
      <c r="C69" s="24" t="s">
        <v>4359</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3321</v>
      </c>
      <c r="B70" s="24"/>
      <c r="C70" s="24" t="s">
        <v>4359</v>
      </c>
      <c r="D70" s="23" cm="1">
        <f t="array" ref="D70">SUM(IF((LEFT('2-1 采购订单物料明细表报表导出'!$K:$K,7)=D$1)*('2-1 采购订单物料明细表报表导出'!$D:$D=$A70),'2-1 采购订单物料明细表报表导出'!$H:$H,0))</f>
        <v>34200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4399</v>
      </c>
      <c r="B71" s="24"/>
      <c r="C71" s="24" t="s">
        <v>4359</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4400</v>
      </c>
      <c r="B72" s="24"/>
      <c r="C72" s="24" t="s">
        <v>4359</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4401</v>
      </c>
      <c r="B73" s="24"/>
      <c r="C73" s="24" t="s">
        <v>4359</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4402</v>
      </c>
      <c r="B74" s="24"/>
      <c r="C74" s="24" t="s">
        <v>4359</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4403</v>
      </c>
      <c r="B75" s="24"/>
      <c r="C75" s="24" t="s">
        <v>4359</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4404</v>
      </c>
      <c r="B76" s="24"/>
      <c r="C76" s="24" t="s">
        <v>4359</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4405</v>
      </c>
      <c r="B77" s="24"/>
      <c r="C77" s="24" t="s">
        <v>4359</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4406</v>
      </c>
      <c r="B78" s="24"/>
      <c r="C78" s="24" t="s">
        <v>4359</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4407</v>
      </c>
      <c r="B79" s="24"/>
      <c r="C79" s="24" t="s">
        <v>4359</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4408</v>
      </c>
      <c r="B80" s="24"/>
      <c r="C80" s="24" t="s">
        <v>4359</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4409</v>
      </c>
      <c r="B81" s="24"/>
      <c r="C81" s="24" t="s">
        <v>4359</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4410</v>
      </c>
      <c r="B82" s="24"/>
      <c r="C82" s="24" t="s">
        <v>4359</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4411</v>
      </c>
      <c r="B83" s="24"/>
      <c r="C83" s="24" t="s">
        <v>4359</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4412</v>
      </c>
      <c r="B84" s="24"/>
      <c r="C84" s="24" t="s">
        <v>4359</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4413</v>
      </c>
      <c r="B85" s="24"/>
      <c r="C85" s="24" t="s">
        <v>4359</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4414</v>
      </c>
      <c r="B86" s="24"/>
      <c r="C86" s="24" t="s">
        <v>4359</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4415</v>
      </c>
      <c r="B87" s="24"/>
      <c r="C87" s="24" t="s">
        <v>4359</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4416</v>
      </c>
      <c r="B88" s="24"/>
      <c r="C88" s="24" t="s">
        <v>4359</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4417</v>
      </c>
      <c r="B89" s="24"/>
      <c r="C89" s="24" t="s">
        <v>4359</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4418</v>
      </c>
      <c r="B90" s="24"/>
      <c r="C90" s="24" t="s">
        <v>4359</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4419</v>
      </c>
      <c r="B91" s="26" t="s">
        <v>2135</v>
      </c>
      <c r="C91" s="27" t="s">
        <v>2136</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4420</v>
      </c>
      <c r="B92" s="26" t="s">
        <v>2135</v>
      </c>
      <c r="C92" s="27" t="s">
        <v>2136</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4421</v>
      </c>
      <c r="B93" s="26" t="s">
        <v>2135</v>
      </c>
      <c r="C93" s="27" t="s">
        <v>2136</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4422</v>
      </c>
      <c r="B94" s="26" t="s">
        <v>2135</v>
      </c>
      <c r="C94" s="27" t="s">
        <v>2136</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4423</v>
      </c>
      <c r="B95" s="26" t="s">
        <v>2135</v>
      </c>
      <c r="C95" s="27" t="s">
        <v>2136</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4424</v>
      </c>
      <c r="B96" s="26" t="s">
        <v>2135</v>
      </c>
      <c r="C96" s="27" t="s">
        <v>2136</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4425</v>
      </c>
      <c r="B97" s="26" t="s">
        <v>2135</v>
      </c>
      <c r="C97" s="27" t="s">
        <v>2136</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4426</v>
      </c>
      <c r="B98" s="26" t="s">
        <v>2135</v>
      </c>
      <c r="C98" s="27" t="s">
        <v>2136</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4427</v>
      </c>
      <c r="B99" s="26" t="s">
        <v>2135</v>
      </c>
      <c r="C99" s="27" t="s">
        <v>2136</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4428</v>
      </c>
      <c r="B100" s="26" t="s">
        <v>2135</v>
      </c>
      <c r="C100" s="27" t="s">
        <v>2136</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4429</v>
      </c>
      <c r="B101" s="26" t="s">
        <v>2135</v>
      </c>
      <c r="C101" s="27" t="s">
        <v>2136</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4430</v>
      </c>
      <c r="B102" s="26" t="s">
        <v>2135</v>
      </c>
      <c r="C102" s="27" t="s">
        <v>2136</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4431</v>
      </c>
      <c r="B103" s="26" t="s">
        <v>2135</v>
      </c>
      <c r="C103" s="27" t="s">
        <v>2136</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4432</v>
      </c>
      <c r="B104" s="26" t="s">
        <v>2072</v>
      </c>
      <c r="C104" s="27" t="s">
        <v>2073</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4433</v>
      </c>
      <c r="B105" s="26" t="s">
        <v>2072</v>
      </c>
      <c r="C105" s="27" t="s">
        <v>2073</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4434</v>
      </c>
      <c r="B106" s="26" t="s">
        <v>2072</v>
      </c>
      <c r="C106" s="27" t="s">
        <v>2073</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4435</v>
      </c>
      <c r="B107" s="26" t="s">
        <v>2072</v>
      </c>
      <c r="C107" s="27" t="s">
        <v>2073</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4436</v>
      </c>
      <c r="B108" s="26" t="s">
        <v>2072</v>
      </c>
      <c r="C108" s="27" t="s">
        <v>2073</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4437</v>
      </c>
      <c r="B109" s="26" t="s">
        <v>2072</v>
      </c>
      <c r="C109" s="27" t="s">
        <v>2073</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4438</v>
      </c>
      <c r="B110" s="26" t="s">
        <v>2072</v>
      </c>
      <c r="C110" s="27" t="s">
        <v>2073</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4439</v>
      </c>
      <c r="B111" s="26" t="s">
        <v>2072</v>
      </c>
      <c r="C111" s="27" t="s">
        <v>2073</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4440</v>
      </c>
      <c r="B112" s="26" t="s">
        <v>2095</v>
      </c>
      <c r="C112" s="27" t="s">
        <v>2096</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4441</v>
      </c>
      <c r="B113" s="26" t="s">
        <v>2095</v>
      </c>
      <c r="C113" s="27" t="s">
        <v>2096</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4442</v>
      </c>
      <c r="B114" s="26" t="s">
        <v>2095</v>
      </c>
      <c r="C114" s="27" t="s">
        <v>2096</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4443</v>
      </c>
      <c r="B115" s="26" t="s">
        <v>2095</v>
      </c>
      <c r="C115" s="27" t="s">
        <v>2096</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4444</v>
      </c>
      <c r="B116" s="26" t="s">
        <v>2095</v>
      </c>
      <c r="C116" s="27" t="s">
        <v>2096</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4445</v>
      </c>
      <c r="B117" s="26" t="s">
        <v>2095</v>
      </c>
      <c r="C117" s="27" t="s">
        <v>2096</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4446</v>
      </c>
      <c r="B118" s="26" t="s">
        <v>2095</v>
      </c>
      <c r="C118" s="27" t="s">
        <v>2096</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4447</v>
      </c>
      <c r="B119" s="26" t="s">
        <v>2095</v>
      </c>
      <c r="C119" s="27" t="s">
        <v>2096</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4448</v>
      </c>
      <c r="B120" s="26" t="s">
        <v>2095</v>
      </c>
      <c r="C120" s="27" t="s">
        <v>2096</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4449</v>
      </c>
      <c r="B121" s="26" t="s">
        <v>2095</v>
      </c>
      <c r="C121" s="27" t="s">
        <v>2096</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4450</v>
      </c>
      <c r="B122" s="26" t="s">
        <v>2095</v>
      </c>
      <c r="C122" s="27" t="s">
        <v>2096</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4451</v>
      </c>
      <c r="B123" s="26" t="s">
        <v>2095</v>
      </c>
      <c r="C123" s="27" t="s">
        <v>2096</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4452</v>
      </c>
      <c r="B124" s="26" t="s">
        <v>2095</v>
      </c>
      <c r="C124" s="27" t="s">
        <v>2096</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4453</v>
      </c>
      <c r="B125" s="26" t="s">
        <v>2095</v>
      </c>
      <c r="C125" s="27" t="s">
        <v>2096</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4454</v>
      </c>
      <c r="B126" s="26" t="s">
        <v>2095</v>
      </c>
      <c r="C126" s="27" t="s">
        <v>2096</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4455</v>
      </c>
      <c r="B127" s="26" t="s">
        <v>2095</v>
      </c>
      <c r="C127" s="27" t="s">
        <v>2096</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4456</v>
      </c>
      <c r="B128" s="26" t="s">
        <v>2095</v>
      </c>
      <c r="C128" s="27" t="s">
        <v>2096</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4457</v>
      </c>
      <c r="B129" s="26" t="s">
        <v>2095</v>
      </c>
      <c r="C129" s="27" t="s">
        <v>2096</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4458</v>
      </c>
      <c r="B130" s="26" t="s">
        <v>2095</v>
      </c>
      <c r="C130" s="27" t="s">
        <v>2096</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4459</v>
      </c>
      <c r="B131" s="26" t="s">
        <v>2095</v>
      </c>
      <c r="C131" s="27" t="s">
        <v>2096</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4460</v>
      </c>
      <c r="B132" s="26" t="s">
        <v>2095</v>
      </c>
      <c r="C132" s="27" t="s">
        <v>2096</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4461</v>
      </c>
      <c r="B133" s="26" t="s">
        <v>2095</v>
      </c>
      <c r="C133" s="27" t="s">
        <v>2096</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4462</v>
      </c>
      <c r="B134" s="26" t="s">
        <v>2095</v>
      </c>
      <c r="C134" s="27" t="s">
        <v>2096</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4463</v>
      </c>
      <c r="B135" s="26" t="s">
        <v>2095</v>
      </c>
      <c r="C135" s="27" t="s">
        <v>2096</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4464</v>
      </c>
      <c r="B136" s="26" t="s">
        <v>2095</v>
      </c>
      <c r="C136" s="27" t="s">
        <v>2096</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4465</v>
      </c>
      <c r="B137" s="26" t="s">
        <v>2095</v>
      </c>
      <c r="C137" s="27" t="s">
        <v>2096</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4466</v>
      </c>
      <c r="B138" s="26" t="s">
        <v>2095</v>
      </c>
      <c r="C138" s="27" t="s">
        <v>2096</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4467</v>
      </c>
      <c r="B139" s="26" t="s">
        <v>2095</v>
      </c>
      <c r="C139" s="27" t="s">
        <v>2096</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4468</v>
      </c>
      <c r="B140" s="26" t="s">
        <v>2095</v>
      </c>
      <c r="C140" s="27" t="s">
        <v>2096</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4469</v>
      </c>
      <c r="B141" s="26" t="s">
        <v>2135</v>
      </c>
      <c r="C141" s="27" t="s">
        <v>2136</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4470</v>
      </c>
      <c r="B142" s="26" t="s">
        <v>2135</v>
      </c>
      <c r="C142" s="27" t="s">
        <v>2136</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4471</v>
      </c>
      <c r="B143" s="26" t="s">
        <v>2135</v>
      </c>
      <c r="C143" s="27" t="s">
        <v>2136</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4472</v>
      </c>
      <c r="B144" s="26" t="s">
        <v>2135</v>
      </c>
      <c r="C144" s="27" t="s">
        <v>2136</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4473</v>
      </c>
      <c r="B145" s="26" t="s">
        <v>2135</v>
      </c>
      <c r="C145" s="27" t="s">
        <v>2136</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4474</v>
      </c>
      <c r="B146" s="26" t="s">
        <v>2135</v>
      </c>
      <c r="C146" s="27" t="s">
        <v>2136</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4475</v>
      </c>
      <c r="B147" s="26" t="s">
        <v>2135</v>
      </c>
      <c r="C147" s="27" t="s">
        <v>2136</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4476</v>
      </c>
      <c r="B148" s="26" t="s">
        <v>2135</v>
      </c>
      <c r="C148" s="27" t="s">
        <v>2136</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4477</v>
      </c>
      <c r="B149" s="26" t="s">
        <v>2135</v>
      </c>
      <c r="C149" s="27" t="s">
        <v>2136</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4478</v>
      </c>
      <c r="B150" s="26" t="s">
        <v>2135</v>
      </c>
      <c r="C150" s="27" t="s">
        <v>2136</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4479</v>
      </c>
      <c r="B151" s="26" t="s">
        <v>2135</v>
      </c>
      <c r="C151" s="27" t="s">
        <v>2136</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4480</v>
      </c>
      <c r="B152" s="26" t="s">
        <v>2135</v>
      </c>
      <c r="C152" s="27" t="s">
        <v>2136</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4481</v>
      </c>
      <c r="B153" s="26" t="s">
        <v>2135</v>
      </c>
      <c r="C153" s="27" t="s">
        <v>2136</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4482</v>
      </c>
      <c r="B154" s="26" t="s">
        <v>2135</v>
      </c>
      <c r="C154" s="27" t="s">
        <v>2136</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4483</v>
      </c>
      <c r="B155" s="26" t="s">
        <v>2135</v>
      </c>
      <c r="C155" s="27" t="s">
        <v>2136</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4484</v>
      </c>
      <c r="B156" s="26" t="s">
        <v>2135</v>
      </c>
      <c r="C156" s="27" t="s">
        <v>2136</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4485</v>
      </c>
      <c r="B157" s="26" t="s">
        <v>2135</v>
      </c>
      <c r="C157" s="27" t="s">
        <v>2136</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4486</v>
      </c>
      <c r="B158" s="26" t="s">
        <v>2135</v>
      </c>
      <c r="C158" s="27" t="s">
        <v>2136</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4487</v>
      </c>
      <c r="B159" s="26" t="s">
        <v>2135</v>
      </c>
      <c r="C159" s="27" t="s">
        <v>2136</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4488</v>
      </c>
      <c r="B160" s="26" t="s">
        <v>2135</v>
      </c>
      <c r="C160" s="27" t="s">
        <v>2136</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4489</v>
      </c>
      <c r="B161" s="26" t="s">
        <v>2135</v>
      </c>
      <c r="C161" s="27" t="s">
        <v>2136</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4490</v>
      </c>
      <c r="B162" s="26" t="s">
        <v>2135</v>
      </c>
      <c r="C162" s="27" t="s">
        <v>2136</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4491</v>
      </c>
      <c r="B163" s="26" t="s">
        <v>2135</v>
      </c>
      <c r="C163" s="27" t="s">
        <v>2136</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4492</v>
      </c>
      <c r="B164" s="26" t="s">
        <v>2135</v>
      </c>
      <c r="C164" s="27" t="s">
        <v>2136</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4493</v>
      </c>
      <c r="B165" s="26" t="s">
        <v>2135</v>
      </c>
      <c r="C165" s="27" t="s">
        <v>2136</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4494</v>
      </c>
      <c r="B166" s="26" t="s">
        <v>2135</v>
      </c>
      <c r="C166" s="27" t="s">
        <v>2136</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4495</v>
      </c>
      <c r="B167" s="26" t="s">
        <v>2135</v>
      </c>
      <c r="C167" s="27" t="s">
        <v>2136</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4496</v>
      </c>
      <c r="B168" s="26" t="s">
        <v>2135</v>
      </c>
      <c r="C168" s="27" t="s">
        <v>2136</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4497</v>
      </c>
      <c r="B169" s="26" t="s">
        <v>2135</v>
      </c>
      <c r="C169" s="27" t="s">
        <v>2136</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4498</v>
      </c>
      <c r="B170" s="26" t="s">
        <v>2135</v>
      </c>
      <c r="C170" s="27" t="s">
        <v>2136</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4499</v>
      </c>
      <c r="B171" s="26" t="s">
        <v>2135</v>
      </c>
      <c r="C171" s="27" t="s">
        <v>2136</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4500</v>
      </c>
      <c r="B172" s="26" t="s">
        <v>2135</v>
      </c>
      <c r="C172" s="27" t="s">
        <v>2136</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4501</v>
      </c>
      <c r="B173" s="26" t="s">
        <v>2135</v>
      </c>
      <c r="C173" s="27" t="s">
        <v>2136</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4502</v>
      </c>
      <c r="B174" s="26" t="s">
        <v>2135</v>
      </c>
      <c r="C174" s="27" t="s">
        <v>2136</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4503</v>
      </c>
      <c r="B175" s="26" t="s">
        <v>2135</v>
      </c>
      <c r="C175" s="27" t="s">
        <v>2136</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4504</v>
      </c>
      <c r="B176" s="26" t="s">
        <v>2135</v>
      </c>
      <c r="C176" s="27" t="s">
        <v>2136</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4505</v>
      </c>
      <c r="B177" s="26" t="s">
        <v>2135</v>
      </c>
      <c r="C177" s="27" t="s">
        <v>2136</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4506</v>
      </c>
      <c r="B178" s="26" t="s">
        <v>2135</v>
      </c>
      <c r="C178" s="27" t="s">
        <v>2136</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4507</v>
      </c>
      <c r="B179" s="26" t="s">
        <v>2135</v>
      </c>
      <c r="C179" s="27" t="s">
        <v>2136</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4508</v>
      </c>
      <c r="B180" s="26" t="s">
        <v>2135</v>
      </c>
      <c r="C180" s="27" t="s">
        <v>2136</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4509</v>
      </c>
      <c r="B181" s="26" t="s">
        <v>2135</v>
      </c>
      <c r="C181" s="27" t="s">
        <v>2136</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4510</v>
      </c>
      <c r="B182" s="26" t="s">
        <v>2135</v>
      </c>
      <c r="C182" s="27" t="s">
        <v>2136</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4511</v>
      </c>
      <c r="B183" s="26" t="s">
        <v>2135</v>
      </c>
      <c r="C183" s="27" t="s">
        <v>2136</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4512</v>
      </c>
      <c r="B184" s="26" t="s">
        <v>2135</v>
      </c>
      <c r="C184" s="27" t="s">
        <v>2136</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4513</v>
      </c>
      <c r="B185" s="26" t="s">
        <v>2135</v>
      </c>
      <c r="C185" s="27" t="s">
        <v>2136</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4514</v>
      </c>
      <c r="B186" s="26" t="s">
        <v>2135</v>
      </c>
      <c r="C186" s="27" t="s">
        <v>2136</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4515</v>
      </c>
      <c r="B187" s="26" t="s">
        <v>2135</v>
      </c>
      <c r="C187" s="27" t="s">
        <v>2136</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4516</v>
      </c>
      <c r="B188" s="26" t="s">
        <v>2135</v>
      </c>
      <c r="C188" s="27" t="s">
        <v>2136</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4517</v>
      </c>
      <c r="B189" s="26" t="s">
        <v>2135</v>
      </c>
      <c r="C189" s="27" t="s">
        <v>2136</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4518</v>
      </c>
      <c r="B190" s="26" t="s">
        <v>2135</v>
      </c>
      <c r="C190" s="27" t="s">
        <v>2136</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4519</v>
      </c>
      <c r="B191" s="26" t="s">
        <v>2135</v>
      </c>
      <c r="C191" s="27" t="s">
        <v>2136</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4520</v>
      </c>
      <c r="B192" s="26" t="s">
        <v>2135</v>
      </c>
      <c r="C192" s="27" t="s">
        <v>2136</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4521</v>
      </c>
      <c r="B193" s="26" t="s">
        <v>2135</v>
      </c>
      <c r="C193" s="27" t="s">
        <v>2136</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4522</v>
      </c>
      <c r="B194" s="26" t="s">
        <v>2135</v>
      </c>
      <c r="C194" s="27" t="s">
        <v>2136</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4523</v>
      </c>
      <c r="B195" s="26" t="s">
        <v>2135</v>
      </c>
      <c r="C195" s="27" t="s">
        <v>2136</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4524</v>
      </c>
      <c r="B196" s="26" t="s">
        <v>2135</v>
      </c>
      <c r="C196" s="27" t="s">
        <v>2136</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4525</v>
      </c>
      <c r="B197" s="26" t="s">
        <v>2135</v>
      </c>
      <c r="C197" s="27" t="s">
        <v>2136</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4526</v>
      </c>
      <c r="B198" s="26" t="s">
        <v>2135</v>
      </c>
      <c r="C198" s="27" t="s">
        <v>2136</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4527</v>
      </c>
      <c r="B199" s="26" t="s">
        <v>2135</v>
      </c>
      <c r="C199" s="27" t="s">
        <v>2136</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4528</v>
      </c>
      <c r="B200" s="26" t="s">
        <v>2135</v>
      </c>
      <c r="C200" s="27" t="s">
        <v>2136</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4529</v>
      </c>
      <c r="B201" s="26" t="s">
        <v>2135</v>
      </c>
      <c r="C201" s="27" t="s">
        <v>2136</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4530</v>
      </c>
      <c r="B202" s="26" t="s">
        <v>2135</v>
      </c>
      <c r="C202" s="27" t="s">
        <v>2136</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4531</v>
      </c>
      <c r="B203" s="26" t="s">
        <v>2135</v>
      </c>
      <c r="C203" s="27" t="s">
        <v>2136</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4532</v>
      </c>
      <c r="B204" s="26" t="s">
        <v>2135</v>
      </c>
      <c r="C204" s="27" t="s">
        <v>2136</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4533</v>
      </c>
      <c r="B205" s="26" t="s">
        <v>2135</v>
      </c>
      <c r="C205" s="27" t="s">
        <v>2136</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4534</v>
      </c>
      <c r="B206" s="26" t="s">
        <v>2135</v>
      </c>
      <c r="C206" s="27" t="s">
        <v>2136</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4535</v>
      </c>
      <c r="B207" s="26" t="s">
        <v>2135</v>
      </c>
      <c r="C207" s="27" t="s">
        <v>2136</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4536</v>
      </c>
      <c r="B208" s="26" t="s">
        <v>2135</v>
      </c>
      <c r="C208" s="27" t="s">
        <v>2136</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4537</v>
      </c>
      <c r="B209" s="26" t="s">
        <v>2135</v>
      </c>
      <c r="C209" s="27" t="s">
        <v>2136</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4538</v>
      </c>
      <c r="B210" s="26" t="s">
        <v>2135</v>
      </c>
      <c r="C210" s="27" t="s">
        <v>2136</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4539</v>
      </c>
      <c r="B211" s="26" t="s">
        <v>2135</v>
      </c>
      <c r="C211" s="27" t="s">
        <v>2136</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4540</v>
      </c>
      <c r="B212" s="26" t="s">
        <v>2135</v>
      </c>
      <c r="C212" s="27" t="s">
        <v>2136</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4541</v>
      </c>
      <c r="B213" s="26" t="s">
        <v>2135</v>
      </c>
      <c r="C213" s="27" t="s">
        <v>2136</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4542</v>
      </c>
      <c r="B214" s="26" t="s">
        <v>2135</v>
      </c>
      <c r="C214" s="27" t="s">
        <v>2136</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4543</v>
      </c>
      <c r="B215" s="26" t="s">
        <v>2135</v>
      </c>
      <c r="C215" s="27" t="s">
        <v>2136</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4544</v>
      </c>
      <c r="B216" s="26" t="s">
        <v>2135</v>
      </c>
      <c r="C216" s="27" t="s">
        <v>2136</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4545</v>
      </c>
      <c r="B217" s="26" t="s">
        <v>2135</v>
      </c>
      <c r="C217" s="27" t="s">
        <v>2136</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4546</v>
      </c>
      <c r="B218" s="26" t="s">
        <v>2135</v>
      </c>
      <c r="C218" s="27" t="s">
        <v>2136</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4547</v>
      </c>
      <c r="B219" s="26" t="s">
        <v>2135</v>
      </c>
      <c r="C219" s="27" t="s">
        <v>2136</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4548</v>
      </c>
      <c r="B220" s="26" t="s">
        <v>2135</v>
      </c>
      <c r="C220" s="27" t="s">
        <v>2136</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4549</v>
      </c>
      <c r="B221" s="26" t="s">
        <v>2135</v>
      </c>
      <c r="C221" s="27" t="s">
        <v>2136</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4550</v>
      </c>
      <c r="B222" s="26" t="s">
        <v>2135</v>
      </c>
      <c r="C222" s="27" t="s">
        <v>2136</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4551</v>
      </c>
      <c r="B223" s="26" t="s">
        <v>2135</v>
      </c>
      <c r="C223" s="27" t="s">
        <v>2136</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4552</v>
      </c>
      <c r="B224" s="26" t="s">
        <v>2135</v>
      </c>
      <c r="C224" s="27" t="s">
        <v>2136</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4553</v>
      </c>
      <c r="B225" s="26" t="s">
        <v>2135</v>
      </c>
      <c r="C225" s="27" t="s">
        <v>2136</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4554</v>
      </c>
      <c r="B226" s="26" t="s">
        <v>2135</v>
      </c>
      <c r="C226" s="27" t="s">
        <v>2136</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4555</v>
      </c>
      <c r="B227" s="26" t="s">
        <v>2135</v>
      </c>
      <c r="C227" s="27" t="s">
        <v>2136</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4556</v>
      </c>
      <c r="B228" s="26" t="s">
        <v>2135</v>
      </c>
      <c r="C228" s="27" t="s">
        <v>2136</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4557</v>
      </c>
      <c r="B229" s="26" t="s">
        <v>2135</v>
      </c>
      <c r="C229" s="27" t="s">
        <v>2136</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4558</v>
      </c>
      <c r="B230" s="26" t="s">
        <v>2135</v>
      </c>
      <c r="C230" s="27" t="s">
        <v>2136</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4559</v>
      </c>
      <c r="B231" s="26" t="s">
        <v>2135</v>
      </c>
      <c r="C231" s="27" t="s">
        <v>2136</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4560</v>
      </c>
      <c r="B232" s="26" t="s">
        <v>2135</v>
      </c>
      <c r="C232" s="27" t="s">
        <v>2136</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4561</v>
      </c>
      <c r="B233" s="26" t="s">
        <v>2135</v>
      </c>
      <c r="C233" s="27" t="s">
        <v>2136</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4562</v>
      </c>
      <c r="B234" s="26" t="s">
        <v>2135</v>
      </c>
      <c r="C234" s="27" t="s">
        <v>2136</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4563</v>
      </c>
      <c r="B235" s="26" t="s">
        <v>2135</v>
      </c>
      <c r="C235" s="27" t="s">
        <v>2136</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4564</v>
      </c>
      <c r="B236" s="26" t="s">
        <v>2135</v>
      </c>
      <c r="C236" s="27" t="s">
        <v>2136</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4565</v>
      </c>
      <c r="B237" s="26" t="s">
        <v>2135</v>
      </c>
      <c r="C237" s="27" t="s">
        <v>2136</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4566</v>
      </c>
      <c r="B238" s="26" t="s">
        <v>2135</v>
      </c>
      <c r="C238" s="27" t="s">
        <v>2136</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4567</v>
      </c>
      <c r="B239" s="26" t="s">
        <v>2135</v>
      </c>
      <c r="C239" s="27" t="s">
        <v>2136</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4568</v>
      </c>
      <c r="B240" s="26" t="s">
        <v>2135</v>
      </c>
      <c r="C240" s="27" t="s">
        <v>2136</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4569</v>
      </c>
      <c r="B241" s="26" t="s">
        <v>2135</v>
      </c>
      <c r="C241" s="27" t="s">
        <v>2136</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4570</v>
      </c>
      <c r="B242" s="26" t="s">
        <v>2135</v>
      </c>
      <c r="C242" s="27" t="s">
        <v>2136</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4571</v>
      </c>
      <c r="B243" s="26" t="s">
        <v>2135</v>
      </c>
      <c r="C243" s="27" t="s">
        <v>2136</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4572</v>
      </c>
      <c r="B244" s="26" t="s">
        <v>2135</v>
      </c>
      <c r="C244" s="27" t="s">
        <v>2136</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4573</v>
      </c>
      <c r="B245" s="26" t="s">
        <v>2135</v>
      </c>
      <c r="C245" s="27" t="s">
        <v>2136</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4574</v>
      </c>
      <c r="B246" s="26" t="s">
        <v>2135</v>
      </c>
      <c r="C246" s="27" t="s">
        <v>2136</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4575</v>
      </c>
      <c r="B247" s="26" t="s">
        <v>2135</v>
      </c>
      <c r="C247" s="27" t="s">
        <v>2136</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4576</v>
      </c>
      <c r="B248" s="26" t="s">
        <v>2135</v>
      </c>
      <c r="C248" s="27" t="s">
        <v>2136</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4577</v>
      </c>
      <c r="B249" s="26" t="s">
        <v>2135</v>
      </c>
      <c r="C249" s="27" t="s">
        <v>2136</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4578</v>
      </c>
      <c r="B250" s="26" t="s">
        <v>2135</v>
      </c>
      <c r="C250" s="27" t="s">
        <v>2136</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4579</v>
      </c>
      <c r="B251" s="26" t="s">
        <v>2135</v>
      </c>
      <c r="C251" s="27" t="s">
        <v>2136</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4580</v>
      </c>
      <c r="B252" s="26" t="s">
        <v>2135</v>
      </c>
      <c r="C252" s="27" t="s">
        <v>2136</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4581</v>
      </c>
      <c r="B253" s="26" t="s">
        <v>2135</v>
      </c>
      <c r="C253" s="27" t="s">
        <v>2136</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4582</v>
      </c>
      <c r="B254" s="26" t="s">
        <v>2135</v>
      </c>
      <c r="C254" s="27" t="s">
        <v>2136</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4583</v>
      </c>
      <c r="B255" s="26" t="s">
        <v>2135</v>
      </c>
      <c r="C255" s="27" t="s">
        <v>2136</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4584</v>
      </c>
      <c r="B256" s="26" t="s">
        <v>2135</v>
      </c>
      <c r="C256" s="27" t="s">
        <v>2136</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4585</v>
      </c>
      <c r="B257" s="26" t="s">
        <v>2135</v>
      </c>
      <c r="C257" s="27" t="s">
        <v>2136</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4586</v>
      </c>
      <c r="B258" s="26" t="s">
        <v>2135</v>
      </c>
      <c r="C258" s="27" t="s">
        <v>2136</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4587</v>
      </c>
      <c r="B259" s="26" t="s">
        <v>2135</v>
      </c>
      <c r="C259" s="27" t="s">
        <v>2136</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4588</v>
      </c>
      <c r="B260" s="26" t="s">
        <v>2135</v>
      </c>
      <c r="C260" s="27" t="s">
        <v>2136</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4589</v>
      </c>
      <c r="B261" s="26" t="s">
        <v>2135</v>
      </c>
      <c r="C261" s="27" t="s">
        <v>2136</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4590</v>
      </c>
      <c r="B262" s="26" t="s">
        <v>2135</v>
      </c>
      <c r="C262" s="27" t="s">
        <v>2136</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4591</v>
      </c>
      <c r="B263" s="26" t="s">
        <v>2135</v>
      </c>
      <c r="C263" s="27" t="s">
        <v>2136</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4592</v>
      </c>
      <c r="B264" s="26" t="s">
        <v>2135</v>
      </c>
      <c r="C264" s="27" t="s">
        <v>2136</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4593</v>
      </c>
      <c r="B265" s="26" t="s">
        <v>2135</v>
      </c>
      <c r="C265" s="27" t="s">
        <v>2136</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4594</v>
      </c>
      <c r="B266" s="26" t="s">
        <v>2135</v>
      </c>
      <c r="C266" s="27" t="s">
        <v>2136</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4595</v>
      </c>
      <c r="B267" s="26" t="s">
        <v>2135</v>
      </c>
      <c r="C267" s="27" t="s">
        <v>2136</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4596</v>
      </c>
      <c r="B268" s="26" t="s">
        <v>2135</v>
      </c>
      <c r="C268" s="27" t="s">
        <v>2136</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4597</v>
      </c>
      <c r="B269" s="26" t="s">
        <v>2135</v>
      </c>
      <c r="C269" s="27" t="s">
        <v>2136</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4598</v>
      </c>
      <c r="B270" s="26" t="s">
        <v>2135</v>
      </c>
      <c r="C270" s="27" t="s">
        <v>2136</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4599</v>
      </c>
      <c r="B271" s="26" t="s">
        <v>2135</v>
      </c>
      <c r="C271" s="27" t="s">
        <v>2136</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4600</v>
      </c>
      <c r="B272" s="26" t="s">
        <v>2135</v>
      </c>
      <c r="C272" s="27" t="s">
        <v>2136</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4601</v>
      </c>
      <c r="B273" s="26" t="s">
        <v>2135</v>
      </c>
      <c r="C273" s="27" t="s">
        <v>2136</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4602</v>
      </c>
      <c r="B274" s="26" t="s">
        <v>2135</v>
      </c>
      <c r="C274" s="27" t="s">
        <v>2136</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4603</v>
      </c>
      <c r="B275" s="26" t="s">
        <v>2135</v>
      </c>
      <c r="C275" s="27" t="s">
        <v>2136</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4604</v>
      </c>
      <c r="B276" s="26" t="s">
        <v>2135</v>
      </c>
      <c r="C276" s="27" t="s">
        <v>2136</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4605</v>
      </c>
      <c r="B277" s="26" t="s">
        <v>2135</v>
      </c>
      <c r="C277" s="27" t="s">
        <v>2136</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4606</v>
      </c>
      <c r="B278" s="26" t="s">
        <v>2135</v>
      </c>
      <c r="C278" s="27" t="s">
        <v>2136</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4607</v>
      </c>
      <c r="B279" s="26" t="s">
        <v>2135</v>
      </c>
      <c r="C279" s="27" t="s">
        <v>2136</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4608</v>
      </c>
      <c r="B280" s="26" t="s">
        <v>2135</v>
      </c>
      <c r="C280" s="27" t="s">
        <v>2136</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4609</v>
      </c>
      <c r="B281" s="26" t="s">
        <v>2135</v>
      </c>
      <c r="C281" s="27" t="s">
        <v>2136</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4610</v>
      </c>
      <c r="B282" s="26" t="s">
        <v>2135</v>
      </c>
      <c r="C282" s="27" t="s">
        <v>2136</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4611</v>
      </c>
      <c r="B283" s="26" t="s">
        <v>2135</v>
      </c>
      <c r="C283" s="27" t="s">
        <v>2136</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4612</v>
      </c>
      <c r="B284" s="26" t="s">
        <v>2135</v>
      </c>
      <c r="C284" s="27" t="s">
        <v>2136</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4613</v>
      </c>
      <c r="B285" s="26" t="s">
        <v>2135</v>
      </c>
      <c r="C285" s="27" t="s">
        <v>2136</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4614</v>
      </c>
      <c r="B286" s="26" t="s">
        <v>2135</v>
      </c>
      <c r="C286" s="27" t="s">
        <v>2136</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4615</v>
      </c>
      <c r="B287" s="26" t="s">
        <v>2135</v>
      </c>
      <c r="C287" s="27" t="s">
        <v>2136</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4616</v>
      </c>
      <c r="B288" s="26" t="s">
        <v>2135</v>
      </c>
      <c r="C288" s="27" t="s">
        <v>2136</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4617</v>
      </c>
      <c r="B289" s="26" t="s">
        <v>2135</v>
      </c>
      <c r="C289" s="27" t="s">
        <v>2136</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4618</v>
      </c>
      <c r="B290" s="26" t="s">
        <v>2135</v>
      </c>
      <c r="C290" s="27" t="s">
        <v>2136</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4619</v>
      </c>
      <c r="B291" s="26" t="s">
        <v>2135</v>
      </c>
      <c r="C291" s="27" t="s">
        <v>2136</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4620</v>
      </c>
      <c r="B292" s="26" t="s">
        <v>2135</v>
      </c>
      <c r="C292" s="27" t="s">
        <v>2136</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4621</v>
      </c>
      <c r="B293" s="26" t="s">
        <v>2135</v>
      </c>
      <c r="C293" s="27" t="s">
        <v>2136</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4622</v>
      </c>
      <c r="B294" s="26" t="s">
        <v>2135</v>
      </c>
      <c r="C294" s="27" t="s">
        <v>2136</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4623</v>
      </c>
      <c r="B295" s="26" t="s">
        <v>2135</v>
      </c>
      <c r="C295" s="27" t="s">
        <v>2136</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4624</v>
      </c>
      <c r="B296" s="26" t="s">
        <v>2135</v>
      </c>
      <c r="C296" s="27" t="s">
        <v>2136</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4625</v>
      </c>
      <c r="B297" s="26" t="s">
        <v>2135</v>
      </c>
      <c r="C297" s="27" t="s">
        <v>2136</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4626</v>
      </c>
      <c r="B298" s="26" t="s">
        <v>2135</v>
      </c>
      <c r="C298" s="27" t="s">
        <v>2136</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4627</v>
      </c>
      <c r="B299" s="26" t="s">
        <v>2135</v>
      </c>
      <c r="C299" s="27" t="s">
        <v>2136</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4628</v>
      </c>
      <c r="B300" s="26" t="s">
        <v>2135</v>
      </c>
      <c r="C300" s="27" t="s">
        <v>2136</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4629</v>
      </c>
      <c r="B301" s="26" t="s">
        <v>2135</v>
      </c>
      <c r="C301" s="27" t="s">
        <v>2136</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4630</v>
      </c>
      <c r="B302" s="26" t="s">
        <v>2135</v>
      </c>
      <c r="C302" s="27" t="s">
        <v>2136</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4631</v>
      </c>
      <c r="B303" s="26" t="s">
        <v>2072</v>
      </c>
      <c r="C303" s="27" t="s">
        <v>2073</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4632</v>
      </c>
      <c r="B304" s="26" t="s">
        <v>2072</v>
      </c>
      <c r="C304" s="27" t="s">
        <v>2073</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4633</v>
      </c>
      <c r="B305" s="26" t="s">
        <v>2072</v>
      </c>
      <c r="C305" s="27" t="s">
        <v>2073</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4634</v>
      </c>
      <c r="B306" s="26" t="s">
        <v>2072</v>
      </c>
      <c r="C306" s="27" t="s">
        <v>2073</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4635</v>
      </c>
      <c r="B307" s="26" t="s">
        <v>2072</v>
      </c>
      <c r="C307" s="27" t="s">
        <v>2073</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4636</v>
      </c>
      <c r="B308" s="26" t="s">
        <v>2072</v>
      </c>
      <c r="C308" s="27" t="s">
        <v>2073</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4637</v>
      </c>
      <c r="B309" s="26" t="s">
        <v>2095</v>
      </c>
      <c r="C309" s="27" t="s">
        <v>2096</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4638</v>
      </c>
      <c r="B310" s="26" t="s">
        <v>2095</v>
      </c>
      <c r="C310" s="27" t="s">
        <v>2096</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4639</v>
      </c>
      <c r="B311" s="26" t="s">
        <v>2095</v>
      </c>
      <c r="C311" s="27" t="s">
        <v>2096</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4640</v>
      </c>
      <c r="B312" s="26" t="s">
        <v>2095</v>
      </c>
      <c r="C312" s="27" t="s">
        <v>2096</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4641</v>
      </c>
      <c r="B313" s="26" t="s">
        <v>2095</v>
      </c>
      <c r="C313" s="27" t="s">
        <v>2096</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4642</v>
      </c>
      <c r="B314" s="26" t="s">
        <v>2095</v>
      </c>
      <c r="C314" s="27" t="s">
        <v>2096</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4643</v>
      </c>
      <c r="B315" s="26" t="s">
        <v>2095</v>
      </c>
      <c r="C315" s="27" t="s">
        <v>2096</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4644</v>
      </c>
      <c r="B316" s="26" t="s">
        <v>2095</v>
      </c>
      <c r="C316" s="27" t="s">
        <v>2096</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4645</v>
      </c>
      <c r="B317" s="26" t="s">
        <v>2095</v>
      </c>
      <c r="C317" s="27" t="s">
        <v>2096</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4646</v>
      </c>
      <c r="B318" s="26" t="s">
        <v>2095</v>
      </c>
      <c r="C318" s="27" t="s">
        <v>2096</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4647</v>
      </c>
      <c r="B319" s="26" t="s">
        <v>2095</v>
      </c>
      <c r="C319" s="27" t="s">
        <v>2096</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4648</v>
      </c>
      <c r="B320" s="26" t="s">
        <v>2095</v>
      </c>
      <c r="C320" s="27" t="s">
        <v>2096</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4649</v>
      </c>
      <c r="B321" s="26" t="s">
        <v>2095</v>
      </c>
      <c r="C321" s="27" t="s">
        <v>2096</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4650</v>
      </c>
      <c r="B322" s="26" t="s">
        <v>2095</v>
      </c>
      <c r="C322" s="27" t="s">
        <v>2096</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4651</v>
      </c>
      <c r="B323" s="26" t="s">
        <v>2095</v>
      </c>
      <c r="C323" s="27" t="s">
        <v>2096</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4652</v>
      </c>
      <c r="B324" s="26" t="s">
        <v>2095</v>
      </c>
      <c r="C324" s="27" t="s">
        <v>2096</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4653</v>
      </c>
      <c r="B325" s="26" t="s">
        <v>2095</v>
      </c>
      <c r="C325" s="27" t="s">
        <v>2096</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4654</v>
      </c>
      <c r="B326" s="26" t="s">
        <v>2095</v>
      </c>
      <c r="C326" s="27" t="s">
        <v>2096</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4655</v>
      </c>
      <c r="B327" s="26" t="s">
        <v>2095</v>
      </c>
      <c r="C327" s="27" t="s">
        <v>2096</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4656</v>
      </c>
      <c r="B328" s="26" t="s">
        <v>2095</v>
      </c>
      <c r="C328" s="27" t="s">
        <v>2096</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4657</v>
      </c>
      <c r="B329" s="26" t="s">
        <v>2095</v>
      </c>
      <c r="C329" s="27" t="s">
        <v>2096</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4658</v>
      </c>
      <c r="B330" s="26" t="s">
        <v>2095</v>
      </c>
      <c r="C330" s="27" t="s">
        <v>2096</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4659</v>
      </c>
      <c r="B331" s="26" t="s">
        <v>2095</v>
      </c>
      <c r="C331" s="27" t="s">
        <v>2096</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4660</v>
      </c>
      <c r="B332" s="26" t="s">
        <v>2095</v>
      </c>
      <c r="C332" s="27" t="s">
        <v>2096</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4661</v>
      </c>
      <c r="B333" s="26" t="s">
        <v>2095</v>
      </c>
      <c r="C333" s="27" t="s">
        <v>2096</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4662</v>
      </c>
      <c r="B334" s="26" t="s">
        <v>2095</v>
      </c>
      <c r="C334" s="27" t="s">
        <v>2096</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4663</v>
      </c>
      <c r="B335" s="26" t="s">
        <v>2095</v>
      </c>
      <c r="C335" s="27" t="s">
        <v>2096</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4664</v>
      </c>
      <c r="B336" s="26" t="s">
        <v>2095</v>
      </c>
      <c r="C336" s="27" t="s">
        <v>2096</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4665</v>
      </c>
      <c r="B337" s="26" t="s">
        <v>2095</v>
      </c>
      <c r="C337" s="27" t="s">
        <v>2096</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4666</v>
      </c>
      <c r="B338" s="26" t="s">
        <v>2095</v>
      </c>
      <c r="C338" s="27" t="s">
        <v>2096</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4667</v>
      </c>
      <c r="B339" s="26" t="s">
        <v>2095</v>
      </c>
      <c r="C339" s="27" t="s">
        <v>2096</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4668</v>
      </c>
      <c r="B340" s="26" t="s">
        <v>2095</v>
      </c>
      <c r="C340" s="27" t="s">
        <v>2096</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4669</v>
      </c>
      <c r="B341" s="26" t="s">
        <v>2095</v>
      </c>
      <c r="C341" s="27" t="s">
        <v>2096</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4670</v>
      </c>
      <c r="B342" s="26" t="s">
        <v>2095</v>
      </c>
      <c r="C342" s="27" t="s">
        <v>2096</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4671</v>
      </c>
      <c r="B343" s="26" t="s">
        <v>2095</v>
      </c>
      <c r="C343" s="27" t="s">
        <v>2096</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4672</v>
      </c>
      <c r="B344" s="26" t="s">
        <v>2095</v>
      </c>
      <c r="C344" s="27" t="s">
        <v>2096</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4673</v>
      </c>
      <c r="B345" s="26" t="s">
        <v>2095</v>
      </c>
      <c r="C345" s="27" t="s">
        <v>2096</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4674</v>
      </c>
      <c r="B346" s="26" t="s">
        <v>2095</v>
      </c>
      <c r="C346" s="27" t="s">
        <v>2096</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4675</v>
      </c>
      <c r="B347" s="26" t="s">
        <v>2095</v>
      </c>
      <c r="C347" s="27" t="s">
        <v>2096</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4676</v>
      </c>
      <c r="B348" s="26" t="s">
        <v>2095</v>
      </c>
      <c r="C348" s="27" t="s">
        <v>2096</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4677</v>
      </c>
      <c r="B349" s="26" t="s">
        <v>2095</v>
      </c>
      <c r="C349" s="27" t="s">
        <v>2096</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4678</v>
      </c>
      <c r="B350" s="26" t="s">
        <v>2095</v>
      </c>
      <c r="C350" s="27" t="s">
        <v>2096</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4679</v>
      </c>
      <c r="B351" s="26" t="s">
        <v>2095</v>
      </c>
      <c r="C351" s="27" t="s">
        <v>2096</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4680</v>
      </c>
      <c r="B352" s="26" t="s">
        <v>2095</v>
      </c>
      <c r="C352" s="27" t="s">
        <v>2096</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4681</v>
      </c>
      <c r="B353" s="26" t="s">
        <v>2095</v>
      </c>
      <c r="C353" s="27" t="s">
        <v>2096</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4682</v>
      </c>
      <c r="B354" s="26" t="s">
        <v>2095</v>
      </c>
      <c r="C354" s="27" t="s">
        <v>2096</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4683</v>
      </c>
      <c r="B355" s="26" t="s">
        <v>2095</v>
      </c>
      <c r="C355" s="27" t="s">
        <v>2096</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4684</v>
      </c>
      <c r="B356" s="26" t="s">
        <v>2095</v>
      </c>
      <c r="C356" s="27" t="s">
        <v>2096</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4685</v>
      </c>
      <c r="B357" s="26" t="s">
        <v>2095</v>
      </c>
      <c r="C357" s="27" t="s">
        <v>2096</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4686</v>
      </c>
      <c r="B358" s="26" t="s">
        <v>2095</v>
      </c>
      <c r="C358" s="27" t="s">
        <v>2096</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4687</v>
      </c>
      <c r="B359" s="26" t="s">
        <v>2095</v>
      </c>
      <c r="C359" s="27" t="s">
        <v>2096</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4688</v>
      </c>
      <c r="B360" s="26" t="s">
        <v>2095</v>
      </c>
      <c r="C360" s="27" t="s">
        <v>2096</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4689</v>
      </c>
      <c r="B361" s="26" t="s">
        <v>2095</v>
      </c>
      <c r="C361" s="27" t="s">
        <v>2096</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4690</v>
      </c>
      <c r="B362" s="26" t="s">
        <v>2095</v>
      </c>
      <c r="C362" s="27" t="s">
        <v>2096</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4691</v>
      </c>
      <c r="B363" s="26" t="s">
        <v>2095</v>
      </c>
      <c r="C363" s="27" t="s">
        <v>2096</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4692</v>
      </c>
      <c r="B364" s="26" t="s">
        <v>2095</v>
      </c>
      <c r="C364" s="27" t="s">
        <v>2096</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4693</v>
      </c>
      <c r="B365" s="26" t="s">
        <v>2095</v>
      </c>
      <c r="C365" s="27" t="s">
        <v>2096</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4694</v>
      </c>
      <c r="B366" s="26" t="s">
        <v>2135</v>
      </c>
      <c r="C366" s="27" t="s">
        <v>2136</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4695</v>
      </c>
      <c r="B367" s="26" t="s">
        <v>2135</v>
      </c>
      <c r="C367" s="27" t="s">
        <v>2136</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4696</v>
      </c>
      <c r="B368" s="26" t="s">
        <v>2135</v>
      </c>
      <c r="C368" s="27" t="s">
        <v>2136</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4697</v>
      </c>
      <c r="B369" s="26" t="s">
        <v>2135</v>
      </c>
      <c r="C369" s="27" t="s">
        <v>2136</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4698</v>
      </c>
      <c r="B370" s="26" t="s">
        <v>2135</v>
      </c>
      <c r="C370" s="27" t="s">
        <v>2136</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4699</v>
      </c>
      <c r="B371" s="26" t="s">
        <v>2135</v>
      </c>
      <c r="C371" s="27" t="s">
        <v>2136</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4700</v>
      </c>
      <c r="B372" s="26" t="s">
        <v>2135</v>
      </c>
      <c r="C372" s="27" t="s">
        <v>2136</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4701</v>
      </c>
      <c r="B373" s="26" t="s">
        <v>2135</v>
      </c>
      <c r="C373" s="27" t="s">
        <v>2136</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4702</v>
      </c>
      <c r="B374" s="26" t="s">
        <v>2135</v>
      </c>
      <c r="C374" s="27" t="s">
        <v>2136</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4703</v>
      </c>
      <c r="B375" s="26" t="s">
        <v>2135</v>
      </c>
      <c r="C375" s="27" t="s">
        <v>2136</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4704</v>
      </c>
      <c r="B376" s="26" t="s">
        <v>2135</v>
      </c>
      <c r="C376" s="27" t="s">
        <v>2136</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4705</v>
      </c>
      <c r="B377" s="26" t="s">
        <v>2135</v>
      </c>
      <c r="C377" s="27" t="s">
        <v>2136</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4706</v>
      </c>
      <c r="B378" s="26" t="s">
        <v>2135</v>
      </c>
      <c r="C378" s="27" t="s">
        <v>2136</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4707</v>
      </c>
      <c r="B379" s="26" t="s">
        <v>2135</v>
      </c>
      <c r="C379" s="27" t="s">
        <v>2136</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4708</v>
      </c>
      <c r="B380" s="26" t="s">
        <v>2135</v>
      </c>
      <c r="C380" s="27" t="s">
        <v>2136</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4709</v>
      </c>
      <c r="B381" s="26" t="s">
        <v>2135</v>
      </c>
      <c r="C381" s="27" t="s">
        <v>2136</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4710</v>
      </c>
      <c r="B382" s="26" t="s">
        <v>2135</v>
      </c>
      <c r="C382" s="27" t="s">
        <v>2136</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4711</v>
      </c>
      <c r="B383" s="26" t="s">
        <v>2135</v>
      </c>
      <c r="C383" s="27" t="s">
        <v>2136</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4712</v>
      </c>
      <c r="B384" s="26" t="s">
        <v>2135</v>
      </c>
      <c r="C384" s="27" t="s">
        <v>2136</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4713</v>
      </c>
      <c r="B385" s="26" t="s">
        <v>2135</v>
      </c>
      <c r="C385" s="27" t="s">
        <v>2136</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4714</v>
      </c>
      <c r="B386" s="26" t="s">
        <v>2135</v>
      </c>
      <c r="C386" s="27" t="s">
        <v>2136</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4715</v>
      </c>
      <c r="B387" s="26" t="s">
        <v>2135</v>
      </c>
      <c r="C387" s="27" t="s">
        <v>2136</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4716</v>
      </c>
      <c r="B388" s="26" t="s">
        <v>2135</v>
      </c>
      <c r="C388" s="27" t="s">
        <v>2136</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4717</v>
      </c>
      <c r="B389" s="26" t="s">
        <v>2135</v>
      </c>
      <c r="C389" s="27" t="s">
        <v>2136</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4718</v>
      </c>
      <c r="B390" s="26" t="s">
        <v>2135</v>
      </c>
      <c r="C390" s="27" t="s">
        <v>2136</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4719</v>
      </c>
      <c r="B391" s="26" t="s">
        <v>2135</v>
      </c>
      <c r="C391" s="27" t="s">
        <v>2136</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4720</v>
      </c>
      <c r="B392" s="26" t="s">
        <v>2135</v>
      </c>
      <c r="C392" s="27" t="s">
        <v>2136</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4721</v>
      </c>
      <c r="B393" s="26" t="s">
        <v>2135</v>
      </c>
      <c r="C393" s="27" t="s">
        <v>2136</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4722</v>
      </c>
      <c r="B394" s="26" t="s">
        <v>2135</v>
      </c>
      <c r="C394" s="27" t="s">
        <v>2136</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4723</v>
      </c>
      <c r="B395" s="26" t="s">
        <v>2135</v>
      </c>
      <c r="C395" s="27" t="s">
        <v>2136</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4724</v>
      </c>
      <c r="B396" s="26" t="s">
        <v>2135</v>
      </c>
      <c r="C396" s="27" t="s">
        <v>2136</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4725</v>
      </c>
      <c r="B397" s="26" t="s">
        <v>2135</v>
      </c>
      <c r="C397" s="27" t="s">
        <v>2136</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4726</v>
      </c>
      <c r="B398" s="26" t="s">
        <v>2135</v>
      </c>
      <c r="C398" s="27" t="s">
        <v>2136</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4727</v>
      </c>
      <c r="B399" s="26" t="s">
        <v>2135</v>
      </c>
      <c r="C399" s="27" t="s">
        <v>2136</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4728</v>
      </c>
      <c r="B400" s="26" t="s">
        <v>2135</v>
      </c>
      <c r="C400" s="27" t="s">
        <v>2136</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4729</v>
      </c>
      <c r="B401" s="26" t="s">
        <v>2135</v>
      </c>
      <c r="C401" s="27" t="s">
        <v>2136</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4730</v>
      </c>
      <c r="B402" s="26" t="s">
        <v>2135</v>
      </c>
      <c r="C402" s="27" t="s">
        <v>2136</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4731</v>
      </c>
      <c r="B403" s="26" t="s">
        <v>2135</v>
      </c>
      <c r="C403" s="27" t="s">
        <v>2136</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4732</v>
      </c>
      <c r="B404" s="26" t="s">
        <v>2135</v>
      </c>
      <c r="C404" s="27" t="s">
        <v>2136</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4733</v>
      </c>
      <c r="B405" s="26" t="s">
        <v>2135</v>
      </c>
      <c r="C405" s="27" t="s">
        <v>2136</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4734</v>
      </c>
      <c r="B406" s="26" t="s">
        <v>2135</v>
      </c>
      <c r="C406" s="27" t="s">
        <v>2136</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4735</v>
      </c>
      <c r="B407" s="26" t="s">
        <v>2135</v>
      </c>
      <c r="C407" s="27" t="s">
        <v>2136</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4736</v>
      </c>
      <c r="B408" s="26" t="s">
        <v>2135</v>
      </c>
      <c r="C408" s="27" t="s">
        <v>2136</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4737</v>
      </c>
      <c r="B409" s="26" t="s">
        <v>2135</v>
      </c>
      <c r="C409" s="27" t="s">
        <v>2136</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4738</v>
      </c>
      <c r="B410" s="26" t="s">
        <v>2135</v>
      </c>
      <c r="C410" s="27" t="s">
        <v>2136</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4739</v>
      </c>
      <c r="B411" s="26" t="s">
        <v>2135</v>
      </c>
      <c r="C411" s="27" t="s">
        <v>2136</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4740</v>
      </c>
      <c r="B412" s="26" t="s">
        <v>2135</v>
      </c>
      <c r="C412" s="27" t="s">
        <v>2136</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4741</v>
      </c>
      <c r="B413" s="26" t="s">
        <v>2135</v>
      </c>
      <c r="C413" s="27" t="s">
        <v>2136</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4742</v>
      </c>
      <c r="B414" s="26" t="s">
        <v>2135</v>
      </c>
      <c r="C414" s="27" t="s">
        <v>2136</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4743</v>
      </c>
      <c r="B415" s="26" t="s">
        <v>2135</v>
      </c>
      <c r="C415" s="27" t="s">
        <v>2136</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4744</v>
      </c>
      <c r="B416" s="26" t="s">
        <v>2135</v>
      </c>
      <c r="C416" s="27" t="s">
        <v>2136</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4745</v>
      </c>
      <c r="B417" s="26" t="s">
        <v>2135</v>
      </c>
      <c r="C417" s="27" t="s">
        <v>2136</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4746</v>
      </c>
      <c r="B418" s="26" t="s">
        <v>2135</v>
      </c>
      <c r="C418" s="27" t="s">
        <v>2136</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4747</v>
      </c>
      <c r="B419" s="26" t="s">
        <v>2135</v>
      </c>
      <c r="C419" s="27" t="s">
        <v>2136</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4748</v>
      </c>
      <c r="B420" s="26" t="s">
        <v>2135</v>
      </c>
      <c r="C420" s="27" t="s">
        <v>2136</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4749</v>
      </c>
      <c r="B421" s="26" t="s">
        <v>2135</v>
      </c>
      <c r="C421" s="27" t="s">
        <v>2136</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4750</v>
      </c>
      <c r="B422" s="26" t="s">
        <v>2135</v>
      </c>
      <c r="C422" s="27" t="s">
        <v>2136</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4751</v>
      </c>
      <c r="B423" s="26" t="s">
        <v>2135</v>
      </c>
      <c r="C423" s="27" t="s">
        <v>2136</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4752</v>
      </c>
      <c r="B424" s="26" t="s">
        <v>2135</v>
      </c>
      <c r="C424" s="27" t="s">
        <v>2136</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4753</v>
      </c>
      <c r="B425" s="26" t="s">
        <v>2135</v>
      </c>
      <c r="C425" s="27" t="s">
        <v>2136</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4754</v>
      </c>
      <c r="B426" s="26" t="s">
        <v>2135</v>
      </c>
      <c r="C426" s="27" t="s">
        <v>2136</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4755</v>
      </c>
      <c r="B427" s="26" t="s">
        <v>2135</v>
      </c>
      <c r="C427" s="27" t="s">
        <v>2136</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4756</v>
      </c>
      <c r="B428" s="26" t="s">
        <v>2135</v>
      </c>
      <c r="C428" s="27" t="s">
        <v>2136</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4757</v>
      </c>
      <c r="B429" s="26" t="s">
        <v>2135</v>
      </c>
      <c r="C429" s="27" t="s">
        <v>2136</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4758</v>
      </c>
      <c r="B430" s="26" t="s">
        <v>2135</v>
      </c>
      <c r="C430" s="27" t="s">
        <v>2136</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4759</v>
      </c>
      <c r="B431" s="26" t="s">
        <v>2135</v>
      </c>
      <c r="C431" s="27" t="s">
        <v>2136</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4760</v>
      </c>
      <c r="B432" s="26" t="s">
        <v>2135</v>
      </c>
      <c r="C432" s="27" t="s">
        <v>2136</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4761</v>
      </c>
      <c r="B433" s="26" t="s">
        <v>2135</v>
      </c>
      <c r="C433" s="27" t="s">
        <v>2136</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4762</v>
      </c>
      <c r="B434" s="26" t="s">
        <v>2135</v>
      </c>
      <c r="C434" s="27" t="s">
        <v>2136</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4763</v>
      </c>
      <c r="B435" s="26" t="s">
        <v>2135</v>
      </c>
      <c r="C435" s="27" t="s">
        <v>2136</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4764</v>
      </c>
      <c r="B436" s="26" t="s">
        <v>2135</v>
      </c>
      <c r="C436" s="27" t="s">
        <v>2136</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4765</v>
      </c>
      <c r="B437" s="26" t="s">
        <v>2135</v>
      </c>
      <c r="C437" s="27" t="s">
        <v>2136</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4766</v>
      </c>
      <c r="B438" s="26" t="s">
        <v>2135</v>
      </c>
      <c r="C438" s="27" t="s">
        <v>2136</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4767</v>
      </c>
      <c r="B439" s="26" t="s">
        <v>2135</v>
      </c>
      <c r="C439" s="27" t="s">
        <v>2136</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4768</v>
      </c>
      <c r="B440" s="26" t="s">
        <v>2135</v>
      </c>
      <c r="C440" s="27" t="s">
        <v>2136</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4769</v>
      </c>
      <c r="B441" s="26" t="s">
        <v>2135</v>
      </c>
      <c r="C441" s="27" t="s">
        <v>2136</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4770</v>
      </c>
      <c r="B442" s="26" t="s">
        <v>2135</v>
      </c>
      <c r="C442" s="27" t="s">
        <v>2136</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4771</v>
      </c>
      <c r="B443" s="26" t="s">
        <v>2135</v>
      </c>
      <c r="C443" s="27" t="s">
        <v>2136</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4772</v>
      </c>
      <c r="B444" s="26" t="s">
        <v>2135</v>
      </c>
      <c r="C444" s="27" t="s">
        <v>2136</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4773</v>
      </c>
      <c r="B445" s="26" t="s">
        <v>2135</v>
      </c>
      <c r="C445" s="27" t="s">
        <v>2136</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4774</v>
      </c>
      <c r="B446" s="26" t="s">
        <v>2135</v>
      </c>
      <c r="C446" s="27" t="s">
        <v>2136</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4775</v>
      </c>
      <c r="B447" s="26" t="s">
        <v>2135</v>
      </c>
      <c r="C447" s="27" t="s">
        <v>2136</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4776</v>
      </c>
      <c r="B448" s="26" t="s">
        <v>2135</v>
      </c>
      <c r="C448" s="27" t="s">
        <v>2136</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4777</v>
      </c>
      <c r="B449" s="26" t="s">
        <v>2135</v>
      </c>
      <c r="C449" s="27" t="s">
        <v>2136</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4778</v>
      </c>
      <c r="B450" s="26" t="s">
        <v>2135</v>
      </c>
      <c r="C450" s="27" t="s">
        <v>2136</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4779</v>
      </c>
      <c r="B451" s="26" t="s">
        <v>2135</v>
      </c>
      <c r="C451" s="27" t="s">
        <v>2136</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4780</v>
      </c>
      <c r="B452" s="26" t="s">
        <v>2135</v>
      </c>
      <c r="C452" s="27" t="s">
        <v>2136</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4781</v>
      </c>
      <c r="B453" s="26" t="s">
        <v>2135</v>
      </c>
      <c r="C453" s="27" t="s">
        <v>2136</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4782</v>
      </c>
      <c r="B454" s="26" t="s">
        <v>2135</v>
      </c>
      <c r="C454" s="27" t="s">
        <v>2136</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4783</v>
      </c>
      <c r="B455" s="26" t="s">
        <v>2135</v>
      </c>
      <c r="C455" s="27" t="s">
        <v>2136</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4784</v>
      </c>
      <c r="B456" s="26" t="s">
        <v>2135</v>
      </c>
      <c r="C456" s="27" t="s">
        <v>2136</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4785</v>
      </c>
      <c r="B457" s="26" t="s">
        <v>2135</v>
      </c>
      <c r="C457" s="27" t="s">
        <v>2136</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4786</v>
      </c>
      <c r="B458" s="26" t="s">
        <v>2135</v>
      </c>
      <c r="C458" s="27" t="s">
        <v>2136</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4787</v>
      </c>
      <c r="B459" s="26" t="s">
        <v>2135</v>
      </c>
      <c r="C459" s="27" t="s">
        <v>2136</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4788</v>
      </c>
      <c r="B460" s="26" t="s">
        <v>2135</v>
      </c>
      <c r="C460" s="27" t="s">
        <v>2136</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4789</v>
      </c>
      <c r="B461" s="26" t="s">
        <v>2135</v>
      </c>
      <c r="C461" s="27" t="s">
        <v>2136</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4790</v>
      </c>
      <c r="B462" s="26" t="s">
        <v>2135</v>
      </c>
      <c r="C462" s="27" t="s">
        <v>2136</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4791</v>
      </c>
      <c r="B463" s="26" t="s">
        <v>2135</v>
      </c>
      <c r="C463" s="27" t="s">
        <v>2136</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4792</v>
      </c>
      <c r="B464" s="26" t="s">
        <v>2135</v>
      </c>
      <c r="C464" s="27" t="s">
        <v>2136</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4793</v>
      </c>
      <c r="B465" s="26" t="s">
        <v>2135</v>
      </c>
      <c r="C465" s="27" t="s">
        <v>2136</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4794</v>
      </c>
      <c r="B466" s="26" t="s">
        <v>2135</v>
      </c>
      <c r="C466" s="27" t="s">
        <v>2136</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4795</v>
      </c>
      <c r="B467" s="26" t="s">
        <v>2135</v>
      </c>
      <c r="C467" s="27" t="s">
        <v>2136</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4796</v>
      </c>
      <c r="B468" s="26" t="s">
        <v>2135</v>
      </c>
      <c r="C468" s="27" t="s">
        <v>2136</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4797</v>
      </c>
      <c r="B469" s="26" t="s">
        <v>2135</v>
      </c>
      <c r="C469" s="27" t="s">
        <v>2136</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4798</v>
      </c>
      <c r="B470" s="26" t="s">
        <v>2135</v>
      </c>
      <c r="C470" s="27" t="s">
        <v>2136</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4799</v>
      </c>
      <c r="B471" s="26" t="s">
        <v>2135</v>
      </c>
      <c r="C471" s="27" t="s">
        <v>2136</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4800</v>
      </c>
      <c r="B472" s="26" t="s">
        <v>2135</v>
      </c>
      <c r="C472" s="27" t="s">
        <v>2136</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4801</v>
      </c>
      <c r="B473" s="26" t="s">
        <v>2135</v>
      </c>
      <c r="C473" s="27" t="s">
        <v>2136</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4802</v>
      </c>
      <c r="B474" s="26" t="s">
        <v>2135</v>
      </c>
      <c r="C474" s="27" t="s">
        <v>2136</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4803</v>
      </c>
      <c r="B475" s="26" t="s">
        <v>2135</v>
      </c>
      <c r="C475" s="27" t="s">
        <v>2136</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4804</v>
      </c>
      <c r="B476" s="26" t="s">
        <v>2135</v>
      </c>
      <c r="C476" s="27" t="s">
        <v>2136</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4805</v>
      </c>
      <c r="B477" s="26" t="s">
        <v>2135</v>
      </c>
      <c r="C477" s="27" t="s">
        <v>2136</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4806</v>
      </c>
      <c r="B478" s="26" t="s">
        <v>2135</v>
      </c>
      <c r="C478" s="27" t="s">
        <v>2136</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4807</v>
      </c>
      <c r="B479" s="26" t="s">
        <v>2135</v>
      </c>
      <c r="C479" s="27" t="s">
        <v>2136</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4808</v>
      </c>
      <c r="B480" s="26" t="s">
        <v>2135</v>
      </c>
      <c r="C480" s="27" t="s">
        <v>2136</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4809</v>
      </c>
      <c r="B481" s="26" t="s">
        <v>2095</v>
      </c>
      <c r="C481" s="27" t="s">
        <v>2096</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4810</v>
      </c>
      <c r="B482" s="26" t="s">
        <v>2095</v>
      </c>
      <c r="C482" s="27" t="s">
        <v>2096</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4811</v>
      </c>
      <c r="B483" s="26" t="s">
        <v>2095</v>
      </c>
      <c r="C483" s="27" t="s">
        <v>2096</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4812</v>
      </c>
      <c r="B484" s="26" t="s">
        <v>2095</v>
      </c>
      <c r="C484" s="27" t="s">
        <v>2096</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4813</v>
      </c>
      <c r="B485" s="26" t="s">
        <v>2095</v>
      </c>
      <c r="C485" s="27" t="s">
        <v>2096</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4814</v>
      </c>
      <c r="B486" s="26" t="s">
        <v>2095</v>
      </c>
      <c r="C486" s="27" t="s">
        <v>2096</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4815</v>
      </c>
      <c r="B487" s="26" t="s">
        <v>2095</v>
      </c>
      <c r="C487" s="27" t="s">
        <v>2096</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4816</v>
      </c>
      <c r="B488" s="26" t="s">
        <v>2095</v>
      </c>
      <c r="C488" s="27" t="s">
        <v>2096</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4817</v>
      </c>
      <c r="B489" s="26" t="s">
        <v>2095</v>
      </c>
      <c r="C489" s="27" t="s">
        <v>2096</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4818</v>
      </c>
      <c r="B490" s="26" t="s">
        <v>2095</v>
      </c>
      <c r="C490" s="27" t="s">
        <v>2096</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4819</v>
      </c>
      <c r="B491" s="26" t="s">
        <v>2095</v>
      </c>
      <c r="C491" s="27" t="s">
        <v>2096</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4820</v>
      </c>
      <c r="B492" s="26" t="s">
        <v>2095</v>
      </c>
      <c r="C492" s="27" t="s">
        <v>2096</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4821</v>
      </c>
      <c r="B493" s="26" t="s">
        <v>2095</v>
      </c>
      <c r="C493" s="27" t="s">
        <v>2096</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4822</v>
      </c>
      <c r="B494" s="26" t="s">
        <v>2095</v>
      </c>
      <c r="C494" s="27" t="s">
        <v>2096</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4823</v>
      </c>
      <c r="B495" s="26" t="s">
        <v>2095</v>
      </c>
      <c r="C495" s="27" t="s">
        <v>2096</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4824</v>
      </c>
      <c r="B496" s="26" t="s">
        <v>2095</v>
      </c>
      <c r="C496" s="27" t="s">
        <v>2096</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4825</v>
      </c>
      <c r="B497" s="26" t="s">
        <v>2095</v>
      </c>
      <c r="C497" s="27" t="s">
        <v>2096</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4826</v>
      </c>
      <c r="B498" s="26" t="s">
        <v>2095</v>
      </c>
      <c r="C498" s="27" t="s">
        <v>2096</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4827</v>
      </c>
      <c r="B499" s="26" t="s">
        <v>2135</v>
      </c>
      <c r="C499" s="27" t="s">
        <v>2136</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4828</v>
      </c>
      <c r="B500" s="26" t="s">
        <v>2135</v>
      </c>
      <c r="C500" s="27" t="s">
        <v>2136</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4829</v>
      </c>
      <c r="B501" s="26" t="s">
        <v>2135</v>
      </c>
      <c r="C501" s="27" t="s">
        <v>2136</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4830</v>
      </c>
      <c r="B502" s="26" t="s">
        <v>2135</v>
      </c>
      <c r="C502" s="27" t="s">
        <v>2136</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4831</v>
      </c>
      <c r="B503" s="26" t="s">
        <v>2135</v>
      </c>
      <c r="C503" s="27" t="s">
        <v>2136</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4832</v>
      </c>
      <c r="B504" s="26" t="s">
        <v>2135</v>
      </c>
      <c r="C504" s="27" t="s">
        <v>2136</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4833</v>
      </c>
      <c r="B505" s="26" t="s">
        <v>2135</v>
      </c>
      <c r="C505" s="27" t="s">
        <v>2136</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4834</v>
      </c>
      <c r="B506" s="26" t="s">
        <v>2135</v>
      </c>
      <c r="C506" s="27" t="s">
        <v>2136</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4835</v>
      </c>
      <c r="B507" s="26" t="s">
        <v>2135</v>
      </c>
      <c r="C507" s="27" t="s">
        <v>2136</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4836</v>
      </c>
      <c r="B508" s="26" t="s">
        <v>2135</v>
      </c>
      <c r="C508" s="27" t="s">
        <v>2136</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4837</v>
      </c>
      <c r="B509" s="26" t="s">
        <v>2135</v>
      </c>
      <c r="C509" s="27" t="s">
        <v>2136</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4838</v>
      </c>
      <c r="B510" s="26" t="s">
        <v>2135</v>
      </c>
      <c r="C510" s="27" t="s">
        <v>2136</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4839</v>
      </c>
      <c r="B511" s="26" t="s">
        <v>2135</v>
      </c>
      <c r="C511" s="27" t="s">
        <v>2136</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4840</v>
      </c>
      <c r="B512" s="26" t="s">
        <v>2135</v>
      </c>
      <c r="C512" s="27" t="s">
        <v>2136</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4841</v>
      </c>
      <c r="B513" s="26" t="s">
        <v>2135</v>
      </c>
      <c r="C513" s="27" t="s">
        <v>2136</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4842</v>
      </c>
      <c r="B514" s="26" t="s">
        <v>2135</v>
      </c>
      <c r="C514" s="27" t="s">
        <v>2136</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4843</v>
      </c>
      <c r="B515" s="26" t="s">
        <v>2135</v>
      </c>
      <c r="C515" s="27" t="s">
        <v>2136</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4844</v>
      </c>
      <c r="B516" s="26" t="s">
        <v>2135</v>
      </c>
      <c r="C516" s="27" t="s">
        <v>2136</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4845</v>
      </c>
      <c r="B517" s="26" t="s">
        <v>2135</v>
      </c>
      <c r="C517" s="27" t="s">
        <v>2136</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4846</v>
      </c>
      <c r="B518" s="26" t="s">
        <v>2135</v>
      </c>
      <c r="C518" s="27" t="s">
        <v>2136</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4847</v>
      </c>
      <c r="B519" s="26" t="s">
        <v>2135</v>
      </c>
      <c r="C519" s="27" t="s">
        <v>2136</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4848</v>
      </c>
      <c r="B520" s="26" t="s">
        <v>2135</v>
      </c>
      <c r="C520" s="27" t="s">
        <v>2136</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3120</v>
      </c>
      <c r="B521" s="21" t="s">
        <v>2325</v>
      </c>
      <c r="C521" s="22" t="s">
        <v>2326</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368.5</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4849</v>
      </c>
      <c r="B522" s="21" t="s">
        <v>2325</v>
      </c>
      <c r="C522" s="22" t="s">
        <v>2326</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4850</v>
      </c>
      <c r="B523" s="21" t="s">
        <v>2325</v>
      </c>
      <c r="C523" s="22" t="s">
        <v>2326</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4851</v>
      </c>
      <c r="B524" s="21" t="s">
        <v>2325</v>
      </c>
      <c r="C524" s="22" t="s">
        <v>2326</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4852</v>
      </c>
      <c r="B525" s="21" t="s">
        <v>2325</v>
      </c>
      <c r="C525" s="22" t="s">
        <v>2326</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4853</v>
      </c>
      <c r="B526" s="21" t="s">
        <v>2325</v>
      </c>
      <c r="C526" s="22" t="s">
        <v>2326</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4854</v>
      </c>
      <c r="B527" s="21" t="s">
        <v>2325</v>
      </c>
      <c r="C527" s="22" t="s">
        <v>2326</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4855</v>
      </c>
      <c r="B528" s="21" t="s">
        <v>2325</v>
      </c>
      <c r="C528" s="22" t="s">
        <v>2326</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4856</v>
      </c>
      <c r="B529" s="21" t="s">
        <v>2325</v>
      </c>
      <c r="C529" s="22" t="s">
        <v>2326</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4857</v>
      </c>
      <c r="B530" s="21" t="s">
        <v>2325</v>
      </c>
      <c r="C530" s="22" t="s">
        <v>2326</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4858</v>
      </c>
      <c r="B531" s="21" t="s">
        <v>2325</v>
      </c>
      <c r="C531" s="22" t="s">
        <v>2326</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4859</v>
      </c>
      <c r="B532" s="26" t="s">
        <v>1726</v>
      </c>
      <c r="C532" s="27" t="s">
        <v>4860</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2879</v>
      </c>
      <c r="B533" s="26" t="s">
        <v>1726</v>
      </c>
      <c r="C533" s="27" t="s">
        <v>4860</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660.8</v>
      </c>
      <c r="H533" s="23" cm="1">
        <f t="array" ref="H533">SUM(IF((LEFT('2-1 采购订单物料明细表报表导出'!$K:$K,7)=H$1)*('2-1 采购订单物料明细表报表导出'!$D:$D=$A533),'2-1 采购订单物料明细表报表导出'!$H:$H,0))</f>
        <v>100.8</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4861</v>
      </c>
      <c r="B534" s="26" t="s">
        <v>1726</v>
      </c>
      <c r="C534" s="27" t="s">
        <v>4860</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3274</v>
      </c>
      <c r="B535" s="26" t="s">
        <v>1726</v>
      </c>
      <c r="C535" s="27" t="s">
        <v>4860</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62360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4862</v>
      </c>
      <c r="B536" s="26" t="s">
        <v>1726</v>
      </c>
      <c r="C536" s="27" t="s">
        <v>4860</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4863</v>
      </c>
      <c r="B537" s="26" t="s">
        <v>1726</v>
      </c>
      <c r="C537" s="27" t="s">
        <v>4860</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4864</v>
      </c>
      <c r="B538" s="26" t="s">
        <v>1726</v>
      </c>
      <c r="C538" s="27" t="s">
        <v>4860</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4865</v>
      </c>
      <c r="B539" s="26" t="s">
        <v>1726</v>
      </c>
      <c r="C539" s="27" t="s">
        <v>4860</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4866</v>
      </c>
      <c r="B540" s="26" t="s">
        <v>1726</v>
      </c>
      <c r="C540" s="27" t="s">
        <v>4860</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4867</v>
      </c>
      <c r="B541" s="26" t="s">
        <v>1726</v>
      </c>
      <c r="C541" s="27" t="s">
        <v>4860</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4868</v>
      </c>
      <c r="B542" s="26" t="s">
        <v>1726</v>
      </c>
      <c r="C542" s="27" t="s">
        <v>4860</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4869</v>
      </c>
      <c r="B543" s="26" t="s">
        <v>1726</v>
      </c>
      <c r="C543" s="27" t="s">
        <v>4860</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4870</v>
      </c>
      <c r="B544" s="26" t="s">
        <v>1726</v>
      </c>
      <c r="C544" s="27" t="s">
        <v>4860</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4871</v>
      </c>
      <c r="B545" s="26" t="s">
        <v>1726</v>
      </c>
      <c r="C545" s="27" t="s">
        <v>4860</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4872</v>
      </c>
      <c r="B546" s="26" t="s">
        <v>1726</v>
      </c>
      <c r="C546" s="27" t="s">
        <v>4860</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4873</v>
      </c>
      <c r="B547" s="26" t="s">
        <v>1866</v>
      </c>
      <c r="C547" s="27" t="s">
        <v>1867</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4874</v>
      </c>
      <c r="B548" s="26" t="s">
        <v>1866</v>
      </c>
      <c r="C548" s="27" t="s">
        <v>1867</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4875</v>
      </c>
      <c r="B549" s="26" t="s">
        <v>1866</v>
      </c>
      <c r="C549" s="27" t="s">
        <v>1867</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4876</v>
      </c>
      <c r="B550" s="26" t="s">
        <v>1866</v>
      </c>
      <c r="C550" s="27" t="s">
        <v>1867</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4877</v>
      </c>
      <c r="B551" s="26" t="s">
        <v>1866</v>
      </c>
      <c r="C551" s="27" t="s">
        <v>1867</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4878</v>
      </c>
      <c r="B552" s="26" t="s">
        <v>1866</v>
      </c>
      <c r="C552" s="27" t="s">
        <v>1867</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4879</v>
      </c>
      <c r="B553" s="26" t="s">
        <v>1866</v>
      </c>
      <c r="C553" s="27" t="s">
        <v>1867</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4880</v>
      </c>
      <c r="B554" s="26" t="s">
        <v>1854</v>
      </c>
      <c r="C554" s="27" t="s">
        <v>1855</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4881</v>
      </c>
      <c r="B555" s="26" t="s">
        <v>1854</v>
      </c>
      <c r="C555" s="27" t="s">
        <v>1855</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4882</v>
      </c>
      <c r="B556" s="26" t="s">
        <v>1854</v>
      </c>
      <c r="C556" s="27" t="s">
        <v>1855</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4883</v>
      </c>
      <c r="B557" s="26" t="s">
        <v>1854</v>
      </c>
      <c r="C557" s="27" t="s">
        <v>1855</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4884</v>
      </c>
      <c r="B558" s="26" t="s">
        <v>1854</v>
      </c>
      <c r="C558" s="27" t="s">
        <v>1855</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4885</v>
      </c>
      <c r="B559" s="26" t="s">
        <v>1854</v>
      </c>
      <c r="C559" s="27" t="s">
        <v>1855</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4886</v>
      </c>
      <c r="B560" s="26" t="s">
        <v>1854</v>
      </c>
      <c r="C560" s="27" t="s">
        <v>1855</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4887</v>
      </c>
      <c r="B561" s="26" t="s">
        <v>1854</v>
      </c>
      <c r="C561" s="27" t="s">
        <v>1855</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4888</v>
      </c>
      <c r="B562" s="26" t="s">
        <v>1854</v>
      </c>
      <c r="C562" s="27" t="s">
        <v>1855</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4889</v>
      </c>
      <c r="B563" s="26" t="s">
        <v>1854</v>
      </c>
      <c r="C563" s="27" t="s">
        <v>1855</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4890</v>
      </c>
      <c r="B564" s="26" t="s">
        <v>1854</v>
      </c>
      <c r="C564" s="27" t="s">
        <v>1855</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4891</v>
      </c>
      <c r="B565" s="26" t="s">
        <v>1854</v>
      </c>
      <c r="C565" s="27" t="s">
        <v>1855</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4892</v>
      </c>
      <c r="B566" s="26" t="s">
        <v>1854</v>
      </c>
      <c r="C566" s="27" t="s">
        <v>1855</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4893</v>
      </c>
      <c r="B567" s="26" t="s">
        <v>1854</v>
      </c>
      <c r="C567" s="27" t="s">
        <v>1855</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4894</v>
      </c>
      <c r="B568" s="26" t="s">
        <v>1854</v>
      </c>
      <c r="C568" s="27" t="s">
        <v>1855</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4895</v>
      </c>
      <c r="B569" s="26" t="s">
        <v>1854</v>
      </c>
      <c r="C569" s="27" t="s">
        <v>1855</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4896</v>
      </c>
      <c r="B570" s="26" t="s">
        <v>1854</v>
      </c>
      <c r="C570" s="27" t="s">
        <v>1855</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4897</v>
      </c>
      <c r="B571" s="26" t="s">
        <v>1854</v>
      </c>
      <c r="C571" s="27" t="s">
        <v>1855</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4898</v>
      </c>
      <c r="B572" s="26" t="s">
        <v>1854</v>
      </c>
      <c r="C572" s="27" t="s">
        <v>1855</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4899</v>
      </c>
      <c r="B573" s="26" t="s">
        <v>1854</v>
      </c>
      <c r="C573" s="27" t="s">
        <v>1855</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4900</v>
      </c>
      <c r="B574" s="26" t="s">
        <v>1854</v>
      </c>
      <c r="C574" s="27" t="s">
        <v>1855</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4901</v>
      </c>
      <c r="B575" s="26" t="s">
        <v>1854</v>
      </c>
      <c r="C575" s="27" t="s">
        <v>1855</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4902</v>
      </c>
      <c r="B576" s="26" t="s">
        <v>1854</v>
      </c>
      <c r="C576" s="27" t="s">
        <v>1855</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4903</v>
      </c>
      <c r="B577" s="26" t="s">
        <v>1854</v>
      </c>
      <c r="C577" s="27" t="s">
        <v>1855</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4904</v>
      </c>
      <c r="B578" s="26" t="s">
        <v>1854</v>
      </c>
      <c r="C578" s="27" t="s">
        <v>1855</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4905</v>
      </c>
      <c r="B579" s="26" t="s">
        <v>1854</v>
      </c>
      <c r="C579" s="27" t="s">
        <v>1855</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4906</v>
      </c>
      <c r="B580" s="26" t="s">
        <v>1854</v>
      </c>
      <c r="C580" s="27" t="s">
        <v>1855</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4907</v>
      </c>
      <c r="B581" s="26" t="s">
        <v>1854</v>
      </c>
      <c r="C581" s="27" t="s">
        <v>1855</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4908</v>
      </c>
      <c r="B582" s="26" t="s">
        <v>1854</v>
      </c>
      <c r="C582" s="27" t="s">
        <v>1855</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4909</v>
      </c>
      <c r="B583" s="26" t="s">
        <v>1854</v>
      </c>
      <c r="C583" s="27" t="s">
        <v>1855</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4910</v>
      </c>
      <c r="B584" s="26" t="s">
        <v>1854</v>
      </c>
      <c r="C584" s="27" t="s">
        <v>1855</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4911</v>
      </c>
      <c r="B585" s="26" t="s">
        <v>1854</v>
      </c>
      <c r="C585" s="27" t="s">
        <v>1855</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4912</v>
      </c>
      <c r="B586" s="26" t="s">
        <v>1854</v>
      </c>
      <c r="C586" s="27" t="s">
        <v>1855</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4913</v>
      </c>
      <c r="B587" s="26" t="s">
        <v>1854</v>
      </c>
      <c r="C587" s="27" t="s">
        <v>1855</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4914</v>
      </c>
      <c r="B588" s="26" t="s">
        <v>1866</v>
      </c>
      <c r="C588" s="27" t="s">
        <v>1867</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4915</v>
      </c>
      <c r="B589" s="26" t="s">
        <v>1866</v>
      </c>
      <c r="C589" s="27" t="s">
        <v>1867</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4916</v>
      </c>
      <c r="B590" s="26" t="s">
        <v>1866</v>
      </c>
      <c r="C590" s="27" t="s">
        <v>1867</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4917</v>
      </c>
      <c r="B591" s="26" t="s">
        <v>1893</v>
      </c>
      <c r="C591" s="27" t="s">
        <v>1894</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4918</v>
      </c>
      <c r="B592" s="26" t="s">
        <v>1893</v>
      </c>
      <c r="C592" s="27" t="s">
        <v>1894</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4919</v>
      </c>
      <c r="B593" s="26" t="s">
        <v>1893</v>
      </c>
      <c r="C593" s="27" t="s">
        <v>1894</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4920</v>
      </c>
      <c r="B594" s="26" t="s">
        <v>1893</v>
      </c>
      <c r="C594" s="27" t="s">
        <v>1894</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4921</v>
      </c>
      <c r="B595" s="26" t="s">
        <v>1893</v>
      </c>
      <c r="C595" s="27" t="s">
        <v>1894</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4922</v>
      </c>
      <c r="B596" s="26" t="s">
        <v>1893</v>
      </c>
      <c r="C596" s="27" t="s">
        <v>1894</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4923</v>
      </c>
      <c r="B597" s="26" t="s">
        <v>1893</v>
      </c>
      <c r="C597" s="27" t="s">
        <v>1894</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4924</v>
      </c>
      <c r="B598" s="26" t="s">
        <v>1893</v>
      </c>
      <c r="C598" s="27" t="s">
        <v>1894</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4925</v>
      </c>
      <c r="B599" s="26" t="s">
        <v>1893</v>
      </c>
      <c r="C599" s="27" t="s">
        <v>1894</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4926</v>
      </c>
      <c r="B600" s="26" t="s">
        <v>1893</v>
      </c>
      <c r="C600" s="27" t="s">
        <v>1894</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4927</v>
      </c>
      <c r="B601" s="26" t="s">
        <v>1893</v>
      </c>
      <c r="C601" s="27" t="s">
        <v>1894</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4928</v>
      </c>
      <c r="B602" s="26" t="s">
        <v>1893</v>
      </c>
      <c r="C602" s="27" t="s">
        <v>1894</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4929</v>
      </c>
      <c r="B603" s="26" t="s">
        <v>1893</v>
      </c>
      <c r="C603" s="27" t="s">
        <v>1894</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4930</v>
      </c>
      <c r="B604" s="26" t="s">
        <v>1893</v>
      </c>
      <c r="C604" s="27" t="s">
        <v>1894</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4931</v>
      </c>
      <c r="B605" s="26" t="s">
        <v>1799</v>
      </c>
      <c r="C605" s="27" t="s">
        <v>1800</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4932</v>
      </c>
      <c r="B606" s="26" t="s">
        <v>1799</v>
      </c>
      <c r="C606" s="27" t="s">
        <v>1800</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4933</v>
      </c>
      <c r="B607" s="26" t="s">
        <v>1799</v>
      </c>
      <c r="C607" s="27" t="s">
        <v>1800</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4934</v>
      </c>
      <c r="B608" s="26" t="s">
        <v>1799</v>
      </c>
      <c r="C608" s="27" t="s">
        <v>1800</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4935</v>
      </c>
      <c r="B609" s="26" t="s">
        <v>1799</v>
      </c>
      <c r="C609" s="27" t="s">
        <v>1800</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4936</v>
      </c>
      <c r="B610" s="26" t="s">
        <v>1799</v>
      </c>
      <c r="C610" s="27" t="s">
        <v>1800</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4937</v>
      </c>
      <c r="B611" s="26" t="s">
        <v>1799</v>
      </c>
      <c r="C611" s="27" t="s">
        <v>1800</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4938</v>
      </c>
      <c r="B612" s="26" t="s">
        <v>1799</v>
      </c>
      <c r="C612" s="27" t="s">
        <v>1800</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4939</v>
      </c>
      <c r="B613" s="26" t="s">
        <v>1799</v>
      </c>
      <c r="C613" s="27" t="s">
        <v>1800</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3169</v>
      </c>
      <c r="B614" s="26" t="s">
        <v>1799</v>
      </c>
      <c r="C614" s="27" t="s">
        <v>1800</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240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4940</v>
      </c>
      <c r="B615" s="26" t="s">
        <v>1786</v>
      </c>
      <c r="C615" s="27" t="s">
        <v>1787</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4941</v>
      </c>
      <c r="B616" s="26" t="s">
        <v>1786</v>
      </c>
      <c r="C616" s="27" t="s">
        <v>1787</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3040</v>
      </c>
      <c r="B617" s="26" t="s">
        <v>1786</v>
      </c>
      <c r="C617" s="27" t="s">
        <v>1787</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121.52</v>
      </c>
      <c r="H617" s="23" cm="1">
        <f t="array" ref="H617">SUM(IF((LEFT('2-1 采购订单物料明细表报表导出'!$K:$K,7)=H$1)*('2-1 采购订单物料明细表报表导出'!$D:$D=$A617),'2-1 采购订单物料明细表报表导出'!$H:$H,0))</f>
        <v>151.9</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4942</v>
      </c>
      <c r="B618" s="26" t="s">
        <v>1786</v>
      </c>
      <c r="C618" s="27" t="s">
        <v>1787</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4943</v>
      </c>
      <c r="B619" s="26" t="s">
        <v>1786</v>
      </c>
      <c r="C619" s="27" t="s">
        <v>1787</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4944</v>
      </c>
      <c r="B620" s="26" t="s">
        <v>1786</v>
      </c>
      <c r="C620" s="27" t="s">
        <v>1787</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4945</v>
      </c>
      <c r="B621" s="26" t="s">
        <v>1786</v>
      </c>
      <c r="C621" s="27" t="s">
        <v>1787</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2888</v>
      </c>
      <c r="B622" s="26" t="s">
        <v>1786</v>
      </c>
      <c r="C622" s="27" t="s">
        <v>1787</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339.7</v>
      </c>
      <c r="H622" s="23" cm="1">
        <f t="array" ref="H622">SUM(IF((LEFT('2-1 采购订单物料明细表报表导出'!$K:$K,7)=H$1)*('2-1 采购订单物料明细表报表导出'!$D:$D=$A622),'2-1 采购订单物料明细表报表导出'!$H:$H,0))</f>
        <v>163.4</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3148</v>
      </c>
      <c r="B623" s="26" t="s">
        <v>1786</v>
      </c>
      <c r="C623" s="27" t="s">
        <v>1787</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48</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2902</v>
      </c>
      <c r="B624" s="26" t="s">
        <v>1786</v>
      </c>
      <c r="C624" s="27" t="s">
        <v>1787</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2663</v>
      </c>
      <c r="H624" s="23" cm="1">
        <f t="array" ref="H624">SUM(IF((LEFT('2-1 采购订单物料明细表报表导出'!$K:$K,7)=H$1)*('2-1 采购订单物料明细表报表导出'!$D:$D=$A624),'2-1 采购订单物料明细表报表导出'!$H:$H,0))</f>
        <v>448</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4946</v>
      </c>
      <c r="B625" s="26" t="s">
        <v>1786</v>
      </c>
      <c r="C625" s="27" t="s">
        <v>1787</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4947</v>
      </c>
      <c r="B626" s="26" t="s">
        <v>1786</v>
      </c>
      <c r="C626" s="27" t="s">
        <v>1787</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4948</v>
      </c>
      <c r="B627" s="26" t="s">
        <v>1786</v>
      </c>
      <c r="C627" s="27" t="s">
        <v>1787</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2911</v>
      </c>
      <c r="B628" s="26" t="s">
        <v>1786</v>
      </c>
      <c r="C628" s="27" t="s">
        <v>1787</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733.2</v>
      </c>
      <c r="H628" s="23" cm="1">
        <f t="array" ref="H628">SUM(IF((LEFT('2-1 采购订单物料明细表报表导出'!$K:$K,7)=H$1)*('2-1 采购订单物料明细表报表导出'!$D:$D=$A628),'2-1 采购订单物料明细表报表导出'!$H:$H,0))</f>
        <v>188</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2923</v>
      </c>
      <c r="B629" s="26" t="s">
        <v>1786</v>
      </c>
      <c r="C629" s="27" t="s">
        <v>1787</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126</v>
      </c>
      <c r="H629" s="23" cm="1">
        <f t="array" ref="H629">SUM(IF((LEFT('2-1 采购订单物料明细表报表导出'!$K:$K,7)=H$1)*('2-1 采购订单物料明细表报表导出'!$D:$D=$A629),'2-1 采购订单物料明细表报表导出'!$H:$H,0))</f>
        <v>180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4949</v>
      </c>
      <c r="B630" s="26" t="s">
        <v>1786</v>
      </c>
      <c r="C630" s="27" t="s">
        <v>1787</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4950</v>
      </c>
      <c r="B631" s="26" t="s">
        <v>1786</v>
      </c>
      <c r="C631" s="27" t="s">
        <v>1787</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4951</v>
      </c>
      <c r="B632" s="26" t="s">
        <v>1786</v>
      </c>
      <c r="C632" s="27" t="s">
        <v>1787</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4952</v>
      </c>
      <c r="B633" s="26" t="s">
        <v>1786</v>
      </c>
      <c r="C633" s="27" t="s">
        <v>1787</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3090</v>
      </c>
      <c r="B634" s="26" t="s">
        <v>1786</v>
      </c>
      <c r="C634" s="27" t="s">
        <v>1787</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28</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2893</v>
      </c>
      <c r="B635" s="26" t="s">
        <v>1786</v>
      </c>
      <c r="C635" s="27" t="s">
        <v>1787</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1210.6</v>
      </c>
      <c r="H635" s="23" cm="1">
        <f t="array" ref="H635">SUM(IF((LEFT('2-1 采购订单物料明细表报表导出'!$K:$K,7)=H$1)*('2-1 采购订单物料明细表报表导出'!$D:$D=$A635),'2-1 采购订单物料明细表报表导出'!$H:$H,0))</f>
        <v>386.5</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3156</v>
      </c>
      <c r="B636" s="26" t="s">
        <v>1786</v>
      </c>
      <c r="C636" s="27" t="s">
        <v>1787</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280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4953</v>
      </c>
      <c r="B637" s="26" t="s">
        <v>1786</v>
      </c>
      <c r="C637" s="27" t="s">
        <v>1787</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4954</v>
      </c>
      <c r="B638" s="26" t="s">
        <v>1786</v>
      </c>
      <c r="C638" s="27" t="s">
        <v>1787</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3141</v>
      </c>
      <c r="B639" s="26" t="s">
        <v>1786</v>
      </c>
      <c r="C639" s="27" t="s">
        <v>1787</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946</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2946</v>
      </c>
      <c r="B640" s="26" t="s">
        <v>1786</v>
      </c>
      <c r="C640" s="27" t="s">
        <v>1787</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220</v>
      </c>
      <c r="H640" s="23" cm="1">
        <f t="array" ref="H640">SUM(IF((LEFT('2-1 采购订单物料明细表报表导出'!$K:$K,7)=H$1)*('2-1 采购订单物料明细表报表导出'!$D:$D=$A640),'2-1 采购订单物料明细表报表导出'!$H:$H,0))</f>
        <v>56</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4955</v>
      </c>
      <c r="B641" s="26" t="s">
        <v>1786</v>
      </c>
      <c r="C641" s="27" t="s">
        <v>1787</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4956</v>
      </c>
      <c r="B642" s="26" t="s">
        <v>1786</v>
      </c>
      <c r="C642" s="27" t="s">
        <v>1787</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2975</v>
      </c>
      <c r="B643" s="26" t="s">
        <v>1786</v>
      </c>
      <c r="C643" s="27" t="s">
        <v>1787</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454</v>
      </c>
      <c r="H643" s="23" cm="1">
        <f t="array" ref="H643">SUM(IF((LEFT('2-1 采购订单物料明细表报表导出'!$K:$K,7)=H$1)*('2-1 采购订单物料明细表报表导出'!$D:$D=$A643),'2-1 采购订单物料明细表报表导出'!$H:$H,0))</f>
        <v>126</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2873</v>
      </c>
      <c r="B644" s="26" t="s">
        <v>1786</v>
      </c>
      <c r="C644" s="27" t="s">
        <v>1787</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1502</v>
      </c>
      <c r="H644" s="23" cm="1">
        <f t="array" ref="H644">SUM(IF((LEFT('2-1 采购订单物料明细表报表导出'!$K:$K,7)=H$1)*('2-1 采购订单物料明细表报表导出'!$D:$D=$A644),'2-1 采购订单物料明细表报表导出'!$H:$H,0))</f>
        <v>468</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4957</v>
      </c>
      <c r="B645" s="26" t="s">
        <v>1786</v>
      </c>
      <c r="C645" s="27" t="s">
        <v>1787</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4958</v>
      </c>
      <c r="B646" s="26" t="s">
        <v>1786</v>
      </c>
      <c r="C646" s="27" t="s">
        <v>1787</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4959</v>
      </c>
      <c r="B647" s="26" t="s">
        <v>1786</v>
      </c>
      <c r="C647" s="27" t="s">
        <v>1787</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4960</v>
      </c>
      <c r="B648" s="26" t="s">
        <v>1786</v>
      </c>
      <c r="C648" s="27" t="s">
        <v>1787</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4961</v>
      </c>
      <c r="B649" s="26" t="s">
        <v>1786</v>
      </c>
      <c r="C649" s="27" t="s">
        <v>1787</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4962</v>
      </c>
      <c r="B650" s="26" t="s">
        <v>1786</v>
      </c>
      <c r="C650" s="27" t="s">
        <v>1787</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4963</v>
      </c>
      <c r="B651" s="26" t="s">
        <v>1799</v>
      </c>
      <c r="C651" s="27" t="s">
        <v>1800</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4964</v>
      </c>
      <c r="B652" s="26" t="s">
        <v>1799</v>
      </c>
      <c r="C652" s="27" t="s">
        <v>1800</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2951</v>
      </c>
      <c r="B653" s="26" t="s">
        <v>1799</v>
      </c>
      <c r="C653" s="27" t="s">
        <v>1800</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711</v>
      </c>
      <c r="H653" s="23" cm="1">
        <f t="array" ref="H653">SUM(IF((LEFT('2-1 采购订单物料明细表报表导出'!$K:$K,7)=H$1)*('2-1 采购订单物料明细表报表导出'!$D:$D=$A653),'2-1 采购订单物料明细表报表导出'!$H:$H,0))</f>
        <v>209</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4965</v>
      </c>
      <c r="B654" s="26" t="s">
        <v>1799</v>
      </c>
      <c r="C654" s="27" t="s">
        <v>1800</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4966</v>
      </c>
      <c r="B655" s="26" t="s">
        <v>1799</v>
      </c>
      <c r="C655" s="27" t="s">
        <v>1800</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4967</v>
      </c>
      <c r="B656" s="26" t="s">
        <v>1799</v>
      </c>
      <c r="C656" s="27" t="s">
        <v>1800</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4968</v>
      </c>
      <c r="B657" s="26" t="s">
        <v>1799</v>
      </c>
      <c r="C657" s="27" t="s">
        <v>1800</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4969</v>
      </c>
      <c r="B658" s="26" t="s">
        <v>1799</v>
      </c>
      <c r="C658" s="27" t="s">
        <v>1800</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4970</v>
      </c>
      <c r="B659" s="26" t="s">
        <v>1799</v>
      </c>
      <c r="C659" s="27" t="s">
        <v>1800</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2884</v>
      </c>
      <c r="B660" s="26" t="s">
        <v>1799</v>
      </c>
      <c r="C660" s="27" t="s">
        <v>1800</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22728.18</v>
      </c>
      <c r="H660" s="23" cm="1">
        <f t="array" ref="H660">SUM(IF((LEFT('2-1 采购订单物料明细表报表导出'!$K:$K,7)=H$1)*('2-1 采购订单物料明细表报表导出'!$D:$D=$A660),'2-1 采购订单物料明细表报表导出'!$H:$H,0))</f>
        <v>19166.05</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4971</v>
      </c>
      <c r="B661" s="26" t="s">
        <v>1799</v>
      </c>
      <c r="C661" s="27" t="s">
        <v>1800</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4972</v>
      </c>
      <c r="B662" s="26" t="s">
        <v>1799</v>
      </c>
      <c r="C662" s="27" t="s">
        <v>1800</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4973</v>
      </c>
      <c r="B663" s="26" t="s">
        <v>1799</v>
      </c>
      <c r="C663" s="27" t="s">
        <v>1800</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2984</v>
      </c>
      <c r="B664" s="26" t="s">
        <v>1799</v>
      </c>
      <c r="C664" s="27" t="s">
        <v>1800</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532.11</v>
      </c>
      <c r="H664" s="23" cm="1">
        <f t="array" ref="H664">SUM(IF((LEFT('2-1 采购订单物料明细表报表导出'!$K:$K,7)=H$1)*('2-1 采购订单物料明细表报表导出'!$D:$D=$A664),'2-1 采购订单物料明细表报表导出'!$H:$H,0))</f>
        <v>172.39</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2906</v>
      </c>
      <c r="B665" s="26" t="s">
        <v>1799</v>
      </c>
      <c r="C665" s="27" t="s">
        <v>1800</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17056.24</v>
      </c>
      <c r="H665" s="23" cm="1">
        <f t="array" ref="H665">SUM(IF((LEFT('2-1 采购订单物料明细表报表导出'!$K:$K,7)=H$1)*('2-1 采购订单物料明细表报表导出'!$D:$D=$A665),'2-1 采购订单物料明细表报表导出'!$H:$H,0))</f>
        <v>12948.16</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4974</v>
      </c>
      <c r="B666" s="26" t="s">
        <v>1799</v>
      </c>
      <c r="C666" s="27" t="s">
        <v>1800</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4975</v>
      </c>
      <c r="B667" s="26" t="s">
        <v>1799</v>
      </c>
      <c r="C667" s="27" t="s">
        <v>1800</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4976</v>
      </c>
      <c r="B668" s="26" t="s">
        <v>1799</v>
      </c>
      <c r="C668" s="27" t="s">
        <v>1800</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4977</v>
      </c>
      <c r="B669" s="26" t="s">
        <v>1799</v>
      </c>
      <c r="C669" s="27" t="s">
        <v>1800</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4978</v>
      </c>
      <c r="B670" s="26" t="s">
        <v>1799</v>
      </c>
      <c r="C670" s="27" t="s">
        <v>1800</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4979</v>
      </c>
      <c r="B671" s="26" t="s">
        <v>1799</v>
      </c>
      <c r="C671" s="27" t="s">
        <v>1800</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4980</v>
      </c>
      <c r="B672" s="26" t="s">
        <v>1799</v>
      </c>
      <c r="C672" s="27" t="s">
        <v>1800</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4981</v>
      </c>
      <c r="B673" s="26" t="s">
        <v>1799</v>
      </c>
      <c r="C673" s="27" t="s">
        <v>1800</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4982</v>
      </c>
      <c r="B674" s="26" t="s">
        <v>1799</v>
      </c>
      <c r="C674" s="27" t="s">
        <v>1800</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4983</v>
      </c>
      <c r="B675" s="26" t="s">
        <v>1799</v>
      </c>
      <c r="C675" s="27" t="s">
        <v>1800</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4984</v>
      </c>
      <c r="B676" s="26" t="s">
        <v>1799</v>
      </c>
      <c r="C676" s="27" t="s">
        <v>1800</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4985</v>
      </c>
      <c r="B677" s="26" t="s">
        <v>1799</v>
      </c>
      <c r="C677" s="27" t="s">
        <v>1800</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4986</v>
      </c>
      <c r="B678" s="26" t="s">
        <v>1799</v>
      </c>
      <c r="C678" s="27" t="s">
        <v>1800</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4987</v>
      </c>
      <c r="B679" s="26" t="s">
        <v>1799</v>
      </c>
      <c r="C679" s="27" t="s">
        <v>1800</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4988</v>
      </c>
      <c r="B680" s="26" t="s">
        <v>1799</v>
      </c>
      <c r="C680" s="27" t="s">
        <v>1800</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4989</v>
      </c>
      <c r="B681" s="26" t="s">
        <v>1799</v>
      </c>
      <c r="C681" s="27" t="s">
        <v>1800</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4990</v>
      </c>
      <c r="B682" s="26" t="s">
        <v>1799</v>
      </c>
      <c r="C682" s="27" t="s">
        <v>1800</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4991</v>
      </c>
      <c r="B683" s="26" t="s">
        <v>1799</v>
      </c>
      <c r="C683" s="27" t="s">
        <v>1800</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4992</v>
      </c>
      <c r="B684" s="26" t="s">
        <v>1799</v>
      </c>
      <c r="C684" s="27" t="s">
        <v>1800</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4993</v>
      </c>
      <c r="B685" s="26" t="s">
        <v>1799</v>
      </c>
      <c r="C685" s="27" t="s">
        <v>1800</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4994</v>
      </c>
      <c r="B686" s="26" t="s">
        <v>1799</v>
      </c>
      <c r="C686" s="27" t="s">
        <v>1800</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4995</v>
      </c>
      <c r="B687" s="26" t="s">
        <v>1799</v>
      </c>
      <c r="C687" s="27" t="s">
        <v>1800</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4996</v>
      </c>
      <c r="B688" s="26" t="s">
        <v>1799</v>
      </c>
      <c r="C688" s="27" t="s">
        <v>1800</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4997</v>
      </c>
      <c r="B689" s="26" t="s">
        <v>1799</v>
      </c>
      <c r="C689" s="27" t="s">
        <v>1800</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4998</v>
      </c>
      <c r="B690" s="26" t="s">
        <v>1799</v>
      </c>
      <c r="C690" s="27" t="s">
        <v>1800</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4999</v>
      </c>
      <c r="B691" s="26" t="s">
        <v>1799</v>
      </c>
      <c r="C691" s="27" t="s">
        <v>1800</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5000</v>
      </c>
      <c r="B692" s="26" t="s">
        <v>1799</v>
      </c>
      <c r="C692" s="27" t="s">
        <v>1800</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5001</v>
      </c>
      <c r="B693" s="26" t="s">
        <v>1799</v>
      </c>
      <c r="C693" s="27" t="s">
        <v>1800</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5002</v>
      </c>
      <c r="B694" s="26" t="s">
        <v>1799</v>
      </c>
      <c r="C694" s="27" t="s">
        <v>1800</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5003</v>
      </c>
      <c r="B695" s="26" t="s">
        <v>1799</v>
      </c>
      <c r="C695" s="27" t="s">
        <v>1800</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5004</v>
      </c>
      <c r="B696" s="26" t="s">
        <v>1799</v>
      </c>
      <c r="C696" s="27" t="s">
        <v>1800</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5005</v>
      </c>
      <c r="B697" s="26" t="s">
        <v>1799</v>
      </c>
      <c r="C697" s="27" t="s">
        <v>1800</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5006</v>
      </c>
      <c r="B698" s="26" t="s">
        <v>1799</v>
      </c>
      <c r="C698" s="27" t="s">
        <v>1800</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5007</v>
      </c>
      <c r="B699" s="30" t="s">
        <v>1766</v>
      </c>
      <c r="C699" s="31" t="s">
        <v>1767</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5008</v>
      </c>
      <c r="B700" s="30" t="s">
        <v>1766</v>
      </c>
      <c r="C700" s="31" t="s">
        <v>1767</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5009</v>
      </c>
      <c r="B701" s="30" t="s">
        <v>1766</v>
      </c>
      <c r="C701" s="31" t="s">
        <v>1767</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5010</v>
      </c>
      <c r="B702" s="30" t="s">
        <v>1766</v>
      </c>
      <c r="C702" s="31" t="s">
        <v>1767</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5011</v>
      </c>
      <c r="B703" s="30" t="s">
        <v>1766</v>
      </c>
      <c r="C703" s="31" t="s">
        <v>1767</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5012</v>
      </c>
      <c r="B704" s="30" t="s">
        <v>1766</v>
      </c>
      <c r="C704" s="31" t="s">
        <v>1767</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5013</v>
      </c>
      <c r="B705" s="30" t="s">
        <v>1766</v>
      </c>
      <c r="C705" s="31" t="s">
        <v>1767</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5014</v>
      </c>
      <c r="B706" s="30" t="s">
        <v>1766</v>
      </c>
      <c r="C706" s="31" t="s">
        <v>1767</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5015</v>
      </c>
      <c r="B707" s="30" t="s">
        <v>1766</v>
      </c>
      <c r="C707" s="31" t="s">
        <v>1767</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5016</v>
      </c>
      <c r="B708" s="30" t="s">
        <v>1766</v>
      </c>
      <c r="C708" s="31" t="s">
        <v>1767</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5017</v>
      </c>
      <c r="B709" s="30" t="s">
        <v>1766</v>
      </c>
      <c r="C709" s="31" t="s">
        <v>1767</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5018</v>
      </c>
      <c r="B710" s="30" t="s">
        <v>1766</v>
      </c>
      <c r="C710" s="31" t="s">
        <v>1767</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5019</v>
      </c>
      <c r="B711" s="30" t="s">
        <v>1766</v>
      </c>
      <c r="C711" s="31" t="s">
        <v>1767</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5020</v>
      </c>
      <c r="B712" s="30" t="s">
        <v>1766</v>
      </c>
      <c r="C712" s="31" t="s">
        <v>1767</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5021</v>
      </c>
      <c r="B713" s="30" t="s">
        <v>1766</v>
      </c>
      <c r="C713" s="31" t="s">
        <v>1767</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2898</v>
      </c>
      <c r="B714" s="30" t="s">
        <v>1799</v>
      </c>
      <c r="C714" s="31" t="s">
        <v>1800</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42714</v>
      </c>
      <c r="H714" s="23" cm="1">
        <f t="array" ref="H714">SUM(IF((LEFT('2-1 采购订单物料明细表报表导出'!$K:$K,7)=H$1)*('2-1 采购订单物料明细表报表导出'!$D:$D=$A714),'2-1 采购订单物料明细表报表导出'!$H:$H,0))</f>
        <v>37610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5022</v>
      </c>
      <c r="B715" s="30" t="s">
        <v>1799</v>
      </c>
      <c r="C715" s="31" t="s">
        <v>1800</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5023</v>
      </c>
      <c r="B716" s="30" t="s">
        <v>1799</v>
      </c>
      <c r="C716" s="31" t="s">
        <v>1800</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5024</v>
      </c>
      <c r="B717" s="30" t="s">
        <v>1799</v>
      </c>
      <c r="C717" s="31" t="s">
        <v>1800</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2996</v>
      </c>
      <c r="B718" s="30" t="s">
        <v>1799</v>
      </c>
      <c r="C718" s="31" t="s">
        <v>1800</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25740</v>
      </c>
      <c r="H718" s="23" cm="1">
        <f t="array" ref="H718">SUM(IF((LEFT('2-1 采购订单物料明细表报表导出'!$K:$K,7)=H$1)*('2-1 采购订单物料明细表报表导出'!$D:$D=$A718),'2-1 采购订单物料明细表报表导出'!$H:$H,0))</f>
        <v>23320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5025</v>
      </c>
      <c r="B719" s="30" t="s">
        <v>1799</v>
      </c>
      <c r="C719" s="31" t="s">
        <v>1800</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5026</v>
      </c>
      <c r="B720" s="30" t="s">
        <v>1799</v>
      </c>
      <c r="C720" s="31" t="s">
        <v>1800</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2928</v>
      </c>
      <c r="B721" s="30" t="s">
        <v>1799</v>
      </c>
      <c r="C721" s="31" t="s">
        <v>1800</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97.84</v>
      </c>
      <c r="H721" s="23" cm="1">
        <f t="array" ref="H721">SUM(IF((LEFT('2-1 采购订单物料明细表报表导出'!$K:$K,7)=H$1)*('2-1 采购订单物料明细表报表导出'!$D:$D=$A721),'2-1 采购订单物料明细表报表导出'!$H:$H,0))</f>
        <v>48.92</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5027</v>
      </c>
      <c r="B722" s="30" t="s">
        <v>1799</v>
      </c>
      <c r="C722" s="31" t="s">
        <v>1800</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5028</v>
      </c>
      <c r="B723" s="30" t="s">
        <v>1799</v>
      </c>
      <c r="C723" s="31" t="s">
        <v>1800</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5029</v>
      </c>
      <c r="B724" s="30" t="s">
        <v>1799</v>
      </c>
      <c r="C724" s="31" t="s">
        <v>1800</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5030</v>
      </c>
      <c r="B725" s="30" t="s">
        <v>1799</v>
      </c>
      <c r="C725" s="31" t="s">
        <v>1800</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5031</v>
      </c>
      <c r="B726" s="30" t="s">
        <v>1799</v>
      </c>
      <c r="C726" s="31" t="s">
        <v>1800</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5032</v>
      </c>
      <c r="B727" s="30" t="s">
        <v>1799</v>
      </c>
      <c r="C727" s="31" t="s">
        <v>1800</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5033</v>
      </c>
      <c r="B728" s="30" t="s">
        <v>1799</v>
      </c>
      <c r="C728" s="31" t="s">
        <v>1800</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5034</v>
      </c>
      <c r="B729" s="30" t="s">
        <v>1799</v>
      </c>
      <c r="C729" s="31" t="s">
        <v>1800</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5035</v>
      </c>
      <c r="B730" s="30" t="s">
        <v>1799</v>
      </c>
      <c r="C730" s="31" t="s">
        <v>1800</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5036</v>
      </c>
      <c r="B731" s="30" t="s">
        <v>1799</v>
      </c>
      <c r="C731" s="31" t="s">
        <v>1800</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5037</v>
      </c>
      <c r="B732" s="30" t="s">
        <v>1799</v>
      </c>
      <c r="C732" s="31" t="s">
        <v>1800</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5038</v>
      </c>
      <c r="B733" s="30" t="s">
        <v>1799</v>
      </c>
      <c r="C733" s="31" t="s">
        <v>1800</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5039</v>
      </c>
      <c r="B734" s="30" t="s">
        <v>1799</v>
      </c>
      <c r="C734" s="31" t="s">
        <v>1800</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5040</v>
      </c>
      <c r="B735" s="30" t="s">
        <v>1799</v>
      </c>
      <c r="C735" s="31" t="s">
        <v>1800</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5041</v>
      </c>
      <c r="B736" s="30" t="s">
        <v>1799</v>
      </c>
      <c r="C736" s="31" t="s">
        <v>1800</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5042</v>
      </c>
      <c r="B737" s="30" t="s">
        <v>1799</v>
      </c>
      <c r="C737" s="31" t="s">
        <v>1800</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5043</v>
      </c>
      <c r="B738" s="30" t="s">
        <v>1799</v>
      </c>
      <c r="C738" s="31" t="s">
        <v>1800</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5044</v>
      </c>
      <c r="B739" s="30" t="s">
        <v>1799</v>
      </c>
      <c r="C739" s="31" t="s">
        <v>1800</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5045</v>
      </c>
      <c r="B740" s="30" t="s">
        <v>1799</v>
      </c>
      <c r="C740" s="31" t="s">
        <v>1800</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5046</v>
      </c>
      <c r="B741" s="30" t="s">
        <v>1799</v>
      </c>
      <c r="C741" s="31" t="s">
        <v>1800</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5047</v>
      </c>
      <c r="B742" s="30" t="s">
        <v>1799</v>
      </c>
      <c r="C742" s="31" t="s">
        <v>1800</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5048</v>
      </c>
      <c r="B743" s="30" t="s">
        <v>1799</v>
      </c>
      <c r="C743" s="31" t="s">
        <v>1800</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5049</v>
      </c>
      <c r="B744" s="30" t="s">
        <v>1799</v>
      </c>
      <c r="C744" s="31" t="s">
        <v>1800</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5050</v>
      </c>
      <c r="B745" s="30" t="s">
        <v>1799</v>
      </c>
      <c r="C745" s="31" t="s">
        <v>1800</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5051</v>
      </c>
      <c r="B746" s="30" t="s">
        <v>1799</v>
      </c>
      <c r="C746" s="31" t="s">
        <v>1800</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5052</v>
      </c>
      <c r="B747" s="30" t="s">
        <v>1799</v>
      </c>
      <c r="C747" s="31" t="s">
        <v>1800</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5053</v>
      </c>
      <c r="B748" s="30" t="s">
        <v>1799</v>
      </c>
      <c r="C748" s="31" t="s">
        <v>1800</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5054</v>
      </c>
      <c r="B749" s="30" t="s">
        <v>1799</v>
      </c>
      <c r="C749" s="31" t="s">
        <v>1800</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5055</v>
      </c>
      <c r="B750" s="26" t="s">
        <v>1961</v>
      </c>
      <c r="C750" s="27" t="s">
        <v>1962</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5056</v>
      </c>
      <c r="B751" s="26" t="s">
        <v>1961</v>
      </c>
      <c r="C751" s="27" t="s">
        <v>1962</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5057</v>
      </c>
      <c r="B752" s="26" t="s">
        <v>1961</v>
      </c>
      <c r="C752" s="27" t="s">
        <v>1962</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5058</v>
      </c>
      <c r="B753" s="26" t="s">
        <v>1961</v>
      </c>
      <c r="C753" s="27" t="s">
        <v>1962</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5059</v>
      </c>
      <c r="B754" s="26" t="s">
        <v>1961</v>
      </c>
      <c r="C754" s="27" t="s">
        <v>1962</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5060</v>
      </c>
      <c r="B755" s="26" t="s">
        <v>1961</v>
      </c>
      <c r="C755" s="27" t="s">
        <v>1962</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5061</v>
      </c>
      <c r="B756" s="26" t="s">
        <v>1961</v>
      </c>
      <c r="C756" s="27" t="s">
        <v>1962</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5062</v>
      </c>
      <c r="B757" s="26" t="s">
        <v>1961</v>
      </c>
      <c r="C757" s="27" t="s">
        <v>1962</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5063</v>
      </c>
      <c r="B758" s="26" t="s">
        <v>1961</v>
      </c>
      <c r="C758" s="27" t="s">
        <v>1962</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5064</v>
      </c>
      <c r="B759" s="26" t="s">
        <v>1961</v>
      </c>
      <c r="C759" s="27" t="s">
        <v>1962</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5065</v>
      </c>
      <c r="B760" s="26" t="s">
        <v>1961</v>
      </c>
      <c r="C760" s="27" t="s">
        <v>1962</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3293</v>
      </c>
      <c r="B761" s="30" t="s">
        <v>1961</v>
      </c>
      <c r="C761" s="31" t="s">
        <v>1962</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5950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5066</v>
      </c>
      <c r="B762" s="30" t="s">
        <v>1961</v>
      </c>
      <c r="C762" s="31" t="s">
        <v>1962</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5067</v>
      </c>
      <c r="B763" s="30" t="s">
        <v>1961</v>
      </c>
      <c r="C763" s="31" t="s">
        <v>1962</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5068</v>
      </c>
      <c r="B764" s="30" t="s">
        <v>1961</v>
      </c>
      <c r="C764" s="31" t="s">
        <v>1962</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5069</v>
      </c>
      <c r="B765" s="30" t="s">
        <v>1987</v>
      </c>
      <c r="C765" s="31" t="s">
        <v>1988</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5070</v>
      </c>
      <c r="B766" s="30" t="s">
        <v>1987</v>
      </c>
      <c r="C766" s="31" t="s">
        <v>1988</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5071</v>
      </c>
      <c r="B767" s="30" t="s">
        <v>1987</v>
      </c>
      <c r="C767" s="31" t="s">
        <v>1988</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5072</v>
      </c>
      <c r="B768" s="30" t="s">
        <v>1987</v>
      </c>
      <c r="C768" s="31" t="s">
        <v>1988</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5073</v>
      </c>
      <c r="B769" s="30" t="s">
        <v>1987</v>
      </c>
      <c r="C769" s="31" t="s">
        <v>1988</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5074</v>
      </c>
      <c r="B770" s="30" t="s">
        <v>1987</v>
      </c>
      <c r="C770" s="31" t="s">
        <v>1988</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5075</v>
      </c>
      <c r="B771" s="30" t="s">
        <v>1987</v>
      </c>
      <c r="C771" s="31" t="s">
        <v>1988</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5076</v>
      </c>
      <c r="B772" s="30" t="s">
        <v>1987</v>
      </c>
      <c r="C772" s="31" t="s">
        <v>1988</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5077</v>
      </c>
      <c r="B773" s="30" t="s">
        <v>1987</v>
      </c>
      <c r="C773" s="31" t="s">
        <v>1988</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5078</v>
      </c>
      <c r="B774" s="30" t="s">
        <v>1987</v>
      </c>
      <c r="C774" s="31" t="s">
        <v>1988</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5079</v>
      </c>
      <c r="B775" s="30" t="s">
        <v>1987</v>
      </c>
      <c r="C775" s="31" t="s">
        <v>1988</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5080</v>
      </c>
      <c r="B776" s="30" t="s">
        <v>1987</v>
      </c>
      <c r="C776" s="31" t="s">
        <v>1988</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5081</v>
      </c>
      <c r="B777" s="30" t="s">
        <v>1987</v>
      </c>
      <c r="C777" s="31" t="s">
        <v>1988</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5082</v>
      </c>
      <c r="B778" s="30" t="s">
        <v>1987</v>
      </c>
      <c r="C778" s="31" t="s">
        <v>1988</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5083</v>
      </c>
      <c r="B779" s="30" t="s">
        <v>1987</v>
      </c>
      <c r="C779" s="31" t="s">
        <v>1988</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5084</v>
      </c>
      <c r="B780" s="30" t="s">
        <v>1987</v>
      </c>
      <c r="C780" s="31" t="s">
        <v>1988</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5085</v>
      </c>
      <c r="B781" s="30" t="s">
        <v>1987</v>
      </c>
      <c r="C781" s="31" t="s">
        <v>1988</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5086</v>
      </c>
      <c r="B782" s="30" t="s">
        <v>1987</v>
      </c>
      <c r="C782" s="31" t="s">
        <v>1988</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5087</v>
      </c>
      <c r="B783" s="30" t="s">
        <v>1987</v>
      </c>
      <c r="C783" s="31" t="s">
        <v>1988</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5088</v>
      </c>
      <c r="B784" s="30" t="s">
        <v>1987</v>
      </c>
      <c r="C784" s="31" t="s">
        <v>1988</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5089</v>
      </c>
      <c r="B785" s="30" t="s">
        <v>1987</v>
      </c>
      <c r="C785" s="31" t="s">
        <v>1988</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5090</v>
      </c>
      <c r="B786" s="30" t="s">
        <v>1987</v>
      </c>
      <c r="C786" s="31" t="s">
        <v>1988</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5091</v>
      </c>
      <c r="B787" s="30" t="s">
        <v>1987</v>
      </c>
      <c r="C787" s="31" t="s">
        <v>1988</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5092</v>
      </c>
      <c r="B788" s="30" t="s">
        <v>2013</v>
      </c>
      <c r="C788" s="31" t="s">
        <v>2014</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5093</v>
      </c>
      <c r="B789" s="30" t="s">
        <v>2013</v>
      </c>
      <c r="C789" s="31" t="s">
        <v>2014</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5094</v>
      </c>
      <c r="B790" s="30" t="s">
        <v>2013</v>
      </c>
      <c r="C790" s="31" t="s">
        <v>2014</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5095</v>
      </c>
      <c r="B791" s="30" t="s">
        <v>2013</v>
      </c>
      <c r="C791" s="31" t="s">
        <v>2014</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5096</v>
      </c>
      <c r="B792" s="30" t="s">
        <v>2013</v>
      </c>
      <c r="C792" s="31" t="s">
        <v>2014</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5097</v>
      </c>
      <c r="B793" s="30" t="s">
        <v>2013</v>
      </c>
      <c r="C793" s="31" t="s">
        <v>2014</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5098</v>
      </c>
      <c r="B794" s="30" t="s">
        <v>2013</v>
      </c>
      <c r="C794" s="31" t="s">
        <v>2014</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5099</v>
      </c>
      <c r="B795" s="30" t="s">
        <v>2013</v>
      </c>
      <c r="C795" s="31" t="s">
        <v>2014</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5100</v>
      </c>
      <c r="B796" s="30" t="s">
        <v>2013</v>
      </c>
      <c r="C796" s="31" t="s">
        <v>2014</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5101</v>
      </c>
      <c r="B797" s="30" t="s">
        <v>2013</v>
      </c>
      <c r="C797" s="31" t="s">
        <v>2014</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5102</v>
      </c>
      <c r="B798" s="30" t="s">
        <v>2013</v>
      </c>
      <c r="C798" s="31" t="s">
        <v>2014</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5103</v>
      </c>
      <c r="B799" s="30" t="s">
        <v>2013</v>
      </c>
      <c r="C799" s="31" t="s">
        <v>2014</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5104</v>
      </c>
      <c r="B800" s="30" t="s">
        <v>2013</v>
      </c>
      <c r="C800" s="31" t="s">
        <v>2014</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5105</v>
      </c>
      <c r="B801" s="30" t="s">
        <v>2013</v>
      </c>
      <c r="C801" s="31" t="s">
        <v>2014</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5106</v>
      </c>
      <c r="B802" s="30" t="s">
        <v>2013</v>
      </c>
      <c r="C802" s="31" t="s">
        <v>2014</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5107</v>
      </c>
      <c r="B803" s="30" t="s">
        <v>2013</v>
      </c>
      <c r="C803" s="31" t="s">
        <v>2014</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5108</v>
      </c>
      <c r="B804" s="30" t="s">
        <v>2013</v>
      </c>
      <c r="C804" s="31" t="s">
        <v>2014</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5109</v>
      </c>
      <c r="B805" s="30" t="s">
        <v>2013</v>
      </c>
      <c r="C805" s="31" t="s">
        <v>2014</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5110</v>
      </c>
      <c r="B806" s="30" t="s">
        <v>2013</v>
      </c>
      <c r="C806" s="31" t="s">
        <v>2014</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5111</v>
      </c>
      <c r="B807" s="30" t="s">
        <v>2013</v>
      </c>
      <c r="C807" s="31" t="s">
        <v>2014</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5112</v>
      </c>
      <c r="B808" s="30" t="s">
        <v>1936</v>
      </c>
      <c r="C808" s="31" t="s">
        <v>1937</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5113</v>
      </c>
      <c r="B809" s="30" t="s">
        <v>1936</v>
      </c>
      <c r="C809" s="31" t="s">
        <v>1937</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5114</v>
      </c>
      <c r="B810" s="30" t="s">
        <v>1936</v>
      </c>
      <c r="C810" s="31" t="s">
        <v>1937</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5115</v>
      </c>
      <c r="B811" s="30" t="s">
        <v>1936</v>
      </c>
      <c r="C811" s="31" t="s">
        <v>1937</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5116</v>
      </c>
      <c r="B812" s="30" t="s">
        <v>1936</v>
      </c>
      <c r="C812" s="31" t="s">
        <v>1937</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2970</v>
      </c>
      <c r="B813" s="30" t="s">
        <v>1936</v>
      </c>
      <c r="C813" s="31" t="s">
        <v>1937</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385</v>
      </c>
      <c r="H813" s="23" cm="1">
        <f t="array" ref="H813">SUM(IF((LEFT('2-1 采购订单物料明细表报表导出'!$K:$K,7)=H$1)*('2-1 采购订单物料明细表报表导出'!$D:$D=$A813),'2-1 采购订单物料明细表报表导出'!$H:$H,0))</f>
        <v>140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5117</v>
      </c>
      <c r="B814" s="30" t="s">
        <v>1936</v>
      </c>
      <c r="C814" s="31" t="s">
        <v>1937</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5118</v>
      </c>
      <c r="B815" s="30" t="s">
        <v>1936</v>
      </c>
      <c r="C815" s="31" t="s">
        <v>1937</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5119</v>
      </c>
      <c r="B816" s="30" t="s">
        <v>1936</v>
      </c>
      <c r="C816" s="31" t="s">
        <v>1937</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5120</v>
      </c>
      <c r="B817" s="30" t="s">
        <v>1936</v>
      </c>
      <c r="C817" s="31" t="s">
        <v>1937</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5121</v>
      </c>
      <c r="B818" s="30" t="s">
        <v>1936</v>
      </c>
      <c r="C818" s="31" t="s">
        <v>1937</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5122</v>
      </c>
      <c r="B819" s="30" t="s">
        <v>1936</v>
      </c>
      <c r="C819" s="31" t="s">
        <v>1937</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5123</v>
      </c>
      <c r="B820" s="30" t="s">
        <v>1936</v>
      </c>
      <c r="C820" s="31" t="s">
        <v>1937</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5124</v>
      </c>
      <c r="B821" s="30" t="s">
        <v>1936</v>
      </c>
      <c r="C821" s="31" t="s">
        <v>1937</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5125</v>
      </c>
      <c r="B822" s="30" t="s">
        <v>1936</v>
      </c>
      <c r="C822" s="31" t="s">
        <v>1937</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5126</v>
      </c>
      <c r="B823" s="30" t="s">
        <v>1936</v>
      </c>
      <c r="C823" s="31" t="s">
        <v>1937</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5127</v>
      </c>
      <c r="B824" s="30" t="s">
        <v>1936</v>
      </c>
      <c r="C824" s="31" t="s">
        <v>1937</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5128</v>
      </c>
      <c r="B825" s="30" t="s">
        <v>1936</v>
      </c>
      <c r="C825" s="31" t="s">
        <v>1937</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5129</v>
      </c>
      <c r="B826" s="30" t="s">
        <v>1936</v>
      </c>
      <c r="C826" s="31" t="s">
        <v>1937</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5130</v>
      </c>
      <c r="B827" s="30" t="s">
        <v>1936</v>
      </c>
      <c r="C827" s="31" t="s">
        <v>1937</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5131</v>
      </c>
      <c r="B828" s="30" t="s">
        <v>1936</v>
      </c>
      <c r="C828" s="31" t="s">
        <v>1937</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5132</v>
      </c>
      <c r="B829" s="30" t="s">
        <v>1936</v>
      </c>
      <c r="C829" s="31" t="s">
        <v>1937</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5133</v>
      </c>
      <c r="B830" s="30" t="s">
        <v>1936</v>
      </c>
      <c r="C830" s="31" t="s">
        <v>1937</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5134</v>
      </c>
      <c r="B831" s="30" t="s">
        <v>1936</v>
      </c>
      <c r="C831" s="31" t="s">
        <v>1937</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5135</v>
      </c>
      <c r="B832" s="30" t="s">
        <v>1936</v>
      </c>
      <c r="C832" s="31" t="s">
        <v>1937</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5136</v>
      </c>
      <c r="B833" s="30" t="s">
        <v>1936</v>
      </c>
      <c r="C833" s="31" t="s">
        <v>1937</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5137</v>
      </c>
      <c r="B834" s="30" t="s">
        <v>1936</v>
      </c>
      <c r="C834" s="31" t="s">
        <v>1937</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5138</v>
      </c>
      <c r="B835" s="30" t="s">
        <v>1936</v>
      </c>
      <c r="C835" s="31" t="s">
        <v>1937</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5139</v>
      </c>
      <c r="B836" s="30" t="s">
        <v>1936</v>
      </c>
      <c r="C836" s="31" t="s">
        <v>1937</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5140</v>
      </c>
      <c r="B837" s="30" t="s">
        <v>1936</v>
      </c>
      <c r="C837" s="31" t="s">
        <v>1937</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5141</v>
      </c>
      <c r="B838" s="30" t="s">
        <v>1936</v>
      </c>
      <c r="C838" s="31" t="s">
        <v>1937</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5142</v>
      </c>
      <c r="B839" s="30" t="s">
        <v>1936</v>
      </c>
      <c r="C839" s="31" t="s">
        <v>1937</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5143</v>
      </c>
      <c r="B840" s="30" t="s">
        <v>1920</v>
      </c>
      <c r="C840" s="31" t="s">
        <v>1921</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5144</v>
      </c>
      <c r="B841" s="30" t="s">
        <v>1920</v>
      </c>
      <c r="C841" s="31" t="s">
        <v>1921</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5145</v>
      </c>
      <c r="B842" s="30" t="s">
        <v>1920</v>
      </c>
      <c r="C842" s="31" t="s">
        <v>1921</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5146</v>
      </c>
      <c r="B843" s="30" t="s">
        <v>1920</v>
      </c>
      <c r="C843" s="31" t="s">
        <v>1921</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5147</v>
      </c>
      <c r="B844" s="30" t="s">
        <v>1920</v>
      </c>
      <c r="C844" s="31" t="s">
        <v>1921</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5148</v>
      </c>
      <c r="B845" s="30" t="s">
        <v>1920</v>
      </c>
      <c r="C845" s="31" t="s">
        <v>1921</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5149</v>
      </c>
      <c r="B846" s="30" t="s">
        <v>1920</v>
      </c>
      <c r="C846" s="31" t="s">
        <v>1921</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5150</v>
      </c>
      <c r="B847" s="30" t="s">
        <v>1920</v>
      </c>
      <c r="C847" s="31" t="s">
        <v>1921</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5151</v>
      </c>
      <c r="B848" s="30" t="s">
        <v>1920</v>
      </c>
      <c r="C848" s="31" t="s">
        <v>1921</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5152</v>
      </c>
      <c r="B849" s="30" t="s">
        <v>1920</v>
      </c>
      <c r="C849" s="31" t="s">
        <v>1921</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5153</v>
      </c>
      <c r="B850" s="30" t="s">
        <v>1920</v>
      </c>
      <c r="C850" s="31" t="s">
        <v>1921</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5154</v>
      </c>
      <c r="B851" s="30" t="s">
        <v>1920</v>
      </c>
      <c r="C851" s="31" t="s">
        <v>1921</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5155</v>
      </c>
      <c r="B852" s="30" t="s">
        <v>1628</v>
      </c>
      <c r="C852" s="31" t="s">
        <v>1629</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5156</v>
      </c>
      <c r="B853" s="30" t="s">
        <v>1628</v>
      </c>
      <c r="C853" s="31" t="s">
        <v>1629</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3197</v>
      </c>
      <c r="B854" s="30" t="s">
        <v>1670</v>
      </c>
      <c r="C854" s="31" t="s">
        <v>1671</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75</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5157</v>
      </c>
      <c r="B855" s="30" t="s">
        <v>1670</v>
      </c>
      <c r="C855" s="31" t="s">
        <v>1671</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5158</v>
      </c>
      <c r="B856" s="30" t="s">
        <v>1670</v>
      </c>
      <c r="C856" s="31" t="s">
        <v>1671</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5159</v>
      </c>
      <c r="B857" s="30" t="s">
        <v>1670</v>
      </c>
      <c r="C857" s="31" t="s">
        <v>1671</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5160</v>
      </c>
      <c r="B858" s="30" t="s">
        <v>1670</v>
      </c>
      <c r="C858" s="31" t="s">
        <v>1671</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5161</v>
      </c>
      <c r="B859" s="30" t="s">
        <v>1670</v>
      </c>
      <c r="C859" s="31" t="s">
        <v>1671</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5162</v>
      </c>
      <c r="B860" s="30" t="s">
        <v>1670</v>
      </c>
      <c r="C860" s="31" t="s">
        <v>1671</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5163</v>
      </c>
      <c r="B861" s="30" t="s">
        <v>1670</v>
      </c>
      <c r="C861" s="31" t="s">
        <v>1671</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5164</v>
      </c>
      <c r="B862" s="30" t="s">
        <v>1670</v>
      </c>
      <c r="C862" s="31" t="s">
        <v>1671</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5165</v>
      </c>
      <c r="B863" s="30" t="s">
        <v>1703</v>
      </c>
      <c r="C863" s="31" t="s">
        <v>1704</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5166</v>
      </c>
      <c r="B864" s="30" t="s">
        <v>1703</v>
      </c>
      <c r="C864" s="31" t="s">
        <v>1704</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5167</v>
      </c>
      <c r="B865" s="30" t="s">
        <v>1703</v>
      </c>
      <c r="C865" s="31" t="s">
        <v>1704</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5168</v>
      </c>
      <c r="B866" s="30" t="s">
        <v>1703</v>
      </c>
      <c r="C866" s="31" t="s">
        <v>1704</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5169</v>
      </c>
      <c r="B867" s="30" t="s">
        <v>1703</v>
      </c>
      <c r="C867" s="31" t="s">
        <v>1704</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5170</v>
      </c>
      <c r="B868" s="30" t="s">
        <v>1703</v>
      </c>
      <c r="C868" s="31" t="s">
        <v>1704</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5171</v>
      </c>
      <c r="B869" s="30" t="s">
        <v>1703</v>
      </c>
      <c r="C869" s="31" t="s">
        <v>1704</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5172</v>
      </c>
      <c r="B870" s="30" t="s">
        <v>1628</v>
      </c>
      <c r="C870" s="31" t="s">
        <v>1629</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5173</v>
      </c>
      <c r="B871" s="30" t="s">
        <v>1628</v>
      </c>
      <c r="C871" s="31" t="s">
        <v>1629</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5174</v>
      </c>
      <c r="B872" s="30" t="s">
        <v>1628</v>
      </c>
      <c r="C872" s="31" t="s">
        <v>1629</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5175</v>
      </c>
      <c r="B873" s="30" t="s">
        <v>1628</v>
      </c>
      <c r="C873" s="31" t="s">
        <v>1629</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5176</v>
      </c>
      <c r="B874" s="30" t="s">
        <v>1703</v>
      </c>
      <c r="C874" s="31" t="s">
        <v>1704</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5177</v>
      </c>
      <c r="B875" s="30" t="s">
        <v>1703</v>
      </c>
      <c r="C875" s="31" t="s">
        <v>1704</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5178</v>
      </c>
      <c r="B876" s="30" t="s">
        <v>1703</v>
      </c>
      <c r="C876" s="31" t="s">
        <v>1704</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5179</v>
      </c>
      <c r="B877" s="30" t="s">
        <v>1703</v>
      </c>
      <c r="C877" s="31" t="s">
        <v>1704</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5180</v>
      </c>
      <c r="B878" s="30" t="s">
        <v>1703</v>
      </c>
      <c r="C878" s="31" t="s">
        <v>1704</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5181</v>
      </c>
      <c r="B879" s="30" t="s">
        <v>1703</v>
      </c>
      <c r="C879" s="31" t="s">
        <v>1704</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5182</v>
      </c>
      <c r="B880" s="30" t="s">
        <v>1703</v>
      </c>
      <c r="C880" s="31" t="s">
        <v>1704</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5183</v>
      </c>
      <c r="B881" s="30" t="s">
        <v>1703</v>
      </c>
      <c r="C881" s="31" t="s">
        <v>1704</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5184</v>
      </c>
      <c r="B882" s="30" t="s">
        <v>1703</v>
      </c>
      <c r="C882" s="31" t="s">
        <v>1704</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5185</v>
      </c>
      <c r="B883" s="30" t="s">
        <v>1703</v>
      </c>
      <c r="C883" s="31" t="s">
        <v>1704</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5186</v>
      </c>
      <c r="B884" s="30" t="s">
        <v>1628</v>
      </c>
      <c r="C884" s="31" t="s">
        <v>1629</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5187</v>
      </c>
      <c r="B885" s="30" t="s">
        <v>1628</v>
      </c>
      <c r="C885" s="31" t="s">
        <v>1629</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5188</v>
      </c>
      <c r="B886" s="30" t="s">
        <v>1628</v>
      </c>
      <c r="C886" s="31" t="s">
        <v>1629</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5189</v>
      </c>
      <c r="B887" s="30" t="s">
        <v>1628</v>
      </c>
      <c r="C887" s="31" t="s">
        <v>1629</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5190</v>
      </c>
      <c r="B888" s="30" t="s">
        <v>1628</v>
      </c>
      <c r="C888" s="31" t="s">
        <v>1629</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5191</v>
      </c>
      <c r="B889" s="30" t="s">
        <v>1628</v>
      </c>
      <c r="C889" s="31" t="s">
        <v>1629</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5192</v>
      </c>
      <c r="B890" s="30" t="s">
        <v>1628</v>
      </c>
      <c r="C890" s="31" t="s">
        <v>1629</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5193</v>
      </c>
      <c r="B891" s="30" t="s">
        <v>1628</v>
      </c>
      <c r="C891" s="31" t="s">
        <v>1629</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5194</v>
      </c>
      <c r="B892" s="30" t="s">
        <v>1628</v>
      </c>
      <c r="C892" s="31" t="s">
        <v>1629</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5195</v>
      </c>
      <c r="B893" s="30" t="s">
        <v>1628</v>
      </c>
      <c r="C893" s="31" t="s">
        <v>1629</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5196</v>
      </c>
      <c r="B894" s="30" t="s">
        <v>1628</v>
      </c>
      <c r="C894" s="31" t="s">
        <v>1629</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5197</v>
      </c>
      <c r="B895" s="30" t="s">
        <v>1628</v>
      </c>
      <c r="C895" s="31" t="s">
        <v>1629</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3254</v>
      </c>
      <c r="B896" s="30" t="s">
        <v>1628</v>
      </c>
      <c r="C896" s="31" t="s">
        <v>1629</v>
      </c>
      <c r="D896" s="23" cm="1">
        <f t="array" ref="D896">SUM(IF((LEFT('2-1 采购订单物料明细表报表导出'!$K:$K,7)=D$1)*('2-1 采购订单物料明细表报表导出'!$D:$D=$A896),'2-1 采购订单物料明细表报表导出'!$H:$H,0))</f>
        <v>630.54</v>
      </c>
      <c r="E896" s="23" cm="1">
        <f t="array" ref="E896">SUM(IF((LEFT('2-1 采购订单物料明细表报表导出'!$K:$K,7)=E$1)*('2-1 采购订单物料明细表报表导出'!$D:$D=$A896),'2-1 采购订单物料明细表报表导出'!$H:$H,0))</f>
        <v>479.12</v>
      </c>
      <c r="F896" s="23" cm="1">
        <f t="array" ref="F896">SUM(IF((LEFT('2-1 采购订单物料明细表报表导出'!$K:$K,7)=F$1)*('2-1 采购订单物料明细表报表导出'!$D:$D=$A896),'2-1 采购订单物料明细表报表导出'!$H:$H,0))</f>
        <v>474.6</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5198</v>
      </c>
      <c r="B897" s="30" t="s">
        <v>1726</v>
      </c>
      <c r="C897" s="31" t="s">
        <v>4860</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5199</v>
      </c>
      <c r="B898" s="30" t="s">
        <v>1726</v>
      </c>
      <c r="C898" s="31" t="s">
        <v>4860</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5200</v>
      </c>
      <c r="B899" s="30" t="s">
        <v>1726</v>
      </c>
      <c r="C899" s="31" t="s">
        <v>4860</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5201</v>
      </c>
      <c r="B900" s="30" t="s">
        <v>1726</v>
      </c>
      <c r="C900" s="31" t="s">
        <v>4860</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5202</v>
      </c>
      <c r="B901" s="30" t="s">
        <v>1726</v>
      </c>
      <c r="C901" s="31" t="s">
        <v>4860</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5203</v>
      </c>
      <c r="B902" s="30" t="s">
        <v>1726</v>
      </c>
      <c r="C902" s="31" t="s">
        <v>4860</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5204</v>
      </c>
      <c r="B903" s="30" t="s">
        <v>1726</v>
      </c>
      <c r="C903" s="31" t="s">
        <v>4860</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5205</v>
      </c>
      <c r="B904" s="30" t="s">
        <v>1726</v>
      </c>
      <c r="C904" s="31" t="s">
        <v>4860</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5206</v>
      </c>
      <c r="B905" s="30" t="s">
        <v>1726</v>
      </c>
      <c r="C905" s="31" t="s">
        <v>4860</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5207</v>
      </c>
      <c r="B906" s="30" t="s">
        <v>1726</v>
      </c>
      <c r="C906" s="31" t="s">
        <v>4860</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5208</v>
      </c>
      <c r="B907" s="30" t="s">
        <v>1726</v>
      </c>
      <c r="C907" s="31" t="s">
        <v>4860</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5209</v>
      </c>
      <c r="B908" s="30" t="s">
        <v>1726</v>
      </c>
      <c r="C908" s="31" t="s">
        <v>4860</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5210</v>
      </c>
      <c r="B909" s="30" t="s">
        <v>1726</v>
      </c>
      <c r="C909" s="31" t="s">
        <v>4860</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5211</v>
      </c>
      <c r="B910" s="30" t="s">
        <v>1726</v>
      </c>
      <c r="C910" s="31" t="s">
        <v>4860</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5212</v>
      </c>
      <c r="B911" s="30" t="s">
        <v>1726</v>
      </c>
      <c r="C911" s="31" t="s">
        <v>4860</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5213</v>
      </c>
      <c r="B912" s="30" t="s">
        <v>1726</v>
      </c>
      <c r="C912" s="31" t="s">
        <v>4860</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5214</v>
      </c>
      <c r="B913" s="30" t="s">
        <v>1726</v>
      </c>
      <c r="C913" s="31" t="s">
        <v>4860</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5215</v>
      </c>
      <c r="B914" s="30" t="s">
        <v>1726</v>
      </c>
      <c r="C914" s="31" t="s">
        <v>4860</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5216</v>
      </c>
      <c r="B915" s="30" t="s">
        <v>1628</v>
      </c>
      <c r="C915" s="31" t="s">
        <v>1629</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2965</v>
      </c>
      <c r="B916" s="30" t="s">
        <v>1628</v>
      </c>
      <c r="C916" s="31" t="s">
        <v>1629</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80</v>
      </c>
      <c r="H916" s="23" cm="1">
        <f t="array" ref="H916">SUM(IF((LEFT('2-1 采购订单物料明细表报表导出'!$K:$K,7)=H$1)*('2-1 采购订单物料明细表报表导出'!$D:$D=$A916),'2-1 采购订单物料明细表报表导出'!$H:$H,0))</f>
        <v>70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5217</v>
      </c>
      <c r="B917" s="30" t="s">
        <v>1628</v>
      </c>
      <c r="C917" s="31" t="s">
        <v>1629</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5218</v>
      </c>
      <c r="B918" s="30" t="s">
        <v>1628</v>
      </c>
      <c r="C918" s="31" t="s">
        <v>1629</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5219</v>
      </c>
      <c r="B919" s="30" t="s">
        <v>1628</v>
      </c>
      <c r="C919" s="31" t="s">
        <v>1629</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5220</v>
      </c>
      <c r="B920" s="30" t="s">
        <v>1628</v>
      </c>
      <c r="C920" s="31" t="s">
        <v>1629</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5221</v>
      </c>
      <c r="B921" s="30" t="s">
        <v>1628</v>
      </c>
      <c r="C921" s="31" t="s">
        <v>1629</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5222</v>
      </c>
      <c r="B922" s="30" t="s">
        <v>1628</v>
      </c>
      <c r="C922" s="31" t="s">
        <v>1629</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5223</v>
      </c>
      <c r="B923" s="30" t="s">
        <v>1628</v>
      </c>
      <c r="C923" s="31" t="s">
        <v>1629</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5224</v>
      </c>
      <c r="B924" s="30" t="s">
        <v>1628</v>
      </c>
      <c r="C924" s="31" t="s">
        <v>1629</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5225</v>
      </c>
      <c r="B925" s="30" t="s">
        <v>1628</v>
      </c>
      <c r="C925" s="31" t="s">
        <v>1629</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5226</v>
      </c>
      <c r="B926" s="30" t="s">
        <v>1628</v>
      </c>
      <c r="C926" s="31" t="s">
        <v>1629</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5227</v>
      </c>
      <c r="B927" s="30" t="s">
        <v>1628</v>
      </c>
      <c r="C927" s="31" t="s">
        <v>1629</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5228</v>
      </c>
      <c r="B928" s="30" t="s">
        <v>1628</v>
      </c>
      <c r="C928" s="31" t="s">
        <v>1629</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5229</v>
      </c>
      <c r="B929" s="30" t="s">
        <v>1628</v>
      </c>
      <c r="C929" s="31" t="s">
        <v>1629</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5230</v>
      </c>
      <c r="B930" s="30" t="s">
        <v>1628</v>
      </c>
      <c r="C930" s="31" t="s">
        <v>1629</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5231</v>
      </c>
      <c r="B931" s="30" t="s">
        <v>1628</v>
      </c>
      <c r="C931" s="31" t="s">
        <v>1629</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5232</v>
      </c>
      <c r="B932" s="30" t="s">
        <v>1628</v>
      </c>
      <c r="C932" s="31" t="s">
        <v>1629</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3076</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41490.9</v>
      </c>
      <c r="G933" s="23" cm="1">
        <f t="array" ref="G933">SUM(IF((LEFT('2-1 采购订单物料明细表报表导出'!$K:$K,7)=G$1)*('2-1 采购订单物料明细表报表导出'!$D:$D=$A933),'2-1 采购订单物料明细表报表导出'!$H:$H,0))</f>
        <v>12098.5</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5233</v>
      </c>
      <c r="B934" s="18"/>
      <c r="C934" s="35" t="s">
        <v>4359</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5234</v>
      </c>
      <c r="B935" s="26" t="s">
        <v>2135</v>
      </c>
      <c r="C935" s="27" t="s">
        <v>2136</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5235</v>
      </c>
      <c r="B936" s="26" t="s">
        <v>2135</v>
      </c>
      <c r="C936" s="27" t="s">
        <v>2136</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5236</v>
      </c>
      <c r="B937" s="26" t="s">
        <v>2135</v>
      </c>
      <c r="C937" s="27" t="s">
        <v>2136</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5237</v>
      </c>
      <c r="B938" s="26" t="s">
        <v>2135</v>
      </c>
      <c r="C938" s="27" t="s">
        <v>2136</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5238</v>
      </c>
      <c r="B939" s="26" t="s">
        <v>2135</v>
      </c>
      <c r="C939" s="27" t="s">
        <v>2136</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5239</v>
      </c>
      <c r="B940" s="26" t="s">
        <v>2135</v>
      </c>
      <c r="C940" s="27" t="s">
        <v>2136</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5240</v>
      </c>
      <c r="B941" s="26" t="s">
        <v>2135</v>
      </c>
      <c r="C941" s="27" t="s">
        <v>2136</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5241</v>
      </c>
      <c r="B942" s="26" t="s">
        <v>2135</v>
      </c>
      <c r="C942" s="27" t="s">
        <v>2136</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5242</v>
      </c>
      <c r="B943" s="26" t="s">
        <v>2135</v>
      </c>
      <c r="C943" s="27" t="s">
        <v>2136</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5243</v>
      </c>
      <c r="B944" s="26" t="s">
        <v>2135</v>
      </c>
      <c r="C944" s="27" t="s">
        <v>2136</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5244</v>
      </c>
      <c r="B945" s="26" t="s">
        <v>2135</v>
      </c>
      <c r="C945" s="27" t="s">
        <v>2136</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5245</v>
      </c>
      <c r="B946" s="26" t="s">
        <v>2135</v>
      </c>
      <c r="C946" s="27" t="s">
        <v>2136</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5246</v>
      </c>
      <c r="B947" s="26" t="s">
        <v>2135</v>
      </c>
      <c r="C947" s="27" t="s">
        <v>2136</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5247</v>
      </c>
      <c r="B948" s="26" t="s">
        <v>2135</v>
      </c>
      <c r="C948" s="27" t="s">
        <v>2136</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5248</v>
      </c>
      <c r="B949" s="26" t="s">
        <v>2135</v>
      </c>
      <c r="C949" s="27" t="s">
        <v>2136</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5249</v>
      </c>
      <c r="B950" s="26" t="s">
        <v>2135</v>
      </c>
      <c r="C950" s="27" t="s">
        <v>2136</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5250</v>
      </c>
      <c r="B951" s="26" t="s">
        <v>2135</v>
      </c>
      <c r="C951" s="27" t="s">
        <v>2136</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5251</v>
      </c>
      <c r="B952" s="26" t="s">
        <v>2135</v>
      </c>
      <c r="C952" s="27" t="s">
        <v>2136</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5260</v>
      </c>
      <c r="B1" s="13" t="s">
        <v>766</v>
      </c>
      <c r="C1" s="13" t="s">
        <v>767</v>
      </c>
      <c r="D1" s="13" t="s">
        <v>768</v>
      </c>
      <c r="E1" s="13" t="s">
        <v>769</v>
      </c>
      <c r="F1" s="13" t="s">
        <v>770</v>
      </c>
      <c r="G1" s="13" t="s">
        <v>771</v>
      </c>
      <c r="H1" s="13" t="s">
        <v>772</v>
      </c>
      <c r="I1" s="13" t="s">
        <v>773</v>
      </c>
      <c r="J1" s="13" t="s">
        <v>774</v>
      </c>
      <c r="K1" s="13" t="s">
        <v>775</v>
      </c>
      <c r="L1" s="13" t="s">
        <v>776</v>
      </c>
      <c r="M1" s="13" t="s">
        <v>777</v>
      </c>
    </row>
    <row r="2" spans="1:13">
      <c r="A2" s="14" t="s">
        <v>214</v>
      </c>
      <c r="B2" s="14">
        <f>COUNTIF('2 过程管理表单'!Y6:Y507,"&lt;"&amp;0)</f>
        <v>6</v>
      </c>
      <c r="C2" s="14">
        <f>COUNTIF('2 过程管理表单'!AB6:AB507,"&lt;"&amp;0)</f>
        <v>7</v>
      </c>
      <c r="D2" s="14">
        <f>COUNTIF('2 过程管理表单'!AE6:AE507,"&lt;"&amp;0)</f>
        <v>9</v>
      </c>
      <c r="E2" s="14">
        <f>COUNTIF('2 过程管理表单'!AH6:AH507,"&lt;"&amp;0)</f>
        <v>8</v>
      </c>
      <c r="F2" s="14">
        <f>COUNTIF('2 过程管理表单'!AK6:AK507,"&lt;"&amp;0)</f>
        <v>8</v>
      </c>
      <c r="G2" s="14">
        <f>COUNTIF('2 过程管理表单'!AN6:AN507,"&lt;"&amp;0)</f>
        <v>8</v>
      </c>
      <c r="H2" s="14">
        <f>COUNTIF('2 过程管理表单'!AQ6:AQ507,"&lt;"&amp;0)</f>
        <v>8</v>
      </c>
      <c r="I2" s="14">
        <f>COUNTIF('2 过程管理表单'!AT6:AT507,"&lt;"&amp;0)</f>
        <v>8</v>
      </c>
      <c r="J2" s="14">
        <f>COUNTIF('2 过程管理表单'!AW6:AW507,"&lt;"&amp;0)</f>
        <v>6</v>
      </c>
      <c r="K2" s="14">
        <f>COUNTIF('2 过程管理表单'!AW6:AW507,"&lt;"&amp;0)</f>
        <v>6</v>
      </c>
      <c r="L2" s="14">
        <f>COUNTIF('2 过程管理表单'!BC6:BC507,"&lt;"&amp;0)</f>
        <v>0</v>
      </c>
      <c r="M2" s="14">
        <f>COUNTIF('2 过程管理表单'!BF6:BF507,"&lt;"&amp;0)</f>
        <v>0</v>
      </c>
    </row>
    <row r="3" spans="1:13">
      <c r="A3" s="14" t="s">
        <v>9</v>
      </c>
      <c r="B3" s="14">
        <f>COUNTIF('2 过程管理表单'!Y509:Y535,"&lt;0")</f>
        <v>0</v>
      </c>
      <c r="C3" s="14">
        <f>COUNTIF('2 过程管理表单'!AB508:AB535,"&lt;"&amp;0)</f>
        <v>5</v>
      </c>
      <c r="D3" s="14">
        <f>COUNTIF('2 过程管理表单'!AE508:AE535,"&lt;"&amp;0)</f>
        <v>3</v>
      </c>
      <c r="E3" s="14">
        <f>COUNTIF('2 过程管理表单'!AH508:AH535,"&lt;"&amp;0)</f>
        <v>9</v>
      </c>
      <c r="F3" s="14">
        <f>COUNTIF('2 过程管理表单'!AK508:AK535,"&lt;"&amp;0)</f>
        <v>8</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1</v>
      </c>
      <c r="C6" s="14">
        <f>COUNTIF('2 过程管理表单'!AB604:AB615,"&lt;"&amp;0)</f>
        <v>1</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1</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5286</v>
      </c>
      <c r="B8" s="14">
        <f>B2+B3+B4+B5+B6+B7</f>
        <v>7</v>
      </c>
      <c r="C8" s="14">
        <f t="shared" ref="C8:M8" si="0">SUM(C2:C7)</f>
        <v>13</v>
      </c>
      <c r="D8" s="14">
        <f t="shared" si="0"/>
        <v>12</v>
      </c>
      <c r="E8" s="14">
        <f t="shared" si="0"/>
        <v>18</v>
      </c>
      <c r="F8" s="14">
        <f t="shared" si="0"/>
        <v>16</v>
      </c>
      <c r="G8" s="14">
        <f t="shared" si="0"/>
        <v>8</v>
      </c>
      <c r="H8" s="14">
        <f t="shared" si="0"/>
        <v>8</v>
      </c>
      <c r="I8" s="14">
        <f t="shared" si="0"/>
        <v>8</v>
      </c>
      <c r="J8" s="14">
        <f t="shared" si="0"/>
        <v>6</v>
      </c>
      <c r="K8" s="14">
        <f t="shared" si="0"/>
        <v>6</v>
      </c>
      <c r="L8" s="14">
        <f t="shared" si="0"/>
        <v>0</v>
      </c>
      <c r="M8" s="14">
        <f t="shared" si="0"/>
        <v>0</v>
      </c>
    </row>
    <row r="9" spans="1:13">
      <c r="A9" s="15" t="s">
        <v>5298</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1</v>
      </c>
      <c r="D11" s="16">
        <f>COUNTIF('2 过程管理表单'!AE6,"&lt;"&amp;0)</f>
        <v>0</v>
      </c>
      <c r="E11" s="16">
        <f>COUNTIF('2 过程管理表单'!AH508,"&lt;"&amp;0)</f>
        <v>1</v>
      </c>
      <c r="F11" s="16">
        <f>COUNTIF('2 过程管理表单'!AK508,"&lt;"&amp;0)</f>
        <v>1</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1</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1</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5299</v>
      </c>
      <c r="B16" s="16">
        <f t="shared" ref="B16:M16" si="1">SUM(B10:B15)</f>
        <v>0</v>
      </c>
      <c r="C16" s="16">
        <f t="shared" si="1"/>
        <v>2</v>
      </c>
      <c r="D16" s="16">
        <f t="shared" si="1"/>
        <v>1</v>
      </c>
      <c r="E16" s="16">
        <f t="shared" si="1"/>
        <v>2</v>
      </c>
      <c r="F16" s="16">
        <f t="shared" si="1"/>
        <v>1</v>
      </c>
      <c r="G16" s="16">
        <f t="shared" si="1"/>
        <v>0</v>
      </c>
      <c r="H16" s="16">
        <f t="shared" si="1"/>
        <v>0</v>
      </c>
      <c r="I16" s="16">
        <f t="shared" si="1"/>
        <v>0</v>
      </c>
      <c r="J16" s="16">
        <f t="shared" si="1"/>
        <v>0</v>
      </c>
      <c r="K16" s="16">
        <f t="shared" si="1"/>
        <v>0</v>
      </c>
      <c r="L16" s="16">
        <f t="shared" si="1"/>
        <v>0</v>
      </c>
      <c r="M16" s="16">
        <f t="shared" si="1"/>
        <v>0</v>
      </c>
    </row>
    <row r="17" spans="1:13">
      <c r="A17" s="16" t="s">
        <v>5300</v>
      </c>
      <c r="B17" s="16">
        <f>B8</f>
        <v>7</v>
      </c>
      <c r="C17" s="16">
        <f t="shared" ref="C17:M17" si="2">B17+C8</f>
        <v>20</v>
      </c>
      <c r="D17" s="16">
        <f t="shared" si="2"/>
        <v>32</v>
      </c>
      <c r="E17" s="16">
        <f t="shared" si="2"/>
        <v>50</v>
      </c>
      <c r="F17" s="16">
        <f t="shared" si="2"/>
        <v>66</v>
      </c>
      <c r="G17" s="16">
        <f t="shared" si="2"/>
        <v>74</v>
      </c>
      <c r="H17" s="16">
        <f t="shared" si="2"/>
        <v>82</v>
      </c>
      <c r="I17" s="16">
        <f t="shared" si="2"/>
        <v>90</v>
      </c>
      <c r="J17" s="16">
        <f t="shared" si="2"/>
        <v>96</v>
      </c>
      <c r="K17" s="16">
        <f t="shared" si="2"/>
        <v>102</v>
      </c>
      <c r="L17" s="16">
        <f t="shared" si="2"/>
        <v>102</v>
      </c>
      <c r="M17" s="16">
        <f t="shared" si="2"/>
        <v>102</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5288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5289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5290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5291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5288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5289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5290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5291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5288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5289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5290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5291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5288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5289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5290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5291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5288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5289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5290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5291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5288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5289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5290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5291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5288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5289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5290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5291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5288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5289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5290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5291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5301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5302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5303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5304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5288</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5289</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5290</v>
      </c>
      <c r="C4" s="10">
        <f>INDEX('2 过程管理表单'!$8:$8,24+(COLUMN(A1)-1)*3)</f>
        <v>980174.4</v>
      </c>
      <c r="D4" s="10" cm="1">
        <f t="array" ref="D4">INDEX('2 过程管理表单'!$8:$8,24+(COLUMN(B1)-1)*3)</f>
        <v>980174.4</v>
      </c>
      <c r="E4" s="10" cm="1">
        <f t="array" ref="E4">INDEX('2 过程管理表单'!$8:$8,24+(COLUMN(C1)-1)*3)</f>
        <v>980174.4</v>
      </c>
      <c r="F4" s="10" cm="1">
        <f t="array" ref="F4">INDEX('2 过程管理表单'!$8:$8,24+(COLUMN(D1)-1)*3)</f>
        <v>980174.4</v>
      </c>
      <c r="G4" s="10" cm="1">
        <f t="array" ref="G4">INDEX('2 过程管理表单'!$8:$8,24+(COLUMN(E1)-1)*3)</f>
        <v>980174.4</v>
      </c>
      <c r="H4" s="10" cm="1">
        <f t="array" ref="H4">INDEX('2 过程管理表单'!$8:$8,24+(COLUMN(F1)-1)*3)</f>
        <v>980174.4</v>
      </c>
      <c r="I4" s="10" cm="1">
        <f t="array" ref="I4">INDEX('2 过程管理表单'!$8:$8,24+(COLUMN(G1)-1)*3)</f>
        <v>980174.4</v>
      </c>
      <c r="J4" s="10" cm="1">
        <f t="array" ref="J4">INDEX('2 过程管理表单'!$8:$8,24+(COLUMN(H1)-1)*3)</f>
        <v>980174.4</v>
      </c>
      <c r="K4" s="10" cm="1">
        <f t="array" ref="K4">INDEX('2 过程管理表单'!$8:$8,24+(COLUMN(I1)-1)*3)</f>
        <v>980174.4</v>
      </c>
      <c r="L4" s="10" cm="1">
        <f t="array" ref="L4">INDEX('2 过程管理表单'!$8:$8,24+(COLUMN(J1)-1)*3)</f>
        <v>980174.4</v>
      </c>
      <c r="M4" s="10" cm="1">
        <f t="array" ref="M4">INDEX('2 过程管理表单'!$8:$8,24+(COLUMN(K1)-1)*3)</f>
        <v>980174.4</v>
      </c>
      <c r="N4" s="10" cm="1">
        <f t="array" ref="N4">INDEX('2 过程管理表单'!$8:$8,24+(COLUMN(L1)-1)*3)</f>
        <v>1143550.4</v>
      </c>
    </row>
    <row r="5" spans="1:14">
      <c r="A5" t="s">
        <v>108</v>
      </c>
      <c r="B5" t="s">
        <v>5291</v>
      </c>
      <c r="C5" s="10">
        <f>C4</f>
        <v>980174.4</v>
      </c>
      <c r="D5" s="10">
        <f>C5+D4</f>
        <v>1960348.8</v>
      </c>
      <c r="E5" s="10">
        <f t="shared" ref="E5:N5" si="1">D5+E4</f>
        <v>2940523.2</v>
      </c>
      <c r="F5" s="10">
        <f t="shared" si="1"/>
        <v>3920697.6</v>
      </c>
      <c r="G5" s="10">
        <f t="shared" si="1"/>
        <v>4900872</v>
      </c>
      <c r="H5" s="10">
        <f t="shared" si="1"/>
        <v>5881046.4</v>
      </c>
      <c r="I5" s="10">
        <f t="shared" si="1"/>
        <v>6861220.8</v>
      </c>
      <c r="J5" s="10">
        <f t="shared" si="1"/>
        <v>7841395.2</v>
      </c>
      <c r="K5" s="10">
        <f t="shared" si="1"/>
        <v>8821569.6</v>
      </c>
      <c r="L5" s="10">
        <f t="shared" si="1"/>
        <v>9801744</v>
      </c>
      <c r="M5" s="10">
        <f t="shared" si="1"/>
        <v>10781918.4</v>
      </c>
      <c r="N5" s="10">
        <f t="shared" si="1"/>
        <v>11925468.8</v>
      </c>
    </row>
    <row r="6" spans="1:14">
      <c r="A6" t="s">
        <v>112</v>
      </c>
      <c r="B6" t="s">
        <v>5288</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5289</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5290</v>
      </c>
      <c r="C8" s="10" cm="1">
        <f t="array" ref="C8">INDEX('2 过程管理表单'!$27:$27,24+(COLUMN(A1)-1)*3)</f>
        <v>154796.88</v>
      </c>
      <c r="D8" s="10" cm="1">
        <f t="array" ref="D8">INDEX('2 过程管理表单'!$27:$27,24+(COLUMN(B1)-1)*3)</f>
        <v>154796.88</v>
      </c>
      <c r="E8" s="10" cm="1">
        <f t="array" ref="E8">INDEX('2 过程管理表单'!$27:$27,24+(COLUMN(C1)-1)*3)</f>
        <v>154796.88</v>
      </c>
      <c r="F8" s="10" cm="1">
        <f t="array" ref="F8">INDEX('2 过程管理表单'!$27:$27,24+(COLUMN(D1)-1)*3)</f>
        <v>154796.88</v>
      </c>
      <c r="G8" s="10" cm="1">
        <f t="array" ref="G8">INDEX('2 过程管理表单'!$27:$27,24+(COLUMN(E1)-1)*3)</f>
        <v>154796.88</v>
      </c>
      <c r="H8" s="10" cm="1">
        <f t="array" ref="H8">INDEX('2 过程管理表单'!$27:$27,24+(COLUMN(F1)-1)*3)</f>
        <v>154796.88</v>
      </c>
      <c r="I8" s="10" cm="1">
        <f t="array" ref="I8">INDEX('2 过程管理表单'!$27:$27,24+(COLUMN(G1)-1)*3)</f>
        <v>154796.88</v>
      </c>
      <c r="J8" s="10" cm="1">
        <f t="array" ref="J8">INDEX('2 过程管理表单'!$27:$27,24+(COLUMN(H1)-1)*3)</f>
        <v>154796.88</v>
      </c>
      <c r="K8" s="10" cm="1">
        <f t="array" ref="K8">INDEX('2 过程管理表单'!$27:$27,24+(COLUMN(I1)-1)*3)</f>
        <v>154796.88</v>
      </c>
      <c r="L8" s="10" cm="1">
        <f t="array" ref="L8">INDEX('2 过程管理表单'!$27:$27,24+(COLUMN(J1)-1)*3)</f>
        <v>154796.88</v>
      </c>
      <c r="M8" s="10" cm="1">
        <f t="array" ref="M8">INDEX('2 过程管理表单'!$27:$27,24+(COLUMN(K1)-1)*3)</f>
        <v>154796.88</v>
      </c>
      <c r="N8" s="10" cm="1">
        <f t="array" ref="N8">INDEX('2 过程管理表单'!$27:$27,24+(COLUMN(L1)-1)*3)</f>
        <v>179303.28</v>
      </c>
    </row>
    <row r="9" spans="1:14">
      <c r="A9" t="s">
        <v>112</v>
      </c>
      <c r="B9" t="s">
        <v>5291</v>
      </c>
      <c r="C9" s="10">
        <f>C8</f>
        <v>154796.88</v>
      </c>
      <c r="D9" s="10">
        <f>C9+D8</f>
        <v>309593.76</v>
      </c>
      <c r="E9" s="10">
        <f t="shared" ref="E9:N9" si="3">D9+E8</f>
        <v>464390.64</v>
      </c>
      <c r="F9" s="10">
        <f t="shared" si="3"/>
        <v>619187.52</v>
      </c>
      <c r="G9" s="10">
        <f t="shared" si="3"/>
        <v>773984.4</v>
      </c>
      <c r="H9" s="10">
        <f t="shared" si="3"/>
        <v>928781.28</v>
      </c>
      <c r="I9" s="10">
        <f t="shared" si="3"/>
        <v>1083578.16</v>
      </c>
      <c r="J9" s="10">
        <f t="shared" si="3"/>
        <v>1238375.04</v>
      </c>
      <c r="K9" s="10">
        <f t="shared" si="3"/>
        <v>1393171.92</v>
      </c>
      <c r="L9" s="10">
        <f t="shared" si="3"/>
        <v>1547968.8</v>
      </c>
      <c r="M9" s="10">
        <f t="shared" si="3"/>
        <v>1702765.68</v>
      </c>
      <c r="N9" s="10">
        <f t="shared" si="3"/>
        <v>1882068.96</v>
      </c>
    </row>
    <row r="10" spans="1:14">
      <c r="A10" t="s">
        <v>115</v>
      </c>
      <c r="B10" t="s">
        <v>5288</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5289</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5290</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5291</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5288</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5289</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5290</v>
      </c>
      <c r="C16" s="10" cm="1">
        <f t="array" ref="C16">INDEX('2 过程管理表单'!$71:$71,24+(COLUMN(A9)-1)*3)</f>
        <v>164231</v>
      </c>
      <c r="D16" s="10" cm="1">
        <f t="array" ref="D16">INDEX('2 过程管理表单'!$71:$71,24+(COLUMN(B9)-1)*3)</f>
        <v>164231</v>
      </c>
      <c r="E16" s="10" cm="1">
        <f t="array" ref="E16">INDEX('2 过程管理表单'!$71:$71,24+(COLUMN(C9)-1)*3)</f>
        <v>164231</v>
      </c>
      <c r="F16" s="10" cm="1">
        <f t="array" ref="F16">INDEX('2 过程管理表单'!$71:$71,24+(COLUMN(D9)-1)*3)</f>
        <v>164231</v>
      </c>
      <c r="G16" s="10" cm="1">
        <f t="array" ref="G16">INDEX('2 过程管理表单'!$71:$71,24+(COLUMN(E9)-1)*3)</f>
        <v>164231</v>
      </c>
      <c r="H16" s="10" cm="1">
        <f t="array" ref="H16">INDEX('2 过程管理表单'!$71:$71,24+(COLUMN(F9)-1)*3)</f>
        <v>164231</v>
      </c>
      <c r="I16" s="10" cm="1">
        <f t="array" ref="I16">INDEX('2 过程管理表单'!$71:$71,24+(COLUMN(G9)-1)*3)</f>
        <v>164231</v>
      </c>
      <c r="J16" s="10" cm="1">
        <f t="array" ref="J16">INDEX('2 过程管理表单'!$71:$71,24+(COLUMN(H9)-1)*3)</f>
        <v>164231</v>
      </c>
      <c r="K16" s="10" cm="1">
        <f t="array" ref="K16">INDEX('2 过程管理表单'!$71:$71,24+(COLUMN(I9)-1)*3)</f>
        <v>164231</v>
      </c>
      <c r="L16" s="10" cm="1">
        <f t="array" ref="L16">INDEX('2 过程管理表单'!$71:$71,24+(COLUMN(J9)-1)*3)</f>
        <v>164231</v>
      </c>
      <c r="M16" s="10" cm="1">
        <f t="array" ref="M16">INDEX('2 过程管理表单'!$71:$71,24+(COLUMN(K9)-1)*3)</f>
        <v>164231</v>
      </c>
      <c r="N16" s="10" cm="1">
        <f t="array" ref="N16">INDEX('2 过程管理表单'!$71:$71,24+(COLUMN(L9)-1)*3)</f>
        <v>189758.5</v>
      </c>
    </row>
    <row r="17" spans="1:14">
      <c r="A17" t="s">
        <v>118</v>
      </c>
      <c r="B17" t="s">
        <v>5291</v>
      </c>
      <c r="C17" s="10">
        <f>C16</f>
        <v>164231</v>
      </c>
      <c r="D17" s="10">
        <f>C17+D16</f>
        <v>328462</v>
      </c>
      <c r="E17" s="10">
        <f t="shared" ref="E17:N17" si="7">D17+E16</f>
        <v>492693</v>
      </c>
      <c r="F17" s="10">
        <f t="shared" si="7"/>
        <v>656924</v>
      </c>
      <c r="G17" s="10">
        <f t="shared" si="7"/>
        <v>821155</v>
      </c>
      <c r="H17" s="10">
        <f t="shared" si="7"/>
        <v>985386</v>
      </c>
      <c r="I17" s="10">
        <f t="shared" si="7"/>
        <v>1149617</v>
      </c>
      <c r="J17" s="10">
        <f t="shared" si="7"/>
        <v>1313848</v>
      </c>
      <c r="K17" s="10">
        <f t="shared" si="7"/>
        <v>1478079</v>
      </c>
      <c r="L17" s="10">
        <f t="shared" si="7"/>
        <v>1642310</v>
      </c>
      <c r="M17" s="10">
        <f t="shared" si="7"/>
        <v>1806541</v>
      </c>
      <c r="N17" s="10">
        <f t="shared" si="7"/>
        <v>1996299.5</v>
      </c>
    </row>
    <row r="18" spans="1:14">
      <c r="A18" t="s">
        <v>121</v>
      </c>
      <c r="B18" t="s">
        <v>5288</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5289</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5290</v>
      </c>
      <c r="C20" s="10" cm="1">
        <f t="array" ref="C20">INDEX('2 过程管理表单'!$96:$96,24+(COLUMN(A13)-1)*3)</f>
        <v>79629.96</v>
      </c>
      <c r="D20" s="10" cm="1">
        <f t="array" ref="D20">INDEX('2 过程管理表单'!$96:$96,24+(COLUMN(B13)-1)*3)</f>
        <v>79629.96</v>
      </c>
      <c r="E20" s="10" cm="1">
        <f t="array" ref="E20">INDEX('2 过程管理表单'!$96:$96,24+(COLUMN(C13)-1)*3)</f>
        <v>79629.96</v>
      </c>
      <c r="F20" s="10" cm="1">
        <f t="array" ref="F20">INDEX('2 过程管理表单'!$96:$96,24+(COLUMN(D13)-1)*3)</f>
        <v>79629.96</v>
      </c>
      <c r="G20" s="10" cm="1">
        <f t="array" ref="G20">INDEX('2 过程管理表单'!$96:$96,24+(COLUMN(E13)-1)*3)</f>
        <v>79629.96</v>
      </c>
      <c r="H20" s="10" cm="1">
        <f t="array" ref="H20">INDEX('2 过程管理表单'!$96:$96,24+(COLUMN(F13)-1)*3)</f>
        <v>79629.96</v>
      </c>
      <c r="I20" s="10" cm="1">
        <f t="array" ref="I20">INDEX('2 过程管理表单'!$96:$96,24+(COLUMN(G13)-1)*3)</f>
        <v>79629.96</v>
      </c>
      <c r="J20" s="10" cm="1">
        <f t="array" ref="J20">INDEX('2 过程管理表单'!$96:$96,24+(COLUMN(H13)-1)*3)</f>
        <v>79629.96</v>
      </c>
      <c r="K20" s="10" cm="1">
        <f t="array" ref="K20">INDEX('2 过程管理表单'!$96:$96,24+(COLUMN(I13)-1)*3)</f>
        <v>79629.96</v>
      </c>
      <c r="L20" s="10" cm="1">
        <f t="array" ref="L20">INDEX('2 过程管理表单'!$96:$96,24+(COLUMN(J13)-1)*3)</f>
        <v>79629.96</v>
      </c>
      <c r="M20" s="10" cm="1">
        <f t="array" ref="M20">INDEX('2 过程管理表单'!$96:$96,24+(COLUMN(K13)-1)*3)</f>
        <v>79629.96</v>
      </c>
      <c r="N20" s="10" cm="1">
        <f t="array" ref="N20">INDEX('2 过程管理表单'!$96:$96,24+(COLUMN(L13)-1)*3)</f>
        <v>262793.9</v>
      </c>
    </row>
    <row r="21" spans="1:14">
      <c r="A21" t="s">
        <v>121</v>
      </c>
      <c r="B21" t="s">
        <v>5291</v>
      </c>
      <c r="C21" s="10">
        <f>C20</f>
        <v>79629.96</v>
      </c>
      <c r="D21" s="10">
        <f>C21+D20</f>
        <v>159259.92</v>
      </c>
      <c r="E21" s="10">
        <f t="shared" ref="E21:N21" si="9">D21+E20</f>
        <v>238889.88</v>
      </c>
      <c r="F21" s="10">
        <f t="shared" si="9"/>
        <v>318519.84</v>
      </c>
      <c r="G21" s="10">
        <f t="shared" si="9"/>
        <v>398149.8</v>
      </c>
      <c r="H21" s="10">
        <f t="shared" si="9"/>
        <v>477779.76</v>
      </c>
      <c r="I21" s="10">
        <f t="shared" si="9"/>
        <v>557409.72</v>
      </c>
      <c r="J21" s="10">
        <f t="shared" si="9"/>
        <v>637039.68</v>
      </c>
      <c r="K21" s="10">
        <f t="shared" si="9"/>
        <v>716669.64</v>
      </c>
      <c r="L21" s="10">
        <f t="shared" si="9"/>
        <v>796299.6</v>
      </c>
      <c r="M21" s="10">
        <f t="shared" si="9"/>
        <v>875929.56</v>
      </c>
      <c r="N21" s="10">
        <f t="shared" si="9"/>
        <v>1138723.46</v>
      </c>
    </row>
    <row r="22" spans="1:14">
      <c r="A22" t="s">
        <v>124</v>
      </c>
      <c r="B22" t="s">
        <v>5288</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5289</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5290</v>
      </c>
      <c r="C24" s="10" cm="1">
        <f t="array" ref="C24">INDEX('2 过程管理表单'!$115:$115,24+(COLUMN(A17)-1)*3)</f>
        <v>654241.14</v>
      </c>
      <c r="D24" s="10" cm="1">
        <f t="array" ref="D24">INDEX('2 过程管理表单'!$115:$115,24+(COLUMN(B17)-1)*3)</f>
        <v>654241.14</v>
      </c>
      <c r="E24" s="10" cm="1">
        <f t="array" ref="E24">INDEX('2 过程管理表单'!$115:$115,24+(COLUMN(C17)-1)*3)</f>
        <v>654241.14</v>
      </c>
      <c r="F24" s="10" cm="1">
        <f t="array" ref="F24">INDEX('2 过程管理表单'!$115:$115,24+(COLUMN(D17)-1)*3)</f>
        <v>654241.14</v>
      </c>
      <c r="G24" s="10" cm="1">
        <f t="array" ref="G24">INDEX('2 过程管理表单'!$115:$115,24+(COLUMN(E17)-1)*3)</f>
        <v>654241.14</v>
      </c>
      <c r="H24" s="10" cm="1">
        <f t="array" ref="H24">INDEX('2 过程管理表单'!$115:$115,24+(COLUMN(F17)-1)*3)</f>
        <v>654241.14</v>
      </c>
      <c r="I24" s="10" cm="1">
        <f t="array" ref="I24">INDEX('2 过程管理表单'!$115:$115,24+(COLUMN(G17)-1)*3)</f>
        <v>654241.14</v>
      </c>
      <c r="J24" s="10" cm="1">
        <f t="array" ref="J24">INDEX('2 过程管理表单'!$115:$115,24+(COLUMN(H17)-1)*3)</f>
        <v>654241.14</v>
      </c>
      <c r="K24" s="10" cm="1">
        <f t="array" ref="K24">INDEX('2 过程管理表单'!$115:$115,24+(COLUMN(I17)-1)*3)</f>
        <v>654241.14</v>
      </c>
      <c r="L24" s="10" cm="1">
        <f t="array" ref="L24">INDEX('2 过程管理表单'!$115:$115,24+(COLUMN(J17)-1)*3)</f>
        <v>654241.14</v>
      </c>
      <c r="M24" s="10" cm="1">
        <f t="array" ref="M24">INDEX('2 过程管理表单'!$115:$115,24+(COLUMN(K17)-1)*3)</f>
        <v>654241.14</v>
      </c>
      <c r="N24" s="10" cm="1">
        <f t="array" ref="N24">INDEX('2 过程管理表单'!$115:$115,24+(COLUMN(L17)-1)*3)</f>
        <v>795152.94</v>
      </c>
    </row>
    <row r="25" spans="1:14">
      <c r="A25" t="s">
        <v>124</v>
      </c>
      <c r="B25" t="s">
        <v>5291</v>
      </c>
      <c r="C25" s="10">
        <f>C24</f>
        <v>654241.14</v>
      </c>
      <c r="D25" s="10">
        <f>C25+D24</f>
        <v>1308482.28</v>
      </c>
      <c r="E25" s="10">
        <f t="shared" ref="E25:N25" si="11">D25+E24</f>
        <v>1962723.42</v>
      </c>
      <c r="F25" s="10">
        <f t="shared" si="11"/>
        <v>2616964.56</v>
      </c>
      <c r="G25" s="10">
        <f t="shared" si="11"/>
        <v>3271205.7</v>
      </c>
      <c r="H25" s="10">
        <f t="shared" si="11"/>
        <v>3925446.84</v>
      </c>
      <c r="I25" s="10">
        <f t="shared" si="11"/>
        <v>4579687.98</v>
      </c>
      <c r="J25" s="10">
        <f t="shared" si="11"/>
        <v>5233929.12</v>
      </c>
      <c r="K25" s="10">
        <f t="shared" si="11"/>
        <v>5888170.26</v>
      </c>
      <c r="L25" s="10">
        <f t="shared" si="11"/>
        <v>6542411.4</v>
      </c>
      <c r="M25" s="10">
        <f t="shared" si="11"/>
        <v>7196652.54</v>
      </c>
      <c r="N25" s="10">
        <f t="shared" si="11"/>
        <v>7991805.48</v>
      </c>
    </row>
    <row r="26" spans="1:14">
      <c r="A26" t="s">
        <v>127</v>
      </c>
      <c r="B26" t="s">
        <v>5288</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5289</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5290</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5291</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5288</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5289</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5290</v>
      </c>
      <c r="C32" s="10" cm="1">
        <f t="array" ref="C32">INDEX('2 过程管理表单'!$159:$159,24+(COLUMN(A25)-1)*3)</f>
        <v>1452538.31</v>
      </c>
      <c r="D32" s="10" cm="1">
        <f t="array" ref="D32">INDEX('2 过程管理表单'!$159:$159,24+(COLUMN(B25)-1)*3)</f>
        <v>1452538.31</v>
      </c>
      <c r="E32" s="10" cm="1">
        <f t="array" ref="E32">INDEX('2 过程管理表单'!$159:$159,24+(COLUMN(C25)-1)*3)</f>
        <v>1452538.31</v>
      </c>
      <c r="F32" s="10" cm="1">
        <f t="array" ref="F32">INDEX('2 过程管理表单'!$159:$159,24+(COLUMN(D25)-1)*3)</f>
        <v>1452538.31</v>
      </c>
      <c r="G32" s="10" cm="1">
        <f t="array" ref="G32">INDEX('2 过程管理表单'!$159:$159,24+(COLUMN(E25)-1)*3)</f>
        <v>1452538.31</v>
      </c>
      <c r="H32" s="10" cm="1">
        <f t="array" ref="H32">INDEX('2 过程管理表单'!$159:$159,24+(COLUMN(F25)-1)*3)</f>
        <v>1452538.31</v>
      </c>
      <c r="I32" s="10" cm="1">
        <f t="array" ref="I32">INDEX('2 过程管理表单'!$159:$159,24+(COLUMN(G25)-1)*3)</f>
        <v>1452538.31</v>
      </c>
      <c r="J32" s="10" cm="1">
        <f t="array" ref="J32">INDEX('2 过程管理表单'!$159:$159,24+(COLUMN(H25)-1)*3)</f>
        <v>1452538.31</v>
      </c>
      <c r="K32" s="10" cm="1">
        <f t="array" ref="K32">INDEX('2 过程管理表单'!$159:$159,24+(COLUMN(I25)-1)*3)</f>
        <v>1452538.31</v>
      </c>
      <c r="L32" s="10" cm="1">
        <f t="array" ref="L32">INDEX('2 过程管理表单'!$159:$159,24+(COLUMN(J25)-1)*3)</f>
        <v>1452538.31</v>
      </c>
      <c r="M32" s="10" cm="1">
        <f t="array" ref="M32">INDEX('2 过程管理表单'!$159:$159,24+(COLUMN(K25)-1)*3)</f>
        <v>1452538.31</v>
      </c>
      <c r="N32" s="10" cm="1">
        <f t="array" ref="N32">INDEX('2 过程管理表单'!$159:$159,24+(COLUMN(L25)-1)*3)</f>
        <v>1690454.61</v>
      </c>
    </row>
    <row r="33" spans="1:14">
      <c r="A33" t="s">
        <v>130</v>
      </c>
      <c r="B33" t="s">
        <v>5291</v>
      </c>
      <c r="C33" s="10">
        <f>C32</f>
        <v>1452538.31</v>
      </c>
      <c r="D33" s="10">
        <f>C33+D32</f>
        <v>2905076.62</v>
      </c>
      <c r="E33" s="10">
        <f t="shared" ref="E33:N33" si="15">D33+E32</f>
        <v>4357614.93</v>
      </c>
      <c r="F33" s="10">
        <f t="shared" si="15"/>
        <v>5810153.24</v>
      </c>
      <c r="G33" s="10">
        <f t="shared" si="15"/>
        <v>7262691.55</v>
      </c>
      <c r="H33" s="10">
        <f t="shared" si="15"/>
        <v>8715229.86</v>
      </c>
      <c r="I33" s="10">
        <f t="shared" si="15"/>
        <v>10167768.17</v>
      </c>
      <c r="J33" s="10">
        <f t="shared" si="15"/>
        <v>11620306.48</v>
      </c>
      <c r="K33" s="10">
        <f t="shared" si="15"/>
        <v>13072844.79</v>
      </c>
      <c r="L33" s="10">
        <f t="shared" si="15"/>
        <v>14525383.1</v>
      </c>
      <c r="M33" s="10">
        <f t="shared" si="15"/>
        <v>15977921.41</v>
      </c>
      <c r="N33" s="10">
        <f t="shared" si="15"/>
        <v>17668376.02</v>
      </c>
    </row>
    <row r="34" spans="2:14">
      <c r="B34" t="s">
        <v>5301</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5302</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5303</v>
      </c>
      <c r="C36" s="11">
        <f t="shared" ref="C36:N36" si="18">C4+C8+C12+C16+C20+C24+C28+C32</f>
        <v>3485611.69</v>
      </c>
      <c r="D36" s="11">
        <f t="shared" si="18"/>
        <v>3485611.69</v>
      </c>
      <c r="E36" s="11">
        <f t="shared" si="18"/>
        <v>3485611.69</v>
      </c>
      <c r="F36" s="11">
        <f t="shared" si="18"/>
        <v>3485611.69</v>
      </c>
      <c r="G36" s="11">
        <f t="shared" si="18"/>
        <v>3485611.69</v>
      </c>
      <c r="H36" s="11">
        <f t="shared" si="18"/>
        <v>3485611.69</v>
      </c>
      <c r="I36" s="11">
        <f t="shared" si="18"/>
        <v>3485611.69</v>
      </c>
      <c r="J36" s="11">
        <f t="shared" si="18"/>
        <v>3485611.69</v>
      </c>
      <c r="K36" s="11">
        <f t="shared" si="18"/>
        <v>3485611.69</v>
      </c>
      <c r="L36" s="11">
        <f t="shared" si="18"/>
        <v>3485611.69</v>
      </c>
      <c r="M36" s="11">
        <f t="shared" si="18"/>
        <v>3485611.69</v>
      </c>
      <c r="N36" s="11">
        <f t="shared" si="18"/>
        <v>4261013.63</v>
      </c>
    </row>
    <row r="37" spans="2:14">
      <c r="B37" t="s">
        <v>5304</v>
      </c>
      <c r="C37" s="10">
        <f>C36</f>
        <v>3485611.69</v>
      </c>
      <c r="D37" s="10">
        <f>C37+D36</f>
        <v>6971223.38</v>
      </c>
      <c r="E37" s="10">
        <f t="shared" ref="E37:N37" si="19">D37+E36</f>
        <v>10456835.07</v>
      </c>
      <c r="F37" s="10">
        <f t="shared" si="19"/>
        <v>13942446.76</v>
      </c>
      <c r="G37" s="10">
        <f t="shared" si="19"/>
        <v>17428058.45</v>
      </c>
      <c r="H37" s="10">
        <f t="shared" si="19"/>
        <v>20913670.14</v>
      </c>
      <c r="I37" s="10">
        <f t="shared" si="19"/>
        <v>24399281.83</v>
      </c>
      <c r="J37" s="10">
        <f t="shared" si="19"/>
        <v>27884893.52</v>
      </c>
      <c r="K37" s="10">
        <f t="shared" si="19"/>
        <v>31370505.21</v>
      </c>
      <c r="L37" s="10">
        <f t="shared" si="19"/>
        <v>34856116.9</v>
      </c>
      <c r="M37" s="10">
        <f t="shared" si="19"/>
        <v>38341728.59</v>
      </c>
      <c r="N37" s="10">
        <f t="shared" si="19"/>
        <v>42602742.22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5305</v>
      </c>
      <c r="C1" t="s">
        <v>766</v>
      </c>
      <c r="D1" t="s">
        <v>767</v>
      </c>
      <c r="E1" t="s">
        <v>768</v>
      </c>
      <c r="F1" t="s">
        <v>769</v>
      </c>
      <c r="G1" t="s">
        <v>770</v>
      </c>
      <c r="H1" t="s">
        <v>771</v>
      </c>
      <c r="I1" t="s">
        <v>772</v>
      </c>
      <c r="J1" t="s">
        <v>773</v>
      </c>
      <c r="K1" t="s">
        <v>774</v>
      </c>
      <c r="L1" t="s">
        <v>775</v>
      </c>
      <c r="M1" t="s">
        <v>776</v>
      </c>
      <c r="N1" t="s">
        <v>777</v>
      </c>
    </row>
    <row r="2" spans="1:14">
      <c r="A2" t="s">
        <v>18</v>
      </c>
      <c r="B2" t="s">
        <v>5288</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5289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5290</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5291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5288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5289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5290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5291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5288</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5289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5290</v>
      </c>
      <c r="C12" cm="1">
        <f t="array" ref="C12">INDEX('2 过程管理表单'!$58:$58,24+(COLUMN(A9)-1)*3)</f>
        <v>7452.83018867924</v>
      </c>
      <c r="D12" cm="1">
        <f t="array" ref="D12">INDEX('2 过程管理表单'!$58:$58,24+(COLUMN(B9)-1)*3)</f>
        <v>7452.83018867924</v>
      </c>
      <c r="E12" cm="1">
        <f t="array" ref="E12">INDEX('2 过程管理表单'!$58:$58,24+(COLUMN(C9)-1)*3)</f>
        <v>7452.83018867924</v>
      </c>
      <c r="F12" cm="1">
        <f t="array" ref="F12">INDEX('2 过程管理表单'!$58:$58,24+(COLUMN(D9)-1)*3)</f>
        <v>7452.83018867924</v>
      </c>
      <c r="G12" cm="1">
        <f t="array" ref="G12">INDEX('2 过程管理表单'!$58:$58,24+(COLUMN(E9)-1)*3)</f>
        <v>7452.83018867924</v>
      </c>
      <c r="H12" cm="1">
        <f t="array" ref="H12">INDEX('2 过程管理表单'!$58:$58,24+(COLUMN(F9)-1)*3)</f>
        <v>7452.83018867924</v>
      </c>
      <c r="I12" cm="1">
        <f t="array" ref="I12">INDEX('2 过程管理表单'!$58:$58,24+(COLUMN(G9)-1)*3)</f>
        <v>7452.83018867924</v>
      </c>
      <c r="J12" cm="1">
        <f t="array" ref="J12">INDEX('2 过程管理表单'!$58:$58,24+(COLUMN(H9)-1)*3)</f>
        <v>7452.83018867924</v>
      </c>
      <c r="K12" cm="1">
        <f t="array" ref="K12">INDEX('2 过程管理表单'!$58:$58,24+(COLUMN(I9)-1)*3)</f>
        <v>7452.83018867924</v>
      </c>
      <c r="L12" cm="1">
        <f t="array" ref="L12">INDEX('2 过程管理表单'!$58:$58,24+(COLUMN(J9)-1)*3)</f>
        <v>7452.83018867924</v>
      </c>
      <c r="M12" cm="1">
        <f t="array" ref="M12">INDEX('2 过程管理表单'!$58:$58,24+(COLUMN(K9)-1)*3)</f>
        <v>7452.83018867924</v>
      </c>
      <c r="N12" cm="1">
        <f t="array" ref="N12">INDEX('2 过程管理表单'!$58:$58,24+(COLUMN(L9)-1)*3)</f>
        <v>7452.83018867924</v>
      </c>
    </row>
    <row r="13" spans="1:14">
      <c r="A13" t="s">
        <v>14</v>
      </c>
      <c r="B13" t="s">
        <v>5291</v>
      </c>
      <c r="C13">
        <f>C12</f>
        <v>7452.83018867924</v>
      </c>
      <c r="D13">
        <f>C13+D12</f>
        <v>14905.6603773585</v>
      </c>
      <c r="E13">
        <f t="shared" ref="E13:N13" si="5">D13+E12</f>
        <v>22358.4905660377</v>
      </c>
      <c r="F13">
        <f t="shared" si="5"/>
        <v>29811.320754717</v>
      </c>
      <c r="G13">
        <f t="shared" si="5"/>
        <v>37264.1509433962</v>
      </c>
      <c r="H13">
        <f t="shared" si="5"/>
        <v>44716.9811320754</v>
      </c>
      <c r="I13">
        <f t="shared" si="5"/>
        <v>52169.8113207547</v>
      </c>
      <c r="J13">
        <f t="shared" si="5"/>
        <v>59622.6415094339</v>
      </c>
      <c r="K13">
        <f t="shared" si="5"/>
        <v>67075.4716981132</v>
      </c>
      <c r="L13">
        <f t="shared" si="5"/>
        <v>74528.3018867924</v>
      </c>
      <c r="M13">
        <f t="shared" si="5"/>
        <v>81981.1320754717</v>
      </c>
      <c r="N13">
        <f t="shared" si="5"/>
        <v>89433.9622641509</v>
      </c>
    </row>
    <row r="14" spans="1:14">
      <c r="A14" t="s">
        <v>938</v>
      </c>
      <c r="B14" t="s">
        <v>5288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5289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5290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5291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5288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5289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5290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5291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5288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5289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5290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5291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5288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5289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5290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5291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5288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5289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5290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5291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5288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5289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5290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5291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5288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5289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5290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5291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5288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5289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5290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5291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5301</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5302</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5303</v>
      </c>
      <c r="C48">
        <f>C4+C8+C12+C16+C20+C24+C28+C32+C36+C40+C44</f>
        <v>7452.83018867924</v>
      </c>
      <c r="D48">
        <f t="shared" ref="D48:N48" si="24">D4+D8+D12+D16+D20+D24+D28+D32+D36+D40+D44</f>
        <v>7452.83018867924</v>
      </c>
      <c r="E48">
        <f t="shared" si="24"/>
        <v>7452.83018867924</v>
      </c>
      <c r="F48">
        <f t="shared" si="24"/>
        <v>7452.83018867924</v>
      </c>
      <c r="G48">
        <f t="shared" si="24"/>
        <v>7452.83018867924</v>
      </c>
      <c r="H48">
        <f t="shared" si="24"/>
        <v>7452.83018867924</v>
      </c>
      <c r="I48">
        <f t="shared" si="24"/>
        <v>7452.83018867924</v>
      </c>
      <c r="J48">
        <f t="shared" si="24"/>
        <v>7452.83018867924</v>
      </c>
      <c r="K48">
        <f t="shared" si="24"/>
        <v>7452.83018867924</v>
      </c>
      <c r="L48">
        <f t="shared" si="24"/>
        <v>7452.83018867924</v>
      </c>
      <c r="M48">
        <f t="shared" si="24"/>
        <v>7452.83018867924</v>
      </c>
      <c r="N48">
        <f t="shared" si="24"/>
        <v>7452.83018867924</v>
      </c>
    </row>
    <row r="49" spans="2:14">
      <c r="B49" t="s">
        <v>5304</v>
      </c>
      <c r="C49">
        <f>C48</f>
        <v>7452.83018867924</v>
      </c>
      <c r="D49">
        <f>C49+D48</f>
        <v>14905.6603773585</v>
      </c>
      <c r="E49">
        <f t="shared" ref="E49:N49" si="25">D49+E48</f>
        <v>22358.4905660377</v>
      </c>
      <c r="F49">
        <f t="shared" si="25"/>
        <v>29811.320754717</v>
      </c>
      <c r="G49">
        <f t="shared" si="25"/>
        <v>37264.1509433962</v>
      </c>
      <c r="H49">
        <f t="shared" si="25"/>
        <v>44716.9811320754</v>
      </c>
      <c r="I49">
        <f t="shared" si="25"/>
        <v>52169.8113207547</v>
      </c>
      <c r="J49">
        <f t="shared" si="25"/>
        <v>59622.6415094339</v>
      </c>
      <c r="K49">
        <f t="shared" si="25"/>
        <v>67075.4716981132</v>
      </c>
      <c r="L49">
        <f t="shared" si="25"/>
        <v>74528.3018867924</v>
      </c>
      <c r="M49">
        <f t="shared" si="25"/>
        <v>81981.1320754717</v>
      </c>
      <c r="N49">
        <f t="shared" si="25"/>
        <v>89433.9622641509</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4331</v>
      </c>
      <c r="C1" s="9" t="s">
        <v>5306</v>
      </c>
      <c r="D1" s="9" t="s">
        <v>5307</v>
      </c>
      <c r="E1" s="9" t="s">
        <v>5308</v>
      </c>
      <c r="F1" s="9" t="s">
        <v>5309</v>
      </c>
      <c r="G1" s="9" t="s">
        <v>5310</v>
      </c>
      <c r="H1" s="9" t="s">
        <v>5311</v>
      </c>
      <c r="I1" s="9" t="s">
        <v>5312</v>
      </c>
      <c r="J1" s="9" t="s">
        <v>5313</v>
      </c>
      <c r="K1" s="9" t="s">
        <v>5314</v>
      </c>
      <c r="L1" s="9" t="s">
        <v>5315</v>
      </c>
      <c r="M1" s="9" t="s">
        <v>5316</v>
      </c>
      <c r="N1" s="9" t="s">
        <v>5317</v>
      </c>
    </row>
    <row r="2" spans="1:14">
      <c r="A2" t="s">
        <v>218</v>
      </c>
      <c r="B2" t="s">
        <v>5288</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5289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5290</v>
      </c>
      <c r="C4">
        <f>INDEX('2 过程管理表单'!$6:$6,24+(COLUMN(A$1)-1)*3)</f>
        <v>3493064.52018868</v>
      </c>
      <c r="D4">
        <f>INDEX('2 过程管理表单'!$6:$6,24+(COLUMN(B$1)-1)*3)</f>
        <v>3493064.52018868</v>
      </c>
      <c r="E4">
        <f>INDEX('2 过程管理表单'!$6:$6,24+(COLUMN(C$1)-1)*3)</f>
        <v>3493064.52018868</v>
      </c>
      <c r="F4">
        <f>INDEX('2 过程管理表单'!$6:$6,24+(COLUMN(D$1)-1)*3)</f>
        <v>3493064.52018868</v>
      </c>
      <c r="G4">
        <f>INDEX('2 过程管理表单'!$6:$6,24+(COLUMN(E$1)-1)*3)</f>
        <v>3493064.52018868</v>
      </c>
      <c r="H4">
        <f>INDEX('2 过程管理表单'!$6:$6,24+(COLUMN(F$1)-1)*3)</f>
        <v>3493064.52018868</v>
      </c>
      <c r="I4">
        <f>INDEX('2 过程管理表单'!$6:$6,24+(COLUMN(G$1)-1)*3)</f>
        <v>3493064.52018868</v>
      </c>
      <c r="J4">
        <f>INDEX('2 过程管理表单'!$6:$6,24+(COLUMN(H$1)-1)*3)</f>
        <v>3493064.52018868</v>
      </c>
      <c r="K4">
        <f>INDEX('2 过程管理表单'!$6:$6,24+(COLUMN(I$1)-1)*3)</f>
        <v>3493064.52018868</v>
      </c>
      <c r="L4">
        <f>INDEX('2 过程管理表单'!$6:$6,24+(COLUMN(J$1)-1)*3)</f>
        <v>3493064.52018868</v>
      </c>
      <c r="M4">
        <f>INDEX('2 过程管理表单'!$6:$6,24+(COLUMN(K$1)-1)*3)</f>
        <v>3493064.52018868</v>
      </c>
      <c r="N4">
        <f>INDEX('2 过程管理表单'!$6:$6,24+(COLUMN(L$1)-1)*3)</f>
        <v>4268466.46018868</v>
      </c>
    </row>
    <row r="5" spans="1:14">
      <c r="A5" t="s">
        <v>218</v>
      </c>
      <c r="B5" t="s">
        <v>5291</v>
      </c>
      <c r="C5">
        <f>C4</f>
        <v>3493064.52018868</v>
      </c>
      <c r="D5">
        <f>C5+D4</f>
        <v>6986129.04037736</v>
      </c>
      <c r="E5">
        <f t="shared" ref="E5:N5" si="1">D5+E4</f>
        <v>10479193.560566</v>
      </c>
      <c r="F5">
        <f t="shared" si="1"/>
        <v>13972258.0807547</v>
      </c>
      <c r="G5">
        <f t="shared" si="1"/>
        <v>17465322.6009434</v>
      </c>
      <c r="H5">
        <f t="shared" si="1"/>
        <v>20958387.1211321</v>
      </c>
      <c r="I5">
        <f t="shared" si="1"/>
        <v>24451451.6413208</v>
      </c>
      <c r="J5">
        <f t="shared" si="1"/>
        <v>27944516.1615094</v>
      </c>
      <c r="K5">
        <f t="shared" si="1"/>
        <v>31437580.6816981</v>
      </c>
      <c r="L5">
        <f t="shared" si="1"/>
        <v>34930645.2018868</v>
      </c>
      <c r="M5">
        <f t="shared" si="1"/>
        <v>38423709.7220755</v>
      </c>
      <c r="N5">
        <f t="shared" si="1"/>
        <v>42692176.1822642</v>
      </c>
    </row>
    <row r="6" spans="1:14">
      <c r="A6" t="s">
        <v>220</v>
      </c>
      <c r="B6" t="s">
        <v>5288</v>
      </c>
      <c r="C6">
        <f>INDEX('2 过程管理表单'!$177:$177,26+(COLUMN(A$1)-1)*3)</f>
        <v>68566.2739726028</v>
      </c>
      <c r="D6">
        <f>INDEX('2 过程管理表单'!$177:$177,26+(COLUMN(B$1)-1)*3)</f>
        <v>67621.1506849314</v>
      </c>
      <c r="E6">
        <f>INDEX('2 过程管理表单'!$177:$177,26+(COLUMN(C$1)-1)*3)</f>
        <v>74866.2739726028</v>
      </c>
      <c r="F6">
        <f>INDEX('2 过程管理表单'!$177:$177,26+(COLUMN(D$1)-1)*3)</f>
        <v>58951.2328767124</v>
      </c>
      <c r="G6">
        <f>INDEX('2 过程管理表单'!$177:$177,26+(COLUMN(E$1)-1)*3)</f>
        <v>60916.2739726028</v>
      </c>
      <c r="H6">
        <f>INDEX('2 过程管理表单'!$177:$177,26+(COLUMN(F$1)-1)*3)</f>
        <v>59875.2328767124</v>
      </c>
      <c r="I6">
        <f>INDEX('2 过程管理表单'!$177:$177,26+(COLUMN(G$1)-1)*3)</f>
        <v>61871.0739726028</v>
      </c>
      <c r="J6">
        <f>INDEX('2 过程管理表单'!$177:$177,26+(COLUMN(H$1)-1)*3)</f>
        <v>61871.0739726028</v>
      </c>
      <c r="K6">
        <f>INDEX('2 过程管理表单'!$177:$177,26+(COLUMN(I$1)-1)*3)</f>
        <v>43859.3643835617</v>
      </c>
      <c r="L6">
        <f>INDEX('2 过程管理表单'!$177:$177,26+(COLUMN(J$1)-1)*3)</f>
        <v>10291.7260273973</v>
      </c>
      <c r="M6">
        <f>INDEX('2 过程管理表单'!$177:$177,26+(COLUMN(K$1)-1)*3)</f>
        <v>0</v>
      </c>
      <c r="N6">
        <f>INDEX('2 过程管理表单'!$177:$177,26+(COLUMN(L$1)-1)*3)</f>
        <v>0</v>
      </c>
    </row>
    <row r="7" spans="1:14">
      <c r="A7" t="s">
        <v>220</v>
      </c>
      <c r="B7" t="s">
        <v>5289</v>
      </c>
      <c r="C7">
        <f>C6</f>
        <v>68566.2739726028</v>
      </c>
      <c r="D7">
        <f>C7+D6</f>
        <v>136187.424657534</v>
      </c>
      <c r="E7">
        <f t="shared" ref="E7:N7" si="2">D7+E6</f>
        <v>211053.698630137</v>
      </c>
      <c r="F7">
        <f t="shared" si="2"/>
        <v>270004.931506849</v>
      </c>
      <c r="G7">
        <f t="shared" si="2"/>
        <v>330921.205479452</v>
      </c>
      <c r="H7">
        <f t="shared" si="2"/>
        <v>390796.438356165</v>
      </c>
      <c r="I7">
        <f t="shared" si="2"/>
        <v>452667.512328767</v>
      </c>
      <c r="J7">
        <f t="shared" si="2"/>
        <v>514538.58630137</v>
      </c>
      <c r="K7">
        <f t="shared" si="2"/>
        <v>558397.950684932</v>
      </c>
      <c r="L7">
        <f t="shared" si="2"/>
        <v>568689.676712329</v>
      </c>
      <c r="M7">
        <f t="shared" si="2"/>
        <v>568689.676712329</v>
      </c>
      <c r="N7">
        <f t="shared" si="2"/>
        <v>568689.676712329</v>
      </c>
    </row>
    <row r="8" spans="1:14">
      <c r="A8" t="s">
        <v>220</v>
      </c>
      <c r="B8" t="s">
        <v>5290</v>
      </c>
      <c r="C8">
        <f>INDEX('2 过程管理表单'!$177:$177,24+(COLUMN(A$1)-1)*3)</f>
        <v>315774.86319198</v>
      </c>
      <c r="D8">
        <f>INDEX('2 过程管理表单'!$177:$177,24+(COLUMN(B$1)-1)*3)</f>
        <v>30119.4968553459</v>
      </c>
      <c r="E8">
        <f>INDEX('2 过程管理表单'!$177:$177,24+(COLUMN(C$1)-1)*3)</f>
        <v>30119.4968553459</v>
      </c>
      <c r="F8">
        <f>INDEX('2 过程管理表单'!$177:$177,24+(COLUMN(D$1)-1)*3)</f>
        <v>30119.4968553459</v>
      </c>
      <c r="G8">
        <f>INDEX('2 过程管理表单'!$177:$177,24+(COLUMN(E$1)-1)*3)</f>
        <v>30119.4968553459</v>
      </c>
      <c r="H8">
        <f>INDEX('2 过程管理表单'!$177:$177,24+(COLUMN(F$1)-1)*3)</f>
        <v>30119.4968553459</v>
      </c>
      <c r="I8">
        <f>INDEX('2 过程管理表单'!$177:$177,24+(COLUMN(G$1)-1)*3)</f>
        <v>30119.4968553459</v>
      </c>
      <c r="J8">
        <f>INDEX('2 过程管理表单'!$177:$177,24+(COLUMN(H$1)-1)*3)</f>
        <v>30119.4968553459</v>
      </c>
      <c r="K8">
        <f>INDEX('2 过程管理表单'!$177:$177,24+(COLUMN(I$1)-1)*3)</f>
        <v>30119.4968553459</v>
      </c>
      <c r="L8">
        <f>INDEX('2 过程管理表单'!$177:$177,24+(COLUMN(J$1)-1)*3)</f>
        <v>30119.4968553459</v>
      </c>
      <c r="M8">
        <f>INDEX('2 过程管理表单'!$177:$177,24+(COLUMN(K$1)-1)*3)</f>
        <v>30119.4968553459</v>
      </c>
      <c r="N8">
        <f>INDEX('2 过程管理表单'!$177:$177,24+(COLUMN(L$1)-1)*3)</f>
        <v>30119.4968553459</v>
      </c>
    </row>
    <row r="9" spans="1:14">
      <c r="A9" t="s">
        <v>220</v>
      </c>
      <c r="B9" t="s">
        <v>5291</v>
      </c>
      <c r="C9">
        <f>C8</f>
        <v>315774.86319198</v>
      </c>
      <c r="D9">
        <f>C9+D8</f>
        <v>345894.360047326</v>
      </c>
      <c r="E9">
        <f t="shared" ref="E9:N9" si="3">D9+E8</f>
        <v>376013.856902672</v>
      </c>
      <c r="F9">
        <f t="shared" si="3"/>
        <v>406133.353758018</v>
      </c>
      <c r="G9">
        <f t="shared" si="3"/>
        <v>436252.850613364</v>
      </c>
      <c r="H9">
        <f t="shared" si="3"/>
        <v>466372.34746871</v>
      </c>
      <c r="I9">
        <f t="shared" si="3"/>
        <v>496491.844324055</v>
      </c>
      <c r="J9">
        <f t="shared" si="3"/>
        <v>526611.341179401</v>
      </c>
      <c r="K9">
        <f t="shared" si="3"/>
        <v>556730.838034747</v>
      </c>
      <c r="L9">
        <f t="shared" si="3"/>
        <v>586850.334890093</v>
      </c>
      <c r="M9">
        <f t="shared" si="3"/>
        <v>616969.831745439</v>
      </c>
      <c r="N9">
        <f t="shared" si="3"/>
        <v>647089.328600785</v>
      </c>
    </row>
    <row r="10" spans="1:14">
      <c r="A10" t="s">
        <v>222</v>
      </c>
      <c r="B10" t="s">
        <v>5288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5289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5290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5291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5288</v>
      </c>
      <c r="C14">
        <f>INDEX('2 过程管理表单'!$509:$509,26+(COLUMN(A$1)-1)*3)</f>
        <v>630.54</v>
      </c>
      <c r="D14">
        <f>INDEX('2 过程管理表单'!$509:$509,26+(COLUMN(B$1)-1)*3)</f>
        <v>479.12</v>
      </c>
      <c r="E14">
        <f>INDEX('2 过程管理表单'!$509:$509,26+(COLUMN(C$1)-1)*3)</f>
        <v>474.6</v>
      </c>
      <c r="F14">
        <f>INDEX('2 过程管理表单'!$509:$509,26+(COLUMN(D$1)-1)*3)</f>
        <v>155</v>
      </c>
      <c r="G14">
        <f>INDEX('2 过程管理表单'!$509:$509,26+(COLUMN(E$1)-1)*3)</f>
        <v>70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5289</v>
      </c>
      <c r="C15">
        <f>C14</f>
        <v>630.54</v>
      </c>
      <c r="D15">
        <f>C15+D14</f>
        <v>1109.66</v>
      </c>
      <c r="E15">
        <f t="shared" ref="E15:N15" si="6">D15+E14</f>
        <v>1584.26</v>
      </c>
      <c r="F15">
        <f t="shared" si="6"/>
        <v>1739.26</v>
      </c>
      <c r="G15">
        <f t="shared" si="6"/>
        <v>1809.26</v>
      </c>
      <c r="H15">
        <f t="shared" si="6"/>
        <v>1809.26</v>
      </c>
      <c r="I15">
        <f t="shared" si="6"/>
        <v>1809.26</v>
      </c>
      <c r="J15">
        <f t="shared" si="6"/>
        <v>1809.26</v>
      </c>
      <c r="K15">
        <f t="shared" si="6"/>
        <v>1809.26</v>
      </c>
      <c r="L15">
        <f t="shared" si="6"/>
        <v>1809.26</v>
      </c>
      <c r="M15">
        <f t="shared" si="6"/>
        <v>1809.26</v>
      </c>
      <c r="N15">
        <f t="shared" si="6"/>
        <v>1809.26</v>
      </c>
    </row>
    <row r="16" spans="1:14">
      <c r="A16" t="s">
        <v>1626</v>
      </c>
      <c r="B16" t="s">
        <v>5290</v>
      </c>
      <c r="C16">
        <f>INDEX('2 过程管理表单'!$509:$509,24+(COLUMN(A$1)-1)*3)</f>
        <v>1174083.72207132</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5291</v>
      </c>
      <c r="C17">
        <f>C16</f>
        <v>1174083.72207132</v>
      </c>
      <c r="D17">
        <f>C17+D16</f>
        <v>1174083.72207132</v>
      </c>
      <c r="E17">
        <f t="shared" ref="E17:N17" si="7">D17+E16</f>
        <v>1174083.72207132</v>
      </c>
      <c r="F17">
        <f t="shared" si="7"/>
        <v>1174083.72207132</v>
      </c>
      <c r="G17">
        <f t="shared" si="7"/>
        <v>1174083.72207132</v>
      </c>
      <c r="H17">
        <f t="shared" si="7"/>
        <v>1174083.72207132</v>
      </c>
      <c r="I17">
        <f t="shared" si="7"/>
        <v>1174083.72207132</v>
      </c>
      <c r="J17">
        <f t="shared" si="7"/>
        <v>1174083.72207132</v>
      </c>
      <c r="K17">
        <f t="shared" si="7"/>
        <v>1174083.72207132</v>
      </c>
      <c r="L17">
        <f t="shared" si="7"/>
        <v>1174083.72207132</v>
      </c>
      <c r="M17">
        <f t="shared" si="7"/>
        <v>1174083.72207132</v>
      </c>
      <c r="N17">
        <f t="shared" si="7"/>
        <v>1174083.72207132</v>
      </c>
    </row>
    <row r="18" spans="1:14">
      <c r="A18" t="s">
        <v>1764</v>
      </c>
      <c r="B18" t="s">
        <v>5288</v>
      </c>
      <c r="C18">
        <f>INDEX('2 过程管理表单'!$516:$516,26+(COLUMN(A$1)-1)*3)</f>
        <v>0</v>
      </c>
      <c r="D18">
        <f>INDEX('2 过程管理表单'!$516:$516,26+(COLUMN(B$1)-1)*3)</f>
        <v>0</v>
      </c>
      <c r="E18">
        <f>INDEX('2 过程管理表单'!$516:$516,26+(COLUMN(C$1)-1)*3)</f>
        <v>0</v>
      </c>
      <c r="F18">
        <f>INDEX('2 过程管理表单'!$516:$516,26+(COLUMN(D$1)-1)*3)</f>
        <v>118491.39</v>
      </c>
      <c r="G18">
        <f>INDEX('2 过程管理表单'!$516:$516,26+(COLUMN(E$1)-1)*3)</f>
        <v>95642.32</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5289</v>
      </c>
      <c r="C19">
        <f>C18</f>
        <v>0</v>
      </c>
      <c r="D19">
        <f>C19+D18</f>
        <v>0</v>
      </c>
      <c r="E19">
        <f t="shared" ref="E19:N19" si="8">D19+E18</f>
        <v>0</v>
      </c>
      <c r="F19">
        <f t="shared" si="8"/>
        <v>118491.39</v>
      </c>
      <c r="G19">
        <f t="shared" si="8"/>
        <v>214133.71</v>
      </c>
      <c r="H19">
        <f t="shared" si="8"/>
        <v>214133.71</v>
      </c>
      <c r="I19">
        <f t="shared" si="8"/>
        <v>214133.71</v>
      </c>
      <c r="J19">
        <f t="shared" si="8"/>
        <v>214133.71</v>
      </c>
      <c r="K19">
        <f t="shared" si="8"/>
        <v>214133.71</v>
      </c>
      <c r="L19">
        <f t="shared" si="8"/>
        <v>214133.71</v>
      </c>
      <c r="M19">
        <f t="shared" si="8"/>
        <v>214133.71</v>
      </c>
      <c r="N19">
        <f t="shared" si="8"/>
        <v>214133.71</v>
      </c>
    </row>
    <row r="20" spans="1:14">
      <c r="A20" t="s">
        <v>1764</v>
      </c>
      <c r="B20" t="s">
        <v>5290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5291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5288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5289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5290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5291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5288</v>
      </c>
      <c r="C26">
        <f>INDEX('2 过程管理表单'!$524:$524,26+(COLUMN(A$1)-1)*3)</f>
        <v>0</v>
      </c>
      <c r="D26">
        <f>INDEX('2 过程管理表单'!$524:$524,26+(COLUMN(B$1)-1)*3)</f>
        <v>0</v>
      </c>
      <c r="E26">
        <f>INDEX('2 过程管理表单'!$524:$524,26+(COLUMN(C$1)-1)*3)</f>
        <v>0</v>
      </c>
      <c r="F26">
        <f>INDEX('2 过程管理表单'!$524:$524,26+(COLUMN(D$1)-1)*3)</f>
        <v>385</v>
      </c>
      <c r="G26">
        <f>INDEX('2 过程管理表单'!$524:$524,26+(COLUMN(E$1)-1)*3)</f>
        <v>140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5289</v>
      </c>
      <c r="C27">
        <f>C26</f>
        <v>0</v>
      </c>
      <c r="D27">
        <f>C27+D26</f>
        <v>0</v>
      </c>
      <c r="E27">
        <f t="shared" ref="E27:N27" si="12">D27+E26</f>
        <v>0</v>
      </c>
      <c r="F27">
        <f t="shared" si="12"/>
        <v>385</v>
      </c>
      <c r="G27">
        <f t="shared" si="12"/>
        <v>525</v>
      </c>
      <c r="H27">
        <f t="shared" si="12"/>
        <v>525</v>
      </c>
      <c r="I27">
        <f t="shared" si="12"/>
        <v>525</v>
      </c>
      <c r="J27">
        <f t="shared" si="12"/>
        <v>525</v>
      </c>
      <c r="K27">
        <f t="shared" si="12"/>
        <v>525</v>
      </c>
      <c r="L27">
        <f t="shared" si="12"/>
        <v>525</v>
      </c>
      <c r="M27">
        <f t="shared" si="12"/>
        <v>525</v>
      </c>
      <c r="N27">
        <f t="shared" si="12"/>
        <v>525</v>
      </c>
    </row>
    <row r="28" spans="1:14">
      <c r="A28" t="s">
        <v>1918</v>
      </c>
      <c r="B28" t="s">
        <v>5290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5291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5288</v>
      </c>
      <c r="C30">
        <f>INDEX('2 过程管理表单'!$527:$527,26+(COLUMN(A$1)-1)*3)</f>
        <v>0</v>
      </c>
      <c r="D30">
        <f>INDEX('2 过程管理表单'!$527:$527,26+(COLUMN(B$1)-1)*3)</f>
        <v>5950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5289</v>
      </c>
      <c r="C31">
        <f>C30</f>
        <v>0</v>
      </c>
      <c r="D31">
        <f>C31+D30</f>
        <v>5950</v>
      </c>
      <c r="E31">
        <f t="shared" ref="E31:N31" si="14">D31+E30</f>
        <v>5950</v>
      </c>
      <c r="F31">
        <f t="shared" si="14"/>
        <v>5950</v>
      </c>
      <c r="G31">
        <f t="shared" si="14"/>
        <v>5950</v>
      </c>
      <c r="H31">
        <f t="shared" si="14"/>
        <v>5950</v>
      </c>
      <c r="I31">
        <f t="shared" si="14"/>
        <v>5950</v>
      </c>
      <c r="J31">
        <f t="shared" si="14"/>
        <v>5950</v>
      </c>
      <c r="K31">
        <f t="shared" si="14"/>
        <v>5950</v>
      </c>
      <c r="L31">
        <f t="shared" si="14"/>
        <v>5950</v>
      </c>
      <c r="M31">
        <f t="shared" si="14"/>
        <v>5950</v>
      </c>
      <c r="N31">
        <f t="shared" si="14"/>
        <v>5950</v>
      </c>
    </row>
    <row r="32" spans="1:14">
      <c r="A32" t="s">
        <v>1959</v>
      </c>
      <c r="B32" t="s">
        <v>5290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5291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5288</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5289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5290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5291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5288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5289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5290</v>
      </c>
      <c r="C40">
        <f>INDEX('2 过程管理表单'!$537:$537,24+(COLUMN(A$1)-1)*3)</f>
        <v>20400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5291</v>
      </c>
      <c r="C41">
        <f>C40</f>
        <v>20400</v>
      </c>
      <c r="D41">
        <f>C41+D40</f>
        <v>20400</v>
      </c>
      <c r="E41">
        <f t="shared" ref="E41:N41" si="19">D41+E40</f>
        <v>20400</v>
      </c>
      <c r="F41">
        <f t="shared" si="19"/>
        <v>20400</v>
      </c>
      <c r="G41">
        <f t="shared" si="19"/>
        <v>20400</v>
      </c>
      <c r="H41">
        <f t="shared" si="19"/>
        <v>20400</v>
      </c>
      <c r="I41">
        <f t="shared" si="19"/>
        <v>20400</v>
      </c>
      <c r="J41">
        <f t="shared" si="19"/>
        <v>20400</v>
      </c>
      <c r="K41">
        <f t="shared" si="19"/>
        <v>20400</v>
      </c>
      <c r="L41">
        <f t="shared" si="19"/>
        <v>20400</v>
      </c>
      <c r="M41">
        <f t="shared" si="19"/>
        <v>20400</v>
      </c>
      <c r="N41">
        <f t="shared" si="19"/>
        <v>20400</v>
      </c>
    </row>
    <row r="42" spans="1:14">
      <c r="A42" t="s">
        <v>2197</v>
      </c>
      <c r="B42" t="s">
        <v>5288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5289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5290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5291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5288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5289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5290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5291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5288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5289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5290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5291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5288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5289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5290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5291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5288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5289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5290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5291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5288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5289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5290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5291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5288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5289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5290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5291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5288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5289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5290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5291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5288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5289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5290</v>
      </c>
      <c r="C76">
        <f>INDEX('2 过程管理表单'!$591:$591,24+(COLUMN(A$1)-1)*3)</f>
        <v>12804.1509433962</v>
      </c>
      <c r="D76">
        <f>INDEX('2 过程管理表单'!$591:$591,24+(COLUMN(B$1)-1)*3)</f>
        <v>12804.1509433962</v>
      </c>
      <c r="E76">
        <f>INDEX('2 过程管理表单'!$591:$591,24+(COLUMN(C$1)-1)*3)</f>
        <v>12804.1509433962</v>
      </c>
      <c r="F76">
        <f>INDEX('2 过程管理表单'!$591:$591,24+(COLUMN(D$1)-1)*3)</f>
        <v>12804.1509433962</v>
      </c>
      <c r="G76">
        <f>INDEX('2 过程管理表单'!$591:$591,24+(COLUMN(E$1)-1)*3)</f>
        <v>12804.1509433962</v>
      </c>
      <c r="H76">
        <f>INDEX('2 过程管理表单'!$591:$591,24+(COLUMN(F$1)-1)*3)</f>
        <v>12804.1509433962</v>
      </c>
      <c r="I76">
        <f>INDEX('2 过程管理表单'!$591:$591,24+(COLUMN(G$1)-1)*3)</f>
        <v>12804.1509433962</v>
      </c>
      <c r="J76">
        <f>INDEX('2 过程管理表单'!$591:$591,24+(COLUMN(H$1)-1)*3)</f>
        <v>12804.1509433962</v>
      </c>
      <c r="K76">
        <f>INDEX('2 过程管理表单'!$591:$591,24+(COLUMN(I$1)-1)*3)</f>
        <v>12804.1509433962</v>
      </c>
      <c r="L76">
        <f>INDEX('2 过程管理表单'!$591:$591,24+(COLUMN(J$1)-1)*3)</f>
        <v>12804.1509433962</v>
      </c>
      <c r="M76">
        <f>INDEX('2 过程管理表单'!$591:$591,24+(COLUMN(K$1)-1)*3)</f>
        <v>12804.1509433962</v>
      </c>
      <c r="N76">
        <f>INDEX('2 过程管理表单'!$591:$591,24+(COLUMN(L$1)-1)*3)</f>
        <v>12804.1509433962</v>
      </c>
    </row>
    <row r="77" spans="1:14">
      <c r="A77" t="s">
        <v>2300</v>
      </c>
      <c r="B77" t="s">
        <v>5291</v>
      </c>
      <c r="C77">
        <f>C76</f>
        <v>12804.1509433962</v>
      </c>
      <c r="D77">
        <f>C77+D76</f>
        <v>25608.3018867924</v>
      </c>
      <c r="E77">
        <f t="shared" ref="E77:N77" si="37">D77+E76</f>
        <v>38412.4528301886</v>
      </c>
      <c r="F77">
        <f t="shared" si="37"/>
        <v>51216.6037735848</v>
      </c>
      <c r="G77">
        <f t="shared" si="37"/>
        <v>64020.754716981</v>
      </c>
      <c r="H77">
        <f t="shared" si="37"/>
        <v>76824.9056603772</v>
      </c>
      <c r="I77">
        <f t="shared" si="37"/>
        <v>89629.0566037734</v>
      </c>
      <c r="J77">
        <f t="shared" si="37"/>
        <v>102433.20754717</v>
      </c>
      <c r="K77">
        <f t="shared" si="37"/>
        <v>115237.358490566</v>
      </c>
      <c r="L77">
        <f t="shared" si="37"/>
        <v>128041.509433962</v>
      </c>
      <c r="M77">
        <f t="shared" si="37"/>
        <v>140845.660377358</v>
      </c>
      <c r="N77">
        <f t="shared" si="37"/>
        <v>153649.811320754</v>
      </c>
    </row>
    <row r="78" spans="1:14">
      <c r="A78" t="s">
        <v>84</v>
      </c>
      <c r="B78" t="s">
        <v>5288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5289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5290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5291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5288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5289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5290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5291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5288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5289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5290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5291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5288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5289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5290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5291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5288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5289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5290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5291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5288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5289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5290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5291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5288</v>
      </c>
      <c r="C102">
        <f>INDEX('2 过程管理表单'!$605:$605,26+(COLUMN(A$1)-1)*3)</f>
        <v>0</v>
      </c>
      <c r="D102">
        <f>INDEX('2 过程管理表单'!$605:$605,26+(COLUMN(B$1)-1)*3)</f>
        <v>0</v>
      </c>
      <c r="E102">
        <f>INDEX('2 过程管理表单'!$605:$605,26+(COLUMN(C$1)-1)*3)</f>
        <v>0</v>
      </c>
      <c r="F102">
        <f>INDEX('2 过程管理表单'!$605:$605,26+(COLUMN(D$1)-1)*3)</f>
        <v>1250.29</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5289</v>
      </c>
      <c r="C103">
        <f>C102</f>
        <v>0</v>
      </c>
      <c r="D103">
        <f>C103+D102</f>
        <v>0</v>
      </c>
      <c r="E103">
        <f t="shared" ref="E103:N103" si="50">D103+E102</f>
        <v>0</v>
      </c>
      <c r="F103">
        <f t="shared" si="50"/>
        <v>1250.29</v>
      </c>
      <c r="G103">
        <f t="shared" si="50"/>
        <v>1250.29</v>
      </c>
      <c r="H103">
        <f t="shared" si="50"/>
        <v>1250.29</v>
      </c>
      <c r="I103">
        <f t="shared" si="50"/>
        <v>1250.29</v>
      </c>
      <c r="J103">
        <f t="shared" si="50"/>
        <v>1250.29</v>
      </c>
      <c r="K103">
        <f t="shared" si="50"/>
        <v>1250.29</v>
      </c>
      <c r="L103">
        <f t="shared" si="50"/>
        <v>1250.29</v>
      </c>
      <c r="M103">
        <f t="shared" si="50"/>
        <v>1250.29</v>
      </c>
      <c r="N103">
        <f t="shared" si="50"/>
        <v>1250.29</v>
      </c>
    </row>
    <row r="104" spans="1:14">
      <c r="A104" t="s">
        <v>137</v>
      </c>
      <c r="B104" t="s">
        <v>5290</v>
      </c>
      <c r="C104">
        <f>INDEX('2 过程管理表单'!$605:$605,24+(COLUMN(A$1)-1)*3)</f>
        <v>5000</v>
      </c>
      <c r="D104">
        <f>INDEX('2 过程管理表单'!$605:$605,24+(COLUMN(B$1)-1)*3)</f>
        <v>5000</v>
      </c>
      <c r="E104">
        <f>INDEX('2 过程管理表单'!$605:$605,24+(COLUMN(C$1)-1)*3)</f>
        <v>5000</v>
      </c>
      <c r="F104">
        <f>INDEX('2 过程管理表单'!$605:$605,24+(COLUMN(D$1)-1)*3)</f>
        <v>5000</v>
      </c>
      <c r="G104">
        <f>INDEX('2 过程管理表单'!$605:$605,24+(COLUMN(E$1)-1)*3)</f>
        <v>5000</v>
      </c>
      <c r="H104">
        <f>INDEX('2 过程管理表单'!$605:$605,24+(COLUMN(F$1)-1)*3)</f>
        <v>5000</v>
      </c>
      <c r="I104">
        <f>INDEX('2 过程管理表单'!$605:$605,24+(COLUMN(G$1)-1)*3)</f>
        <v>5000</v>
      </c>
      <c r="J104">
        <f>INDEX('2 过程管理表单'!$605:$605,24+(COLUMN(H$1)-1)*3)</f>
        <v>5000</v>
      </c>
      <c r="K104">
        <f>INDEX('2 过程管理表单'!$605:$605,24+(COLUMN(I$1)-1)*3)</f>
        <v>5000</v>
      </c>
      <c r="L104">
        <f>INDEX('2 过程管理表单'!$605:$605,24+(COLUMN(J$1)-1)*3)</f>
        <v>5000</v>
      </c>
      <c r="M104">
        <f>INDEX('2 过程管理表单'!$605:$605,24+(COLUMN(K$1)-1)*3)</f>
        <v>5000</v>
      </c>
      <c r="N104">
        <f>INDEX('2 过程管理表单'!$605:$605,24+(COLUMN(L$1)-1)*3)</f>
        <v>5000</v>
      </c>
    </row>
    <row r="105" spans="1:14">
      <c r="A105" t="s">
        <v>137</v>
      </c>
      <c r="B105" t="s">
        <v>5291</v>
      </c>
      <c r="C105">
        <f>C104</f>
        <v>5000</v>
      </c>
      <c r="D105">
        <f>C105+D104</f>
        <v>10000</v>
      </c>
      <c r="E105">
        <f t="shared" ref="E105:N105" si="51">D105+E104</f>
        <v>15000</v>
      </c>
      <c r="F105">
        <f t="shared" si="51"/>
        <v>20000</v>
      </c>
      <c r="G105">
        <f t="shared" si="51"/>
        <v>25000</v>
      </c>
      <c r="H105">
        <f t="shared" si="51"/>
        <v>30000</v>
      </c>
      <c r="I105">
        <f t="shared" si="51"/>
        <v>35000</v>
      </c>
      <c r="J105">
        <f t="shared" si="51"/>
        <v>40000</v>
      </c>
      <c r="K105">
        <f t="shared" si="51"/>
        <v>45000</v>
      </c>
      <c r="L105">
        <f t="shared" si="51"/>
        <v>50000</v>
      </c>
      <c r="M105">
        <f t="shared" si="51"/>
        <v>55000</v>
      </c>
      <c r="N105">
        <f t="shared" si="51"/>
        <v>60000</v>
      </c>
    </row>
    <row r="106" spans="1:14">
      <c r="A106" t="s">
        <v>141</v>
      </c>
      <c r="B106" t="s">
        <v>5288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5289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5290</v>
      </c>
      <c r="C108">
        <f>INDEX('2 过程管理表单'!$608:$608,24+(COLUMN(A$1)-1)*3)</f>
        <v>800</v>
      </c>
      <c r="D108">
        <f>INDEX('2 过程管理表单'!$608:$608,24+(COLUMN(B$1)-1)*3)</f>
        <v>800</v>
      </c>
      <c r="E108">
        <f>INDEX('2 过程管理表单'!$608:$608,24+(COLUMN(C$1)-1)*3)</f>
        <v>800</v>
      </c>
      <c r="F108">
        <f>INDEX('2 过程管理表单'!$608:$608,24+(COLUMN(D$1)-1)*3)</f>
        <v>800</v>
      </c>
      <c r="G108">
        <f>INDEX('2 过程管理表单'!$608:$608,24+(COLUMN(E$1)-1)*3)</f>
        <v>800</v>
      </c>
      <c r="H108">
        <f>INDEX('2 过程管理表单'!$608:$608,24+(COLUMN(F$1)-1)*3)</f>
        <v>800</v>
      </c>
      <c r="I108">
        <f>INDEX('2 过程管理表单'!$608:$608,24+(COLUMN(G$1)-1)*3)</f>
        <v>800</v>
      </c>
      <c r="J108">
        <f>INDEX('2 过程管理表单'!$608:$608,24+(COLUMN(H$1)-1)*3)</f>
        <v>800</v>
      </c>
      <c r="K108">
        <f>INDEX('2 过程管理表单'!$608:$608,24+(COLUMN(I$1)-1)*3)</f>
        <v>800</v>
      </c>
      <c r="L108">
        <f>INDEX('2 过程管理表单'!$608:$608,24+(COLUMN(J$1)-1)*3)</f>
        <v>800</v>
      </c>
      <c r="M108">
        <f>INDEX('2 过程管理表单'!$608:$608,24+(COLUMN(K$1)-1)*3)</f>
        <v>800</v>
      </c>
      <c r="N108">
        <f>INDEX('2 过程管理表单'!$608:$608,24+(COLUMN(L$1)-1)*3)</f>
        <v>800</v>
      </c>
    </row>
    <row r="109" spans="1:14">
      <c r="A109" t="s">
        <v>141</v>
      </c>
      <c r="B109" t="s">
        <v>5291</v>
      </c>
      <c r="C109">
        <f>C108</f>
        <v>800</v>
      </c>
      <c r="D109">
        <f>C109+D108</f>
        <v>1600</v>
      </c>
      <c r="E109">
        <f t="shared" ref="E109:N109" si="53">D109+E108</f>
        <v>2400</v>
      </c>
      <c r="F109">
        <f t="shared" si="53"/>
        <v>3200</v>
      </c>
      <c r="G109">
        <f t="shared" si="53"/>
        <v>4000</v>
      </c>
      <c r="H109">
        <f t="shared" si="53"/>
        <v>4800</v>
      </c>
      <c r="I109">
        <f t="shared" si="53"/>
        <v>5600</v>
      </c>
      <c r="J109">
        <f t="shared" si="53"/>
        <v>6400</v>
      </c>
      <c r="K109">
        <f t="shared" si="53"/>
        <v>7200</v>
      </c>
      <c r="L109">
        <f t="shared" si="53"/>
        <v>8000</v>
      </c>
      <c r="M109">
        <f t="shared" si="53"/>
        <v>8800</v>
      </c>
      <c r="N109">
        <f t="shared" si="53"/>
        <v>9600</v>
      </c>
    </row>
    <row r="110" spans="1:14">
      <c r="A110" t="s">
        <v>102</v>
      </c>
      <c r="B110" t="s">
        <v>5288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5289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5290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5291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5288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5289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5290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5291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5288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5289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5290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5291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5288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5289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5290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5291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5288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5289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5290</v>
      </c>
      <c r="C128">
        <f>INDEX('2 过程管理表单'!$614:$614,24+(COLUMN(A$1)-1)*3)</f>
        <v>5000</v>
      </c>
      <c r="D128">
        <f>INDEX('2 过程管理表单'!$614:$614,24+(COLUMN(B$1)-1)*3)</f>
        <v>5000</v>
      </c>
      <c r="E128">
        <f>INDEX('2 过程管理表单'!$614:$614,24+(COLUMN(C$1)-1)*3)</f>
        <v>5000</v>
      </c>
      <c r="F128">
        <f>INDEX('2 过程管理表单'!$614:$614,24+(COLUMN(D$1)-1)*3)</f>
        <v>5000</v>
      </c>
      <c r="G128">
        <f>INDEX('2 过程管理表单'!$614:$614,24+(COLUMN(E$1)-1)*3)</f>
        <v>5000</v>
      </c>
      <c r="H128">
        <f>INDEX('2 过程管理表单'!$614:$614,24+(COLUMN(F$1)-1)*3)</f>
        <v>5000</v>
      </c>
      <c r="I128">
        <f>INDEX('2 过程管理表单'!$614:$614,24+(COLUMN(G$1)-1)*3)</f>
        <v>5000</v>
      </c>
      <c r="J128">
        <f>INDEX('2 过程管理表单'!$614:$614,24+(COLUMN(H$1)-1)*3)</f>
        <v>5000</v>
      </c>
      <c r="K128">
        <f>INDEX('2 过程管理表单'!$614:$614,24+(COLUMN(I$1)-1)*3)</f>
        <v>5000</v>
      </c>
      <c r="L128">
        <f>INDEX('2 过程管理表单'!$614:$614,24+(COLUMN(J$1)-1)*3)</f>
        <v>5000</v>
      </c>
      <c r="M128">
        <f>INDEX('2 过程管理表单'!$614:$614,24+(COLUMN(K$1)-1)*3)</f>
        <v>5000</v>
      </c>
      <c r="N128">
        <f>INDEX('2 过程管理表单'!$614:$614,24+(COLUMN(L$1)-1)*3)</f>
        <v>5000</v>
      </c>
    </row>
    <row r="129" spans="1:14">
      <c r="A129" t="s">
        <v>157</v>
      </c>
      <c r="B129" t="s">
        <v>5291</v>
      </c>
      <c r="C129">
        <f>C128</f>
        <v>5000</v>
      </c>
      <c r="D129">
        <f>C129+D128</f>
        <v>10000</v>
      </c>
      <c r="E129">
        <f t="shared" ref="E129:N129" si="63">D129+E128</f>
        <v>15000</v>
      </c>
      <c r="F129">
        <f t="shared" si="63"/>
        <v>20000</v>
      </c>
      <c r="G129">
        <f t="shared" si="63"/>
        <v>25000</v>
      </c>
      <c r="H129">
        <f t="shared" si="63"/>
        <v>30000</v>
      </c>
      <c r="I129">
        <f t="shared" si="63"/>
        <v>35000</v>
      </c>
      <c r="J129">
        <f t="shared" si="63"/>
        <v>40000</v>
      </c>
      <c r="K129">
        <f t="shared" si="63"/>
        <v>45000</v>
      </c>
      <c r="L129">
        <f t="shared" si="63"/>
        <v>50000</v>
      </c>
      <c r="M129">
        <f t="shared" si="63"/>
        <v>55000</v>
      </c>
      <c r="N129">
        <f t="shared" si="63"/>
        <v>60000</v>
      </c>
    </row>
    <row r="130" spans="1:14">
      <c r="A130" t="s">
        <v>78</v>
      </c>
      <c r="B130" t="s">
        <v>5288</v>
      </c>
      <c r="C130">
        <f>INDEX('2 过程管理表单'!$615:$615,26+(COLUMN(A$1)-1)*3)</f>
        <v>8540.6</v>
      </c>
      <c r="D130">
        <f>INDEX('2 过程管理表单'!$615:$615,26+(COLUMN(B$1)-1)*3)</f>
        <v>16868</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5289</v>
      </c>
      <c r="C131">
        <f>C130</f>
        <v>8540.6</v>
      </c>
      <c r="D131">
        <f>C131+D130</f>
        <v>25408.6</v>
      </c>
      <c r="E131">
        <f t="shared" ref="E131:N131" si="64">D131+E130</f>
        <v>25408.6</v>
      </c>
      <c r="F131">
        <f t="shared" si="64"/>
        <v>25408.6</v>
      </c>
      <c r="G131">
        <f t="shared" si="64"/>
        <v>25408.6</v>
      </c>
      <c r="H131">
        <f t="shared" si="64"/>
        <v>25408.6</v>
      </c>
      <c r="I131">
        <f t="shared" si="64"/>
        <v>25408.6</v>
      </c>
      <c r="J131">
        <f t="shared" si="64"/>
        <v>25408.6</v>
      </c>
      <c r="K131">
        <f t="shared" si="64"/>
        <v>25408.6</v>
      </c>
      <c r="L131">
        <f t="shared" si="64"/>
        <v>25408.6</v>
      </c>
      <c r="M131">
        <f t="shared" si="64"/>
        <v>25408.6</v>
      </c>
      <c r="N131">
        <f t="shared" si="64"/>
        <v>25408.6</v>
      </c>
    </row>
    <row r="132" spans="1:14">
      <c r="A132" t="s">
        <v>78</v>
      </c>
      <c r="B132" t="s">
        <v>5290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5291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5288</v>
      </c>
      <c r="C134">
        <f>INDEX('2 过程管理表单'!$617:$617,26+(COLUMN(A$1)-1)*3)</f>
        <v>0</v>
      </c>
      <c r="D134">
        <f>INDEX('2 过程管理表单'!$617:$617,26+(COLUMN(B$1)-1)*3)</f>
        <v>0</v>
      </c>
      <c r="E134">
        <f>INDEX('2 过程管理表单'!$617:$617,26+(COLUMN(C$1)-1)*3)</f>
        <v>0</v>
      </c>
      <c r="F134">
        <f>INDEX('2 过程管理表单'!$617:$617,26+(COLUMN(D$1)-1)*3)</f>
        <v>368.5</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5289</v>
      </c>
      <c r="C135">
        <f>C134</f>
        <v>0</v>
      </c>
      <c r="D135">
        <f>C135+D134</f>
        <v>0</v>
      </c>
      <c r="E135">
        <f t="shared" ref="E135:N135" si="66">D135+E134</f>
        <v>0</v>
      </c>
      <c r="F135">
        <f t="shared" si="66"/>
        <v>368.5</v>
      </c>
      <c r="G135">
        <f t="shared" si="66"/>
        <v>368.5</v>
      </c>
      <c r="H135">
        <f t="shared" si="66"/>
        <v>368.5</v>
      </c>
      <c r="I135">
        <f t="shared" si="66"/>
        <v>368.5</v>
      </c>
      <c r="J135">
        <f t="shared" si="66"/>
        <v>368.5</v>
      </c>
      <c r="K135">
        <f t="shared" si="66"/>
        <v>368.5</v>
      </c>
      <c r="L135">
        <f t="shared" si="66"/>
        <v>368.5</v>
      </c>
      <c r="M135">
        <f t="shared" si="66"/>
        <v>368.5</v>
      </c>
      <c r="N135">
        <f t="shared" si="66"/>
        <v>368.5</v>
      </c>
    </row>
    <row r="136" spans="1:14">
      <c r="A136" t="s">
        <v>2325</v>
      </c>
      <c r="B136" t="s">
        <v>5290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5291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5288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5289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5290</v>
      </c>
      <c r="C140">
        <f>INDEX('2 过程管理表单'!$618:$618,24+(COLUMN(A$1)-1)*3)</f>
        <v>60000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5291</v>
      </c>
      <c r="C141">
        <f>C140</f>
        <v>60000</v>
      </c>
      <c r="D141">
        <f>C141+D140</f>
        <v>60000</v>
      </c>
      <c r="E141">
        <f t="shared" ref="E141:N141" si="69">D141+E140</f>
        <v>60000</v>
      </c>
      <c r="F141">
        <f t="shared" si="69"/>
        <v>60000</v>
      </c>
      <c r="G141">
        <f t="shared" si="69"/>
        <v>60000</v>
      </c>
      <c r="H141">
        <f t="shared" si="69"/>
        <v>60000</v>
      </c>
      <c r="I141">
        <f t="shared" si="69"/>
        <v>60000</v>
      </c>
      <c r="J141">
        <f t="shared" si="69"/>
        <v>60000</v>
      </c>
      <c r="K141">
        <f t="shared" si="69"/>
        <v>60000</v>
      </c>
      <c r="L141">
        <f t="shared" si="69"/>
        <v>60000</v>
      </c>
      <c r="M141">
        <f t="shared" si="69"/>
        <v>60000</v>
      </c>
      <c r="N141">
        <f t="shared" si="69"/>
        <v>60000</v>
      </c>
    </row>
    <row r="142" spans="1:14">
      <c r="A142" t="s">
        <v>2382</v>
      </c>
      <c r="B142" t="s">
        <v>5288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5289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5290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5291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5288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5289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5290</v>
      </c>
      <c r="C148">
        <f>INDEX('2 过程管理表单'!$620:$620,24+(COLUMN(A$1)-1)*3)</f>
        <v>141509.433962264</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5291</v>
      </c>
      <c r="C149">
        <f>C148</f>
        <v>141509.433962264</v>
      </c>
      <c r="D149">
        <f>C149+D148</f>
        <v>141509.433962264</v>
      </c>
      <c r="E149">
        <f t="shared" ref="E149:N149" si="73">D149+E148</f>
        <v>141509.433962264</v>
      </c>
      <c r="F149">
        <f t="shared" si="73"/>
        <v>141509.433962264</v>
      </c>
      <c r="G149">
        <f t="shared" si="73"/>
        <v>141509.433962264</v>
      </c>
      <c r="H149">
        <f t="shared" si="73"/>
        <v>141509.433962264</v>
      </c>
      <c r="I149">
        <f t="shared" si="73"/>
        <v>141509.433962264</v>
      </c>
      <c r="J149">
        <f t="shared" si="73"/>
        <v>141509.433962264</v>
      </c>
      <c r="K149">
        <f t="shared" si="73"/>
        <v>141509.433962264</v>
      </c>
      <c r="L149">
        <f t="shared" si="73"/>
        <v>141509.433962264</v>
      </c>
      <c r="M149">
        <f t="shared" si="73"/>
        <v>141509.433962264</v>
      </c>
      <c r="N149">
        <f t="shared" si="73"/>
        <v>141509.433962264</v>
      </c>
    </row>
    <row r="150" spans="1:14">
      <c r="A150" t="s">
        <v>2387</v>
      </c>
      <c r="B150" t="s">
        <v>5288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5289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5290</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5291</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5318</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5319</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5320</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1</v>
      </c>
      <c r="L157">
        <f t="shared" si="77"/>
        <v>0</v>
      </c>
      <c r="M157">
        <f t="shared" si="77"/>
        <v>0</v>
      </c>
      <c r="N157">
        <f t="shared" si="77"/>
        <v>0</v>
      </c>
    </row>
    <row r="158" spans="1:14">
      <c r="A158" t="s">
        <v>222</v>
      </c>
      <c r="B158" t="s">
        <v>5321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5322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5323</v>
      </c>
      <c r="C160">
        <f>IF(C19&gt;C21,1,0)</f>
        <v>0</v>
      </c>
      <c r="D160">
        <f t="shared" ref="D160:N160" si="80">IF(D19&gt;D21,1,0)</f>
        <v>0</v>
      </c>
      <c r="E160">
        <f t="shared" si="80"/>
        <v>0</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1852</v>
      </c>
      <c r="B161" t="s">
        <v>5324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5325</v>
      </c>
      <c r="C162">
        <f>IF(C27&gt;C29,1,0)</f>
        <v>0</v>
      </c>
      <c r="D162">
        <f t="shared" ref="D162:N162" si="82">IF(D27&gt;D29,1,0)</f>
        <v>0</v>
      </c>
      <c r="E162">
        <f t="shared" si="82"/>
        <v>0</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1959</v>
      </c>
      <c r="B163" t="s">
        <v>5326</v>
      </c>
      <c r="C163">
        <f>IF(C31&gt;C33,1,0)</f>
        <v>0</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2070</v>
      </c>
      <c r="B164" t="s">
        <v>5327</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5328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5329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5330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5331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5332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5333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5334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5335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5336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5337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5338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5339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5340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5341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5342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5343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5344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5345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5346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5347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5348</v>
      </c>
      <c r="C188">
        <f>IF(C131&gt;C133,1,0)</f>
        <v>1</v>
      </c>
      <c r="D188">
        <f t="shared" ref="D188:N188" si="108">IF(D131&gt;D133,1,0)</f>
        <v>1</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2325</v>
      </c>
      <c r="B189" t="s">
        <v>5349</v>
      </c>
      <c r="C189">
        <f>IF(C135&gt;C137,1,0)</f>
        <v>0</v>
      </c>
      <c r="D189">
        <f t="shared" ref="D189:N189" si="109">IF(D135&gt;D137,1,0)</f>
        <v>0</v>
      </c>
      <c r="E189">
        <f t="shared" si="109"/>
        <v>0</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2379</v>
      </c>
      <c r="B190" t="s">
        <v>5350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5351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5352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5353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1</v>
      </c>
      <c r="D194">
        <f t="shared" ref="D194:N194" si="114">SUM(D156:D193)</f>
        <v>2</v>
      </c>
      <c r="E194">
        <f t="shared" si="114"/>
        <v>2</v>
      </c>
      <c r="F194">
        <f t="shared" si="114"/>
        <v>5</v>
      </c>
      <c r="G194">
        <f t="shared" si="114"/>
        <v>5</v>
      </c>
      <c r="H194">
        <f t="shared" si="114"/>
        <v>5</v>
      </c>
      <c r="I194">
        <f t="shared" si="114"/>
        <v>5</v>
      </c>
      <c r="J194">
        <f t="shared" si="114"/>
        <v>5</v>
      </c>
      <c r="K194">
        <f t="shared" si="114"/>
        <v>6</v>
      </c>
      <c r="L194">
        <f t="shared" si="114"/>
        <v>5</v>
      </c>
      <c r="M194">
        <f t="shared" si="114"/>
        <v>5</v>
      </c>
      <c r="N194">
        <f t="shared" si="114"/>
        <v>5</v>
      </c>
    </row>
    <row r="195" spans="2:14">
      <c r="B195" t="s">
        <v>5354</v>
      </c>
      <c r="C195">
        <f>C194</f>
        <v>1</v>
      </c>
      <c r="D195">
        <f>C195+D194</f>
        <v>3</v>
      </c>
      <c r="E195">
        <f t="shared" ref="E195:N195" si="115">D195+E194</f>
        <v>5</v>
      </c>
      <c r="F195">
        <f t="shared" si="115"/>
        <v>10</v>
      </c>
      <c r="G195">
        <f t="shared" si="115"/>
        <v>15</v>
      </c>
      <c r="H195">
        <f t="shared" si="115"/>
        <v>20</v>
      </c>
      <c r="I195">
        <f t="shared" si="115"/>
        <v>25</v>
      </c>
      <c r="J195">
        <f t="shared" si="115"/>
        <v>30</v>
      </c>
      <c r="K195">
        <f t="shared" si="115"/>
        <v>36</v>
      </c>
      <c r="L195">
        <f t="shared" si="115"/>
        <v>41</v>
      </c>
      <c r="M195">
        <f t="shared" si="115"/>
        <v>46</v>
      </c>
      <c r="N195">
        <f t="shared" si="115"/>
        <v>51</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O33" sqref="O33"/>
    </sheetView>
  </sheetViews>
  <sheetFormatPr defaultColWidth="9" defaultRowHeight="13.5"/>
  <cols>
    <col min="1" max="1" width="25.375" customWidth="1"/>
    <col min="2" max="2" width="19.375" customWidth="1"/>
    <col min="3" max="14" width="12.625"/>
  </cols>
  <sheetData>
    <row r="1" customFormat="1" spans="1:14">
      <c r="A1" t="s">
        <v>5355</v>
      </c>
      <c r="C1" t="s">
        <v>766</v>
      </c>
      <c r="D1" t="s">
        <v>767</v>
      </c>
      <c r="E1" t="s">
        <v>768</v>
      </c>
      <c r="F1" t="s">
        <v>769</v>
      </c>
      <c r="G1" t="s">
        <v>770</v>
      </c>
      <c r="H1" t="s">
        <v>771</v>
      </c>
      <c r="I1" t="s">
        <v>772</v>
      </c>
      <c r="J1" t="s">
        <v>773</v>
      </c>
      <c r="K1" t="s">
        <v>774</v>
      </c>
      <c r="L1" t="s">
        <v>775</v>
      </c>
      <c r="M1" t="s">
        <v>776</v>
      </c>
      <c r="N1" t="s">
        <v>777</v>
      </c>
    </row>
    <row r="2" spans="1:14">
      <c r="A2" t="s">
        <v>5356</v>
      </c>
      <c r="B2" t="s">
        <v>5288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5356</v>
      </c>
      <c r="B3" t="s">
        <v>5289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5356</v>
      </c>
      <c r="B4" t="s">
        <v>5290</v>
      </c>
      <c r="C4" cm="1">
        <f t="array" ref="C4">INDEX('2 过程管理表单'!$8:$8,24+(COLUMN(A1)-1)*3)</f>
        <v>980174.4</v>
      </c>
      <c r="D4" cm="1">
        <f t="array" ref="D4">INDEX('2 过程管理表单'!$8:$8,24+(COLUMN(B1)-1)*3)</f>
        <v>980174.4</v>
      </c>
      <c r="E4" cm="1">
        <f t="array" ref="E4">INDEX('2 过程管理表单'!$8:$8,24+(COLUMN(C1)-1)*3)</f>
        <v>980174.4</v>
      </c>
      <c r="F4" cm="1">
        <f t="array" ref="F4">INDEX('2 过程管理表单'!$8:$8,24+(COLUMN(D1)-1)*3)</f>
        <v>980174.4</v>
      </c>
      <c r="G4" cm="1">
        <f t="array" ref="G4">INDEX('2 过程管理表单'!$8:$8,24+(COLUMN(E1)-1)*3)</f>
        <v>980174.4</v>
      </c>
      <c r="H4" cm="1">
        <f t="array" ref="H4">INDEX('2 过程管理表单'!$8:$8,24+(COLUMN(F1)-1)*3)</f>
        <v>980174.4</v>
      </c>
      <c r="I4" cm="1">
        <f t="array" ref="I4">INDEX('2 过程管理表单'!$8:$8,24+(COLUMN(G1)-1)*3)</f>
        <v>980174.4</v>
      </c>
      <c r="J4" cm="1">
        <f t="array" ref="J4">INDEX('2 过程管理表单'!$8:$8,24+(COLUMN(H1)-1)*3)</f>
        <v>980174.4</v>
      </c>
      <c r="K4" cm="1">
        <f t="array" ref="K4">INDEX('2 过程管理表单'!$8:$8,24+(COLUMN(I1)-1)*3)</f>
        <v>980174.4</v>
      </c>
      <c r="L4" cm="1">
        <f t="array" ref="L4">INDEX('2 过程管理表单'!$8:$8,24+(COLUMN(J1)-1)*3)</f>
        <v>980174.4</v>
      </c>
      <c r="M4" cm="1">
        <f t="array" ref="M4">INDEX('2 过程管理表单'!$8:$8,24+(COLUMN(K1)-1)*3)</f>
        <v>980174.4</v>
      </c>
      <c r="N4" cm="1">
        <f t="array" ref="N4">INDEX('2 过程管理表单'!$8:$8,24+(COLUMN(L1)-1)*3)</f>
        <v>1143550.4</v>
      </c>
    </row>
    <row r="5" spans="1:14">
      <c r="A5" t="s">
        <v>5356</v>
      </c>
      <c r="B5" t="s">
        <v>5291</v>
      </c>
      <c r="C5">
        <f t="shared" si="0"/>
        <v>980174.4</v>
      </c>
      <c r="D5">
        <f t="shared" ref="D5:N5" si="2">C5+D4</f>
        <v>1960348.8</v>
      </c>
      <c r="E5">
        <f t="shared" si="2"/>
        <v>2940523.2</v>
      </c>
      <c r="F5">
        <f t="shared" si="2"/>
        <v>3920697.6</v>
      </c>
      <c r="G5">
        <f t="shared" si="2"/>
        <v>4900872</v>
      </c>
      <c r="H5">
        <f t="shared" si="2"/>
        <v>5881046.4</v>
      </c>
      <c r="I5">
        <f t="shared" si="2"/>
        <v>6861220.8</v>
      </c>
      <c r="J5">
        <f t="shared" si="2"/>
        <v>7841395.2</v>
      </c>
      <c r="K5">
        <f t="shared" si="2"/>
        <v>8821569.6</v>
      </c>
      <c r="L5">
        <f t="shared" si="2"/>
        <v>9801744</v>
      </c>
      <c r="M5">
        <f t="shared" si="2"/>
        <v>10781918.4</v>
      </c>
      <c r="N5">
        <f t="shared" si="2"/>
        <v>11925468.8</v>
      </c>
    </row>
    <row r="6" spans="1:14">
      <c r="A6" t="s">
        <v>5357</v>
      </c>
      <c r="B6" t="s">
        <v>5288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5357</v>
      </c>
      <c r="B7" t="s">
        <v>5289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5357</v>
      </c>
      <c r="B8" t="s">
        <v>5290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5357</v>
      </c>
      <c r="B9" t="s">
        <v>5291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5358</v>
      </c>
      <c r="B10" t="s">
        <v>5288</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5358</v>
      </c>
      <c r="B11" t="s">
        <v>5289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5358</v>
      </c>
      <c r="B12" t="s">
        <v>5290</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5358</v>
      </c>
      <c r="B13" t="s">
        <v>5291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5359</v>
      </c>
      <c r="B14" t="s">
        <v>5288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5359</v>
      </c>
      <c r="B15" t="s">
        <v>5289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5359</v>
      </c>
      <c r="B16" t="s">
        <v>5290</v>
      </c>
      <c r="C16" cm="1">
        <f t="array" ref="C16">INDEX('2 过程管理表单'!$27:$27,24+(COLUMN(A1)-1)*3)</f>
        <v>154796.88</v>
      </c>
      <c r="D16" cm="1">
        <f t="array" ref="D16">INDEX('2 过程管理表单'!$27:$27,24+(COLUMN(B1)-1)*3)</f>
        <v>154796.88</v>
      </c>
      <c r="E16" cm="1">
        <f t="array" ref="E16">INDEX('2 过程管理表单'!$27:$27,24+(COLUMN(C1)-1)*3)</f>
        <v>154796.88</v>
      </c>
      <c r="F16" cm="1">
        <f t="array" ref="F16">INDEX('2 过程管理表单'!$27:$27,24+(COLUMN(D1)-1)*3)</f>
        <v>154796.88</v>
      </c>
      <c r="G16" cm="1">
        <f t="array" ref="G16">INDEX('2 过程管理表单'!$27:$27,24+(COLUMN(E1)-1)*3)</f>
        <v>154796.88</v>
      </c>
      <c r="H16" cm="1">
        <f t="array" ref="H16">INDEX('2 过程管理表单'!$27:$27,24+(COLUMN(F1)-1)*3)</f>
        <v>154796.88</v>
      </c>
      <c r="I16" cm="1">
        <f t="array" ref="I16">INDEX('2 过程管理表单'!$27:$27,24+(COLUMN(G1)-1)*3)</f>
        <v>154796.88</v>
      </c>
      <c r="J16" cm="1">
        <f t="array" ref="J16">INDEX('2 过程管理表单'!$27:$27,24+(COLUMN(H1)-1)*3)</f>
        <v>154796.88</v>
      </c>
      <c r="K16" cm="1">
        <f t="array" ref="K16">INDEX('2 过程管理表单'!$27:$27,24+(COLUMN(I1)-1)*3)</f>
        <v>154796.88</v>
      </c>
      <c r="L16" cm="1">
        <f t="array" ref="L16">INDEX('2 过程管理表单'!$27:$27,24+(COLUMN(J1)-1)*3)</f>
        <v>154796.88</v>
      </c>
      <c r="M16" cm="1">
        <f t="array" ref="M16">INDEX('2 过程管理表单'!$27:$27,24+(COLUMN(K1)-1)*3)</f>
        <v>154796.88</v>
      </c>
      <c r="N16" cm="1">
        <f t="array" ref="N16">INDEX('2 过程管理表单'!$27:$27,24+(COLUMN(L1)-1)*3)</f>
        <v>179303.28</v>
      </c>
    </row>
    <row r="17" spans="1:14">
      <c r="A17" t="s">
        <v>5359</v>
      </c>
      <c r="B17" t="s">
        <v>5291</v>
      </c>
      <c r="C17">
        <f t="shared" si="8"/>
        <v>154796.88</v>
      </c>
      <c r="D17">
        <f t="shared" ref="D17:N17" si="10">C17+D16</f>
        <v>309593.76</v>
      </c>
      <c r="E17">
        <f t="shared" si="10"/>
        <v>464390.64</v>
      </c>
      <c r="F17">
        <f t="shared" si="10"/>
        <v>619187.52</v>
      </c>
      <c r="G17">
        <f t="shared" si="10"/>
        <v>773984.4</v>
      </c>
      <c r="H17">
        <f t="shared" si="10"/>
        <v>928781.28</v>
      </c>
      <c r="I17">
        <f t="shared" si="10"/>
        <v>1083578.16</v>
      </c>
      <c r="J17">
        <f t="shared" si="10"/>
        <v>1238375.04</v>
      </c>
      <c r="K17">
        <f t="shared" si="10"/>
        <v>1393171.92</v>
      </c>
      <c r="L17">
        <f t="shared" si="10"/>
        <v>1547968.8</v>
      </c>
      <c r="M17">
        <f t="shared" si="10"/>
        <v>1702765.68</v>
      </c>
      <c r="N17">
        <f t="shared" si="10"/>
        <v>1882068.96</v>
      </c>
    </row>
    <row r="18" spans="1:14">
      <c r="A18" t="s">
        <v>5360</v>
      </c>
      <c r="B18" t="s">
        <v>5288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5360</v>
      </c>
      <c r="B19" t="s">
        <v>5289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5360</v>
      </c>
      <c r="B20" t="s">
        <v>5290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5360</v>
      </c>
      <c r="B21" t="s">
        <v>5291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5361</v>
      </c>
      <c r="B22" t="s">
        <v>5288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5361</v>
      </c>
      <c r="B23" t="s">
        <v>5289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5361</v>
      </c>
      <c r="B24" t="s">
        <v>5290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5361</v>
      </c>
      <c r="B25" t="s">
        <v>5291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5362</v>
      </c>
      <c r="B26" t="s">
        <v>5288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5362</v>
      </c>
      <c r="B27" t="s">
        <v>5289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5362</v>
      </c>
      <c r="B28" t="s">
        <v>5290</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5362</v>
      </c>
      <c r="B29" t="s">
        <v>5291</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5363</v>
      </c>
      <c r="B30" t="s">
        <v>5288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5363</v>
      </c>
      <c r="B31" t="s">
        <v>5289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5363</v>
      </c>
      <c r="B32" t="s">
        <v>5290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5363</v>
      </c>
      <c r="B33" t="s">
        <v>5291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5364</v>
      </c>
      <c r="B34" t="s">
        <v>5288</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5364</v>
      </c>
      <c r="B35" t="s">
        <v>5289</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5364</v>
      </c>
      <c r="B36" t="s">
        <v>5290</v>
      </c>
      <c r="C36" cm="1">
        <f t="array" ref="C36">INDEX('2 过程管理表单'!$58:$58,24+(COLUMN(A1)-1)*3)</f>
        <v>7452.83018867924</v>
      </c>
      <c r="D36" cm="1">
        <f t="array" ref="D36">INDEX('2 过程管理表单'!$58:$58,24+(COLUMN(B1)-1)*3)</f>
        <v>7452.83018867924</v>
      </c>
      <c r="E36" cm="1">
        <f t="array" ref="E36">INDEX('2 过程管理表单'!$58:$58,24+(COLUMN(C1)-1)*3)</f>
        <v>7452.83018867924</v>
      </c>
      <c r="F36" cm="1">
        <f t="array" ref="F36">INDEX('2 过程管理表单'!$58:$58,24+(COLUMN(D1)-1)*3)</f>
        <v>7452.83018867924</v>
      </c>
      <c r="G36" cm="1">
        <f t="array" ref="G36">INDEX('2 过程管理表单'!$58:$58,24+(COLUMN(E1)-1)*3)</f>
        <v>7452.83018867924</v>
      </c>
      <c r="H36" cm="1">
        <f t="array" ref="H36">INDEX('2 过程管理表单'!$58:$58,24+(COLUMN(F1)-1)*3)</f>
        <v>7452.83018867924</v>
      </c>
      <c r="I36" cm="1">
        <f t="array" ref="I36">INDEX('2 过程管理表单'!$58:$58,24+(COLUMN(G1)-1)*3)</f>
        <v>7452.83018867924</v>
      </c>
      <c r="J36" cm="1">
        <f t="array" ref="J36">INDEX('2 过程管理表单'!$58:$58,24+(COLUMN(H1)-1)*3)</f>
        <v>7452.83018867924</v>
      </c>
      <c r="K36" cm="1">
        <f t="array" ref="K36">INDEX('2 过程管理表单'!$58:$58,24+(COLUMN(I1)-1)*3)</f>
        <v>7452.83018867924</v>
      </c>
      <c r="L36" cm="1">
        <f t="array" ref="L36">INDEX('2 过程管理表单'!$58:$58,24+(COLUMN(J1)-1)*3)</f>
        <v>7452.83018867924</v>
      </c>
      <c r="M36" cm="1">
        <f t="array" ref="M36">INDEX('2 过程管理表单'!$58:$58,24+(COLUMN(K1)-1)*3)</f>
        <v>7452.83018867924</v>
      </c>
      <c r="N36" cm="1">
        <f t="array" ref="N36">INDEX('2 过程管理表单'!$58:$58,24+(COLUMN(L1)-1)*3)</f>
        <v>7452.83018867924</v>
      </c>
    </row>
    <row r="37" spans="1:14">
      <c r="A37" t="s">
        <v>5364</v>
      </c>
      <c r="B37" t="s">
        <v>5291</v>
      </c>
      <c r="C37">
        <f t="shared" si="20"/>
        <v>7452.83018867924</v>
      </c>
      <c r="D37">
        <f t="shared" ref="D37:N37" si="23">C37+D36</f>
        <v>14905.6603773585</v>
      </c>
      <c r="E37">
        <f t="shared" si="23"/>
        <v>22358.4905660377</v>
      </c>
      <c r="F37">
        <f t="shared" si="23"/>
        <v>29811.320754717</v>
      </c>
      <c r="G37">
        <f t="shared" si="23"/>
        <v>37264.1509433962</v>
      </c>
      <c r="H37">
        <f t="shared" si="23"/>
        <v>44716.9811320754</v>
      </c>
      <c r="I37">
        <f t="shared" si="23"/>
        <v>52169.8113207547</v>
      </c>
      <c r="J37">
        <f t="shared" si="23"/>
        <v>59622.6415094339</v>
      </c>
      <c r="K37">
        <f t="shared" si="23"/>
        <v>67075.4716981132</v>
      </c>
      <c r="L37">
        <f t="shared" si="23"/>
        <v>74528.3018867924</v>
      </c>
      <c r="M37">
        <f t="shared" si="23"/>
        <v>81981.1320754717</v>
      </c>
      <c r="N37">
        <f t="shared" si="23"/>
        <v>89433.9622641509</v>
      </c>
    </row>
    <row r="38" spans="1:14">
      <c r="A38" t="s">
        <v>5365</v>
      </c>
      <c r="B38" t="s">
        <v>5288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5365</v>
      </c>
      <c r="B39" t="s">
        <v>5289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5365</v>
      </c>
      <c r="B40" t="s">
        <v>5290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5365</v>
      </c>
      <c r="B41" t="s">
        <v>5291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5366</v>
      </c>
      <c r="B42" t="s">
        <v>5288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5366</v>
      </c>
      <c r="B43" t="s">
        <v>5289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5366</v>
      </c>
      <c r="B44" t="s">
        <v>5290</v>
      </c>
      <c r="C44" cm="1">
        <f t="array" ref="C44">INDEX('2 过程管理表单'!$71:$71,24+(COLUMN(A1)-1)*3)</f>
        <v>164231</v>
      </c>
      <c r="D44" cm="1">
        <f t="array" ref="D44">INDEX('2 过程管理表单'!$71:$71,24+(COLUMN(B1)-1)*3)</f>
        <v>164231</v>
      </c>
      <c r="E44" cm="1">
        <f t="array" ref="E44">INDEX('2 过程管理表单'!$71:$71,24+(COLUMN(C1)-1)*3)</f>
        <v>164231</v>
      </c>
      <c r="F44" cm="1">
        <f t="array" ref="F44">INDEX('2 过程管理表单'!$71:$71,24+(COLUMN(D1)-1)*3)</f>
        <v>164231</v>
      </c>
      <c r="G44" cm="1">
        <f t="array" ref="G44">INDEX('2 过程管理表单'!$71:$71,24+(COLUMN(E1)-1)*3)</f>
        <v>164231</v>
      </c>
      <c r="H44" cm="1">
        <f t="array" ref="H44">INDEX('2 过程管理表单'!$71:$71,24+(COLUMN(F1)-1)*3)</f>
        <v>164231</v>
      </c>
      <c r="I44" cm="1">
        <f t="array" ref="I44">INDEX('2 过程管理表单'!$71:$71,24+(COLUMN(G1)-1)*3)</f>
        <v>164231</v>
      </c>
      <c r="J44" cm="1">
        <f t="array" ref="J44">INDEX('2 过程管理表单'!$71:$71,24+(COLUMN(H1)-1)*3)</f>
        <v>164231</v>
      </c>
      <c r="K44" cm="1">
        <f t="array" ref="K44">INDEX('2 过程管理表单'!$71:$71,24+(COLUMN(I1)-1)*3)</f>
        <v>164231</v>
      </c>
      <c r="L44" cm="1">
        <f t="array" ref="L44">INDEX('2 过程管理表单'!$71:$71,24+(COLUMN(J1)-1)*3)</f>
        <v>164231</v>
      </c>
      <c r="M44" cm="1">
        <f t="array" ref="M44">INDEX('2 过程管理表单'!$71:$71,24+(COLUMN(K1)-1)*3)</f>
        <v>164231</v>
      </c>
      <c r="N44" cm="1">
        <f t="array" ref="N44">INDEX('2 过程管理表单'!$71:$71,24+(COLUMN(L1)-1)*3)</f>
        <v>189758.5</v>
      </c>
    </row>
    <row r="45" spans="1:14">
      <c r="A45" t="s">
        <v>5366</v>
      </c>
      <c r="B45" t="s">
        <v>5291</v>
      </c>
      <c r="C45">
        <f t="shared" ref="C45:C49" si="28">C44</f>
        <v>164231</v>
      </c>
      <c r="D45">
        <f t="shared" ref="D45:N45" si="29">C45+D44</f>
        <v>328462</v>
      </c>
      <c r="E45">
        <f t="shared" si="29"/>
        <v>492693</v>
      </c>
      <c r="F45">
        <f t="shared" si="29"/>
        <v>656924</v>
      </c>
      <c r="G45">
        <f t="shared" si="29"/>
        <v>821155</v>
      </c>
      <c r="H45">
        <f t="shared" si="29"/>
        <v>985386</v>
      </c>
      <c r="I45">
        <f t="shared" si="29"/>
        <v>1149617</v>
      </c>
      <c r="J45">
        <f t="shared" si="29"/>
        <v>1313848</v>
      </c>
      <c r="K45">
        <f t="shared" si="29"/>
        <v>1478079</v>
      </c>
      <c r="L45">
        <f t="shared" si="29"/>
        <v>1642310</v>
      </c>
      <c r="M45">
        <f t="shared" si="29"/>
        <v>1806541</v>
      </c>
      <c r="N45">
        <f t="shared" si="29"/>
        <v>1996299.5</v>
      </c>
    </row>
    <row r="46" spans="1:14">
      <c r="A46" t="s">
        <v>5367</v>
      </c>
      <c r="B46" t="s">
        <v>5288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5367</v>
      </c>
      <c r="B47" t="s">
        <v>5289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5367</v>
      </c>
      <c r="B48" t="s">
        <v>5290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5367</v>
      </c>
      <c r="B49" t="s">
        <v>5291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5368</v>
      </c>
      <c r="B50" t="s">
        <v>5288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5368</v>
      </c>
      <c r="B51" t="s">
        <v>5289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5368</v>
      </c>
      <c r="B52" t="s">
        <v>5290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5368</v>
      </c>
      <c r="B53" t="s">
        <v>5291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5369</v>
      </c>
      <c r="B54" t="s">
        <v>5288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5369</v>
      </c>
      <c r="B55" t="s">
        <v>5289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5369</v>
      </c>
      <c r="B56" t="s">
        <v>5290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5369</v>
      </c>
      <c r="B57" t="s">
        <v>5291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5370</v>
      </c>
      <c r="B58" t="s">
        <v>5288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5370</v>
      </c>
      <c r="B59" t="s">
        <v>5289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5370</v>
      </c>
      <c r="B60" t="s">
        <v>5290</v>
      </c>
      <c r="C60" cm="1">
        <f t="array" ref="C60">INDEX('2 过程管理表单'!$96:$96,24+(COLUMN(A1)-1)*3)</f>
        <v>79629.96</v>
      </c>
      <c r="D60" cm="1">
        <f t="array" ref="D60">INDEX('2 过程管理表单'!$96:$96,24+(COLUMN(B1)-1)*3)</f>
        <v>79629.96</v>
      </c>
      <c r="E60" cm="1">
        <f t="array" ref="E60">INDEX('2 过程管理表单'!$96:$96,24+(COLUMN(C1)-1)*3)</f>
        <v>79629.96</v>
      </c>
      <c r="F60" cm="1">
        <f t="array" ref="F60">INDEX('2 过程管理表单'!$96:$96,24+(COLUMN(D1)-1)*3)</f>
        <v>79629.96</v>
      </c>
      <c r="G60" cm="1">
        <f t="array" ref="G60">INDEX('2 过程管理表单'!$96:$96,24+(COLUMN(E1)-1)*3)</f>
        <v>79629.96</v>
      </c>
      <c r="H60" cm="1">
        <f t="array" ref="H60">INDEX('2 过程管理表单'!$96:$96,24+(COLUMN(F1)-1)*3)</f>
        <v>79629.96</v>
      </c>
      <c r="I60" cm="1">
        <f t="array" ref="I60">INDEX('2 过程管理表单'!$96:$96,24+(COLUMN(G1)-1)*3)</f>
        <v>79629.96</v>
      </c>
      <c r="J60" cm="1">
        <f t="array" ref="J60">INDEX('2 过程管理表单'!$96:$96,24+(COLUMN(H1)-1)*3)</f>
        <v>79629.96</v>
      </c>
      <c r="K60" cm="1">
        <f t="array" ref="K60">INDEX('2 过程管理表单'!$96:$96,24+(COLUMN(I1)-1)*3)</f>
        <v>79629.96</v>
      </c>
      <c r="L60" cm="1">
        <f t="array" ref="L60">INDEX('2 过程管理表单'!$96:$96,24+(COLUMN(J1)-1)*3)</f>
        <v>79629.96</v>
      </c>
      <c r="M60" cm="1">
        <f t="array" ref="M60">INDEX('2 过程管理表单'!$96:$96,24+(COLUMN(K1)-1)*3)</f>
        <v>79629.96</v>
      </c>
      <c r="N60" cm="1">
        <f t="array" ref="N60">INDEX('2 过程管理表单'!$96:$96,24+(COLUMN(L1)-1)*3)</f>
        <v>262793.9</v>
      </c>
    </row>
    <row r="61" spans="1:14">
      <c r="A61" t="s">
        <v>5370</v>
      </c>
      <c r="B61" t="s">
        <v>5291</v>
      </c>
      <c r="C61">
        <f t="shared" si="36"/>
        <v>79629.96</v>
      </c>
      <c r="D61">
        <f t="shared" ref="D61:N61" si="39">C61+D60</f>
        <v>159259.92</v>
      </c>
      <c r="E61">
        <f t="shared" si="39"/>
        <v>238889.88</v>
      </c>
      <c r="F61">
        <f t="shared" si="39"/>
        <v>318519.84</v>
      </c>
      <c r="G61">
        <f t="shared" si="39"/>
        <v>398149.8</v>
      </c>
      <c r="H61">
        <f t="shared" si="39"/>
        <v>477779.76</v>
      </c>
      <c r="I61">
        <f t="shared" si="39"/>
        <v>557409.72</v>
      </c>
      <c r="J61">
        <f t="shared" si="39"/>
        <v>637039.68</v>
      </c>
      <c r="K61">
        <f t="shared" si="39"/>
        <v>716669.64</v>
      </c>
      <c r="L61">
        <f t="shared" si="39"/>
        <v>796299.6</v>
      </c>
      <c r="M61">
        <f t="shared" si="39"/>
        <v>875929.56</v>
      </c>
      <c r="N61">
        <f t="shared" si="39"/>
        <v>1138723.46</v>
      </c>
    </row>
    <row r="62" spans="1:14">
      <c r="A62" t="s">
        <v>5371</v>
      </c>
      <c r="B62" t="s">
        <v>5288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5371</v>
      </c>
      <c r="B63" t="s">
        <v>5289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5371</v>
      </c>
      <c r="B64" t="s">
        <v>5290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5371</v>
      </c>
      <c r="B65" t="s">
        <v>5291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5372</v>
      </c>
      <c r="B66" t="s">
        <v>5288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5372</v>
      </c>
      <c r="B67" t="s">
        <v>5289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5372</v>
      </c>
      <c r="B68" t="s">
        <v>5290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5372</v>
      </c>
      <c r="B69" t="s">
        <v>5291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5373</v>
      </c>
      <c r="B70" t="s">
        <v>5288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5373</v>
      </c>
      <c r="B71" t="s">
        <v>5289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5373</v>
      </c>
      <c r="B72" t="s">
        <v>5290</v>
      </c>
      <c r="C72" cm="1">
        <f t="array" ref="C72">INDEX('2 过程管理表单'!$115:$115,24+(COLUMN(A1)-1)*3)</f>
        <v>654241.14</v>
      </c>
      <c r="D72" cm="1">
        <f t="array" ref="D72">INDEX('2 过程管理表单'!$115:$115,24+(COLUMN(B1)-1)*3)</f>
        <v>654241.14</v>
      </c>
      <c r="E72" cm="1">
        <f t="array" ref="E72">INDEX('2 过程管理表单'!$115:$115,24+(COLUMN(C1)-1)*3)</f>
        <v>654241.14</v>
      </c>
      <c r="F72" cm="1">
        <f t="array" ref="F72">INDEX('2 过程管理表单'!$115:$115,24+(COLUMN(D1)-1)*3)</f>
        <v>654241.14</v>
      </c>
      <c r="G72" cm="1">
        <f t="array" ref="G72">INDEX('2 过程管理表单'!$115:$115,24+(COLUMN(E1)-1)*3)</f>
        <v>654241.14</v>
      </c>
      <c r="H72" cm="1">
        <f t="array" ref="H72">INDEX('2 过程管理表单'!$115:$115,24+(COLUMN(F1)-1)*3)</f>
        <v>654241.14</v>
      </c>
      <c r="I72" cm="1">
        <f t="array" ref="I72">INDEX('2 过程管理表单'!$115:$115,24+(COLUMN(G1)-1)*3)</f>
        <v>654241.14</v>
      </c>
      <c r="J72" cm="1">
        <f t="array" ref="J72">INDEX('2 过程管理表单'!$115:$115,24+(COLUMN(H1)-1)*3)</f>
        <v>654241.14</v>
      </c>
      <c r="K72" cm="1">
        <f t="array" ref="K72">INDEX('2 过程管理表单'!$115:$115,24+(COLUMN(I1)-1)*3)</f>
        <v>654241.14</v>
      </c>
      <c r="L72" cm="1">
        <f t="array" ref="L72">INDEX('2 过程管理表单'!$115:$115,24+(COLUMN(J1)-1)*3)</f>
        <v>654241.14</v>
      </c>
      <c r="M72" cm="1">
        <f t="array" ref="M72">INDEX('2 过程管理表单'!$115:$115,24+(COLUMN(K1)-1)*3)</f>
        <v>654241.14</v>
      </c>
      <c r="N72" cm="1">
        <f t="array" ref="N72">INDEX('2 过程管理表单'!$115:$115,24+(COLUMN(L1)-1)*3)</f>
        <v>795152.94</v>
      </c>
    </row>
    <row r="73" spans="1:14">
      <c r="A73" t="s">
        <v>5373</v>
      </c>
      <c r="B73" t="s">
        <v>5291</v>
      </c>
      <c r="C73">
        <f t="shared" si="44"/>
        <v>654241.14</v>
      </c>
      <c r="D73">
        <f t="shared" ref="D73:N73" si="47">C73+D72</f>
        <v>1308482.28</v>
      </c>
      <c r="E73">
        <f t="shared" si="47"/>
        <v>1962723.42</v>
      </c>
      <c r="F73">
        <f t="shared" si="47"/>
        <v>2616964.56</v>
      </c>
      <c r="G73">
        <f t="shared" si="47"/>
        <v>3271205.7</v>
      </c>
      <c r="H73">
        <f t="shared" si="47"/>
        <v>3925446.84</v>
      </c>
      <c r="I73">
        <f t="shared" si="47"/>
        <v>4579687.98</v>
      </c>
      <c r="J73">
        <f t="shared" si="47"/>
        <v>5233929.12</v>
      </c>
      <c r="K73">
        <f t="shared" si="47"/>
        <v>5888170.26</v>
      </c>
      <c r="L73">
        <f t="shared" si="47"/>
        <v>6542411.4</v>
      </c>
      <c r="M73">
        <f t="shared" si="47"/>
        <v>7196652.54</v>
      </c>
      <c r="N73">
        <f t="shared" si="47"/>
        <v>7991805.48</v>
      </c>
    </row>
    <row r="74" spans="1:14">
      <c r="A74" t="s">
        <v>5374</v>
      </c>
      <c r="B74" t="s">
        <v>5288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5374</v>
      </c>
      <c r="B75" t="s">
        <v>5289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5374</v>
      </c>
      <c r="B76" t="s">
        <v>5290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5374</v>
      </c>
      <c r="B77" t="s">
        <v>5291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5375</v>
      </c>
      <c r="B78" t="s">
        <v>5288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5375</v>
      </c>
      <c r="B79" t="s">
        <v>5289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5375</v>
      </c>
      <c r="B80" t="s">
        <v>5290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5375</v>
      </c>
      <c r="B81" t="s">
        <v>5291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5376</v>
      </c>
      <c r="B82" t="s">
        <v>5288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5376</v>
      </c>
      <c r="B83" t="s">
        <v>5289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5376</v>
      </c>
      <c r="B84" t="s">
        <v>5290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5376</v>
      </c>
      <c r="B85" t="s">
        <v>5291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5377</v>
      </c>
      <c r="B86" t="s">
        <v>5288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5377</v>
      </c>
      <c r="B87" t="s">
        <v>5289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5377</v>
      </c>
      <c r="B88" t="s">
        <v>5290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5377</v>
      </c>
      <c r="B89" t="s">
        <v>5291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5378</v>
      </c>
      <c r="B90" t="s">
        <v>5288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5378</v>
      </c>
      <c r="B91" t="s">
        <v>5289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5378</v>
      </c>
      <c r="B92" t="s">
        <v>5290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5378</v>
      </c>
      <c r="B93" t="s">
        <v>5291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5379</v>
      </c>
      <c r="B94" t="s">
        <v>5288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5379</v>
      </c>
      <c r="B95" t="s">
        <v>5289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5379</v>
      </c>
      <c r="B96" t="s">
        <v>5290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5379</v>
      </c>
      <c r="B97" t="s">
        <v>5291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5380</v>
      </c>
      <c r="B98" t="s">
        <v>5288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5380</v>
      </c>
      <c r="B99" t="s">
        <v>5289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5380</v>
      </c>
      <c r="B100" t="s">
        <v>5290</v>
      </c>
      <c r="C100" cm="1">
        <f t="array" ref="C100">INDEX('2 过程管理表单'!$159:$159,24+(COLUMN(A1)-1)*3)</f>
        <v>1452538.31</v>
      </c>
      <c r="D100" cm="1">
        <f t="array" ref="D100">INDEX('2 过程管理表单'!$159:$159,24+(COLUMN(B1)-1)*3)</f>
        <v>1452538.31</v>
      </c>
      <c r="E100" cm="1">
        <f t="array" ref="E100">INDEX('2 过程管理表单'!$159:$159,24+(COLUMN(C1)-1)*3)</f>
        <v>1452538.31</v>
      </c>
      <c r="F100" cm="1">
        <f t="array" ref="F100">INDEX('2 过程管理表单'!$159:$159,24+(COLUMN(D1)-1)*3)</f>
        <v>1452538.31</v>
      </c>
      <c r="G100" cm="1">
        <f t="array" ref="G100">INDEX('2 过程管理表单'!$159:$159,24+(COLUMN(E1)-1)*3)</f>
        <v>1452538.31</v>
      </c>
      <c r="H100" cm="1">
        <f t="array" ref="H100">INDEX('2 过程管理表单'!$159:$159,24+(COLUMN(F1)-1)*3)</f>
        <v>1452538.31</v>
      </c>
      <c r="I100" cm="1">
        <f t="array" ref="I100">INDEX('2 过程管理表单'!$159:$159,24+(COLUMN(G1)-1)*3)</f>
        <v>1452538.31</v>
      </c>
      <c r="J100" cm="1">
        <f t="array" ref="J100">INDEX('2 过程管理表单'!$159:$159,24+(COLUMN(H1)-1)*3)</f>
        <v>1452538.31</v>
      </c>
      <c r="K100" cm="1">
        <f t="array" ref="K100">INDEX('2 过程管理表单'!$159:$159,24+(COLUMN(I1)-1)*3)</f>
        <v>1452538.31</v>
      </c>
      <c r="L100" cm="1">
        <f t="array" ref="L100">INDEX('2 过程管理表单'!$159:$159,24+(COLUMN(J1)-1)*3)</f>
        <v>1452538.31</v>
      </c>
      <c r="M100" cm="1">
        <f t="array" ref="M100">INDEX('2 过程管理表单'!$159:$159,24+(COLUMN(K1)-1)*3)</f>
        <v>1452538.31</v>
      </c>
      <c r="N100" cm="1">
        <f t="array" ref="N100">INDEX('2 过程管理表单'!$159:$159,24+(COLUMN(L1)-1)*3)</f>
        <v>1690454.61</v>
      </c>
    </row>
    <row r="101" spans="1:14">
      <c r="A101" t="s">
        <v>5380</v>
      </c>
      <c r="B101" t="s">
        <v>5291</v>
      </c>
      <c r="C101">
        <f t="shared" si="64"/>
        <v>1452538.31</v>
      </c>
      <c r="D101">
        <f t="shared" ref="D101:N101" si="66">C101+D100</f>
        <v>2905076.62</v>
      </c>
      <c r="E101">
        <f t="shared" si="66"/>
        <v>4357614.93</v>
      </c>
      <c r="F101">
        <f t="shared" si="66"/>
        <v>5810153.24</v>
      </c>
      <c r="G101">
        <f t="shared" si="66"/>
        <v>7262691.55</v>
      </c>
      <c r="H101">
        <f t="shared" si="66"/>
        <v>8715229.86</v>
      </c>
      <c r="I101">
        <f t="shared" si="66"/>
        <v>10167768.17</v>
      </c>
      <c r="J101">
        <f t="shared" si="66"/>
        <v>11620306.48</v>
      </c>
      <c r="K101">
        <f t="shared" si="66"/>
        <v>13072844.79</v>
      </c>
      <c r="L101">
        <f t="shared" si="66"/>
        <v>14525383.1</v>
      </c>
      <c r="M101">
        <f t="shared" si="66"/>
        <v>15977921.41</v>
      </c>
      <c r="N101">
        <f t="shared" si="66"/>
        <v>17668376.02</v>
      </c>
    </row>
    <row r="102" spans="1:14">
      <c r="A102" t="s">
        <v>5381</v>
      </c>
      <c r="B102" t="s">
        <v>5288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5381</v>
      </c>
      <c r="B103" t="s">
        <v>5289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5381</v>
      </c>
      <c r="B104" t="s">
        <v>5290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5381</v>
      </c>
      <c r="B105" t="s">
        <v>5291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5382</v>
      </c>
      <c r="B106" t="s">
        <v>5288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5382</v>
      </c>
      <c r="B107" t="s">
        <v>5289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5382</v>
      </c>
      <c r="B108" t="s">
        <v>5290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5382</v>
      </c>
      <c r="B109" t="s">
        <v>5291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5383</v>
      </c>
      <c r="B110" t="s">
        <v>5288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5383</v>
      </c>
      <c r="B111" t="s">
        <v>5289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5383</v>
      </c>
      <c r="B112" t="s">
        <v>5290</v>
      </c>
      <c r="C112">
        <f t="shared" ref="C112:N112" si="75">C4+C16+C28+C44+C60+C72+C88+C100</f>
        <v>3485611.69</v>
      </c>
      <c r="D112">
        <f t="shared" si="75"/>
        <v>3485611.69</v>
      </c>
      <c r="E112">
        <f t="shared" si="75"/>
        <v>3485611.69</v>
      </c>
      <c r="F112">
        <f t="shared" si="75"/>
        <v>3485611.69</v>
      </c>
      <c r="G112">
        <f t="shared" si="75"/>
        <v>3485611.69</v>
      </c>
      <c r="H112">
        <f t="shared" si="75"/>
        <v>3485611.69</v>
      </c>
      <c r="I112">
        <f t="shared" si="75"/>
        <v>3485611.69</v>
      </c>
      <c r="J112">
        <f t="shared" si="75"/>
        <v>3485611.69</v>
      </c>
      <c r="K112">
        <f t="shared" si="75"/>
        <v>3485611.69</v>
      </c>
      <c r="L112">
        <f t="shared" si="75"/>
        <v>3485611.69</v>
      </c>
      <c r="M112">
        <f t="shared" si="75"/>
        <v>3485611.69</v>
      </c>
      <c r="N112">
        <f t="shared" si="75"/>
        <v>4261013.63</v>
      </c>
    </row>
    <row r="113" spans="1:14">
      <c r="A113" t="s">
        <v>5383</v>
      </c>
      <c r="B113" t="s">
        <v>5291</v>
      </c>
      <c r="C113">
        <f t="shared" si="73"/>
        <v>3485611.69</v>
      </c>
      <c r="D113">
        <f t="shared" ref="D113:N113" si="76">C113+D112</f>
        <v>6971223.38</v>
      </c>
      <c r="E113">
        <f t="shared" si="76"/>
        <v>10456835.07</v>
      </c>
      <c r="F113">
        <f t="shared" si="76"/>
        <v>13942446.76</v>
      </c>
      <c r="G113">
        <f t="shared" si="76"/>
        <v>17428058.45</v>
      </c>
      <c r="H113">
        <f t="shared" si="76"/>
        <v>20913670.14</v>
      </c>
      <c r="I113">
        <f t="shared" si="76"/>
        <v>24399281.83</v>
      </c>
      <c r="J113">
        <f t="shared" si="76"/>
        <v>27884893.52</v>
      </c>
      <c r="K113">
        <f t="shared" si="76"/>
        <v>31370505.21</v>
      </c>
      <c r="L113">
        <f t="shared" si="76"/>
        <v>34856116.9</v>
      </c>
      <c r="M113">
        <f t="shared" si="76"/>
        <v>38341728.59</v>
      </c>
      <c r="N113">
        <f t="shared" si="76"/>
        <v>42602742.22</v>
      </c>
    </row>
    <row r="114" spans="1:14">
      <c r="A114" t="s">
        <v>5384</v>
      </c>
      <c r="B114" t="s">
        <v>5288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5384</v>
      </c>
      <c r="B115" t="s">
        <v>5289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5384</v>
      </c>
      <c r="B116" t="s">
        <v>5290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5384</v>
      </c>
      <c r="B117" t="s">
        <v>5291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5385</v>
      </c>
      <c r="B118" t="s">
        <v>5288</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5385</v>
      </c>
      <c r="B119" t="s">
        <v>5289</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5385</v>
      </c>
      <c r="B120" t="s">
        <v>5290</v>
      </c>
      <c r="C120">
        <f t="shared" ref="C120:N120" si="84">C12+C24+C36+C40+C52+C56+C80+C84+C68+C96+C108</f>
        <v>7452.83018867924</v>
      </c>
      <c r="D120">
        <f t="shared" si="84"/>
        <v>7452.83018867924</v>
      </c>
      <c r="E120">
        <f t="shared" si="84"/>
        <v>7452.83018867924</v>
      </c>
      <c r="F120">
        <f t="shared" si="84"/>
        <v>7452.83018867924</v>
      </c>
      <c r="G120">
        <f t="shared" si="84"/>
        <v>7452.83018867924</v>
      </c>
      <c r="H120">
        <f t="shared" si="84"/>
        <v>7452.83018867924</v>
      </c>
      <c r="I120">
        <f t="shared" si="84"/>
        <v>7452.83018867924</v>
      </c>
      <c r="J120">
        <f t="shared" si="84"/>
        <v>7452.83018867924</v>
      </c>
      <c r="K120">
        <f t="shared" si="84"/>
        <v>7452.83018867924</v>
      </c>
      <c r="L120">
        <f t="shared" si="84"/>
        <v>7452.83018867924</v>
      </c>
      <c r="M120">
        <f t="shared" si="84"/>
        <v>7452.83018867924</v>
      </c>
      <c r="N120">
        <f t="shared" si="84"/>
        <v>7452.83018867924</v>
      </c>
    </row>
    <row r="121" spans="1:14">
      <c r="A121" t="s">
        <v>5385</v>
      </c>
      <c r="B121" t="s">
        <v>5291</v>
      </c>
      <c r="C121">
        <f t="shared" si="80"/>
        <v>7452.83018867924</v>
      </c>
      <c r="D121">
        <f t="shared" ref="D121:N121" si="85">C121+D120</f>
        <v>14905.6603773585</v>
      </c>
      <c r="E121">
        <f t="shared" si="85"/>
        <v>22358.4905660377</v>
      </c>
      <c r="F121">
        <f t="shared" si="85"/>
        <v>29811.320754717</v>
      </c>
      <c r="G121">
        <f t="shared" si="85"/>
        <v>37264.1509433962</v>
      </c>
      <c r="H121">
        <f t="shared" si="85"/>
        <v>44716.9811320754</v>
      </c>
      <c r="I121">
        <f t="shared" si="85"/>
        <v>52169.8113207547</v>
      </c>
      <c r="J121">
        <f t="shared" si="85"/>
        <v>59622.6415094339</v>
      </c>
      <c r="K121">
        <f t="shared" si="85"/>
        <v>67075.4716981132</v>
      </c>
      <c r="L121">
        <f t="shared" si="85"/>
        <v>74528.3018867924</v>
      </c>
      <c r="M121">
        <f t="shared" si="85"/>
        <v>81981.1320754717</v>
      </c>
      <c r="N121">
        <f t="shared" si="85"/>
        <v>89433.9622641509</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S14" sqref="S14"/>
    </sheetView>
  </sheetViews>
  <sheetFormatPr defaultColWidth="9" defaultRowHeight="13.5"/>
  <cols>
    <col min="1" max="1" width="15.875" customWidth="1"/>
    <col min="2" max="2" width="14" customWidth="1"/>
    <col min="4" max="14" width="10.375"/>
  </cols>
  <sheetData>
    <row r="1" customFormat="1" spans="1:14">
      <c r="A1" t="s">
        <v>5386</v>
      </c>
      <c r="C1" t="s">
        <v>766</v>
      </c>
      <c r="D1" t="s">
        <v>767</v>
      </c>
      <c r="E1" t="s">
        <v>768</v>
      </c>
      <c r="F1" t="s">
        <v>769</v>
      </c>
      <c r="G1" t="s">
        <v>770</v>
      </c>
      <c r="H1" t="s">
        <v>771</v>
      </c>
      <c r="I1" t="s">
        <v>772</v>
      </c>
      <c r="J1" t="s">
        <v>773</v>
      </c>
      <c r="K1" t="s">
        <v>774</v>
      </c>
      <c r="L1" t="s">
        <v>775</v>
      </c>
      <c r="M1" t="s">
        <v>776</v>
      </c>
      <c r="N1" t="s">
        <v>777</v>
      </c>
    </row>
    <row r="2" spans="1:14">
      <c r="A2" t="s">
        <v>138</v>
      </c>
      <c r="B2" t="s">
        <v>5288</v>
      </c>
      <c r="C2">
        <f>SUM(物资过程计算表!D2:D15)</f>
        <v>0</v>
      </c>
      <c r="D2">
        <f>SUM(物资过程计算表!E2:E15)</f>
        <v>0</v>
      </c>
      <c r="E2">
        <f>SUM(物资过程计算表!F2:F15)</f>
        <v>0</v>
      </c>
      <c r="F2">
        <f>SUM(物资过程计算表!G2:G15)</f>
        <v>1250.29</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5289</v>
      </c>
      <c r="C3">
        <f t="shared" ref="C3:C7" si="0">C2</f>
        <v>0</v>
      </c>
      <c r="D3">
        <f t="shared" ref="D3:N3" si="1">C3+D2</f>
        <v>0</v>
      </c>
      <c r="E3">
        <f t="shared" si="1"/>
        <v>0</v>
      </c>
      <c r="F3">
        <f t="shared" si="1"/>
        <v>1250.29</v>
      </c>
      <c r="G3">
        <f t="shared" si="1"/>
        <v>1250.29</v>
      </c>
      <c r="H3">
        <f t="shared" si="1"/>
        <v>1250.29</v>
      </c>
      <c r="I3">
        <f t="shared" si="1"/>
        <v>1250.29</v>
      </c>
      <c r="J3">
        <f t="shared" si="1"/>
        <v>1250.29</v>
      </c>
      <c r="K3">
        <f t="shared" si="1"/>
        <v>1250.29</v>
      </c>
      <c r="L3">
        <f t="shared" si="1"/>
        <v>1250.29</v>
      </c>
      <c r="M3">
        <f t="shared" si="1"/>
        <v>1250.29</v>
      </c>
      <c r="N3">
        <f t="shared" si="1"/>
        <v>1250.29</v>
      </c>
    </row>
    <row r="4" spans="1:14">
      <c r="A4" t="s">
        <v>2326</v>
      </c>
      <c r="B4" t="s">
        <v>5288</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368.5</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5289</v>
      </c>
      <c r="C5">
        <f t="shared" si="0"/>
        <v>0</v>
      </c>
      <c r="D5">
        <f t="shared" ref="D5:N5" si="2">C5+D4</f>
        <v>0</v>
      </c>
      <c r="E5">
        <f t="shared" si="2"/>
        <v>0</v>
      </c>
      <c r="F5">
        <f t="shared" si="2"/>
        <v>368.5</v>
      </c>
      <c r="G5">
        <f t="shared" si="2"/>
        <v>368.5</v>
      </c>
      <c r="H5">
        <f t="shared" si="2"/>
        <v>368.5</v>
      </c>
      <c r="I5">
        <f t="shared" si="2"/>
        <v>368.5</v>
      </c>
      <c r="J5">
        <f t="shared" si="2"/>
        <v>368.5</v>
      </c>
      <c r="K5">
        <f t="shared" si="2"/>
        <v>368.5</v>
      </c>
      <c r="L5">
        <f t="shared" si="2"/>
        <v>368.5</v>
      </c>
      <c r="M5">
        <f t="shared" si="2"/>
        <v>368.5</v>
      </c>
      <c r="N5">
        <f t="shared" si="2"/>
        <v>368.5</v>
      </c>
    </row>
    <row r="6" spans="1:14">
      <c r="A6" t="s">
        <v>4359</v>
      </c>
      <c r="B6" t="s">
        <v>5288</v>
      </c>
      <c r="C6">
        <f>SUM(物资过程计算表!D29:D90,物资过程计算表!D934)</f>
        <v>34200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3264.8</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4359</v>
      </c>
      <c r="B7" t="s">
        <v>5289</v>
      </c>
      <c r="C7">
        <f t="shared" si="0"/>
        <v>34200</v>
      </c>
      <c r="D7">
        <f t="shared" ref="D7:N7" si="3">C7+D6</f>
        <v>34200</v>
      </c>
      <c r="E7">
        <f t="shared" si="3"/>
        <v>34200</v>
      </c>
      <c r="F7">
        <f t="shared" si="3"/>
        <v>34200</v>
      </c>
      <c r="G7">
        <f t="shared" si="3"/>
        <v>34200</v>
      </c>
      <c r="H7">
        <f t="shared" si="3"/>
        <v>37464.8</v>
      </c>
      <c r="I7">
        <f t="shared" si="3"/>
        <v>37464.8</v>
      </c>
      <c r="J7">
        <f t="shared" si="3"/>
        <v>37464.8</v>
      </c>
      <c r="K7">
        <f t="shared" si="3"/>
        <v>37464.8</v>
      </c>
      <c r="L7">
        <f t="shared" si="3"/>
        <v>37464.8</v>
      </c>
      <c r="M7">
        <f t="shared" si="3"/>
        <v>37464.8</v>
      </c>
      <c r="N7">
        <f t="shared" si="3"/>
        <v>37464.8</v>
      </c>
    </row>
    <row r="8" spans="1:14">
      <c r="A8" t="s">
        <v>2071</v>
      </c>
      <c r="B8" t="s">
        <v>5288</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5289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4860</v>
      </c>
      <c r="B10" t="s">
        <v>5288</v>
      </c>
      <c r="C10">
        <f>SUM(物资过程计算表!D532:D546,物资过程计算表!D852:D932)</f>
        <v>630.54</v>
      </c>
      <c r="D10">
        <f>SUM(物资过程计算表!E532:E546,物资过程计算表!E852:E932)</f>
        <v>62839.12</v>
      </c>
      <c r="E10">
        <f>SUM(物资过程计算表!F532:F546,物资过程计算表!F852:F932)</f>
        <v>474.6</v>
      </c>
      <c r="F10">
        <f>SUM(物资过程计算表!G532:G546,物资过程计算表!G852:G932)</f>
        <v>815.8</v>
      </c>
      <c r="G10">
        <f>SUM(物资过程计算表!H532:H546,物资过程计算表!H852:H932)</f>
        <v>170.8</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4860</v>
      </c>
      <c r="B11" t="s">
        <v>5289</v>
      </c>
      <c r="C11">
        <f t="shared" si="4"/>
        <v>630.54</v>
      </c>
      <c r="D11">
        <f t="shared" ref="D11:N11" si="6">C11+D10</f>
        <v>63469.66</v>
      </c>
      <c r="E11">
        <f t="shared" si="6"/>
        <v>63944.26</v>
      </c>
      <c r="F11">
        <f t="shared" si="6"/>
        <v>64760.06</v>
      </c>
      <c r="G11">
        <f t="shared" si="6"/>
        <v>64930.86</v>
      </c>
      <c r="H11">
        <f t="shared" si="6"/>
        <v>64930.86</v>
      </c>
      <c r="I11">
        <f t="shared" si="6"/>
        <v>64930.86</v>
      </c>
      <c r="J11">
        <f t="shared" si="6"/>
        <v>64930.86</v>
      </c>
      <c r="K11">
        <f t="shared" si="6"/>
        <v>64930.86</v>
      </c>
      <c r="L11">
        <f t="shared" si="6"/>
        <v>64930.86</v>
      </c>
      <c r="M11">
        <f t="shared" si="6"/>
        <v>64930.86</v>
      </c>
      <c r="N11">
        <f t="shared" si="6"/>
        <v>64930.86</v>
      </c>
    </row>
    <row r="12" spans="1:14">
      <c r="A12" t="s">
        <v>5387</v>
      </c>
      <c r="B12" t="s">
        <v>5288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5387</v>
      </c>
      <c r="B13" t="s">
        <v>5289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3791</v>
      </c>
      <c r="B14" t="s">
        <v>5288</v>
      </c>
      <c r="C14">
        <f>SUM(物资过程计算表!D605:D749)</f>
        <v>0</v>
      </c>
      <c r="D14">
        <f>SUM(物资过程计算表!E605:E749)</f>
        <v>0</v>
      </c>
      <c r="E14">
        <f>SUM(物资过程计算表!F605:F749)</f>
        <v>0</v>
      </c>
      <c r="F14">
        <f>SUM(物资过程计算表!G605:G749)</f>
        <v>118491.39</v>
      </c>
      <c r="G14">
        <f>SUM(物资过程计算表!H605:H749)</f>
        <v>95642.32</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3791</v>
      </c>
      <c r="B15" t="s">
        <v>5289</v>
      </c>
      <c r="C15">
        <f t="shared" ref="C15:C19" si="8">C14</f>
        <v>0</v>
      </c>
      <c r="D15">
        <f t="shared" ref="D15:N15" si="9">C15+D14</f>
        <v>0</v>
      </c>
      <c r="E15">
        <f t="shared" si="9"/>
        <v>0</v>
      </c>
      <c r="F15">
        <f t="shared" si="9"/>
        <v>118491.39</v>
      </c>
      <c r="G15">
        <f t="shared" si="9"/>
        <v>214133.71</v>
      </c>
      <c r="H15">
        <f t="shared" si="9"/>
        <v>214133.71</v>
      </c>
      <c r="I15">
        <f t="shared" si="9"/>
        <v>214133.71</v>
      </c>
      <c r="J15">
        <f t="shared" si="9"/>
        <v>214133.71</v>
      </c>
      <c r="K15">
        <f t="shared" si="9"/>
        <v>214133.71</v>
      </c>
      <c r="L15">
        <f t="shared" si="9"/>
        <v>214133.71</v>
      </c>
      <c r="M15">
        <f t="shared" si="9"/>
        <v>214133.71</v>
      </c>
      <c r="N15">
        <f t="shared" si="9"/>
        <v>214133.71</v>
      </c>
    </row>
    <row r="16" spans="1:14">
      <c r="A16" t="s">
        <v>5388</v>
      </c>
      <c r="B16" t="s">
        <v>5288</v>
      </c>
      <c r="C16">
        <f>SUM(物资过程计算表!D750:D807)</f>
        <v>0</v>
      </c>
      <c r="D16">
        <f>SUM(物资过程计算表!E750:E807)</f>
        <v>5950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5388</v>
      </c>
      <c r="B17" t="s">
        <v>5289</v>
      </c>
      <c r="C17">
        <f t="shared" si="8"/>
        <v>0</v>
      </c>
      <c r="D17">
        <f t="shared" ref="D17:N17" si="10">C17+D16</f>
        <v>5950</v>
      </c>
      <c r="E17">
        <f t="shared" si="10"/>
        <v>5950</v>
      </c>
      <c r="F17">
        <f t="shared" si="10"/>
        <v>5950</v>
      </c>
      <c r="G17">
        <f t="shared" si="10"/>
        <v>5950</v>
      </c>
      <c r="H17">
        <f t="shared" si="10"/>
        <v>5950</v>
      </c>
      <c r="I17">
        <f t="shared" si="10"/>
        <v>5950</v>
      </c>
      <c r="J17">
        <f t="shared" si="10"/>
        <v>5950</v>
      </c>
      <c r="K17">
        <f t="shared" si="10"/>
        <v>5950</v>
      </c>
      <c r="L17">
        <f t="shared" si="10"/>
        <v>5950</v>
      </c>
      <c r="M17">
        <f t="shared" si="10"/>
        <v>5950</v>
      </c>
      <c r="N17">
        <f t="shared" si="10"/>
        <v>5950</v>
      </c>
    </row>
    <row r="18" spans="1:14">
      <c r="A18" t="s">
        <v>5389</v>
      </c>
      <c r="B18" t="s">
        <v>5288</v>
      </c>
      <c r="C18">
        <f>SUM(物资过程计算表!D808:D851)</f>
        <v>0</v>
      </c>
      <c r="D18">
        <f>SUM(物资过程计算表!E808:E851)</f>
        <v>0</v>
      </c>
      <c r="E18">
        <f>SUM(物资过程计算表!F808:F851)</f>
        <v>0</v>
      </c>
      <c r="F18">
        <f>SUM(物资过程计算表!G808:G851)</f>
        <v>385</v>
      </c>
      <c r="G18">
        <f>SUM(物资过程计算表!H808:H851)</f>
        <v>140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5389</v>
      </c>
      <c r="B19" t="s">
        <v>5289</v>
      </c>
      <c r="C19">
        <f t="shared" si="8"/>
        <v>0</v>
      </c>
      <c r="D19">
        <f t="shared" ref="D19:N19" si="11">C19+D18</f>
        <v>0</v>
      </c>
      <c r="E19">
        <f t="shared" si="11"/>
        <v>0</v>
      </c>
      <c r="F19">
        <f t="shared" si="11"/>
        <v>385</v>
      </c>
      <c r="G19">
        <f t="shared" si="11"/>
        <v>525</v>
      </c>
      <c r="H19">
        <f t="shared" si="11"/>
        <v>525</v>
      </c>
      <c r="I19">
        <f t="shared" si="11"/>
        <v>525</v>
      </c>
      <c r="J19">
        <f t="shared" si="11"/>
        <v>525</v>
      </c>
      <c r="K19">
        <f t="shared" si="11"/>
        <v>525</v>
      </c>
      <c r="L19">
        <f t="shared" si="11"/>
        <v>525</v>
      </c>
      <c r="M19">
        <f t="shared" si="11"/>
        <v>525</v>
      </c>
      <c r="N19">
        <f t="shared" si="11"/>
        <v>525</v>
      </c>
    </row>
    <row r="20" customFormat="1"/>
    <row r="21" spans="1:14">
      <c r="A21" t="s">
        <v>5390</v>
      </c>
      <c r="B21" t="s">
        <v>5288</v>
      </c>
      <c r="C21">
        <f t="shared" ref="C21:N21" si="12">SUM(C2,C4,C6,C8,C10,C12,C14,C16,C18)</f>
        <v>34830.54</v>
      </c>
      <c r="D21">
        <f t="shared" si="12"/>
        <v>68789.12</v>
      </c>
      <c r="E21">
        <f t="shared" si="12"/>
        <v>474.6</v>
      </c>
      <c r="F21">
        <f t="shared" si="12"/>
        <v>121310.98</v>
      </c>
      <c r="G21">
        <f t="shared" si="12"/>
        <v>95953.12</v>
      </c>
      <c r="H21">
        <f t="shared" si="12"/>
        <v>3264.8</v>
      </c>
      <c r="I21">
        <f t="shared" si="12"/>
        <v>0</v>
      </c>
      <c r="J21">
        <f t="shared" si="12"/>
        <v>0</v>
      </c>
      <c r="K21">
        <f t="shared" si="12"/>
        <v>0</v>
      </c>
      <c r="L21">
        <f t="shared" si="12"/>
        <v>0</v>
      </c>
      <c r="M21">
        <f t="shared" si="12"/>
        <v>0</v>
      </c>
      <c r="N21">
        <f t="shared" si="12"/>
        <v>0</v>
      </c>
    </row>
    <row r="22" customFormat="1" spans="2:14">
      <c r="B22" t="s">
        <v>5289</v>
      </c>
      <c r="C22">
        <f t="shared" ref="C22:N22" si="13">SUM(C3,C5,C7,C9,C11,C13,C15,C17,C19)</f>
        <v>34830.54</v>
      </c>
      <c r="D22">
        <f t="shared" si="13"/>
        <v>103619.66</v>
      </c>
      <c r="E22">
        <f t="shared" si="13"/>
        <v>104094.26</v>
      </c>
      <c r="F22">
        <f t="shared" si="13"/>
        <v>225405.24</v>
      </c>
      <c r="G22">
        <f t="shared" si="13"/>
        <v>321358.36</v>
      </c>
      <c r="H22">
        <f t="shared" si="13"/>
        <v>324623.16</v>
      </c>
      <c r="I22">
        <f t="shared" si="13"/>
        <v>324623.16</v>
      </c>
      <c r="J22">
        <f t="shared" si="13"/>
        <v>324623.16</v>
      </c>
      <c r="K22">
        <f t="shared" si="13"/>
        <v>324623.16</v>
      </c>
      <c r="L22">
        <f t="shared" si="13"/>
        <v>324623.16</v>
      </c>
      <c r="M22">
        <f t="shared" si="13"/>
        <v>324623.16</v>
      </c>
      <c r="N22">
        <f t="shared" si="13"/>
        <v>324623.16</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5260</v>
      </c>
      <c r="B1" s="2" t="s">
        <v>5261</v>
      </c>
      <c r="C1" s="3" t="s">
        <v>766</v>
      </c>
      <c r="D1" s="3" t="s">
        <v>767</v>
      </c>
      <c r="E1" s="3" t="s">
        <v>768</v>
      </c>
      <c r="F1" s="3" t="s">
        <v>769</v>
      </c>
      <c r="G1" s="3" t="s">
        <v>770</v>
      </c>
      <c r="H1" s="3" t="s">
        <v>771</v>
      </c>
      <c r="I1" s="3" t="s">
        <v>772</v>
      </c>
      <c r="J1" s="3" t="s">
        <v>773</v>
      </c>
      <c r="K1" s="3" t="s">
        <v>774</v>
      </c>
      <c r="L1" s="3" t="s">
        <v>775</v>
      </c>
      <c r="M1" s="3" t="s">
        <v>776</v>
      </c>
      <c r="N1" s="7" t="s">
        <v>777</v>
      </c>
    </row>
    <row r="2" spans="1:14">
      <c r="A2" s="4" t="s">
        <v>2162</v>
      </c>
      <c r="B2" s="5" t="s">
        <v>5270</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2162</v>
      </c>
      <c r="B3" s="5" t="s">
        <v>5271</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2162</v>
      </c>
      <c r="B4" s="5" t="s">
        <v>5272</v>
      </c>
      <c r="C4" s="5" cm="1">
        <f t="array" ref="C4">INDEX('2 过程管理表单'!$537:$537,24+(COLUMN(A1)-1)*3)</f>
        <v>20400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2162</v>
      </c>
      <c r="B5" s="5" t="s">
        <v>5273</v>
      </c>
      <c r="C5" s="5">
        <f t="shared" si="0"/>
        <v>20400</v>
      </c>
      <c r="D5" s="5">
        <f t="shared" ref="D5:N5" si="2">C5+D4</f>
        <v>20400</v>
      </c>
      <c r="E5" s="5">
        <f t="shared" si="2"/>
        <v>20400</v>
      </c>
      <c r="F5" s="5">
        <f t="shared" si="2"/>
        <v>20400</v>
      </c>
      <c r="G5" s="5">
        <f t="shared" si="2"/>
        <v>20400</v>
      </c>
      <c r="H5" s="5">
        <f t="shared" si="2"/>
        <v>20400</v>
      </c>
      <c r="I5" s="5">
        <f t="shared" si="2"/>
        <v>20400</v>
      </c>
      <c r="J5" s="5">
        <f t="shared" si="2"/>
        <v>20400</v>
      </c>
      <c r="K5" s="5">
        <f t="shared" si="2"/>
        <v>20400</v>
      </c>
      <c r="L5" s="5">
        <f t="shared" si="2"/>
        <v>20400</v>
      </c>
      <c r="M5" s="5">
        <f t="shared" si="2"/>
        <v>20400</v>
      </c>
      <c r="N5" s="5">
        <f t="shared" si="2"/>
        <v>20400</v>
      </c>
    </row>
    <row r="6" spans="1:14">
      <c r="A6" s="4" t="s">
        <v>2198</v>
      </c>
      <c r="B6" s="5" t="s">
        <v>5270</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2198</v>
      </c>
      <c r="B7" s="5" t="s">
        <v>5271</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2198</v>
      </c>
      <c r="B8" s="5" t="s">
        <v>5272</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2198</v>
      </c>
      <c r="B9" s="5" t="s">
        <v>5273</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2206</v>
      </c>
      <c r="B10" s="5" t="s">
        <v>5270</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2206</v>
      </c>
      <c r="B11" s="5" t="s">
        <v>5271</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2206</v>
      </c>
      <c r="B12" s="5" t="s">
        <v>5272</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2206</v>
      </c>
      <c r="B13" s="5" t="s">
        <v>5273</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2224</v>
      </c>
      <c r="B14" s="5" t="s">
        <v>5270</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2224</v>
      </c>
      <c r="B15" s="5" t="s">
        <v>5271</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2224</v>
      </c>
      <c r="B16" s="5" t="s">
        <v>5272</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2224</v>
      </c>
      <c r="B17" s="5" t="s">
        <v>5273</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2244</v>
      </c>
      <c r="B18" s="5" t="s">
        <v>5270</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2244</v>
      </c>
      <c r="B19" s="5" t="s">
        <v>5271</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2244</v>
      </c>
      <c r="B20" s="5" t="s">
        <v>5272</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2244</v>
      </c>
      <c r="B21" s="5" t="s">
        <v>5273</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2250</v>
      </c>
      <c r="B22" s="5" t="s">
        <v>5270</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2250</v>
      </c>
      <c r="B23" s="5" t="s">
        <v>5271</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2250</v>
      </c>
      <c r="B24" s="5" t="s">
        <v>5272</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2250</v>
      </c>
      <c r="B25" s="5" t="s">
        <v>5273</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2264</v>
      </c>
      <c r="B26" s="5" t="s">
        <v>5270</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2264</v>
      </c>
      <c r="B27" s="5" t="s">
        <v>5271</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2264</v>
      </c>
      <c r="B28" s="5" t="s">
        <v>5272</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2264</v>
      </c>
      <c r="B29" s="5" t="s">
        <v>5273</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2282</v>
      </c>
      <c r="B30" s="5" t="s">
        <v>5270</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2282</v>
      </c>
      <c r="B31" s="5" t="s">
        <v>5271</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2282</v>
      </c>
      <c r="B32" s="5" t="s">
        <v>5272</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2282</v>
      </c>
      <c r="B33" s="5" t="s">
        <v>5273</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2288</v>
      </c>
      <c r="B34" s="5" t="s">
        <v>5270</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2288</v>
      </c>
      <c r="B35" s="5" t="s">
        <v>5271</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2288</v>
      </c>
      <c r="B36" s="5" t="s">
        <v>5272</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2288</v>
      </c>
      <c r="B37" s="5" t="s">
        <v>5273</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2301</v>
      </c>
      <c r="B38" s="5" t="s">
        <v>5270</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2301</v>
      </c>
      <c r="B39" s="5" t="s">
        <v>5271</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2301</v>
      </c>
      <c r="B40" s="5" t="s">
        <v>5272</v>
      </c>
      <c r="C40" s="5" cm="1">
        <f t="array" ref="C40">INDEX('2 过程管理表单'!$591:$591,24+(COLUMN(A1)-1)*3)</f>
        <v>12804.1509433962</v>
      </c>
      <c r="D40" s="5" cm="1">
        <f t="array" ref="D40">INDEX('2 过程管理表单'!$591:$591,24+(COLUMN(B1)-1)*3)</f>
        <v>12804.1509433962</v>
      </c>
      <c r="E40" s="5" cm="1">
        <f t="array" ref="E40">INDEX('2 过程管理表单'!$591:$591,24+(COLUMN(C1)-1)*3)</f>
        <v>12804.1509433962</v>
      </c>
      <c r="F40" s="5" cm="1">
        <f t="array" ref="F40">INDEX('2 过程管理表单'!$591:$591,24+(COLUMN(D1)-1)*3)</f>
        <v>12804.1509433962</v>
      </c>
      <c r="G40" s="5" cm="1">
        <f t="array" ref="G40">INDEX('2 过程管理表单'!$591:$591,24+(COLUMN(E1)-1)*3)</f>
        <v>12804.1509433962</v>
      </c>
      <c r="H40" s="5" cm="1">
        <f t="array" ref="H40">INDEX('2 过程管理表单'!$591:$591,24+(COLUMN(F1)-1)*3)</f>
        <v>12804.1509433962</v>
      </c>
      <c r="I40" s="5" cm="1">
        <f t="array" ref="I40">INDEX('2 过程管理表单'!$591:$591,24+(COLUMN(G1)-1)*3)</f>
        <v>12804.1509433962</v>
      </c>
      <c r="J40" s="5" cm="1">
        <f t="array" ref="J40">INDEX('2 过程管理表单'!$591:$591,24+(COLUMN(H1)-1)*3)</f>
        <v>12804.1509433962</v>
      </c>
      <c r="K40" s="5" cm="1">
        <f t="array" ref="K40">INDEX('2 过程管理表单'!$591:$591,24+(COLUMN(I1)-1)*3)</f>
        <v>12804.1509433962</v>
      </c>
      <c r="L40" s="5" cm="1">
        <f t="array" ref="L40">INDEX('2 过程管理表单'!$591:$591,24+(COLUMN(J1)-1)*3)</f>
        <v>12804.1509433962</v>
      </c>
      <c r="M40" s="5" cm="1">
        <f t="array" ref="M40">INDEX('2 过程管理表单'!$591:$591,24+(COLUMN(K1)-1)*3)</f>
        <v>12804.1509433962</v>
      </c>
      <c r="N40" s="5" cm="1">
        <f t="array" ref="N40">INDEX('2 过程管理表单'!$591:$591,24+(COLUMN(L1)-1)*3)</f>
        <v>12804.1509433962</v>
      </c>
    </row>
    <row r="41" spans="1:14">
      <c r="A41" s="4" t="s">
        <v>2301</v>
      </c>
      <c r="B41" s="5" t="s">
        <v>5273</v>
      </c>
      <c r="C41" s="5">
        <f>C40</f>
        <v>12804.1509433962</v>
      </c>
      <c r="D41" s="5">
        <f t="shared" ref="D41:N41" si="25">C41+D40</f>
        <v>25608.3018867924</v>
      </c>
      <c r="E41" s="5">
        <f t="shared" si="25"/>
        <v>38412.4528301886</v>
      </c>
      <c r="F41" s="5">
        <f t="shared" si="25"/>
        <v>51216.6037735848</v>
      </c>
      <c r="G41" s="5">
        <f t="shared" si="25"/>
        <v>64020.754716981</v>
      </c>
      <c r="H41" s="5">
        <f t="shared" si="25"/>
        <v>76824.9056603772</v>
      </c>
      <c r="I41" s="5">
        <f t="shared" si="25"/>
        <v>89629.0566037734</v>
      </c>
      <c r="J41" s="5">
        <f t="shared" si="25"/>
        <v>102433.20754717</v>
      </c>
      <c r="K41" s="5">
        <f t="shared" si="25"/>
        <v>115237.358490566</v>
      </c>
      <c r="L41" s="5">
        <f t="shared" si="25"/>
        <v>128041.509433962</v>
      </c>
      <c r="M41" s="5">
        <f t="shared" si="25"/>
        <v>140845.660377358</v>
      </c>
      <c r="N41" s="5">
        <f t="shared" si="25"/>
        <v>153649.811320754</v>
      </c>
    </row>
    <row r="43" customFormat="1" spans="1:1">
      <c r="A43" t="s">
        <v>745</v>
      </c>
    </row>
    <row r="44" customFormat="1" spans="1:14">
      <c r="A44" s="4" t="s">
        <v>64</v>
      </c>
      <c r="B44" s="5" t="s">
        <v>5270</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5271</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5272</v>
      </c>
      <c r="C46" s="6">
        <f t="shared" ref="C46:N46" si="28">C4+C8+C12+C16+C20+C24+C28+C32+C36+C40</f>
        <v>33204.1509433962</v>
      </c>
      <c r="D46" s="6">
        <f t="shared" si="28"/>
        <v>12804.1509433962</v>
      </c>
      <c r="E46" s="6">
        <f t="shared" si="28"/>
        <v>12804.1509433962</v>
      </c>
      <c r="F46" s="6">
        <f t="shared" si="28"/>
        <v>12804.1509433962</v>
      </c>
      <c r="G46" s="6">
        <f t="shared" si="28"/>
        <v>12804.1509433962</v>
      </c>
      <c r="H46" s="6">
        <f t="shared" si="28"/>
        <v>12804.1509433962</v>
      </c>
      <c r="I46" s="6">
        <f t="shared" si="28"/>
        <v>12804.1509433962</v>
      </c>
      <c r="J46" s="6">
        <f t="shared" si="28"/>
        <v>12804.1509433962</v>
      </c>
      <c r="K46" s="6">
        <f t="shared" si="28"/>
        <v>12804.1509433962</v>
      </c>
      <c r="L46" s="6">
        <f t="shared" si="28"/>
        <v>12804.1509433962</v>
      </c>
      <c r="M46" s="6">
        <f t="shared" si="28"/>
        <v>12804.1509433962</v>
      </c>
      <c r="N46" s="6">
        <f t="shared" si="28"/>
        <v>12804.1509433962</v>
      </c>
    </row>
    <row r="47" customFormat="1" spans="1:14">
      <c r="A47" s="4" t="s">
        <v>64</v>
      </c>
      <c r="B47" s="5" t="s">
        <v>5273</v>
      </c>
      <c r="C47" s="6">
        <f>C46</f>
        <v>33204.1509433962</v>
      </c>
      <c r="D47" s="6">
        <f t="shared" ref="D47:N47" si="29">C47+D46</f>
        <v>46008.3018867924</v>
      </c>
      <c r="E47" s="6">
        <f t="shared" si="29"/>
        <v>58812.4528301886</v>
      </c>
      <c r="F47" s="6">
        <f t="shared" si="29"/>
        <v>71616.6037735848</v>
      </c>
      <c r="G47" s="6">
        <f t="shared" si="29"/>
        <v>84420.754716981</v>
      </c>
      <c r="H47" s="6">
        <f t="shared" si="29"/>
        <v>97224.9056603772</v>
      </c>
      <c r="I47" s="6">
        <f t="shared" si="29"/>
        <v>110029.056603773</v>
      </c>
      <c r="J47" s="6">
        <f t="shared" si="29"/>
        <v>122833.20754717</v>
      </c>
      <c r="K47" s="6">
        <f t="shared" si="29"/>
        <v>135637.358490566</v>
      </c>
      <c r="L47" s="6">
        <f t="shared" si="29"/>
        <v>148441.509433962</v>
      </c>
      <c r="M47" s="6">
        <f t="shared" si="29"/>
        <v>161245.660377358</v>
      </c>
      <c r="N47" s="8">
        <f t="shared" si="29"/>
        <v>174049.811320754</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9BFD57F4D3754ACEB49F663FA67BE440_13</vt:lpwstr>
  </property>
  <property fmtid="{D5CDD505-2E9C-101B-9397-08002B2CF9AE}" pid="3" name="KSOProductBuildVer">
    <vt:lpwstr>2052-12.1.0.21915</vt:lpwstr>
  </property>
  <property fmtid="{D5CDD505-2E9C-101B-9397-08002B2CF9AE}" pid="4" name="KSOReadingLayout">
    <vt:bool>false</vt:bool>
  </property>
</Properties>
</file>