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035" tabRatio="931" firstSheet="5" activeTab="5"/>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引出数据_合同数据仓库'!$A$1:$BP$20</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<sst xmlns="http://schemas.openxmlformats.org/spreadsheetml/2006/main" count="17709" uniqueCount="4329">
  <si>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</si>
  <si>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</si>
  <si>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</si>
  <si>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</si>
  <si>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</si>
  <si>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</si>
  <si>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</si>
  <si>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</si>
  <si>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</si>
  <si>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</si>
  <si>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</si>
  <si>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</si>
  <si>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</si>
  <si>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</si>
  <si>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</si>
  <si>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</si>
  <si>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</si>
  <si>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</si>
  <si>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</si>
  <si>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</si>
  <si>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</si>
  <si>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</si>
  <si>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</si>
  <si>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</si>
  <si>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</si>
  <si>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</si>
  <si>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</si>
  <si>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</si>
  <si>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</si>
  <si>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</si>
  <si>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</si>
  <si>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</si>
  <si>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</si>
  <si>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</si>
  <si>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</si>
  <si>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</si>
  <si>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</si>
  <si>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</si>
  <si>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</si>
  <si>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</si>
  <si>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</si>
  <si>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</si>
  <si>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</si>
  <si>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</si>
  <si>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</si>
  <si>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</si>
  <si>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</si>
  <si>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</si>
  <si>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</si>
  <si>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</si>
  <si>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</si>
  <si>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</si>
  <si>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</si>
  <si>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</si>
  <si>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</si>
  <si>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</si>
  <si>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</si>
  <si>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</si>
  <si>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</si>
  <si>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</si>
  <si>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</si>
  <si>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</si>
  <si>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</si>
  <si>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</si>
  <si>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</si>
  <si>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</si>
  <si>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</si>
  <si>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</si>
  <si>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</si>
  <si>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</si>
  <si>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</si>
  <si>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</si>
  <si>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</si>
  <si>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</si>
  <si>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</si>
  <si>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</si>
  <si>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</si>
  <si>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</si>
  <si>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</si>
  <si>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</si>
  <si>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</si>
  <si>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</si>
  <si>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</si>
  <si>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</si>
  <si>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</si>
  <si>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</si>
  <si>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</si>
  <si>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</si>
  <si>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</si>
  <si>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</si>
  <si>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</si>
  <si>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</si>
  <si>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</si>
  <si>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</si>
  <si>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</si>
  <si>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</si>
  <si>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</si>
  <si>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</si>
  <si>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</si>
  <si>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</si>
  <si>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</si>
  <si>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</si>
  <si>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</si>
  <si>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</si>
  <si>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</si>
  <si>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</si>
  <si>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</si>
  <si>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</si>
  <si>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</si>
  <si>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</si>
  <si>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</si>
  <si>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</si>
  <si>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</si>
  <si>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</si>
  <si>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</si>
  <si>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</si>
  <si>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</si>
  <si>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</si>
  <si>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</si>
  <si>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</si>
  <si>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</si>
  <si>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</si>
  <si>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</si>
  <si>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</si>
  <si>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</si>
  <si>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</si>
  <si>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</si>
  <si>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</si>
  <si>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</si>
  <si>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</si>
  <si>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</si>
  <si>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</si>
  <si>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</si>
  <si>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</si>
  <si>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</si>
  <si>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</si>
  <si>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</si>
  <si>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</si>
  <si>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</si>
  <si>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</si>
  <si>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</si>
  <si>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</si>
  <si>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</si>
  <si>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</si>
  <si>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</si>
  <si>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</si>
  <si>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</si>
  <si>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</si>
  <si>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</si>
  <si>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</si>
  <si>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</si>
  <si>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</si>
  <si>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</si>
  <si>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</si>
  <si>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</si>
  <si>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</si>
  <si>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</si>
  <si>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</si>
  <si>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</si>
  <si>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</si>
  <si>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</si>
  <si>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</si>
  <si>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</si>
  <si>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</si>
  <si>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</si>
  <si>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</si>
  <si>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</si>
  <si>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</si>
  <si>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</si>
  <si>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</si>
  <si>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</si>
  <si>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</si>
  <si>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</si>
  <si>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</si>
  <si>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</si>
  <si>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</si>
  <si>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</si>
  <si>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</si>
  <si>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</si>
  <si>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</si>
  <si>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</si>
  <si>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</si>
  <si>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</si>
  <si>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</si>
  <si>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</si>
  <si>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</si>
  <si>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</si>
  <si>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</si>
  <si>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</si>
  <si>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</si>
  <si>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</si>
  <si>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</si>
  <si>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</si>
  <si>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</si>
  <si>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</si>
  <si>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</si>
  <si>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</si>
  <si>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</si>
  <si>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</si>
  <si>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</si>
  <si>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</si>
  <si>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</si>
  <si>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</si>
  <si>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</si>
  <si>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</si>
  <si>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</si>
  <si>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</si>
  <si>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</si>
  <si>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</si>
  <si>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</si>
  <si>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</si>
  <si>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</si>
  <si>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</si>
  <si>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</si>
  <si>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</si>
  <si>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</si>
  <si>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</si>
  <si>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</si>
  <si>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</si>
  <si>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</si>
  <si>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</si>
  <si>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</si>
  <si>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</si>
  <si>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</si>
  <si>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</si>
  <si>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</si>
  <si>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</si>
  <si>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</si>
  <si>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</si>
  <si>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</si>
  <si>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</si>
  <si>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</si>
  <si>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</si>
  <si>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</si>
  <si>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</si>
  <si>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</si>
  <si>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</si>
  <si>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</si>
  <si>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</si>
  <si>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</si>
  <si>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</si>
  <si>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</si>
  <si>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</si>
  <si>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</si>
  <si>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</si>
  <si>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</si>
  <si>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</si>
  <si>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</si>
  <si>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</si>
  <si>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</si>
  <si>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</si>
  <si>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</si>
  <si>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</si>
  <si>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</si>
  <si>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</si>
  <si>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</si>
  <si>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</si>
  <si>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</si>
  <si>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</si>
  <si>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</si>
  <si>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</si>
  <si>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</si>
  <si>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</si>
  <si>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</si>
  <si>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</si>
  <si>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</si>
  <si>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</si>
  <si>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</si>
  <si>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</si>
  <si>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</si>
  <si>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</si>
  <si>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</si>
  <si>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</si>
  <si>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</si>
  <si>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</si>
  <si>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</si>
  <si>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</si>
  <si>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</si>
  <si>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</si>
  <si>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</si>
  <si>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</si>
  <si>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</si>
  <si>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</si>
  <si>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</si>
  <si>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</si>
  <si>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</si>
  <si>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</si>
  <si>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</si>
  <si>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</si>
  <si>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</si>
  <si>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</si>
  <si>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</si>
  <si>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</si>
  <si>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</si>
  <si>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</si>
  <si>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</si>
  <si>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</si>
  <si>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</si>
  <si>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</si>
  <si>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</si>
  <si>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</si>
  <si>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</si>
  <si>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</si>
  <si>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</si>
  <si>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</si>
  <si>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</si>
  <si>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</si>
  <si>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</si>
  <si>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</si>
  <si>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</si>
  <si>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</si>
  <si>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</si>
  <si>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</si>
  <si>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</si>
  <si>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</si>
  <si>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</si>
  <si>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</si>
  <si>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</si>
  <si>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</si>
  <si>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</si>
  <si>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</si>
  <si>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</si>
  <si>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</si>
  <si>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</si>
  <si>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</si>
  <si>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</si>
  <si>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</si>
  <si>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</si>
  <si>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</si>
  <si>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</si>
  <si>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</si>
  <si>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</si>
  <si>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</si>
  <si>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</si>
  <si>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</si>
  <si>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</si>
  <si>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</si>
  <si>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</si>
  <si>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</si>
  <si>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</si>
  <si>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</si>
  <si>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</si>
  <si>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</si>
  <si>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</si>
  <si>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</si>
  <si>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</si>
  <si>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</si>
  <si>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</si>
  <si>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</si>
  <si>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</si>
  <si>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</si>
  <si>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</si>
  <si>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</si>
  <si>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</si>
  <si>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</si>
  <si>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</si>
  <si>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</si>
  <si>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</si>
  <si>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</si>
  <si>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</si>
  <si>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</si>
  <si>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</si>
  <si>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</si>
  <si>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</si>
  <si>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</si>
  <si>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</si>
  <si>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</si>
  <si>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</si>
  <si>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</si>
  <si>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</si>
  <si>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</si>
  <si>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</si>
  <si>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</si>
  <si>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</si>
  <si>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</si>
  <si>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</si>
  <si>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</si>
  <si>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</si>
  <si>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</si>
  <si>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</si>
  <si>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</si>
  <si>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</si>
  <si>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</si>
  <si>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</si>
  <si>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</si>
  <si>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</si>
  <si>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</si>
  <si>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</si>
  <si>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</si>
  <si>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</si>
  <si>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</si>
  <si>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</si>
  <si>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</si>
  <si>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</si>
  <si>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</si>
  <si>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</si>
  <si>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</si>
  <si>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</si>
  <si>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</si>
  <si>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</si>
  <si>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</si>
  <si>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</si>
  <si>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</si>
  <si>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</si>
  <si>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</si>
  <si>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</si>
  <si>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</si>
  <si>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</si>
  <si>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</si>
  <si>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</si>
  <si>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</si>
  <si>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</si>
  <si>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</si>
  <si>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</si>
  <si>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</si>
  <si>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</si>
  <si>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</si>
  <si>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</si>
  <si>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</si>
  <si>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</si>
  <si>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</si>
  <si>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</si>
  <si>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</si>
  <si>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</si>
  <si>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</si>
  <si>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</si>
  <si>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</si>
  <si>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</si>
  <si>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</si>
  <si>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</si>
  <si>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</si>
  <si>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</si>
  <si>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</si>
  <si>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</si>
  <si>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</si>
  <si>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</si>
  <si>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</si>
  <si>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</si>
  <si>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</si>
  <si>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</si>
  <si>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</si>
  <si>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</si>
  <si>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</si>
  <si>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</si>
  <si>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</si>
  <si>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</si>
  <si>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</si>
  <si>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</si>
  <si>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</si>
  <si>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</si>
  <si>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</si>
  <si>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</si>
  <si>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</si>
  <si>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</si>
  <si>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</si>
  <si>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</si>
  <si>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</si>
  <si>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</si>
  <si>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</si>
  <si>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</si>
  <si>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</si>
  <si>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</si>
  <si>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</si>
  <si>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</si>
  <si>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</si>
  <si>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</si>
  <si>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</si>
  <si>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</si>
  <si>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</si>
  <si>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</si>
  <si>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</si>
  <si>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</si>
  <si>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</si>
  <si>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</si>
  <si>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</si>
  <si>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</si>
  <si>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</si>
  <si>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</si>
  <si>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</si>
  <si>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</si>
  <si>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</si>
  <si>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</si>
  <si>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</si>
  <si>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</si>
  <si>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</si>
  <si>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</si>
  <si>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</si>
  <si>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</si>
  <si>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</si>
  <si>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</si>
  <si>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</si>
  <si>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</si>
  <si>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</si>
  <si>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</si>
  <si>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</si>
  <si>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</si>
  <si>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</si>
  <si>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</si>
  <si>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</si>
  <si>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</si>
  <si>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</si>
  <si>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</si>
  <si>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</si>
  <si>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</si>
  <si>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</si>
  <si>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</si>
  <si>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</si>
  <si>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</si>
  <si>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</si>
  <si>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</si>
  <si>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</si>
  <si>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</si>
  <si>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</si>
  <si>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</si>
  <si>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</si>
  <si>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</si>
  <si>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</si>
  <si>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</si>
  <si>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</si>
  <si>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</si>
  <si>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</si>
  <si>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</si>
  <si>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</si>
  <si>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</si>
  <si>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</si>
  <si>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</si>
  <si>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</si>
  <si>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</si>
  <si>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</si>
  <si>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</si>
  <si>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</si>
  <si>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</si>
  <si>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</si>
  <si>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</si>
  <si>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</si>
  <si>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</si>
  <si>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</si>
  <si>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</si>
  <si>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</si>
  <si>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</si>
  <si>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</si>
  <si>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</si>
  <si>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</si>
  <si>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</si>
  <si>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</si>
  <si>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</si>
  <si>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</si>
  <si>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</si>
  <si>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</si>
  <si>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</si>
  <si>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</si>
  <si>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</si>
  <si>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</si>
  <si>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</si>
  <si>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</si>
  <si>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</si>
  <si>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</si>
  <si>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</si>
  <si>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</si>
  <si>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</si>
  <si>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</si>
  <si>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</si>
  <si>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</si>
  <si>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</si>
  <si>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</si>
  <si>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</si>
  <si>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</si>
  <si>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</si>
  <si>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</si>
  <si>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</si>
  <si>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</si>
  <si>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</si>
  <si>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</si>
  <si>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</si>
  <si>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</si>
  <si>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</si>
  <si>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</si>
  <si>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</si>
  <si>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</si>
  <si>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</si>
  <si>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</si>
  <si>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</si>
  <si>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</si>
  <si>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</si>
  <si>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</si>
  <si>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</si>
  <si>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</si>
  <si>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</si>
  <si>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</si>
  <si>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</si>
  <si>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</si>
  <si>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</si>
  <si>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</si>
  <si>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</si>
  <si>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</si>
  <si>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</si>
  <si>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</si>
  <si>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</si>
  <si>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</si>
  <si>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</si>
  <si>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</si>
  <si>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</si>
  <si>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</si>
  <si>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</si>
  <si>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</si>
  <si>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</si>
  <si>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</si>
  <si>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</si>
  <si>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</si>
  <si>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</si>
  <si>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</si>
  <si>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</si>
  <si>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</si>
  <si>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</si>
  <si>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</si>
  <si>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</si>
  <si>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</si>
  <si>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</si>
  <si>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</si>
  <si>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</si>
  <si>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</si>
  <si>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</si>
  <si>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</si>
  <si>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</si>
  <si>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</si>
  <si>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</si>
  <si>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</si>
  <si>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</si>
  <si>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</si>
  <si>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</si>
  <si>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</si>
  <si>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</si>
  <si>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</si>
  <si>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</si>
  <si>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</si>
  <si>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</si>
  <si>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</si>
  <si>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</si>
  <si>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</si>
  <si>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</si>
  <si>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</si>
  <si>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</si>
  <si>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</si>
  <si>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</si>
  <si>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</si>
  <si>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</si>
  <si>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</si>
  <si>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</si>
  <si>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</si>
  <si>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</si>
  <si>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</si>
  <si>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</si>
  <si>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</si>
  <si>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</si>
  <si>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</si>
  <si>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</si>
  <si>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</si>
  <si>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</si>
  <si>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</si>
  <si>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</si>
  <si>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</si>
  <si>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</si>
  <si>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</si>
  <si>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</si>
  <si>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</si>
  <si>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</si>
  <si>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</si>
  <si>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</si>
  <si>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</si>
  <si>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</si>
  <si>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</si>
  <si>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</si>
  <si>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</si>
  <si>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</si>
  <si>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</si>
  <si>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</si>
  <si>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</si>
  <si>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</si>
  <si>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</si>
  <si>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</si>
  <si>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</si>
  <si>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</si>
  <si>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</si>
  <si>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</si>
  <si>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</si>
  <si>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</si>
  <si>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</si>
  <si>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</si>
  <si>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</si>
  <si>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</si>
  <si>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</si>
  <si>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</si>
  <si>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</si>
  <si>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</si>
  <si>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</si>
  <si>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</si>
  <si>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</si>
  <si>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</si>
  <si>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</si>
  <si>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</si>
  <si>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</si>
  <si>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</si>
  <si>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</si>
  <si>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</si>
  <si>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</si>
  <si>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</si>
  <si>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</si>
  <si>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</si>
  <si>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</si>
  <si>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</si>
  <si>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</si>
  <si>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</si>
  <si>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</si>
  <si>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</si>
  <si>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</si>
  <si>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</si>
  <si>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</si>
  <si>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</si>
  <si>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</si>
  <si>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</si>
  <si>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</si>
  <si>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梅华小学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</si>
  <si>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</si>
  <si>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</si>
  <si>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</si>
  <si>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</si>
  <si>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</si>
  <si>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</si>
  <si>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</si>
  <si>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</si>
  <si>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</si>
  <si>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</si>
  <si>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</si>
  <si>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</si>
  <si>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</si>
  <si>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</si>
  <si>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</si>
  <si>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</si>
  <si>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</si>
  <si>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</si>
  <si>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</si>
  <si>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</si>
  <si>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</si>
  <si>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</si>
  <si>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</si>
  <si>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</si>
  <si>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</si>
  <si>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</si>
  <si>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</si>
  <si>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</si>
  <si>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</si>
  <si>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</si>
  <si>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</si>
  <si>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</si>
  <si>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</si>
  <si>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</si>
  <si>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</si>
  <si>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</si>
  <si>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</si>
  <si>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</si>
  <si>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</si>
  <si>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</si>
  <si>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</si>
  <si>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</si>
  <si>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</si>
  <si>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</si>
  <si>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</si>
  <si>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</si>
  <si>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</si>
  <si>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</si>
  <si>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</si>
  <si>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</si>
  <si>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</si>
  <si>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</si>
  <si>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</si>
  <si>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</si>
  <si>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</si>
  <si>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</si>
  <si>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</si>
  <si>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</si>
  <si>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</si>
  <si>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</si>
  <si>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</si>
  <si>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</si>
  <si>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</si>
  <si>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</si>
  <si>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</si>
  <si>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</si>
  <si>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</si>
  <si>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</si>
  <si>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</si>
  <si>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</si>
  <si>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</si>
  <si>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</si>
  <si>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</si>
  <si>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</si>
  <si>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</si>
  <si>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</si>
  <si>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</si>
  <si>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</si>
  <si>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</si>
  <si>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</si>
  <si>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</si>
  <si>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</si>
  <si>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</si>
  <si>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</si>
  <si>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</si>
  <si>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</si>
  <si>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</si>
  <si>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</si>
  <si>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</si>
  <si>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</si>
  <si>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</si>
  <si>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</si>
  <si>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</si>
  <si>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</si>
  <si>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</si>
  <si>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</si>
  <si>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</si>
  <si>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</si>
  <si>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</si>
  <si>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</si>
  <si>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</si>
  <si>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</si>
  <si>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</si>
  <si>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</si>
  <si>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</si>
  <si>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</si>
  <si>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</si>
  <si>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</si>
  <si>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</si>
  <si>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</si>
  <si>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</si>
  <si>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</si>
  <si>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</si>
  <si>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</si>
  <si>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</si>
  <si>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</si>
  <si>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</si>
  <si>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</si>
  <si>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</si>
  <si>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</si>
  <si>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</si>
  <si>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</si>
  <si>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</si>
  <si>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</si>
  <si>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</si>
  <si>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</si>
  <si>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</si>
  <si>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</si>
  <si>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</si>
  <si>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</si>
  <si>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</si>
  <si>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</si>
  <si>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</si>
  <si>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</si>
  <si>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</si>
  <si>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</si>
  <si>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</si>
  <si>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</si>
  <si>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</si>
  <si>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</si>
  <si>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</si>
  <si>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</si>
  <si>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</si>
  <si>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</si>
  <si>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</si>
  <si>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</si>
  <si>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</si>
  <si>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</si>
  <si>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</si>
  <si>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</si>
  <si>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</si>
  <si>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</si>
  <si>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</si>
  <si>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</si>
  <si>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</si>
  <si>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</si>
  <si>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</si>
  <si>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</si>
  <si>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</si>
  <si>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</si>
  <si>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</si>
  <si>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</si>
  <si>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</si>
  <si>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</si>
  <si>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</si>
  <si>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</si>
  <si>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</si>
  <si>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</si>
  <si>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</si>
  <si>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</si>
  <si>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</si>
  <si>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</si>
  <si>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</si>
  <si>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</si>
  <si>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</si>
  <si>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</si>
  <si>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</si>
  <si>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</si>
  <si>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</si>
  <si>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</si>
  <si>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</si>
  <si>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</si>
  <si>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</si>
  <si>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</si>
  <si>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</si>
  <si>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</si>
  <si>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</si>
  <si>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</si>
  <si>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</si>
  <si>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</si>
  <si>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</si>
  <si>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</si>
  <si>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</si>
  <si>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</si>
  <si>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</si>
  <si>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</si>
  <si>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</si>
  <si>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</si>
  <si>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</si>
  <si>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</si>
  <si>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</si>
  <si>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</si>
  <si>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</si>
  <si>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</si>
  <si>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</si>
  <si>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</si>
  <si>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</si>
  <si>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</si>
  <si>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</si>
  <si>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</si>
  <si>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</si>
  <si>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</si>
  <si>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</si>
  <si>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</si>
  <si>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</si>
  <si>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</si>
  <si>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</si>
  <si>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</si>
  <si>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</si>
  <si>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</si>
  <si>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</si>
  <si>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</si>
  <si>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</si>
  <si>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</si>
  <si>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</si>
  <si>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</si>
  <si>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</si>
  <si>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</si>
  <si>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</si>
  <si>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</si>
  <si>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</si>
  <si>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</si>
  <si>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</si>
  <si>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</si>
  <si>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</si>
  <si>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</si>
  <si>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</si>
  <si>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</si>
  <si>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</si>
  <si>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</si>
  <si>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</si>
  <si>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</si>
  <si>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</si>
  <si>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</si>
  <si>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</si>
  <si>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</si>
  <si>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</si>
  <si>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</si>
  <si>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</si>
  <si>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</si>
  <si>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</si>
  <si>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</si>
  <si>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</si>
  <si>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</si>
  <si>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</si>
  <si>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</si>
  <si>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</si>
  <si>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</si>
  <si>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</si>
  <si>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</si>
  <si>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</si>
  <si>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</si>
  <si>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</si>
  <si>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</si>
  <si>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</si>
  <si>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</si>
  <si>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</si>
  <si>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</si>
  <si>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</si>
  <si>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</si>
  <si>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</si>
  <si>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</si>
  <si>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</si>
  <si>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</si>
  <si>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</si>
  <si>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</si>
  <si>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</si>
  <si>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</si>
  <si>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</si>
  <si>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</si>
  <si>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</si>
  <si>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</si>
  <si>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</si>
  <si>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</si>
  <si>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</si>
  <si>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</si>
  <si>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</si>
  <si>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</si>
  <si>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</si>
  <si>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</si>
  <si>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</si>
  <si>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</si>
  <si>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</si>
  <si>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</si>
  <si>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</si>
  <si>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</si>
  <si>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</si>
  <si>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</si>
  <si>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</si>
  <si>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</si>
  <si>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</si>
  <si>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</si>
  <si>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</si>
  <si>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</si>
  <si>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</si>
  <si>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</si>
  <si>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</si>
  <si>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</si>
  <si>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</si>
  <si>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</si>
  <si>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</si>
  <si>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</si>
  <si>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</si>
  <si>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</si>
  <si>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</si>
  <si>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</si>
  <si>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</si>
  <si>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</si>
  <si>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</si>
  <si>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</si>
  <si>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</si>
  <si>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</si>
  <si>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</si>
  <si>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</si>
  <si>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</si>
  <si>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</si>
  <si>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</si>
  <si>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</si>
  <si>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</si>
  <si>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</si>
  <si>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</si>
  <si>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</si>
  <si>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</si>
  <si>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</si>
  <si>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</si>
  <si>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</si>
  <si>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</si>
  <si>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</si>
  <si>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</si>
  <si>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</si>
  <si>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</si>
  <si>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</si>
  <si>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</si>
  <si>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</si>
  <si>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</si>
  <si>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</si>
  <si>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</si>
  <si>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</si>
  <si>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</si>
  <si>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</si>
  <si>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</si>
  <si>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</si>
  <si>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</si>
  <si>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</si>
  <si>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</si>
  <si>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</si>
  <si>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</si>
  <si>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</si>
  <si>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</si>
  <si>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</si>
  <si>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</si>
  <si>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</si>
  <si>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</si>
  <si>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</si>
  <si>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</si>
  <si>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</si>
  <si>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</si>
  <si>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</si>
  <si>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</si>
  <si>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</si>
  <si>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</si>
  <si>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</si>
  <si>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</si>
  <si>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</si>
  <si>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</si>
  <si>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</si>
  <si>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</si>
  <si>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</si>
  <si>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</si>
  <si>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</si>
  <si>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</si>
  <si>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</si>
  <si>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</si>
  <si>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</si>
  <si>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</si>
  <si>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</si>
  <si>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</si>
  <si>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</si>
  <si>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</si>
  <si>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</si>
  <si>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</si>
  <si>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</si>
  <si>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</si>
  <si>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</si>
  <si>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</si>
  <si>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</si>
  <si>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</si>
  <si>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</si>
  <si>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</si>
  <si>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</si>
  <si>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</si>
  <si>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</si>
  <si>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</si>
  <si>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</si>
  <si>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</si>
  <si>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</si>
  <si>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</si>
  <si>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</si>
  <si>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</si>
  <si>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</si>
  <si>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</si>
  <si>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</si>
  <si>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</si>
  <si>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</si>
  <si>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</si>
  <si>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</si>
  <si>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</si>
  <si>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</si>
  <si>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</si>
  <si>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</si>
  <si>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</si>
  <si>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</si>
  <si>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</si>
  <si>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</si>
  <si>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</si>
  <si>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</si>
  <si>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</si>
  <si>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</si>
  <si>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</si>
  <si>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</si>
  <si>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</si>
  <si>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</si>
  <si>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</si>
  <si>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</si>
  <si>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</si>
  <si>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</si>
  <si>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</si>
  <si>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</si>
  <si>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</si>
  <si>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</si>
  <si>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</si>
  <si>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</si>
  <si>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</si>
  <si>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</si>
  <si>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</si>
  <si>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</si>
  <si>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</si>
  <si>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</si>
  <si>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</si>
  <si>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</si>
  <si>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</si>
  <si>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</si>
  <si>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</si>
  <si>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</si>
  <si>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</si>
  <si>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</si>
  <si>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</si>
  <si>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</si>
  <si>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</si>
  <si>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</si>
  <si>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</si>
  <si>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</si>
  <si>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</si>
  <si>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</si>
  <si>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</si>
  <si>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</si>
  <si>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</si>
  <si>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</si>
  <si>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</si>
  <si>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</si>
  <si>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</si>
  <si>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</si>
  <si>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</si>
  <si>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</si>
  <si>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</si>
  <si>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</si>
  <si>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</si>
  <si>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</si>
  <si>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</si>
  <si>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</si>
  <si>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</si>
  <si>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</si>
  <si>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</si>
  <si>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</si>
  <si>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</si>
  <si>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</si>
  <si>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</si>
  <si>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</si>
  <si>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</si>
  <si>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</si>
  <si>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</si>
  <si>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</si>
  <si>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</si>
  <si>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</si>
  <si>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</si>
  <si>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</si>
  <si>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</si>
  <si>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</si>
  <si>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</si>
  <si>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</si>
  <si>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</si>
  <si>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</si>
  <si>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</si>
  <si>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</si>
  <si>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</si>
  <si>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</si>
  <si>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</si>
  <si>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</si>
  <si>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</si>
  <si>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</si>
  <si>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</si>
  <si>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</si>
  <si>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</si>
  <si>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</si>
  <si>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</si>
  <si>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</si>
  <si>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</si>
  <si>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</si>
  <si>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</si>
  <si>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</si>
  <si>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</si>
  <si>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</si>
  <si>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</si>
  <si>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</si>
  <si>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</si>
  <si>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</si>
  <si>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</si>
  <si>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</si>
  <si>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</si>
  <si>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</si>
  <si>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</si>
  <si>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</si>
  <si>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</si>
  <si>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</si>
  <si>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</si>
  <si>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</si>
  <si>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</si>
  <si>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</si>
  <si>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</si>
  <si>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</si>
  <si>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</si>
  <si>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</si>
  <si>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</si>
  <si>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</si>
  <si>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</si>
  <si>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</si>
  <si>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</si>
  <si>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</si>
  <si>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</si>
  <si>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</si>
  <si>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</si>
  <si>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</si>
  <si>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</si>
  <si>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</si>
  <si>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</si>
  <si>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</si>
  <si>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</si>
  <si>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</si>
  <si>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</si>
  <si>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</si>
  <si>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</si>
  <si>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</si>
  <si>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</si>
  <si>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</si>
  <si>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</si>
  <si>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</si>
  <si>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</si>
  <si>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</si>
  <si>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</si>
  <si>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</si>
  <si>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</si>
  <si>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</si>
  <si>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</si>
  <si>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</si>
  <si>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</si>
  <si>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</si>
  <si>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</si>
  <si>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</si>
  <si>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</si>
  <si>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</si>
  <si>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</si>
  <si>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</si>
  <si>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</si>
  <si>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</si>
  <si>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</si>
  <si>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</si>
  <si>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</si>
  <si>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</si>
  <si>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</si>
  <si>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</si>
  <si>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</si>
  <si>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</si>
  <si>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</si>
  <si>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</si>
  <si>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</si>
  <si>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</si>
  <si>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</si>
  <si>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</si>
  <si>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</si>
  <si>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</si>
  <si>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</si>
  <si>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</si>
  <si>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</si>
  <si>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</si>
  <si>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</si>
  <si>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</si>
  <si>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</si>
  <si>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</si>
  <si>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</si>
  <si>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</si>
  <si>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</si>
  <si>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</si>
  <si>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</si>
  <si>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</si>
  <si>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</si>
  <si>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</si>
  <si>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</si>
  <si>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</si>
  <si>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</si>
  <si>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</si>
  <si>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</si>
  <si>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</si>
  <si>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</si>
  <si>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</si>
  <si>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</si>
  <si>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</si>
  <si>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</si>
  <si>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</si>
  <si>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</si>
  <si>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</si>
  <si>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</si>
  <si>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</si>
  <si>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</si>
  <si>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</si>
  <si>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</si>
  <si>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</si>
  <si>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</si>
  <si>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</si>
  <si>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</si>
  <si>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</si>
  <si>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</si>
  <si>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</si>
  <si>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</si>
  <si>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</si>
  <si>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</si>
  <si>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</si>
  <si>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</si>
  <si>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</si>
  <si>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</si>
  <si>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</si>
  <si>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</si>
  <si>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</si>
  <si>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</si>
  <si>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</si>
  <si>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</si>
  <si>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</si>
  <si>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</si>
  <si>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</si>
  <si>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</si>
  <si>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</si>
  <si>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</si>
  <si>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</si>
  <si>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</si>
  <si>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</si>
  <si>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</si>
  <si>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</si>
  <si>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</si>
  <si>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</si>
  <si>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</si>
  <si>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</si>
  <si>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</si>
  <si>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</si>
  <si>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</si>
  <si>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</si>
  <si>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</si>
  <si>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</si>
  <si>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</si>
  <si>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</si>
  <si>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</si>
  <si>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</si>
  <si>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</si>
  <si>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</si>
  <si>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</si>
  <si>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</si>
  <si>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</si>
  <si>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</si>
  <si>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</si>
  <si>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</si>
  <si>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</si>
  <si>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</si>
  <si>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</si>
  <si>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</si>
  <si>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</si>
  <si>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</si>
  <si>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</si>
  <si>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</si>
  <si>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</si>
  <si>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</si>
  <si>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</si>
  <si>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</si>
  <si>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</si>
  <si>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</si>
  <si>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</si>
  <si>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</si>
  <si>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</si>
  <si>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</si>
  <si>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</si>
  <si>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</si>
  <si>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</si>
  <si>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</si>
  <si>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</si>
  <si>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</si>
  <si>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</si>
  <si>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</si>
  <si>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</si>
  <si>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</si>
  <si>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</si>
  <si>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</si>
  <si>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</si>
  <si>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</si>
  <si>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</si>
  <si>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</si>
  <si>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</si>
  <si>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</si>
  <si>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</si>
  <si>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</si>
  <si>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</si>
  <si>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</si>
  <si>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</si>
  <si>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</si>
  <si>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</si>
  <si>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</si>
  <si>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</si>
  <si>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</si>
  <si>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</si>
  <si>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</si>
  <si>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</si>
  <si>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</si>
  <si>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</si>
  <si>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</si>
  <si>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</si>
  <si>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</si>
  <si>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</si>
  <si>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</si>
  <si>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</si>
  <si>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</si>
  <si>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</si>
  <si>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</si>
  <si>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</si>
  <si>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</si>
  <si>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</si>
  <si>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</si>
  <si>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</si>
  <si>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</si>
  <si>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</si>
  <si>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</si>
  <si>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</si>
  <si>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</si>
  <si>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</si>
  <si>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</si>
  <si>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</si>
  <si>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</si>
  <si>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</si>
  <si>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</si>
  <si>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</si>
  <si>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</si>
  <si>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</si>
  <si>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</si>
  <si>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</si>
  <si>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</si>
  <si>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</si>
  <si>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</si>
  <si>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</si>
  <si>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</si>
  <si>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</si>
  <si>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</si>
  <si>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</si>
  <si>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</si>
  <si>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</si>
  <si>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</si>
  <si>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</si>
  <si>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</si>
  <si>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</si>
  <si>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</si>
  <si>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</si>
  <si>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</si>
  <si>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</si>
  <si>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</si>
  <si>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</si>
  <si>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</si>
  <si>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</si>
  <si>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</si>
  <si>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</si>
  <si>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</si>
  <si>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</si>
  <si>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</si>
  <si>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</si>
  <si>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</si>
  <si>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</si>
  <si>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</si>
  <si>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</si>
  <si>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</si>
  <si>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</si>
  <si>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</si>
  <si>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</si>
  <si>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</si>
  <si>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</si>
  <si>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</si>
  <si>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</si>
  <si>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</si>
  <si>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</si>
  <si>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</si>
  <si>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</si>
  <si>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</si>
  <si>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</si>
  <si>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</si>
  <si>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</si>
  <si>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</si>
  <si>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</si>
  <si>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</si>
  <si>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</si>
  <si>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</si>
  <si>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</si>
  <si>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</si>
  <si>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</si>
  <si>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</si>
  <si>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</si>
  <si>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</si>
  <si>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</si>
  <si>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</si>
  <si>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</si>
  <si>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</si>
  <si>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</si>
  <si>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</si>
  <si>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</si>
  <si>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</si>
  <si>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</si>
  <si>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</si>
  <si>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</si>
  <si>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</si>
  <si>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</si>
  <si>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</si>
  <si>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</si>
  <si>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</si>
  <si>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</si>
  <si>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</si>
  <si>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</si>
  <si>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</si>
  <si>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</si>
  <si>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</si>
  <si>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</si>
  <si>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</si>
  <si>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</si>
  <si>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</si>
  <si>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</si>
  <si>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</si>
  <si>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</si>
  <si>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</si>
  <si>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</si>
  <si>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</si>
  <si>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</si>
  <si>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</si>
  <si>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</si>
  <si>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</si>
  <si>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</si>
  <si>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</si>
  <si>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</si>
  <si>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</si>
  <si>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</si>
  <si>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</si>
  <si>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</si>
  <si>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</si>
  <si>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</si>
  <si>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</si>
  <si>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</si>
  <si>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</si>
  <si>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</si>
  <si>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</si>
  <si>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</si>
  <si>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</si>
  <si>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</si>
  <si>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</si>
  <si>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</si>
  <si>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</si>
  <si>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</si>
  <si>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</si>
  <si>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</si>
  <si>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</si>
  <si>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</si>
  <si>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</si>
  <si>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</si>
  <si>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</si>
  <si>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</si>
  <si>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</si>
  <si>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</si>
  <si>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</si>
  <si>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</si>
  <si>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</si>
  <si>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</si>
  <si>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</si>
  <si>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</si>
  <si>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</si>
  <si>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</si>
  <si>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</si>
  <si>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</si>
  <si>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</si>
  <si>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</si>
  <si>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</si>
  <si>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</si>
  <si>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</si>
  <si>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</si>
  <si>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</si>
  <si>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</si>
  <si>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</si>
  <si>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</si>
  <si>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</si>
  <si>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</si>
  <si>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</si>
  <si>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</si>
  <si>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</si>
  <si>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</si>
  <si>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</si>
  <si>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</si>
  <si>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</si>
  <si>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</si>
  <si>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</si>
  <si>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</si>
  <si>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</si>
  <si>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</si>
  <si>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</si>
  <si>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</si>
  <si>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</si>
  <si>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</si>
  <si>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</si>
  <si>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</si>
  <si>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</si>
  <si>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</si>
  <si>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</si>
  <si>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</si>
  <si>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</si>
  <si>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</si>
  <si>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</si>
  <si>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</si>
  <si>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</si>
  <si>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</si>
  <si>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</si>
  <si>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</si>
  <si>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</si>
  <si>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</si>
  <si>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</si>
  <si>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</si>
  <si>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</si>
  <si>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</si>
  <si>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</si>
  <si>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</si>
  <si>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</si>
  <si>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</si>
  <si>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</si>
  <si>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</si>
  <si>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</si>
  <si>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</si>
  <si>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</si>
  <si>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</si>
  <si>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</si>
  <si>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</si>
  <si>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</si>
  <si>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</si>
  <si>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</si>
  <si>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</si>
  <si>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</si>
  <si>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</si>
  <si>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</si>
  <si>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</si>
  <si>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</si>
  <si>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</si>
  <si>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</si>
  <si>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</si>
  <si>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</si>
  <si>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</si>
  <si>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</si>
  <si>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</si>
  <si>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</si>
  <si>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</si>
  <si>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</si>
  <si>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</si>
  <si>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</si>
  <si>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</si>
  <si>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</si>
  <si>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</si>
  <si>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</si>
  <si>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</si>
  <si>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</si>
  <si>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</si>
  <si>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</si>
  <si>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</si>
  <si>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</si>
  <si>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</si>
  <si>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</si>
  <si>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</si>
  <si>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</si>
  <si>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</si>
  <si>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</si>
  <si>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</si>
  <si>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</si>
  <si>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</si>
  <si>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</si>
  <si>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</si>
  <si>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</si>
  <si>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</si>
  <si>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</si>
  <si>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</si>
  <si>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</si>
  <si>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</si>
  <si>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</si>
  <si>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</si>
  <si>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</si>
  <si>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</si>
  <si>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</si>
  <si>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</si>
  <si>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</si>
  <si>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</si>
  <si>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</si>
  <si>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</si>
  <si>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</si>
  <si>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</si>
  <si>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</si>
  <si>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</si>
  <si>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</si>
  <si>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</si>
  <si>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</si>
  <si>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</si>
  <si>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</si>
  <si>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</si>
  <si>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</si>
  <si>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</si>
  <si>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</si>
  <si>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</si>
  <si>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</si>
  <si>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</si>
  <si>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</si>
  <si>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</si>
  <si>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</si>
  <si>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</si>
  <si>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</si>
  <si>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</si>
  <si>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</si>
  <si>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</si>
  <si>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</si>
  <si>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</si>
  <si>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</si>
  <si>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</si>
  <si>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</si>
  <si>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</si>
  <si>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</si>
  <si>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</si>
  <si>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</si>
  <si>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</si>
  <si>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</si>
  <si>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</si>
  <si>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</si>
  <si>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</si>
  <si>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</si>
  <si>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</si>
  <si>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</si>
  <si>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</si>
  <si>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</si>
  <si>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</si>
  <si>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</si>
  <si>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</si>
  <si>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</si>
  <si>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</si>
  <si>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</si>
  <si>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</si>
  <si>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</si>
  <si>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</si>
  <si>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</si>
  <si>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</si>
  <si>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</si>
  <si>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</si>
  <si>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</si>
  <si>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</si>
  <si>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</si>
  <si>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</si>
  <si>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</si>
  <si>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</si>
  <si>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</si>
  <si>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</si>
  <si>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</si>
  <si>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</si>
  <si>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</si>
  <si>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</si>
  <si>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</si>
  <si>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</si>
  <si>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</si>
  <si>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</si>
  <si>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</si>
  <si>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</si>
  <si>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</si>
  <si>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</si>
  <si>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</si>
  <si>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</si>
  <si>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</si>
  <si>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</si>
  <si>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</si>
  <si>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</si>
  <si>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</si>
  <si>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</si>
  <si>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</si>
  <si>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</si>
  <si>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</si>
  <si>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</si>
  <si>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</si>
  <si>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</si>
  <si>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</si>
  <si>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</si>
  <si>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</si>
  <si>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</si>
  <si>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</si>
  <si>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</si>
  <si>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</si>
  <si>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</si>
  <si>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</si>
  <si>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</si>
  <si>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</si>
  <si>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</si>
  <si>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</si>
  <si>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</si>
  <si>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</si>
  <si>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</si>
  <si>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</si>
  <si>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</si>
  <si>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</si>
  <si>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</si>
  <si>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</si>
  <si>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</si>
  <si>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</si>
  <si>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</si>
  <si>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</si>
  <si>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</si>
  <si>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</si>
  <si>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</si>
  <si>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</si>
  <si>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</si>
  <si>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</si>
  <si>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</si>
  <si>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</si>
  <si>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</si>
  <si>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</si>
  <si>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</si>
  <si>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</si>
  <si>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</si>
  <si>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</si>
  <si>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</si>
  <si>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</si>
  <si>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</si>
  <si>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</si>
  <si>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</si>
  <si>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</si>
  <si>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</si>
  <si>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</si>
  <si>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</si>
  <si>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</si>
  <si>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</si>
  <si>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</si>
  <si>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</si>
  <si>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</si>
  <si>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</si>
  <si>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</si>
  <si>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</si>
  <si>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</si>
  <si>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</si>
  <si>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</si>
  <si>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</si>
  <si>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</si>
  <si>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</si>
  <si>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</si>
  <si>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</si>
  <si>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</si>
  <si>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</si>
  <si>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</si>
  <si>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</si>
  <si>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</si>
  <si>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</si>
  <si>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</si>
  <si>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</si>
  <si>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</si>
  <si>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</si>
  <si>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</si>
  <si>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</si>
  <si>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</si>
  <si>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</si>
  <si>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</si>
  <si>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</si>
  <si>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</si>
  <si>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</si>
  <si>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</si>
  <si>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</si>
  <si>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</si>
  <si>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</si>
  <si>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</si>
  <si>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</si>
  <si>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</si>
  <si>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</si>
  <si>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</si>
  <si>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</si>
  <si>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</si>
  <si>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</si>
  <si>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</si>
  <si>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</si>
  <si>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</si>
  <si>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</si>
  <si>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</si>
  <si>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</si>
  <si>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</si>
  <si>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</si>
  <si>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</si>
  <si>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</si>
  <si>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</si>
  <si>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</si>
  <si>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</si>
  <si>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</si>
  <si>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</si>
  <si>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</si>
  <si>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</si>
  <si>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</si>
  <si>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</si>
  <si>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</si>
  <si>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</si>
  <si>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</si>
  <si>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</si>
  <si>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</si>
  <si>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</si>
  <si>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</si>
  <si>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</si>
  <si>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</si>
  <si>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</si>
  <si>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</si>
  <si>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</si>
  <si>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</si>
  <si>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</si>
  <si>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</si>
  <si>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</si>
  <si>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</si>
  <si>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</si>
  <si>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</si>
  <si>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</si>
  <si>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</si>
  <si>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</si>
  <si>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</si>
  <si>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</si>
  <si>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</si>
  <si>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</si>
  <si>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</si>
  <si>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</si>
  <si>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</si>
  <si>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</si>
  <si>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</si>
  <si>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</si>
  <si>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</si>
  <si>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</si>
  <si>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</si>
  <si>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</si>
  <si>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</si>
  <si>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</si>
  <si>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</si>
  <si>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</si>
  <si>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</si>
  <si>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</si>
  <si>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</si>
  <si>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</si>
  <si>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</si>
  <si>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</si>
  <si>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</si>
  <si>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</si>
  <si>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</si>
  <si>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</si>
  <si>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</si>
  <si>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</si>
  <si>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</si>
  <si>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</si>
  <si>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</si>
  <si>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</si>
  <si>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</si>
  <si>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</si>
  <si>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</si>
  <si>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</si>
  <si>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</si>
  <si>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</si>
  <si>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</si>
  <si>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</si>
  <si>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</si>
  <si>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</si>
  <si>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</si>
  <si>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</si>
  <si>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</si>
  <si>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</si>
  <si>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</si>
  <si>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</si>
  <si>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</si>
  <si>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</si>
  <si>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</si>
  <si>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</si>
  <si>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</si>
  <si>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</si>
  <si>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</si>
  <si>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</si>
  <si>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</si>
  <si>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</si>
  <si>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</si>
  <si>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</si>
  <si>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</si>
  <si>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</si>
  <si>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</si>
  <si>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</si>
  <si>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</si>
  <si>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</si>
  <si>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</si>
  <si>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</si>
  <si>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</si>
  <si>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</si>
  <si>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</si>
  <si>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</si>
  <si>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</si>
  <si>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</si>
  <si>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</si>
  <si>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</si>
  <si>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</si>
  <si>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</si>
  <si>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</si>
  <si>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</si>
  <si>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</si>
  <si>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</si>
  <si>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</si>
  <si>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</si>
  <si>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</si>
  <si>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</si>
  <si>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</si>
  <si>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</si>
  <si>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</si>
  <si>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</si>
  <si>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</si>
  <si>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</si>
  <si>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</si>
  <si>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</si>
  <si>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</si>
  <si>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</si>
  <si>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</si>
  <si>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</si>
  <si>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</si>
  <si>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</si>
  <si>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</si>
  <si>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</si>
  <si>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</si>
  <si>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</si>
  <si>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</si>
  <si>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</si>
  <si>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</si>
  <si>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</si>
  <si>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</si>
  <si>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</si>
  <si>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</si>
  <si>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</si>
  <si>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</si>
  <si>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</si>
  <si>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</si>
  <si>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</si>
  <si>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</si>
  <si>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</si>
  <si>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</si>
  <si>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</si>
  <si>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</si>
  <si>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</si>
  <si>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</si>
  <si>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</si>
  <si>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</si>
  <si>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</si>
  <si>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</si>
  <si>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</si>
  <si>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</si>
  <si>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</si>
  <si>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</si>
  <si>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</si>
  <si>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</si>
  <si>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</si>
  <si>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</si>
  <si>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</si>
  <si>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</si>
  <si>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</si>
  <si>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</si>
  <si>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</si>
  <si>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</si>
  <si>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</si>
  <si>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</si>
  <si>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</si>
  <si>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</si>
  <si>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</si>
  <si>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</si>
  <si>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</si>
  <si>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</si>
  <si>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</si>
  <si>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</si>
  <si>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</si>
  <si>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</si>
  <si>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</si>
  <si>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</si>
  <si>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</si>
  <si>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</si>
  <si>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</si>
  <si>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</si>
  <si>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</si>
  <si>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</si>
  <si>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</si>
  <si>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</si>
  <si>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</si>
  <si>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</si>
  <si>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</si>
  <si>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</si>
  <si>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</si>
  <si>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</si>
  <si>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</si>
  <si>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</si>
  <si>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</si>
  <si>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</si>
  <si>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</si>
  <si>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</si>
  <si>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</si>
  <si>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</si>
  <si>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</si>
  <si>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</si>
  <si>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</si>
  <si>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</si>
  <si>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</si>
  <si>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</si>
  <si>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</si>
  <si>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</si>
  <si>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</si>
  <si>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</si>
  <si>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</si>
  <si>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</si>
  <si>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</si>
  <si>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</si>
  <si>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</si>
  <si>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</si>
  <si>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</si>
  <si>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</si>
  <si>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</si>
  <si>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</si>
  <si>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</si>
  <si>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</si>
  <si>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</si>
  <si>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</si>
  <si>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</si>
  <si>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</si>
  <si>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</si>
  <si>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</si>
  <si>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</si>
  <si>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</si>
  <si>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</si>
  <si>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</si>
  <si>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</si>
  <si>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</si>
  <si>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</si>
  <si>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</si>
  <si>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</si>
  <si>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</si>
  <si>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</si>
  <si>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</si>
  <si>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</si>
  <si>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</si>
  <si>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</si>
  <si>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</si>
  <si>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</si>
  <si>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</si>
  <si>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</si>
  <si>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</si>
  <si>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</si>
  <si>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</si>
  <si>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</si>
  <si>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</si>
  <si>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</si>
  <si>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</si>
  <si>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</si>
  <si>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</si>
  <si>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</si>
  <si>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</si>
  <si>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</si>
  <si>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</si>
  <si>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</si>
  <si>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</si>
  <si>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</si>
  <si>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</si>
  <si>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</si>
  <si>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</si>
  <si>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</si>
  <si>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</si>
  <si>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</si>
  <si>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</si>
  <si>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</si>
  <si>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</si>
  <si>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</si>
  <si>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</si>
  <si>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</si>
  <si>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</si>
  <si>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</si>
  <si>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</si>
  <si>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</si>
  <si>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</si>
  <si>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</si>
  <si>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</si>
  <si>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</si>
  <si>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</si>
  <si>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</si>
  <si>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</si>
  <si>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</si>
  <si>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</si>
  <si>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</si>
  <si>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</si>
  <si>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</si>
  <si>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</si>
  <si>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</si>
  <si>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</si>
  <si>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</si>
  <si>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</si>
  <si>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</si>
  <si>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</si>
  <si>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</si>
  <si>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</si>
  <si>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</si>
  <si>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</si>
  <si>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</si>
  <si>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</si>
  <si>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</si>
  <si>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</si>
  <si>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</si>
  <si>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</si>
  <si>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</si>
  <si>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</si>
  <si>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</si>
  <si>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</si>
  <si>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</si>
  <si>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</si>
  <si>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</si>
  <si>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</si>
  <si>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</si>
  <si>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</si>
  <si>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</si>
  <si>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</si>
  <si>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</si>
  <si>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</si>
  <si>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</si>
  <si>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</si>
  <si>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</si>
  <si>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</si>
  <si>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</si>
  <si>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</si>
  <si>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</si>
  <si>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</si>
  <si>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</si>
  <si>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</si>
  <si>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</si>
  <si>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</si>
  <si>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</si>
  <si>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</si>
  <si>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</si>
  <si>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</si>
  <si>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</si>
  <si>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</si>
  <si>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</si>
  <si>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</si>
  <si>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</si>
  <si>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</si>
  <si>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</si>
  <si>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</si>
  <si>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</si>
  <si>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</si>
  <si>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</si>
  <si>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</si>
  <si>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</si>
  <si>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</si>
  <si>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</si>
  <si>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</si>
  <si>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</si>
  <si>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</si>
  <si>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</si>
  <si>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</si>
  <si>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</si>
  <si>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</si>
  <si>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</si>
  <si>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</si>
  <si>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</si>
  <si>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</si>
  <si>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</si>
  <si>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</si>
  <si>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</si>
  <si>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</si>
  <si>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</si>
  <si>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</si>
  <si>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</si>
  <si>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</si>
  <si>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</si>
  <si>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</si>
  <si>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</si>
  <si>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</si>
  <si>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</si>
  <si>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</si>
  <si>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</si>
  <si>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</si>
  <si>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</si>
  <si>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</si>
  <si>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</si>
  <si>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</si>
  <si>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</si>
  <si>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</si>
  <si>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</si>
  <si>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</si>
  <si>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</si>
  <si>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</si>
  <si>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</si>
  <si>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</si>
  <si>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</si>
  <si>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</si>
  <si>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</si>
  <si>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</si>
  <si>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</si>
  <si>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</si>
  <si>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</si>
  <si>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</si>
  <si>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</si>
  <si>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</si>
  <si>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</si>
  <si>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</si>
  <si>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</si>
  <si>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</si>
  <si>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</si>
  <si>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</si>
  <si>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</si>
  <si>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</si>
  <si>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</si>
  <si>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</si>
  <si>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</si>
  <si>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</si>
  <si>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</si>
  <si>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</si>
  <si>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</si>
  <si>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</si>
  <si>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</si>
  <si>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</si>
  <si>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</si>
  <si>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</si>
  <si>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</si>
  <si>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</si>
  <si>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</si>
  <si>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</si>
  <si>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</si>
  <si>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</si>
  <si>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</si>
  <si>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</si>
  <si>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</si>
  <si>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</si>
  <si>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</si>
  <si>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</si>
  <si>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</si>
  <si>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</si>
  <si>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</si>
  <si>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</si>
  <si>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</si>
  <si>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</si>
  <si>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</si>
  <si>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</si>
  <si>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</si>
  <si>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</si>
  <si>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</si>
  <si>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</si>
  <si>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</si>
  <si>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</si>
  <si>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</si>
  <si>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</si>
  <si>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</si>
  <si>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</si>
  <si>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</si>
  <si>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UU000002332</t>
  </si>
  <si>
    <t>车位总数</t>
  </si>
  <si>
    <t>深圳区域公司深圳市福田区梅华小学物业管理服务中心</t>
  </si>
  <si>
    <t>建筑面积</t>
  </si>
  <si>
    <t>项目类型</t>
  </si>
  <si>
    <t>教育科研</t>
  </si>
  <si>
    <t>项目来源</t>
  </si>
  <si>
    <t>市场拓展-存量项目</t>
  </si>
  <si>
    <t>收费面积</t>
  </si>
  <si>
    <t>项目性质</t>
  </si>
  <si>
    <t>非住</t>
  </si>
  <si>
    <t>业务组织</t>
  </si>
  <si>
    <t>定档</t>
  </si>
  <si>
    <t>接管时间</t>
  </si>
  <si>
    <t>2023-11-01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</si>
  <si>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</si>
  <si>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</si>
  <si>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</si>
  <si>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</si>
  <si>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</si>
  <si>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</si>
  <si>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</si>
  <si>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</si>
  <si>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</si>
  <si>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</si>
  <si>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</si>
  <si>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</si>
  <si>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</si>
  <si>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</si>
  <si>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</si>
  <si>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</si>
  <si>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</si>
  <si>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</si>
  <si>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</si>
  <si>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</si>
  <si>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</si>
  <si>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</si>
  <si>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</si>
  <si>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</si>
  <si>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</si>
  <si>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</si>
  <si>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</si>
  <si>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</si>
  <si>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</si>
  <si>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</si>
  <si>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</si>
  <si>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</si>
  <si>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</si>
  <si>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</si>
  <si>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</si>
  <si>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</si>
  <si>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</si>
  <si>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</si>
  <si>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</si>
  <si>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</si>
  <si>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</si>
  <si>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</si>
  <si>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</si>
  <si>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</si>
  <si>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</si>
  <si>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</si>
  <si>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</si>
  <si>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</si>
  <si>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</si>
  <si>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</si>
  <si>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</si>
  <si>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</si>
  <si>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</si>
  <si>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</si>
  <si>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</si>
  <si>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</si>
  <si>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</si>
  <si>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</si>
  <si>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</si>
  <si>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</si>
  <si>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</si>
  <si>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</si>
  <si>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</si>
  <si>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</si>
  <si>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</si>
  <si>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</si>
  <si>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</si>
  <si>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</si>
  <si>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</si>
  <si>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</si>
  <si>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</si>
  <si>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</si>
  <si>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</si>
  <si>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</si>
  <si>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</si>
  <si>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</si>
  <si>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</si>
  <si>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</si>
  <si>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</si>
  <si>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</si>
  <si>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</si>
  <si>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</si>
  <si>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</si>
  <si>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</si>
  <si>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</si>
  <si>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</si>
  <si>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</si>
  <si>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</si>
  <si>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</si>
  <si>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</si>
  <si>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</si>
  <si>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</si>
  <si>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</si>
  <si>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</si>
  <si>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</si>
  <si>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</si>
  <si>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</si>
  <si>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</si>
  <si>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</si>
  <si>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</si>
  <si>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</si>
  <si>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</si>
  <si>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</si>
  <si>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</si>
  <si>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</si>
  <si>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</si>
  <si>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</si>
  <si>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</si>
  <si>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</si>
  <si>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</si>
  <si>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</si>
  <si>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</si>
  <si>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</si>
  <si>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</si>
  <si>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</si>
  <si>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</si>
  <si>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</si>
  <si>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</si>
  <si>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</si>
  <si>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</si>
  <si>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</si>
  <si>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</si>
  <si>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</si>
  <si>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</si>
  <si>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</si>
  <si>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</si>
  <si>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</si>
  <si>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</si>
  <si>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</si>
  <si>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</si>
  <si>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</si>
  <si>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</si>
  <si>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</si>
  <si>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</si>
  <si>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</si>
  <si>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</si>
  <si>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</si>
  <si>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</si>
  <si>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</si>
  <si>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</si>
  <si>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</si>
  <si>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</si>
  <si>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</si>
  <si>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</si>
  <si>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</si>
  <si>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</si>
  <si>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</si>
  <si>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</si>
  <si>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</si>
  <si>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</si>
  <si>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</si>
  <si>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</si>
  <si>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</si>
  <si>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</si>
  <si>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</si>
  <si>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</si>
  <si>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</si>
  <si>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</si>
  <si>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</si>
  <si>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</si>
  <si>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</si>
  <si>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</si>
  <si>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</si>
  <si>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</si>
  <si>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</si>
  <si>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</si>
  <si>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</si>
  <si>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</si>
  <si>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</si>
  <si>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</si>
  <si>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</si>
  <si>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</si>
  <si>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</si>
  <si>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</si>
  <si>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</si>
  <si>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</si>
  <si>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</si>
  <si>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</si>
  <si>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</si>
  <si>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</si>
  <si>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</si>
  <si>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</si>
  <si>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</si>
  <si>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</si>
  <si>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</si>
  <si>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</si>
  <si>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</si>
  <si>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</si>
  <si>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</si>
  <si>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</si>
  <si>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</si>
  <si>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</si>
  <si>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</si>
  <si>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</si>
  <si>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</si>
  <si>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</si>
  <si>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</si>
  <si>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</si>
  <si>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</si>
  <si>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</si>
  <si>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</si>
  <si>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</si>
  <si>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</si>
  <si>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</si>
  <si>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</si>
  <si>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</si>
  <si>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</si>
  <si>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</si>
  <si>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</si>
  <si>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</si>
  <si>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</si>
  <si>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</si>
  <si>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</si>
  <si>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</si>
  <si>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</si>
  <si>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</si>
  <si>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</si>
  <si>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</si>
  <si>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</si>
  <si>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</si>
  <si>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</si>
  <si>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</si>
  <si>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</si>
  <si>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</si>
  <si>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</si>
  <si>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</si>
  <si>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</si>
  <si>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</si>
  <si>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</si>
  <si>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</si>
  <si>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</si>
  <si>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</si>
  <si>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</si>
  <si>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</si>
  <si>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</si>
  <si>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</si>
  <si>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</si>
  <si>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</si>
  <si>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</si>
  <si>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</si>
  <si>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</si>
  <si>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</si>
  <si>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</si>
  <si>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</si>
  <si>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</si>
  <si>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</si>
  <si>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</si>
  <si>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</si>
  <si>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</si>
  <si>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</si>
  <si>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</si>
  <si>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</si>
  <si>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</si>
  <si>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</si>
  <si>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</si>
  <si>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</si>
  <si>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</si>
  <si>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</si>
  <si>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</si>
  <si>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</si>
  <si>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</si>
  <si>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</si>
  <si>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</si>
  <si>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</si>
  <si>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</si>
  <si>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</si>
  <si>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</si>
  <si>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</si>
  <si>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</si>
  <si>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</si>
  <si>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</si>
  <si>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</si>
  <si>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</si>
  <si>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</si>
  <si>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</si>
  <si>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</si>
  <si>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</si>
  <si>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</si>
  <si>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</si>
  <si>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</si>
  <si>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</si>
  <si>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</si>
  <si>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</si>
  <si>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</si>
  <si>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</si>
  <si>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</si>
  <si>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</si>
  <si>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</si>
  <si>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</si>
  <si>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</si>
  <si>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</si>
  <si>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</si>
  <si>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</si>
  <si>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</si>
  <si>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</si>
  <si>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</si>
  <si>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</si>
  <si>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</si>
  <si>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</si>
  <si>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</si>
  <si>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</si>
  <si>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</si>
  <si>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</si>
  <si>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</si>
  <si>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</si>
  <si>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</si>
  <si>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</si>
  <si>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</si>
  <si>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</si>
  <si>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</si>
  <si>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</si>
  <si>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</si>
  <si>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</si>
  <si>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</si>
  <si>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</si>
  <si>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</si>
  <si>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</si>
  <si>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</si>
  <si>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</si>
  <si>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</si>
  <si>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</si>
  <si>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</si>
  <si>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</si>
  <si>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</si>
  <si>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</si>
  <si>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</si>
  <si>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</si>
  <si>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</si>
  <si>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</si>
  <si>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</si>
  <si>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</si>
  <si>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</si>
  <si>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</si>
  <si>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</si>
  <si>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</si>
  <si>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</si>
  <si>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</si>
  <si>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</si>
  <si>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</si>
  <si>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</si>
  <si>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</si>
  <si>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</si>
  <si>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</si>
  <si>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</si>
  <si>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</si>
  <si>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</si>
  <si>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</si>
  <si>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</si>
  <si>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</si>
  <si>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</si>
  <si>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</si>
  <si>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</si>
  <si>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</si>
  <si>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</si>
  <si>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</si>
  <si>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</si>
  <si>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</si>
  <si>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</si>
  <si>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</si>
  <si>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</si>
  <si>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</si>
  <si>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</si>
  <si>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</si>
  <si>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</si>
  <si>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</si>
  <si>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</si>
  <si>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</si>
  <si>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</si>
  <si>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</si>
  <si>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</si>
  <si>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</si>
  <si>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</si>
  <si>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</si>
  <si>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</si>
  <si>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</si>
  <si>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</si>
  <si>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</si>
  <si>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</si>
  <si>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</si>
  <si>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</si>
  <si>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</si>
  <si>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</si>
  <si>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</si>
  <si>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</si>
  <si>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</si>
  <si>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</si>
  <si>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</si>
  <si>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</si>
  <si>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</si>
  <si>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</si>
  <si>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</si>
  <si>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</si>
  <si>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</si>
  <si>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</si>
  <si>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</si>
  <si>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</si>
  <si>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</si>
  <si>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</si>
  <si>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</si>
  <si>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</si>
  <si>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</si>
  <si>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</si>
  <si>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</si>
  <si>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</si>
  <si>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</si>
  <si>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</si>
  <si>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HJFW-Z-2024-7361</t>
  </si>
  <si>
    <t>HJFW-Z-2024-7360</t>
  </si>
  <si>
    <t>人事外包费-报销单</t>
  </si>
  <si>
    <t>清包</t>
  </si>
  <si>
    <t>半包</t>
  </si>
  <si>
    <t>GCFW-Z-2025-01857</t>
  </si>
  <si>
    <t>GCFW-Z-2025-01881</t>
  </si>
  <si>
    <t>GCFW-Z-2024-9544</t>
  </si>
  <si>
    <t>GCFW-Z-2024-6728</t>
  </si>
  <si>
    <t>HJFW-Z-2025-00833</t>
  </si>
  <si>
    <t>生活垃圾清运外包-报销单</t>
  </si>
  <si>
    <t>HJFW-Z-2025-01933</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</si>
  <si>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</si>
  <si>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</si>
  <si>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</si>
  <si>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</si>
  <si>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</si>
  <si>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</si>
  <si>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</si>
  <si>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</si>
  <si>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</si>
  <si>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</si>
  <si>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</si>
  <si>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</si>
  <si>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</si>
  <si>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</si>
  <si>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</si>
  <si>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</si>
  <si>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</si>
  <si>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</si>
  <si>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</si>
  <si>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</si>
  <si>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</si>
  <si>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17时07分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</si>
  <si>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</si>
  <si>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</si>
  <si>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</si>
  <si>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</si>
  <si>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</si>
  <si>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</si>
  <si>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</si>
  <si>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</si>
  <si>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</si>
  <si>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</si>
  <si>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</si>
  <si>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</si>
  <si>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</si>
  <si>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PO250620000287</t>
  </si>
  <si>
    <t>9020030001</t>
  </si>
  <si>
    <t>四害消杀</t>
  </si>
  <si>
    <t>服务类/环境服务类/四害消杀</t>
  </si>
  <si>
    <t>深圳市亿腾达环保科技有限公司</t>
  </si>
  <si>
    <t>2025-06-12 10:46:43.0</t>
  </si>
  <si>
    <t>U金地智慧服务集团公司/UB深圳区域公司/UBV深圳区域公司深圳非住学校项目组/UBVR深圳区域公司深圳市福田区梅华小学物业管理服务中心//</t>
  </si>
  <si>
    <t>3616463</t>
  </si>
  <si>
    <t>PO250408000388</t>
  </si>
  <si>
    <t>9010010002</t>
  </si>
  <si>
    <t xml:space="preserve">电梯维保 </t>
  </si>
  <si>
    <t>服务类/工程服务类/电梯维保</t>
  </si>
  <si>
    <t>日立电梯（中国）有限公司深圳分公司</t>
  </si>
  <si>
    <t>2025-03-31 15:19:22.0</t>
  </si>
  <si>
    <t>3534794</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</si>
  <si>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</si>
  <si>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</si>
  <si>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</si>
  <si>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</si>
  <si>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</si>
  <si>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</si>
  <si>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</si>
  <si>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</si>
  <si>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</si>
  <si>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</si>
  <si>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</si>
  <si>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</si>
  <si>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</si>
  <si>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</si>
  <si>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</si>
  <si>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</si>
  <si>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</si>
  <si>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</si>
  <si>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</si>
  <si>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</si>
  <si>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</si>
  <si>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</si>
  <si>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</si>
  <si>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</si>
  <si>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</si>
  <si>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</si>
  <si>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</si>
  <si>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</si>
  <si>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</si>
  <si>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</si>
  <si>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</si>
  <si>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</si>
  <si>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</si>
  <si>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</si>
  <si>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</si>
  <si>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</si>
  <si>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</si>
  <si>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</si>
  <si>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</si>
  <si>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</si>
  <si>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</si>
  <si>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</si>
  <si>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</si>
  <si>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</si>
  <si>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</si>
  <si>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</si>
  <si>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</si>
  <si>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</si>
  <si>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</si>
  <si>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</si>
  <si>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</si>
  <si>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</si>
  <si>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</si>
  <si>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</si>
  <si>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</si>
  <si>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</si>
  <si>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</si>
  <si>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</si>
  <si>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</si>
  <si>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</si>
  <si>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</si>
  <si>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</si>
  <si>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</si>
  <si>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</si>
  <si>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</si>
  <si>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</si>
  <si>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</si>
  <si>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</si>
  <si>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</si>
  <si>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</si>
  <si>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</si>
  <si>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</si>
  <si>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</si>
  <si>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</si>
  <si>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</si>
  <si>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</si>
  <si>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</si>
  <si>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</si>
  <si>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</si>
  <si>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</si>
  <si>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</si>
  <si>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</si>
  <si>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</si>
  <si>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</si>
  <si>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</si>
  <si>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</si>
  <si>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</si>
  <si>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</si>
  <si>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</si>
  <si>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</si>
  <si>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</si>
  <si>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</si>
  <si>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</si>
  <si>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</si>
  <si>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</si>
  <si>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</si>
  <si>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</si>
  <si>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</si>
  <si>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</si>
  <si>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</si>
  <si>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</si>
  <si>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</si>
  <si>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</si>
  <si>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</si>
  <si>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</si>
  <si>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</si>
  <si>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</si>
  <si>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</si>
  <si>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</si>
  <si>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</si>
  <si>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</si>
  <si>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</si>
  <si>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</si>
  <si>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</si>
  <si>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</si>
  <si>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</si>
  <si>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</si>
  <si>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</si>
  <si>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</si>
  <si>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</si>
  <si>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</si>
  <si>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</si>
  <si>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</si>
  <si>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</si>
  <si>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</si>
  <si>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</si>
  <si>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</si>
  <si>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</si>
  <si>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</si>
  <si>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</si>
  <si>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</si>
  <si>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</si>
  <si>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</si>
  <si>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</si>
  <si>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</si>
  <si>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</si>
  <si>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2198684703655986176</t>
  </si>
  <si>
    <t>审核通过</t>
  </si>
  <si>
    <t>非住梅华小学2025年生活垃圾清运合同</t>
  </si>
  <si>
    <t>2025-10-31</t>
  </si>
  <si>
    <t>主合同</t>
  </si>
  <si>
    <t>线下签署（智能+物理）</t>
  </si>
  <si>
    <t>001</t>
  </si>
  <si>
    <t>银行转账</t>
  </si>
  <si>
    <t>CNY</t>
  </si>
  <si>
    <t>人民币</t>
  </si>
  <si>
    <t/>
  </si>
  <si>
    <t>增值税专用发票</t>
  </si>
  <si>
    <t>U1015000229</t>
  </si>
  <si>
    <t>深圳区域公司</t>
  </si>
  <si>
    <t>2025-04-22</t>
  </si>
  <si>
    <t>2025-03-01</t>
  </si>
  <si>
    <t>11501025</t>
  </si>
  <si>
    <t>王学思</t>
  </si>
  <si>
    <t>V1.0</t>
  </si>
  <si>
    <t>80064500</t>
  </si>
  <si>
    <t>刘文顺</t>
  </si>
  <si>
    <t>正常</t>
  </si>
  <si>
    <t>待履约</t>
  </si>
  <si>
    <t>已签章</t>
  </si>
  <si>
    <t>已归档</t>
  </si>
  <si>
    <t>JD-YWLX-055</t>
  </si>
  <si>
    <t>生活垃圾清运</t>
  </si>
  <si>
    <t>环境服务类</t>
  </si>
  <si>
    <t>2198684683422663680</t>
  </si>
  <si>
    <t>SealSign-20250422-0146</t>
  </si>
  <si>
    <t>新签</t>
  </si>
  <si>
    <t>关于深圳区域公司 深圳非住学校项目组梅华小学垃圾清运服务合同需求，项目结算主体深圳市金地物业管理有限公司为一般纳税人， 深圳市福田区梅华小学因学校物业费调整，需签订垃圾清运外包服务合同。原有垃圾清运服务属于供方和甲方签署，现甲方需求与我司签署，费用550元/月，服务标准一致，选定供应商为“深圳市梅林环卫服务有限公司”，合同期限为2025年3月1日至2025年10月31日，合同价格单价为：550元/月，合同总价为4400元。
      妥否？请领导审批 。</t>
  </si>
  <si>
    <t>2025-05-06 16:11:56:660</t>
  </si>
  <si>
    <t>2025-04-22 12:08:49:354</t>
  </si>
  <si>
    <t>2025-05-09 16:18:26:697</t>
  </si>
  <si>
    <t>eipuser</t>
  </si>
  <si>
    <t>EIP接口用户</t>
  </si>
  <si>
    <t>2198611621549509632</t>
  </si>
  <si>
    <t>fxyz_environmentalservice</t>
  </si>
  <si>
    <t>2198684703655985152</t>
  </si>
  <si>
    <t>132</t>
  </si>
  <si>
    <t>深圳市金地物业管理有限公司</t>
  </si>
  <si>
    <t>2198684703655985153</t>
  </si>
  <si>
    <t>429824</t>
  </si>
  <si>
    <t>深圳市梅林环卫服务有限公司</t>
  </si>
  <si>
    <t>2184285418067860480</t>
  </si>
  <si>
    <t>非住梅华小学2025年消防系统维保合同</t>
  </si>
  <si>
    <t>2025-03-14</t>
  </si>
  <si>
    <t>2025-04-20</t>
  </si>
  <si>
    <t>JD-YWLX-061</t>
  </si>
  <si>
    <t>工程服务类</t>
  </si>
  <si>
    <t>2184285401995346944</t>
  </si>
  <si>
    <t>SealSign-20250402-0180</t>
  </si>
  <si>
    <t>关于深圳区域公司深圳非住学校项目组梅华小学消防维保服务合同需求，项目结算主体深圳市金地物业管理有限公司为一般纳税人， 深圳市福田区梅华小学来函：消防维保外包服务合同需要转给我司履约，学校合作的消防维保公司为“深圳市金灿消防装饰工程有限公司”，合同期限为2025年3月15日至2025年10月31日，合同价格单价为：1500元/月，共7.5月，合同总价为11250元（3月15日至3月31日750元）。
      妥否？请领导审批 。</t>
  </si>
  <si>
    <t>2025-04-11 18:32:00:200</t>
  </si>
  <si>
    <t>2025-04-02 17:37:51:483</t>
  </si>
  <si>
    <t>2025-04-29 12:03:38:583</t>
  </si>
  <si>
    <t>2184281716074576896</t>
  </si>
  <si>
    <t>fxyz_engineeringservice</t>
  </si>
  <si>
    <t>2184285418067859456</t>
  </si>
  <si>
    <t>2184285418067859457</t>
  </si>
  <si>
    <t>43207</t>
  </si>
  <si>
    <t>深圳市金灿消防装饰工程有限公司</t>
  </si>
  <si>
    <t>2184061879071067136</t>
  </si>
  <si>
    <t>非住梅华小学2025年电梯维保服务合同</t>
  </si>
  <si>
    <t>2025-03-31</t>
  </si>
  <si>
    <t>2025-04-10</t>
  </si>
  <si>
    <t>20016515</t>
  </si>
  <si>
    <t>张凤英</t>
  </si>
  <si>
    <t>V2.0</t>
  </si>
  <si>
    <t>已变更</t>
  </si>
  <si>
    <t>履约中</t>
  </si>
  <si>
    <t>JD-YWLX-060</t>
  </si>
  <si>
    <t>电梯维保/施工</t>
  </si>
  <si>
    <t>2184061848368716800</t>
  </si>
  <si>
    <t>SealSign-20250402-0039</t>
  </si>
  <si>
    <t>深圳市福田区梅华小学，需签订电梯维保外包服务合同，选定供应商为“日立电梯(中国)有限公司深圳分公司”（属于原厂维保）；
合同期限为2025年4月1日至2025年10月31日；
合同价格单价为：340元/月/台（含500元以内的配件清单）
合同总价为2380元，与总部集采价格一致，妥否，请领导审批。</t>
  </si>
  <si>
    <t>2025-04-08 09:35:26:073</t>
  </si>
  <si>
    <t>2025-04-02 10:13:52:996</t>
  </si>
  <si>
    <t>2025-04-25 17:44:16:847</t>
  </si>
  <si>
    <t>2184058256014534656</t>
  </si>
  <si>
    <t>2184061879071112192</t>
  </si>
  <si>
    <t>2184061879071112193</t>
  </si>
  <si>
    <t>45783</t>
  </si>
  <si>
    <t>2168858474413364224</t>
  </si>
  <si>
    <t>GCFW-Z-2025-01232</t>
  </si>
  <si>
    <t>废弃</t>
  </si>
  <si>
    <t>关于深圳非住学校项目组梅华小学消防维保服务合同的立项申请</t>
  </si>
  <si>
    <t>从合同</t>
  </si>
  <si>
    <t>壹万壹仟贰佰伍拾元</t>
  </si>
  <si>
    <t>2025-03-15</t>
  </si>
  <si>
    <t>HTTZ-061707</t>
  </si>
  <si>
    <t>GCFW-Z-2025-00916</t>
  </si>
  <si>
    <t>已作废</t>
  </si>
  <si>
    <t>未签章</t>
  </si>
  <si>
    <t>未归档</t>
  </si>
  <si>
    <t>2168858423410627584</t>
  </si>
  <si>
    <t>SealSign-20250312-0070</t>
  </si>
  <si>
    <t>ID-000028</t>
  </si>
  <si>
    <t>杨振华</t>
  </si>
  <si>
    <t>2025-03-12 10:50:32:853</t>
  </si>
  <si>
    <t>2025-04-15 02:23:38:730</t>
  </si>
  <si>
    <t>2168858424861856768</t>
  </si>
  <si>
    <t>2168858474413319168</t>
  </si>
  <si>
    <t>WYCSR-202212-970</t>
  </si>
  <si>
    <t>上海洪利消防工程有限公司</t>
  </si>
  <si>
    <t>2168858474413319169</t>
  </si>
  <si>
    <t>2165417528178833408</t>
  </si>
  <si>
    <t>梅华小学2025年四害消杀合同</t>
  </si>
  <si>
    <t>2025-06-30</t>
  </si>
  <si>
    <t>叁仟贰佰元</t>
  </si>
  <si>
    <t>2025-03-07</t>
  </si>
  <si>
    <t>HTTZ-037209</t>
  </si>
  <si>
    <t>HJFW-Z-2024-3155</t>
  </si>
  <si>
    <t>JD-YWLX-051</t>
  </si>
  <si>
    <t>2165417475942929408</t>
  </si>
  <si>
    <t>SealSign-20250307-0169</t>
  </si>
  <si>
    <t>2025-03-19 22:20:54:648</t>
  </si>
  <si>
    <t>2025-03-07 16:55:29:212</t>
  </si>
  <si>
    <t>2025-04-15 02:01:53:608</t>
  </si>
  <si>
    <t>2165417477486478336</t>
  </si>
  <si>
    <t>2165417528178834432</t>
  </si>
  <si>
    <t>2165417528178834433</t>
  </si>
  <si>
    <t>CUS472999623036783404</t>
  </si>
  <si>
    <t>2164454251042971648</t>
  </si>
  <si>
    <t>HJFW-Z-2025-00789</t>
  </si>
  <si>
    <t>审核未通过</t>
  </si>
  <si>
    <t>梅华小学2025年四害消杀服务合同</t>
  </si>
  <si>
    <t>壹拾柒万陆仟肆佰元</t>
  </si>
  <si>
    <t>2025-03-06</t>
  </si>
  <si>
    <t>2024-11-01</t>
  </si>
  <si>
    <t>HTTZ-051613</t>
  </si>
  <si>
    <t>作废中</t>
  </si>
  <si>
    <t>2164454243602314240</t>
  </si>
  <si>
    <t>SealSign-20250306-0013</t>
  </si>
  <si>
    <t>2025-03-06 07:44:31:828</t>
  </si>
  <si>
    <t>2025-04-29 12:10:13:795</t>
  </si>
  <si>
    <t>2164454244877427712</t>
  </si>
  <si>
    <t>2164454251042972672</t>
  </si>
  <si>
    <t>2164454251042972673</t>
  </si>
  <si>
    <t>415437</t>
  </si>
  <si>
    <t>深圳卫士美洁有限公司</t>
  </si>
  <si>
    <t>2078254751316719616</t>
  </si>
  <si>
    <t>梅华小学清洁外包合同</t>
  </si>
  <si>
    <t>2024-10-31</t>
  </si>
  <si>
    <t>80022966</t>
  </si>
  <si>
    <t>方新</t>
  </si>
  <si>
    <t>JD-YWLX-048</t>
  </si>
  <si>
    <t>保洁外包</t>
  </si>
  <si>
    <t>2078254724229902337</t>
  </si>
  <si>
    <t>SealSign-20241107-0065</t>
  </si>
  <si>
    <t xml:space="preserve">梅华小学保洁外包服务甲方建议与深圳卫士美洁有限公司续签，3人，单价4900元/人/月，合同期限为2024年11月1日至2025年10月31日，总金额176400元，与上期合同单价和人数保持一致，上期合同时间为2024年2月1日到2024年10月31日共9个月总金额为132300元，请领导审批！
</t>
  </si>
  <si>
    <t>2024-11-13 16:33:52:912</t>
  </si>
  <si>
    <t>2024-11-04 16:23:59:817</t>
  </si>
  <si>
    <t>2025-04-15 01:58:16:219</t>
  </si>
  <si>
    <t>2076252956558159872</t>
  </si>
  <si>
    <t>2078254751316764672</t>
  </si>
  <si>
    <t>2078254751316764673</t>
  </si>
  <si>
    <t>2078240213414491136</t>
  </si>
  <si>
    <t>梅华小学绿化外包合同</t>
  </si>
  <si>
    <t>变更中</t>
  </si>
  <si>
    <t>2078240185228739584</t>
  </si>
  <si>
    <t>SealSign-20241107-0048</t>
  </si>
  <si>
    <t xml:space="preserve">梅华小学绿化外包服务合同甲方建议深圳卫士美洁有限公司原价续签，人数1人，单价4700元/人/月，合同期限为2024年11月1日至2025年10月31日，总金额56400元，（与上期合同单价和人数保持一致，上期日期为24年2月1日至24年10月31日共9个月，上期总金额为42300元）请领导审批！
</t>
  </si>
  <si>
    <t>2024-11-12 15:47:54:801</t>
  </si>
  <si>
    <t>2024-11-04 16:23:03:937</t>
  </si>
  <si>
    <t>2025-04-15 01:58:16:112</t>
  </si>
  <si>
    <t>2076252487895018496</t>
  </si>
  <si>
    <t>2078240213414536192</t>
  </si>
  <si>
    <t>2078240213414536193</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</si>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</sst>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9">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0" fontId="10" fillId="2" borderId="0" xfId="0" applyFont="1" applyFill="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2"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www.wps.cn/officeDocument/2023/relationships/customStorage" Target="customStorage/customStorage.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4</c:v>
                </c:pt>
                <c:pt idx="1">
                  <c:v>0</c:v>
                </c:pt>
                <c:pt idx="2">
                  <c:v>8</c:v>
                </c:pt>
                <c:pt idx="3">
                  <c:v>11</c:v>
                </c:pt>
                <c:pt idx="4">
                  <c:v>11</c:v>
                </c:pt>
                <c:pt idx="5">
                  <c:v>11</c:v>
                </c:pt>
                <c:pt idx="6">
                  <c:v>10</c:v>
                </c:pt>
                <c:pt idx="7">
                  <c:v>10</c:v>
                </c:pt>
                <c:pt idx="8">
                  <c:v>10</c:v>
                </c:pt>
                <c:pt idx="9">
                  <c:v>10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4</c:v>
                </c:pt>
                <c:pt idx="1">
                  <c:v>0</c:v>
                </c:pt>
                <c:pt idx="2">
                  <c:v>8</c:v>
                </c:pt>
                <c:pt idx="3">
                  <c:v>11</c:v>
                </c:pt>
                <c:pt idx="4">
                  <c:v>11</c:v>
                </c:pt>
                <c:pt idx="5">
                  <c:v>11</c:v>
                </c:pt>
                <c:pt idx="6">
                  <c:v>10</c:v>
                </c:pt>
                <c:pt idx="7">
                  <c:v>10</c:v>
                </c:pt>
                <c:pt idx="8">
                  <c:v>10</c:v>
                </c:pt>
                <c:pt idx="9">
                  <c:v>10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0.3344251928608</c:v>
                </c:pt>
                <c:pt idx="1">
                  <c:v>0.6655748071392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0.592293743457954</c:v>
                </c:pt>
                <c:pt idx="1">
                  <c:v>0.407706256542046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0.525643835616438</c:v>
                </c:pt>
                <c:pt idx="1">
                  <c:v>0.474356164383562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3</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0.260153453983503</c:v>
                </c:pt>
                <c:pt idx="1">
                  <c:v>0.364188637323731</c:v>
                </c:pt>
                <c:pt idx="2">
                  <c:v>0.449835890187364</c:v>
                </c:pt>
                <c:pt idx="3">
                  <c:v>0.507097399940084</c:v>
                </c:pt>
                <c:pt idx="4">
                  <c:v>0.558004480851214</c:v>
                </c:pt>
                <c:pt idx="5">
                  <c:v>0.592293743457954</c:v>
                </c:pt>
                <c:pt idx="6">
                  <c:v>0.618515779902381</c:v>
                </c:pt>
                <c:pt idx="7">
                  <c:v>0.639376146435194</c:v>
                </c:pt>
                <c:pt idx="8">
                  <c:v>0.65390565587358</c:v>
                </c:pt>
                <c:pt idx="9">
                  <c:v>0.668220849593578</c:v>
                </c:pt>
                <c:pt idx="10">
                  <c:v>0.615939694113176</c:v>
                </c:pt>
                <c:pt idx="11">
                  <c:v>0.57124580195506</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19772.0547945206</c:v>
                </c:pt>
                <c:pt idx="1">
                  <c:v>37630.6849315069</c:v>
                </c:pt>
                <c:pt idx="2">
                  <c:v>58772.5891740033</c:v>
                </c:pt>
                <c:pt idx="3">
                  <c:v>80110.9167681157</c:v>
                </c:pt>
                <c:pt idx="4">
                  <c:v>103401.184988098</c:v>
                </c:pt>
                <c:pt idx="5">
                  <c:v>125940.154233242</c:v>
                </c:pt>
                <c:pt idx="6">
                  <c:v>148417.307699126</c:v>
                </c:pt>
                <c:pt idx="7">
                  <c:v>170894.46116501</c:v>
                </c:pt>
                <c:pt idx="8">
                  <c:v>192646.545164253</c:v>
                </c:pt>
                <c:pt idx="9">
                  <c:v>215123.698630137</c:v>
                </c:pt>
                <c:pt idx="10">
                  <c:v>215123.698630137</c:v>
                </c:pt>
                <c:pt idx="11">
                  <c:v>215123.698630137</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76001.5079245283</c:v>
                </c:pt>
                <c:pt idx="1">
                  <c:v>103327.454716981</c:v>
                </c:pt>
                <c:pt idx="2">
                  <c:v>130653.401509434</c:v>
                </c:pt>
                <c:pt idx="3">
                  <c:v>157979.348301887</c:v>
                </c:pt>
                <c:pt idx="4">
                  <c:v>185305.295094339</c:v>
                </c:pt>
                <c:pt idx="5">
                  <c:v>212631.241886792</c:v>
                </c:pt>
                <c:pt idx="6">
                  <c:v>239957.188679245</c:v>
                </c:pt>
                <c:pt idx="7">
                  <c:v>267283.135471698</c:v>
                </c:pt>
                <c:pt idx="8">
                  <c:v>294609.082264151</c:v>
                </c:pt>
                <c:pt idx="9">
                  <c:v>321935.029056604</c:v>
                </c:pt>
                <c:pt idx="10">
                  <c:v>349260.975849056</c:v>
                </c:pt>
                <c:pt idx="11">
                  <c:v>376586.922641509</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32.9146922641509</c:v>
                </c:pt>
                <c:pt idx="1">
                  <c:v>4.2</c:v>
                </c:pt>
                <c:pt idx="2">
                  <c:v>0</c:v>
                </c:pt>
                <c:pt idx="3">
                  <c:v>0</c:v>
                </c:pt>
                <c:pt idx="4">
                  <c:v>0.48</c:v>
                </c:pt>
                <c:pt idx="5">
                  <c:v>0.064</c:v>
                </c:pt>
                <c:pt idx="6">
                  <c:v>32.4429941509434</c:v>
                </c:pt>
                <c:pt idx="7">
                  <c:v>0.471698113207547</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16.7591241886792</c:v>
                </c:pt>
                <c:pt idx="1">
                  <c:v>4.2</c:v>
                </c:pt>
                <c:pt idx="2">
                  <c:v>0</c:v>
                </c:pt>
                <c:pt idx="3">
                  <c:v>0</c:v>
                </c:pt>
                <c:pt idx="4">
                  <c:v>0.24</c:v>
                </c:pt>
                <c:pt idx="5">
                  <c:v>0.064</c:v>
                </c:pt>
                <c:pt idx="6">
                  <c:v>16.2874260754717</c:v>
                </c:pt>
                <c:pt idx="7">
                  <c:v>0</c:v>
                </c:pt>
                <c:pt idx="8">
                  <c:v>0.471698113207547</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12.5940154233242</c:v>
                </c:pt>
                <c:pt idx="1">
                  <c:v>0</c:v>
                </c:pt>
                <c:pt idx="2">
                  <c:v>0</c:v>
                </c:pt>
                <c:pt idx="3">
                  <c:v>0</c:v>
                </c:pt>
                <c:pt idx="4">
                  <c:v>0</c:v>
                </c:pt>
                <c:pt idx="5">
                  <c:v>0</c:v>
                </c:pt>
                <c:pt idx="6">
                  <c:v>11.5443287671233</c:v>
                </c:pt>
                <c:pt idx="7">
                  <c:v>0</c:v>
                </c:pt>
                <c:pt idx="8">
                  <c:v>1.04968665620094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0.382625950814099</c:v>
                </c:pt>
                <c:pt idx="1">
                  <c:v>0</c:v>
                </c:pt>
                <c:pt idx="2">
                  <c:v>0</c:v>
                </c:pt>
                <c:pt idx="3">
                  <c:v>0</c:v>
                </c:pt>
                <c:pt idx="4">
                  <c:v>0</c:v>
                </c:pt>
                <c:pt idx="5">
                  <c:v>0</c:v>
                </c:pt>
                <c:pt idx="6">
                  <c:v>0.355834258496996</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0.751472170116828</c:v>
                </c:pt>
                <c:pt idx="1">
                  <c:v>0</c:v>
                </c:pt>
                <c:pt idx="2">
                  <c:v>0</c:v>
                </c:pt>
                <c:pt idx="3">
                  <c:v>0</c:v>
                </c:pt>
                <c:pt idx="4">
                  <c:v>0</c:v>
                </c:pt>
                <c:pt idx="5">
                  <c:v>0</c:v>
                </c:pt>
                <c:pt idx="6">
                  <c:v>0.708787792106002</c:v>
                </c:pt>
                <c:pt idx="7">
                  <c:v>0</c:v>
                </c:pt>
                <c:pt idx="8">
                  <c:v>2.22533571114599</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0.260153453983503</c:v>
                </c:pt>
                <c:pt idx="1">
                  <c:v>0.65354112970456</c:v>
                </c:pt>
                <c:pt idx="2">
                  <c:v>0.773693383913626</c:v>
                </c:pt>
                <c:pt idx="3">
                  <c:v>0.780881546618757</c:v>
                </c:pt>
                <c:pt idx="4">
                  <c:v>0.852313312211198</c:v>
                </c:pt>
                <c:pt idx="5">
                  <c:v>0.824819334397931</c:v>
                </c:pt>
                <c:pt idx="6">
                  <c:v>0.82255717017249</c:v>
                </c:pt>
                <c:pt idx="7">
                  <c:v>0.82255717017249</c:v>
                </c:pt>
                <c:pt idx="8">
                  <c:v>0.796023067908862</c:v>
                </c:pt>
                <c:pt idx="9">
                  <c:v>0.82255717017249</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0.260153453983503</c:v>
                      </c:pt>
                      <c:pt idx="1">
                        <c:v>0.364188637323731</c:v>
                      </c:pt>
                      <c:pt idx="2">
                        <c:v>0.449835890187364</c:v>
                      </c:pt>
                      <c:pt idx="3">
                        <c:v>0.507097399940084</c:v>
                      </c:pt>
                      <c:pt idx="4">
                        <c:v>0.558004480851214</c:v>
                      </c:pt>
                      <c:pt idx="5">
                        <c:v>0.592293743457954</c:v>
                      </c:pt>
                      <c:pt idx="6">
                        <c:v>0.618515779902381</c:v>
                      </c:pt>
                      <c:pt idx="7">
                        <c:v>0.639376146435194</c:v>
                      </c:pt>
                      <c:pt idx="8">
                        <c:v>0.65390565587358</c:v>
                      </c:pt>
                      <c:pt idx="9">
                        <c:v>0.668220849593578</c:v>
                      </c:pt>
                      <c:pt idx="10">
                        <c:v>0.615939694113176</c:v>
                      </c:pt>
                      <c:pt idx="11">
                        <c:v>0.57124580195506</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19772.0547945206</c:v>
                </c:pt>
                <c:pt idx="1">
                  <c:v>17858.6301369863</c:v>
                </c:pt>
                <c:pt idx="2">
                  <c:v>21141.9042424965</c:v>
                </c:pt>
                <c:pt idx="3">
                  <c:v>21338.3275941124</c:v>
                </c:pt>
                <c:pt idx="4">
                  <c:v>23290.2682199824</c:v>
                </c:pt>
                <c:pt idx="5">
                  <c:v>22538.9692451442</c:v>
                </c:pt>
                <c:pt idx="6">
                  <c:v>22477.153465884</c:v>
                </c:pt>
                <c:pt idx="7">
                  <c:v>22477.153465884</c:v>
                </c:pt>
                <c:pt idx="8">
                  <c:v>21752.0839992426</c:v>
                </c:pt>
                <c:pt idx="9">
                  <c:v>22477.153465884</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76001.5079245283</c:v>
                </c:pt>
                <c:pt idx="1">
                  <c:v>27325.9467924528</c:v>
                </c:pt>
                <c:pt idx="2">
                  <c:v>27325.9467924528</c:v>
                </c:pt>
                <c:pt idx="3">
                  <c:v>27325.9467924528</c:v>
                </c:pt>
                <c:pt idx="4">
                  <c:v>27325.9467924528</c:v>
                </c:pt>
                <c:pt idx="5">
                  <c:v>27325.9467924528</c:v>
                </c:pt>
                <c:pt idx="6">
                  <c:v>27325.9467924528</c:v>
                </c:pt>
                <c:pt idx="7">
                  <c:v>27325.9467924528</c:v>
                </c:pt>
                <c:pt idx="8">
                  <c:v>27325.9467924528</c:v>
                </c:pt>
                <c:pt idx="9">
                  <c:v>27325.9467924528</c:v>
                </c:pt>
                <c:pt idx="10">
                  <c:v>27325.9467924528</c:v>
                </c:pt>
                <c:pt idx="11">
                  <c:v>27325.9467924528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19772.0547945206</c:v>
                </c:pt>
                <c:pt idx="1">
                  <c:v>17858.6301369863</c:v>
                </c:pt>
                <c:pt idx="2">
                  <c:v>21141.9042424965</c:v>
                </c:pt>
                <c:pt idx="3">
                  <c:v>21338.3275941124</c:v>
                </c:pt>
                <c:pt idx="4">
                  <c:v>23290.2682199824</c:v>
                </c:pt>
                <c:pt idx="5">
                  <c:v>22538.9692451442</c:v>
                </c:pt>
                <c:pt idx="6">
                  <c:v>22477.153465884</c:v>
                </c:pt>
                <c:pt idx="7">
                  <c:v>22477.153465884</c:v>
                </c:pt>
                <c:pt idx="8">
                  <c:v>21752.0839992426</c:v>
                </c:pt>
                <c:pt idx="9">
                  <c:v>22477.153465884</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23018.8679245283</c:v>
                </c:pt>
                <c:pt idx="1">
                  <c:v>18301.8867924528</c:v>
                </c:pt>
                <c:pt idx="2">
                  <c:v>18301.8867924528</c:v>
                </c:pt>
                <c:pt idx="3">
                  <c:v>18301.8867924528</c:v>
                </c:pt>
                <c:pt idx="4">
                  <c:v>18301.8867924528</c:v>
                </c:pt>
                <c:pt idx="5">
                  <c:v>18301.8867924528</c:v>
                </c:pt>
                <c:pt idx="6">
                  <c:v>18301.8867924528</c:v>
                </c:pt>
                <c:pt idx="7">
                  <c:v>18301.8867924528</c:v>
                </c:pt>
                <c:pt idx="8">
                  <c:v>18301.8867924528</c:v>
                </c:pt>
                <c:pt idx="9">
                  <c:v>18301.8867924528</c:v>
                </c:pt>
                <c:pt idx="10">
                  <c:v>18301.8867924528</c:v>
                </c:pt>
                <c:pt idx="11">
                  <c:v>18301.8867924528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42000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400</c:v>
                </c:pt>
                <c:pt idx="1">
                  <c:v>400</c:v>
                </c:pt>
                <c:pt idx="2">
                  <c:v>400</c:v>
                </c:pt>
                <c:pt idx="3">
                  <c:v>400</c:v>
                </c:pt>
                <c:pt idx="4">
                  <c:v>400</c:v>
                </c:pt>
                <c:pt idx="5">
                  <c:v>400</c:v>
                </c:pt>
                <c:pt idx="6">
                  <c:v>400</c:v>
                </c:pt>
                <c:pt idx="7">
                  <c:v>400</c:v>
                </c:pt>
                <c:pt idx="8">
                  <c:v>400</c:v>
                </c:pt>
                <c:pt idx="9">
                  <c:v>400</c:v>
                </c:pt>
                <c:pt idx="10">
                  <c:v>400</c:v>
                </c:pt>
                <c:pt idx="11">
                  <c:v>400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640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19772.0547945206</c:v>
                </c:pt>
                <c:pt idx="1">
                  <c:v>17858.6301369863</c:v>
                </c:pt>
                <c:pt idx="2">
                  <c:v>21141.9042424965</c:v>
                </c:pt>
                <c:pt idx="3">
                  <c:v>21338.3275941124</c:v>
                </c:pt>
                <c:pt idx="4">
                  <c:v>23290.2682199824</c:v>
                </c:pt>
                <c:pt idx="5">
                  <c:v>22538.9692451442</c:v>
                </c:pt>
                <c:pt idx="6">
                  <c:v>22477.153465884</c:v>
                </c:pt>
                <c:pt idx="7">
                  <c:v>22477.153465884</c:v>
                </c:pt>
                <c:pt idx="8">
                  <c:v>21752.0839992426</c:v>
                </c:pt>
                <c:pt idx="9">
                  <c:v>22477.153465884</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19772.0547945206</c:v>
                      </c:pt>
                      <c:pt idx="1">
                        <c:v>37630.6849315069</c:v>
                      </c:pt>
                      <c:pt idx="2">
                        <c:v>58772.5891740034</c:v>
                      </c:pt>
                      <c:pt idx="3">
                        <c:v>80110.9167681158</c:v>
                      </c:pt>
                      <c:pt idx="4">
                        <c:v>103401.184988098</c:v>
                      </c:pt>
                      <c:pt idx="5">
                        <c:v>125940.154233242</c:v>
                      </c:pt>
                      <c:pt idx="6">
                        <c:v>148417.307699126</c:v>
                      </c:pt>
                      <c:pt idx="7">
                        <c:v>170894.46116501</c:v>
                      </c:pt>
                      <c:pt idx="8">
                        <c:v>192646.545164253</c:v>
                      </c:pt>
                      <c:pt idx="9">
                        <c:v>215123.698630137</c:v>
                      </c:pt>
                      <c:pt idx="10">
                        <c:v>215123.698630137</c:v>
                      </c:pt>
                      <c:pt idx="11">
                        <c:v>215123.698630137</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23018.8679245283</c:v>
                      </c:pt>
                      <c:pt idx="1">
                        <c:v>41320.7547169811</c:v>
                      </c:pt>
                      <c:pt idx="2">
                        <c:v>59622.6415094339</c:v>
                      </c:pt>
                      <c:pt idx="3">
                        <c:v>77924.5283018867</c:v>
                      </c:pt>
                      <c:pt idx="4">
                        <c:v>96226.4150943395</c:v>
                      </c:pt>
                      <c:pt idx="5">
                        <c:v>114528.301886792</c:v>
                      </c:pt>
                      <c:pt idx="6">
                        <c:v>132830.188679245</c:v>
                      </c:pt>
                      <c:pt idx="7">
                        <c:v>151132.075471698</c:v>
                      </c:pt>
                      <c:pt idx="8">
                        <c:v>169433.962264151</c:v>
                      </c:pt>
                      <c:pt idx="9">
                        <c:v>187735.849056604</c:v>
                      </c:pt>
                      <c:pt idx="10">
                        <c:v>206037.735849056</c:v>
                      </c:pt>
                      <c:pt idx="11">
                        <c:v>224339.622641509</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23018.8679245283</c:v>
                </c:pt>
                <c:pt idx="1">
                  <c:v>18301.8867924528</c:v>
                </c:pt>
                <c:pt idx="2">
                  <c:v>18301.8867924528</c:v>
                </c:pt>
                <c:pt idx="3">
                  <c:v>18301.8867924528</c:v>
                </c:pt>
                <c:pt idx="4">
                  <c:v>18301.8867924528</c:v>
                </c:pt>
                <c:pt idx="5">
                  <c:v>18301.8867924528</c:v>
                </c:pt>
                <c:pt idx="6">
                  <c:v>18301.8867924528</c:v>
                </c:pt>
                <c:pt idx="7">
                  <c:v>18301.8867924528</c:v>
                </c:pt>
                <c:pt idx="8">
                  <c:v>18301.8867924528</c:v>
                </c:pt>
                <c:pt idx="9">
                  <c:v>18301.8867924528</c:v>
                </c:pt>
                <c:pt idx="10">
                  <c:v>18301.8867924528</c:v>
                </c:pt>
                <c:pt idx="11">
                  <c:v>18301.8867924528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42000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400</c:v>
                </c:pt>
                <c:pt idx="1">
                  <c:v>400</c:v>
                </c:pt>
                <c:pt idx="2">
                  <c:v>400</c:v>
                </c:pt>
                <c:pt idx="3">
                  <c:v>400</c:v>
                </c:pt>
                <c:pt idx="4">
                  <c:v>400</c:v>
                </c:pt>
                <c:pt idx="5">
                  <c:v>400</c:v>
                </c:pt>
                <c:pt idx="6">
                  <c:v>400</c:v>
                </c:pt>
                <c:pt idx="7">
                  <c:v>400</c:v>
                </c:pt>
                <c:pt idx="8">
                  <c:v>400</c:v>
                </c:pt>
                <c:pt idx="9">
                  <c:v>400</c:v>
                </c:pt>
                <c:pt idx="10">
                  <c:v>400</c:v>
                </c:pt>
                <c:pt idx="11">
                  <c:v>400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640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42000</c:v>
                      </c:pt>
                      <c:pt idx="1">
                        <c:v>42000</c:v>
                      </c:pt>
                      <c:pt idx="2">
                        <c:v>42000</c:v>
                      </c:pt>
                      <c:pt idx="3">
                        <c:v>42000</c:v>
                      </c:pt>
                      <c:pt idx="4">
                        <c:v>42000</c:v>
                      </c:pt>
                      <c:pt idx="5">
                        <c:v>42000</c:v>
                      </c:pt>
                      <c:pt idx="6">
                        <c:v>42000</c:v>
                      </c:pt>
                      <c:pt idx="7">
                        <c:v>42000</c:v>
                      </c:pt>
                      <c:pt idx="8">
                        <c:v>42000</c:v>
                      </c:pt>
                      <c:pt idx="9">
                        <c:v>42000</c:v>
                      </c:pt>
                      <c:pt idx="10">
                        <c:v>42000</c:v>
                      </c:pt>
                      <c:pt idx="11">
                        <c:v>42000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400</c:v>
                      </c:pt>
                      <c:pt idx="1">
                        <c:v>800</c:v>
                      </c:pt>
                      <c:pt idx="2">
                        <c:v>1200</c:v>
                      </c:pt>
                      <c:pt idx="3">
                        <c:v>1600</c:v>
                      </c:pt>
                      <c:pt idx="4">
                        <c:v>2000</c:v>
                      </c:pt>
                      <c:pt idx="5">
                        <c:v>2400</c:v>
                      </c:pt>
                      <c:pt idx="6">
                        <c:v>2800</c:v>
                      </c:pt>
                      <c:pt idx="7">
                        <c:v>3200</c:v>
                      </c:pt>
                      <c:pt idx="8">
                        <c:v>3600</c:v>
                      </c:pt>
                      <c:pt idx="9">
                        <c:v>4000</c:v>
                      </c:pt>
                      <c:pt idx="10">
                        <c:v>4400</c:v>
                      </c:pt>
                      <c:pt idx="11">
                        <c:v>4800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640</c:v>
                      </c:pt>
                      <c:pt idx="1">
                        <c:v>640</c:v>
                      </c:pt>
                      <c:pt idx="2">
                        <c:v>640</c:v>
                      </c:pt>
                      <c:pt idx="3">
                        <c:v>640</c:v>
                      </c:pt>
                      <c:pt idx="4">
                        <c:v>640</c:v>
                      </c:pt>
                      <c:pt idx="5">
                        <c:v>640</c:v>
                      </c:pt>
                      <c:pt idx="6">
                        <c:v>640</c:v>
                      </c:pt>
                      <c:pt idx="7">
                        <c:v>640</c:v>
                      </c:pt>
                      <c:pt idx="8">
                        <c:v>640</c:v>
                      </c:pt>
                      <c:pt idx="9">
                        <c:v>640</c:v>
                      </c:pt>
                      <c:pt idx="10">
                        <c:v>640</c:v>
                      </c:pt>
                      <c:pt idx="11">
                        <c:v>640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5</xdr:row>
      <xdr:rowOff>146798</xdr:rowOff>
    </xdr:from>
    <xdr:to>
      <xdr:col>10</xdr:col>
      <xdr:colOff>572621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41" t="s">
        <v>0</v>
      </c>
      <c r="B1" s="441"/>
      <c r="C1" s="441" t="s">
        <v>1</v>
      </c>
      <c r="D1" s="441"/>
    </row>
    <row r="2" spans="1:4">
      <c r="A2" s="441" t="s">
        <v>2</v>
      </c>
      <c r="B2" s="441" t="s">
        <v>3</v>
      </c>
      <c r="C2" s="441" t="s">
        <v>2</v>
      </c>
      <c r="D2" s="441" t="s">
        <v>3</v>
      </c>
    </row>
    <row r="3" ht="16.5" spans="1:4">
      <c r="A3" s="442">
        <v>6400</v>
      </c>
      <c r="B3" s="443" t="s">
        <v>4</v>
      </c>
      <c r="C3" s="444"/>
      <c r="D3" s="445"/>
    </row>
    <row r="4" ht="16.5" spans="1:4">
      <c r="A4" s="446">
        <v>6401</v>
      </c>
      <c r="B4" s="447" t="s">
        <v>5</v>
      </c>
      <c r="C4" s="448"/>
      <c r="D4" s="441"/>
    </row>
    <row r="5" ht="16.5" spans="1:4">
      <c r="A5" s="446">
        <v>6401.03</v>
      </c>
      <c r="B5" s="447" t="s">
        <v>6</v>
      </c>
      <c r="C5" s="448"/>
      <c r="D5" s="441"/>
    </row>
    <row r="6" ht="16.5" spans="1:4">
      <c r="A6" s="449" t="s">
        <v>7</v>
      </c>
      <c r="B6" s="450" t="s">
        <v>8</v>
      </c>
      <c r="C6" s="451">
        <v>1.2</v>
      </c>
      <c r="D6" s="107" t="s">
        <v>9</v>
      </c>
    </row>
    <row r="7" ht="16.5" spans="1:4">
      <c r="A7" s="446" t="s">
        <v>10</v>
      </c>
      <c r="B7" s="447" t="s">
        <v>11</v>
      </c>
      <c r="C7" s="448"/>
      <c r="D7" s="441"/>
    </row>
    <row r="8" ht="16.5" spans="1:4">
      <c r="A8" s="452" t="s">
        <v>12</v>
      </c>
      <c r="B8" s="453" t="s">
        <v>13</v>
      </c>
      <c r="C8" s="454" t="s">
        <v>14</v>
      </c>
      <c r="D8" s="117" t="s">
        <v>15</v>
      </c>
    </row>
    <row r="9" ht="16.5" spans="1:4">
      <c r="A9" s="452" t="s">
        <v>16</v>
      </c>
      <c r="B9" s="453" t="s">
        <v>17</v>
      </c>
      <c r="C9" s="454" t="s">
        <v>18</v>
      </c>
      <c r="D9" s="117" t="s">
        <v>19</v>
      </c>
    </row>
    <row r="10" ht="16.5" spans="1:4">
      <c r="A10" s="455" t="s">
        <v>20</v>
      </c>
      <c r="B10" s="456" t="s">
        <v>21</v>
      </c>
      <c r="C10" s="457" t="s">
        <v>22</v>
      </c>
      <c r="D10" s="458" t="s">
        <v>23</v>
      </c>
    </row>
    <row r="11" ht="16.5" spans="1:4">
      <c r="A11" s="459"/>
      <c r="B11" s="460"/>
      <c r="C11" s="457" t="s">
        <v>24</v>
      </c>
      <c r="D11" s="458" t="s">
        <v>25</v>
      </c>
    </row>
    <row r="12" ht="16.5" spans="1:4">
      <c r="A12" s="452" t="s">
        <v>26</v>
      </c>
      <c r="B12" s="453" t="s">
        <v>27</v>
      </c>
      <c r="C12" s="457" t="s">
        <v>28</v>
      </c>
      <c r="D12" s="458" t="s">
        <v>29</v>
      </c>
    </row>
    <row r="13" ht="16.5" spans="1:4">
      <c r="A13" s="452" t="s">
        <v>30</v>
      </c>
      <c r="B13" s="461" t="s">
        <v>31</v>
      </c>
      <c r="C13" s="462" t="s">
        <v>32</v>
      </c>
      <c r="D13" s="463" t="s">
        <v>33</v>
      </c>
    </row>
    <row r="14" ht="16.5" spans="1:4">
      <c r="A14" s="455" t="s">
        <v>34</v>
      </c>
      <c r="B14" s="456" t="s">
        <v>35</v>
      </c>
      <c r="C14" s="462" t="s">
        <v>36</v>
      </c>
      <c r="D14" s="463" t="s">
        <v>37</v>
      </c>
    </row>
    <row r="15" ht="16.5" spans="1:4">
      <c r="A15" s="464"/>
      <c r="B15" s="465"/>
      <c r="C15" s="462" t="s">
        <v>38</v>
      </c>
      <c r="D15" s="463" t="s">
        <v>39</v>
      </c>
    </row>
    <row r="16" ht="16.5" spans="1:4">
      <c r="A16" s="464"/>
      <c r="B16" s="465"/>
      <c r="C16" s="462" t="s">
        <v>40</v>
      </c>
      <c r="D16" s="463" t="s">
        <v>41</v>
      </c>
    </row>
    <row r="17" ht="16.5" spans="1:4">
      <c r="A17" s="459"/>
      <c r="B17" s="460"/>
      <c r="C17" s="462" t="s">
        <v>42</v>
      </c>
      <c r="D17" s="463" t="s">
        <v>43</v>
      </c>
    </row>
    <row r="18" ht="16.5" spans="1:4">
      <c r="A18" s="452" t="s">
        <v>44</v>
      </c>
      <c r="B18" s="453" t="s">
        <v>45</v>
      </c>
      <c r="C18" s="462" t="s">
        <v>46</v>
      </c>
      <c r="D18" s="463" t="s">
        <v>47</v>
      </c>
    </row>
    <row r="19" ht="33" spans="1:4">
      <c r="A19" s="455" t="s">
        <v>48</v>
      </c>
      <c r="B19" s="456" t="s">
        <v>49</v>
      </c>
      <c r="C19" s="466" t="s">
        <v>50</v>
      </c>
      <c r="D19" s="467" t="s">
        <v>51</v>
      </c>
    </row>
    <row r="20" ht="33" spans="1:4">
      <c r="A20" s="459"/>
      <c r="B20" s="460"/>
      <c r="C20" s="466" t="s">
        <v>52</v>
      </c>
      <c r="D20" s="467" t="s">
        <v>53</v>
      </c>
    </row>
    <row r="21" ht="16.5" spans="1:4">
      <c r="A21" s="455" t="s">
        <v>54</v>
      </c>
      <c r="B21" s="456" t="s">
        <v>55</v>
      </c>
      <c r="C21" s="466" t="s">
        <v>56</v>
      </c>
      <c r="D21" s="467" t="s">
        <v>57</v>
      </c>
    </row>
    <row r="22" ht="16.5" spans="1:4">
      <c r="A22" s="464"/>
      <c r="B22" s="465"/>
      <c r="C22" s="466" t="s">
        <v>58</v>
      </c>
      <c r="D22" s="467" t="s">
        <v>59</v>
      </c>
    </row>
    <row r="23" ht="16.5" spans="1:4">
      <c r="A23" s="459"/>
      <c r="B23" s="460"/>
      <c r="C23" s="466" t="s">
        <v>60</v>
      </c>
      <c r="D23" s="467" t="s">
        <v>61</v>
      </c>
    </row>
    <row r="24" ht="16.5" spans="1:4">
      <c r="A24" s="452" t="s">
        <v>62</v>
      </c>
      <c r="B24" s="453" t="s">
        <v>63</v>
      </c>
      <c r="C24" s="451">
        <v>1.3</v>
      </c>
      <c r="D24" s="107" t="s">
        <v>64</v>
      </c>
    </row>
    <row r="25" ht="16.5" spans="1:4">
      <c r="A25" s="455" t="s">
        <v>65</v>
      </c>
      <c r="B25" s="456" t="s">
        <v>66</v>
      </c>
      <c r="C25" s="457" t="s">
        <v>67</v>
      </c>
      <c r="D25" s="458" t="s">
        <v>68</v>
      </c>
    </row>
    <row r="26" ht="16.5" spans="1:4">
      <c r="A26" s="464"/>
      <c r="B26" s="465"/>
      <c r="C26" s="457" t="s">
        <v>69</v>
      </c>
      <c r="D26" s="458" t="s">
        <v>68</v>
      </c>
    </row>
    <row r="27" ht="16.5" spans="1:4">
      <c r="A27" s="464"/>
      <c r="B27" s="465"/>
      <c r="C27" s="457" t="s">
        <v>70</v>
      </c>
      <c r="D27" s="458" t="s">
        <v>68</v>
      </c>
    </row>
    <row r="28" ht="16.5" spans="1:4">
      <c r="A28" s="464"/>
      <c r="B28" s="465"/>
      <c r="C28" s="457" t="s">
        <v>71</v>
      </c>
      <c r="D28" s="458" t="s">
        <v>68</v>
      </c>
    </row>
    <row r="29" ht="16.5" spans="1:4">
      <c r="A29" s="464"/>
      <c r="B29" s="465"/>
      <c r="C29" s="457" t="s">
        <v>72</v>
      </c>
      <c r="D29" s="458" t="s">
        <v>68</v>
      </c>
    </row>
    <row r="30" ht="16.5" spans="1:4">
      <c r="A30" s="464"/>
      <c r="B30" s="465"/>
      <c r="C30" s="457" t="s">
        <v>73</v>
      </c>
      <c r="D30" s="458" t="s">
        <v>68</v>
      </c>
    </row>
    <row r="31" ht="16.5" spans="1:4">
      <c r="A31" s="464"/>
      <c r="B31" s="465"/>
      <c r="C31" s="457" t="s">
        <v>74</v>
      </c>
      <c r="D31" s="458" t="s">
        <v>68</v>
      </c>
    </row>
    <row r="32" ht="16.5" spans="1:4">
      <c r="A32" s="459"/>
      <c r="B32" s="460"/>
      <c r="C32" s="457" t="s">
        <v>75</v>
      </c>
      <c r="D32" s="458" t="s">
        <v>68</v>
      </c>
    </row>
    <row r="33" ht="16.5" spans="1:4">
      <c r="A33" s="449" t="s">
        <v>76</v>
      </c>
      <c r="B33" s="450" t="s">
        <v>77</v>
      </c>
      <c r="C33" s="28" t="s">
        <v>78</v>
      </c>
      <c r="D33" s="29" t="s">
        <v>79</v>
      </c>
    </row>
    <row r="34" ht="16.5" spans="1:2">
      <c r="A34" s="446" t="s">
        <v>80</v>
      </c>
      <c r="B34" s="447" t="s">
        <v>81</v>
      </c>
    </row>
    <row r="35" ht="16.5" spans="1:4">
      <c r="A35" s="452" t="s">
        <v>82</v>
      </c>
      <c r="B35" s="453" t="s">
        <v>83</v>
      </c>
      <c r="C35" s="28" t="s">
        <v>84</v>
      </c>
      <c r="D35" s="29" t="s">
        <v>85</v>
      </c>
    </row>
    <row r="36" ht="16.5" spans="1:6">
      <c r="A36" s="452" t="s">
        <v>86</v>
      </c>
      <c r="B36" s="453" t="s">
        <v>87</v>
      </c>
      <c r="C36" s="28" t="s">
        <v>88</v>
      </c>
      <c r="D36" s="29" t="s">
        <v>89</v>
      </c>
      <c r="F36" s="1"/>
    </row>
    <row r="37" ht="16.5" spans="1:6">
      <c r="A37" s="452" t="s">
        <v>90</v>
      </c>
      <c r="B37" s="453" t="s">
        <v>91</v>
      </c>
      <c r="C37" s="28" t="s">
        <v>92</v>
      </c>
      <c r="D37" s="29" t="s">
        <v>93</v>
      </c>
      <c r="F37" s="1"/>
    </row>
    <row r="38" ht="16.5" spans="1:4">
      <c r="A38" s="452" t="s">
        <v>94</v>
      </c>
      <c r="B38" s="453" t="s">
        <v>95</v>
      </c>
      <c r="C38" s="28" t="s">
        <v>96</v>
      </c>
      <c r="D38" s="29" t="s">
        <v>97</v>
      </c>
    </row>
    <row r="39" ht="16.5" spans="1:4">
      <c r="A39" s="455" t="s">
        <v>98</v>
      </c>
      <c r="B39" s="456" t="s">
        <v>99</v>
      </c>
      <c r="C39" s="28" t="s">
        <v>100</v>
      </c>
      <c r="D39" s="29" t="s">
        <v>101</v>
      </c>
    </row>
    <row r="40" ht="16.5" spans="1:4">
      <c r="A40" s="459"/>
      <c r="B40" s="460"/>
      <c r="C40" s="28" t="s">
        <v>102</v>
      </c>
      <c r="D40" s="29" t="s">
        <v>103</v>
      </c>
    </row>
    <row r="41" ht="16.5" spans="1:2">
      <c r="A41" s="446" t="s">
        <v>104</v>
      </c>
      <c r="B41" s="447" t="s">
        <v>105</v>
      </c>
    </row>
    <row r="42" ht="16.5" spans="1:4">
      <c r="A42" s="452" t="s">
        <v>106</v>
      </c>
      <c r="B42" s="453" t="s">
        <v>107</v>
      </c>
      <c r="C42" s="457" t="s">
        <v>108</v>
      </c>
      <c r="D42" s="458" t="s">
        <v>109</v>
      </c>
    </row>
    <row r="43" ht="16.5" spans="1:4">
      <c r="A43" s="452" t="s">
        <v>110</v>
      </c>
      <c r="B43" s="453" t="s">
        <v>111</v>
      </c>
      <c r="C43" s="457" t="s">
        <v>112</v>
      </c>
      <c r="D43" s="458" t="s">
        <v>109</v>
      </c>
    </row>
    <row r="44" ht="16.5" spans="1:4">
      <c r="A44" s="452" t="s">
        <v>113</v>
      </c>
      <c r="B44" s="453" t="s">
        <v>114</v>
      </c>
      <c r="C44" s="457" t="s">
        <v>115</v>
      </c>
      <c r="D44" s="458" t="s">
        <v>109</v>
      </c>
    </row>
    <row r="45" ht="16.5" spans="1:4">
      <c r="A45" s="452" t="s">
        <v>116</v>
      </c>
      <c r="B45" s="453" t="s">
        <v>117</v>
      </c>
      <c r="C45" s="457" t="s">
        <v>118</v>
      </c>
      <c r="D45" s="458" t="s">
        <v>109</v>
      </c>
    </row>
    <row r="46" ht="16.5" spans="1:4">
      <c r="A46" s="452" t="s">
        <v>119</v>
      </c>
      <c r="B46" s="453" t="s">
        <v>120</v>
      </c>
      <c r="C46" s="457" t="s">
        <v>121</v>
      </c>
      <c r="D46" s="458" t="s">
        <v>109</v>
      </c>
    </row>
    <row r="47" ht="16.5" spans="1:4">
      <c r="A47" s="452" t="s">
        <v>122</v>
      </c>
      <c r="B47" s="453" t="s">
        <v>123</v>
      </c>
      <c r="C47" s="457" t="s">
        <v>124</v>
      </c>
      <c r="D47" s="458" t="s">
        <v>109</v>
      </c>
    </row>
    <row r="48" ht="16.5" spans="1:4">
      <c r="A48" s="452" t="s">
        <v>125</v>
      </c>
      <c r="B48" s="453" t="s">
        <v>126</v>
      </c>
      <c r="C48" s="457" t="s">
        <v>127</v>
      </c>
      <c r="D48" s="458" t="s">
        <v>109</v>
      </c>
    </row>
    <row r="49" ht="16.5" spans="1:4">
      <c r="A49" s="452" t="s">
        <v>128</v>
      </c>
      <c r="B49" s="453" t="s">
        <v>129</v>
      </c>
      <c r="C49" s="457" t="s">
        <v>130</v>
      </c>
      <c r="D49" s="458" t="s">
        <v>109</v>
      </c>
    </row>
    <row r="50" ht="16.5" spans="1:2">
      <c r="A50" s="446" t="s">
        <v>131</v>
      </c>
      <c r="B50" s="447" t="s">
        <v>132</v>
      </c>
    </row>
    <row r="51" ht="16.5" spans="1:4">
      <c r="A51" s="455" t="s">
        <v>133</v>
      </c>
      <c r="B51" s="456" t="s">
        <v>134</v>
      </c>
      <c r="C51" s="28" t="s">
        <v>135</v>
      </c>
      <c r="D51" s="468" t="s">
        <v>136</v>
      </c>
    </row>
    <row r="52" ht="16.5" spans="1:4">
      <c r="A52" s="459"/>
      <c r="B52" s="460"/>
      <c r="C52" s="28" t="s">
        <v>137</v>
      </c>
      <c r="D52" s="29" t="s">
        <v>138</v>
      </c>
    </row>
    <row r="53" ht="16.5" spans="1:4">
      <c r="A53" s="455" t="s">
        <v>139</v>
      </c>
      <c r="B53" s="456" t="s">
        <v>140</v>
      </c>
      <c r="C53" s="28" t="s">
        <v>141</v>
      </c>
      <c r="D53" s="29" t="s">
        <v>142</v>
      </c>
    </row>
    <row r="54" ht="16.5" spans="1:4">
      <c r="A54" s="459"/>
      <c r="B54" s="460"/>
      <c r="C54" s="28" t="s">
        <v>143</v>
      </c>
      <c r="D54" s="468" t="s">
        <v>144</v>
      </c>
    </row>
    <row r="55" ht="16.5" spans="1:4">
      <c r="A55" s="452" t="s">
        <v>145</v>
      </c>
      <c r="B55" s="453" t="s">
        <v>146</v>
      </c>
      <c r="C55" s="28" t="s">
        <v>147</v>
      </c>
      <c r="D55" s="29" t="s">
        <v>148</v>
      </c>
    </row>
    <row r="56" ht="16.5" spans="1:2">
      <c r="A56" s="446" t="s">
        <v>149</v>
      </c>
      <c r="B56" s="447" t="s">
        <v>150</v>
      </c>
    </row>
    <row r="57" ht="16.5" spans="1:4">
      <c r="A57" s="452" t="s">
        <v>151</v>
      </c>
      <c r="B57" s="453" t="s">
        <v>152</v>
      </c>
      <c r="C57" s="28" t="s">
        <v>153</v>
      </c>
      <c r="D57" s="29" t="s">
        <v>154</v>
      </c>
    </row>
    <row r="58" ht="16.5" spans="1:4">
      <c r="A58" s="452" t="s">
        <v>155</v>
      </c>
      <c r="B58" s="453" t="s">
        <v>156</v>
      </c>
      <c r="C58" s="28" t="s">
        <v>157</v>
      </c>
      <c r="D58" s="29" t="s">
        <v>158</v>
      </c>
    </row>
    <row r="59" ht="16.5" spans="1:2">
      <c r="A59" s="452" t="s">
        <v>159</v>
      </c>
      <c r="B59" s="453" t="s">
        <v>160</v>
      </c>
    </row>
    <row r="60" ht="16.5" spans="1:2">
      <c r="A60" s="452" t="s">
        <v>161</v>
      </c>
      <c r="B60" s="453" t="s">
        <v>162</v>
      </c>
    </row>
    <row r="61" ht="16.5" spans="1:2">
      <c r="A61" s="452" t="s">
        <v>163</v>
      </c>
      <c r="B61" s="453" t="s">
        <v>164</v>
      </c>
    </row>
    <row r="62" ht="16.5" spans="1:2">
      <c r="A62" s="452" t="s">
        <v>165</v>
      </c>
      <c r="B62" s="453" t="s">
        <v>166</v>
      </c>
    </row>
    <row r="63" ht="16.5" spans="1:2">
      <c r="A63" s="452" t="s">
        <v>167</v>
      </c>
      <c r="B63" s="453"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0" sqref="L10:M10"/>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ht="51" customHeight="1" spans="2:20">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e">
        <f>'1-1 项目基础信息'!#REF!</f>
        <v>#REF!</v>
      </c>
      <c r="E3" s="341"/>
      <c r="F3" s="341"/>
      <c r="G3" s="341"/>
      <c r="H3" s="341"/>
      <c r="I3" s="340" t="s">
        <v>171</v>
      </c>
      <c r="J3" s="341">
        <v>2025</v>
      </c>
      <c r="K3" s="377" t="s">
        <v>172</v>
      </c>
      <c r="L3" s="378">
        <v>6</v>
      </c>
      <c r="M3" s="379" t="s">
        <v>173</v>
      </c>
      <c r="N3" s="380"/>
      <c r="O3" s="377" t="s">
        <v>174</v>
      </c>
      <c r="P3" s="381"/>
      <c r="Q3" s="381"/>
      <c r="R3" s="381"/>
      <c r="S3" s="381"/>
      <c r="T3" s="421"/>
      <c r="AC3" s="439"/>
    </row>
    <row r="4" s="332" customFormat="1" ht="74.1" customHeight="1" spans="1:33">
      <c r="A4" s="342"/>
      <c r="B4" s="343" t="s">
        <v>175</v>
      </c>
      <c r="C4" s="343"/>
      <c r="D4" s="344">
        <f>'2 过程管理表单'!H4/10000</f>
        <v>37.6586922641509</v>
      </c>
      <c r="E4" s="344"/>
      <c r="F4" s="343" t="s">
        <v>176</v>
      </c>
      <c r="G4" s="345"/>
      <c r="H4" s="346">
        <f>L3/12</f>
        <v>0.5</v>
      </c>
      <c r="I4" s="346"/>
      <c r="J4" s="382">
        <f t="shared" ref="J4:J9" si="0">H4</f>
        <v>0.5</v>
      </c>
      <c r="K4" s="383">
        <f t="shared" ref="K4:K9" si="1">1-J4</f>
        <v>0.5</v>
      </c>
      <c r="L4" s="384"/>
      <c r="M4" s="385"/>
      <c r="N4" s="386"/>
      <c r="O4" s="387" t="s">
        <v>177</v>
      </c>
      <c r="P4" s="388">
        <f>SUM(P6:P10)</f>
        <v>20</v>
      </c>
      <c r="Q4" s="422" t="s">
        <v>178</v>
      </c>
      <c r="R4" s="423">
        <f>SUM(Q6:Q10)</f>
        <v>20</v>
      </c>
      <c r="S4" s="422" t="s">
        <v>179</v>
      </c>
      <c r="T4" s="424">
        <f>SUM(R6:R10)</f>
        <v>24</v>
      </c>
      <c r="U4" s="425"/>
      <c r="V4" s="425"/>
      <c r="W4" s="425"/>
      <c r="X4" s="425"/>
      <c r="Y4" s="425"/>
      <c r="Z4" s="425"/>
      <c r="AA4" s="425"/>
      <c r="AB4" s="425"/>
      <c r="AC4" s="425"/>
      <c r="AD4" s="425"/>
      <c r="AE4" s="425"/>
      <c r="AF4" s="425"/>
      <c r="AG4" s="425"/>
    </row>
    <row r="5" s="332" customFormat="1" ht="74.1" customHeight="1" spans="1:33">
      <c r="A5" s="342"/>
      <c r="B5" s="343" t="s">
        <v>180</v>
      </c>
      <c r="C5" s="343"/>
      <c r="D5" s="344">
        <f>INDEX('4主要费项费项月累成本使用情况'!C38:N38,MATCH($L$3&amp;"月",表3_3[[#Headers],[1月]:[12月]],0))/10000</f>
        <v>21.2631241886792</v>
      </c>
      <c r="E5" s="344"/>
      <c r="F5" s="343" t="s">
        <v>181</v>
      </c>
      <c r="G5" s="345"/>
      <c r="H5" s="346">
        <f>D6/D4</f>
        <v>0.3344251928608</v>
      </c>
      <c r="I5" s="346"/>
      <c r="J5" s="389">
        <f t="shared" si="0"/>
        <v>0.3344251928608</v>
      </c>
      <c r="K5" s="390">
        <f t="shared" si="1"/>
        <v>0.6655748071392</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INDEX('4主要费项费项月累成本使用情况'!C39:N39,MATCH($L$3&amp;"月",表3_3[[#Headers],[1月]:[12月]],0))/10000</f>
        <v>12.5940154233242</v>
      </c>
      <c r="E6" s="347"/>
      <c r="F6" s="343" t="s">
        <v>186</v>
      </c>
      <c r="G6" s="345"/>
      <c r="H6" s="346">
        <f>D6/D5</f>
        <v>0.592293743457954</v>
      </c>
      <c r="I6" s="346"/>
      <c r="J6" s="393">
        <f t="shared" si="0"/>
        <v>0.592293743457954</v>
      </c>
      <c r="K6" s="394">
        <f t="shared" si="1"/>
        <v>0.407706256542046</v>
      </c>
      <c r="L6" s="395"/>
      <c r="M6" s="396"/>
      <c r="N6" s="386"/>
      <c r="O6" s="366" t="s">
        <v>187</v>
      </c>
      <c r="P6" s="397">
        <f>'1-2 人员岗位信息'!D7</f>
        <v>0</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INDEX('4主要费项费项月累成本使用情况'!C48:N48,MATCH($L$3&amp;"月",表3_3[[#Headers],[1月]:[12月]],0))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3</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2</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1</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440">
        <v>35</v>
      </c>
      <c r="E9" s="355" t="s">
        <v>197</v>
      </c>
      <c r="F9" s="351" t="s">
        <v>198</v>
      </c>
      <c r="G9" s="345"/>
      <c r="H9" s="356">
        <f>IFERROR(INDEX(劳务外包表!C47:N47,MATCH($L$3&amp;"月",劳务外包表!C1:N1,0))/劳务外包表!N49,"无目标值")</f>
        <v>0.525643835616438</v>
      </c>
      <c r="I9" s="403"/>
      <c r="J9" s="393">
        <f t="shared" si="0"/>
        <v>0.525643835616438</v>
      </c>
      <c r="K9" s="394">
        <f t="shared" si="1"/>
        <v>0.474356164383562</v>
      </c>
      <c r="L9" s="395"/>
      <c r="M9" s="396"/>
      <c r="N9" s="386"/>
      <c r="O9" s="366" t="s">
        <v>199</v>
      </c>
      <c r="P9" s="404">
        <f>'1-2 人员岗位信息'!D155</f>
        <v>0</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1</v>
      </c>
      <c r="E10" s="357"/>
      <c r="F10" s="343" t="s">
        <v>201</v>
      </c>
      <c r="G10" s="343"/>
      <c r="H10" s="358" cm="1">
        <f t="array" ref="H10">SUMPRODUCT(--(LEFT('2-1 采购订单物料明细表报表导出'!$K:$K,7)&lt;&gt;"")*--(LEFT('2-1 采购订单物料明细表报表导出'!$K:$K,7)&lt;=TEXT(DATE(2025,$L$3,1),"yyyy-mm")))</f>
        <v>2</v>
      </c>
      <c r="I10" s="405"/>
      <c r="J10" s="343" t="s">
        <v>202</v>
      </c>
      <c r="K10" s="343"/>
      <c r="L10" s="358" cm="1">
        <f t="array" ref="L10">SUMPRODUCT((TEXT('2-3 引出列表'!$N:$N,"yyyymm")&lt;=TEXT(DATE(2025,$L$3+1,0),"yyyymm"))*(('2-3 引出列表'!$L:$L="已审核")+('2-3 引出列表'!$L:$L="已付款")))</f>
        <v>0</v>
      </c>
      <c r="M10" s="405"/>
      <c r="N10" s="406"/>
      <c r="O10" s="368" t="s">
        <v>203</v>
      </c>
      <c r="P10" s="407">
        <f>'1-2 人员岗位信息'!D35</f>
        <v>19</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ht="9" customHeight="1" spans="2:20">
      <c r="B11" s="359"/>
      <c r="C11" s="360"/>
      <c r="D11" s="360"/>
      <c r="E11" s="360"/>
      <c r="F11" s="360"/>
      <c r="G11" s="360"/>
      <c r="H11" s="360"/>
      <c r="I11" s="408"/>
      <c r="J11" s="360"/>
      <c r="K11" s="408"/>
      <c r="L11" s="360"/>
      <c r="M11" s="409"/>
      <c r="N11" s="410"/>
      <c r="O11" s="410"/>
      <c r="P11" s="411"/>
      <c r="Q11" s="411"/>
      <c r="R11" s="411"/>
      <c r="S11" s="411"/>
      <c r="T11" s="430"/>
    </row>
    <row r="12" ht="27.95" customHeight="1" spans="2:20">
      <c r="B12" s="361" t="s">
        <v>204</v>
      </c>
      <c r="C12" s="362"/>
      <c r="D12" s="362"/>
      <c r="E12" s="362"/>
      <c r="F12" s="362"/>
      <c r="G12" s="362"/>
      <c r="H12" s="362"/>
      <c r="I12" s="362"/>
      <c r="J12" s="362"/>
      <c r="K12" s="362"/>
      <c r="L12" s="362"/>
      <c r="M12" s="362"/>
      <c r="N12" s="362"/>
      <c r="O12" s="362"/>
      <c r="P12" s="362"/>
      <c r="Q12" s="362"/>
      <c r="R12" s="362"/>
      <c r="S12" s="362"/>
      <c r="T12" s="431"/>
    </row>
    <row r="13" ht="17.1" customHeight="1" spans="2:20">
      <c r="B13" s="363"/>
      <c r="C13" s="364"/>
      <c r="D13" s="364"/>
      <c r="E13" s="364"/>
      <c r="F13" s="364"/>
      <c r="G13" s="364"/>
      <c r="H13" s="364"/>
      <c r="I13" s="364"/>
      <c r="J13" s="364"/>
      <c r="K13" s="364"/>
      <c r="L13" s="364"/>
      <c r="M13" s="364"/>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ht="20.1" customHeight="1" spans="2:20">
      <c r="B36" s="363"/>
      <c r="C36" s="364"/>
      <c r="D36" s="364"/>
      <c r="E36" s="364"/>
      <c r="F36" s="364"/>
      <c r="G36" s="364"/>
      <c r="H36" s="364"/>
      <c r="I36" s="364"/>
      <c r="J36" s="364"/>
      <c r="K36" s="364"/>
      <c r="L36" s="364"/>
      <c r="M36" s="364"/>
      <c r="T36" s="432"/>
    </row>
    <row r="37" ht="20.1" customHeight="1" spans="2:20">
      <c r="B37" s="363"/>
      <c r="C37" s="364"/>
      <c r="D37" s="364"/>
      <c r="E37" s="364"/>
      <c r="F37" s="364"/>
      <c r="G37" s="364"/>
      <c r="H37" s="364"/>
      <c r="I37" s="364"/>
      <c r="J37" s="364"/>
      <c r="K37" s="364"/>
      <c r="L37" s="364"/>
      <c r="M37" s="364"/>
      <c r="T37" s="432"/>
    </row>
    <row r="38" ht="20.1" customHeight="1" spans="2:20">
      <c r="B38" s="363"/>
      <c r="C38" s="364"/>
      <c r="D38" s="364"/>
      <c r="E38" s="364"/>
      <c r="F38" s="364"/>
      <c r="G38" s="364"/>
      <c r="H38" s="364"/>
      <c r="I38" s="364"/>
      <c r="J38" s="364"/>
      <c r="K38" s="364"/>
      <c r="L38" s="364"/>
      <c r="M38" s="364"/>
      <c r="T38" s="432"/>
    </row>
    <row r="39" ht="20.1" customHeight="1" spans="2:20">
      <c r="B39" s="363"/>
      <c r="C39" s="364"/>
      <c r="D39" s="364"/>
      <c r="E39" s="364"/>
      <c r="F39" s="364"/>
      <c r="G39" s="364"/>
      <c r="H39" s="364"/>
      <c r="I39" s="364"/>
      <c r="J39" s="364"/>
      <c r="K39" s="364"/>
      <c r="L39" s="364"/>
      <c r="M39" s="364"/>
      <c r="T39" s="432"/>
    </row>
    <row r="40" ht="20.1" customHeight="1" spans="2:20">
      <c r="B40" s="363"/>
      <c r="C40" s="364"/>
      <c r="D40" s="364"/>
      <c r="E40" s="364"/>
      <c r="F40" s="364"/>
      <c r="G40" s="364"/>
      <c r="H40" s="364"/>
      <c r="I40" s="364"/>
      <c r="J40" s="364"/>
      <c r="K40" s="364"/>
      <c r="L40" s="364"/>
      <c r="M40" s="364"/>
      <c r="T40" s="432"/>
    </row>
    <row r="41" ht="20.1" customHeight="1" spans="2:20">
      <c r="B41" s="363"/>
      <c r="C41" s="364"/>
      <c r="D41" s="364"/>
      <c r="E41" s="364"/>
      <c r="F41" s="364"/>
      <c r="G41" s="364"/>
      <c r="H41" s="364"/>
      <c r="I41" s="364"/>
      <c r="J41" s="364"/>
      <c r="K41" s="364"/>
      <c r="L41" s="364"/>
      <c r="M41" s="364"/>
      <c r="T41" s="432"/>
    </row>
    <row r="42" ht="20.1" customHeight="1" spans="2:20">
      <c r="B42" s="363"/>
      <c r="C42" s="364"/>
      <c r="D42" s="364"/>
      <c r="E42" s="364"/>
      <c r="F42" s="364"/>
      <c r="G42" s="364"/>
      <c r="H42" s="364"/>
      <c r="I42" s="364"/>
      <c r="J42" s="364"/>
      <c r="K42" s="364"/>
      <c r="L42" s="364"/>
      <c r="M42" s="364"/>
      <c r="T42" s="432"/>
    </row>
    <row r="43" ht="20.1" customHeight="1" spans="2:20">
      <c r="B43" s="363"/>
      <c r="C43" s="364"/>
      <c r="D43" s="364"/>
      <c r="E43" s="364"/>
      <c r="F43" s="364"/>
      <c r="G43" s="364"/>
      <c r="H43" s="364"/>
      <c r="I43" s="364"/>
      <c r="J43" s="364"/>
      <c r="K43" s="364"/>
      <c r="L43" s="364"/>
      <c r="M43" s="364"/>
      <c r="T43" s="432"/>
    </row>
    <row r="44" ht="20.1" customHeight="1" spans="2:20">
      <c r="B44" s="370"/>
      <c r="C44" s="371"/>
      <c r="D44" s="371"/>
      <c r="E44" s="371"/>
      <c r="F44" s="371"/>
      <c r="G44" s="371"/>
      <c r="H44" s="371"/>
      <c r="I44" s="371"/>
      <c r="J44" s="371"/>
      <c r="K44" s="371"/>
      <c r="L44" s="371"/>
      <c r="M44" s="371"/>
      <c r="N44" s="369"/>
      <c r="O44" s="369"/>
      <c r="P44" s="371"/>
      <c r="Q44" s="371"/>
      <c r="R44" s="371"/>
      <c r="S44" s="371"/>
      <c r="T44" s="435"/>
    </row>
    <row r="45" ht="27.95" customHeight="1" spans="2:20">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32.9146922641509</v>
      </c>
      <c r="Q48" s="416">
        <f>INDEX('4主要费项费项月累成本使用情况'!C5:N5,MATCH($L$3&amp;"月",表3_3[[#Headers],[1月]:[12月]],0))/10000</f>
        <v>16.7591241886792</v>
      </c>
      <c r="R48" s="416">
        <f>INDEX('4主要费项费项月累成本使用情况'!C3:N3,MATCH($L$3&amp;"月",表3_3[[#Headers],[1月]:[12月]],0))/10000</f>
        <v>12.5940154233242</v>
      </c>
      <c r="S48" s="436">
        <f t="shared" ref="S48:S56" si="2">IFERROR(R48/P48,"无年度目标")</f>
        <v>0.382625950814099</v>
      </c>
      <c r="T48" s="437">
        <f t="shared" ref="T48:T56" si="3">IFERROR(R48/Q48,"无月度目标")</f>
        <v>0.751472170116828</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4.2</v>
      </c>
      <c r="Q49" s="416">
        <f>INDEX('4主要费项费项月累成本使用情况'!C9:N9,MATCH($L$3&amp;"月",表3_3[[#Headers],[1月]:[12月]],0))/10000</f>
        <v>4.2</v>
      </c>
      <c r="R49" s="416">
        <f>INDEX('4主要费项费项月累成本使用情况'!C7:N7,MATCH($L$3&amp;"月",表3_3[[#Headers],[1月]:[12月]],0))/10000</f>
        <v>0</v>
      </c>
      <c r="S49" s="436">
        <f t="shared" si="2"/>
        <v>0</v>
      </c>
      <c r="T49" s="437">
        <f t="shared" si="3"/>
        <v>0</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0</v>
      </c>
      <c r="Q50" s="416">
        <f>INDEX('4主要费项费项月累成本使用情况'!C13:N13,MATCH($L$3&amp;"月",表3_3[[#Headers],[1月]:[12月]],0))/10000</f>
        <v>0</v>
      </c>
      <c r="R50" s="416">
        <f>INDEX('4主要费项费项月累成本使用情况'!C10:N10,MATCH($L$3&amp;"月",表3_3[[#Headers],[1月]:[12月]],0))/10000</f>
        <v>0</v>
      </c>
      <c r="S50" s="436" t="str">
        <f t="shared" si="2"/>
        <v>无年度目标</v>
      </c>
      <c r="T50" s="437" t="str">
        <f t="shared" si="3"/>
        <v>无月度目标</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过程管理表单'!H597/10000</f>
        <v>0</v>
      </c>
      <c r="Q51" s="416">
        <f>INDEX('4主要费项费项月累成本使用情况'!C17:N17,MATCH($L$3&amp;"月",表3_3[[#Headers],[1月]:[12月]],0))/10000</f>
        <v>0</v>
      </c>
      <c r="R51" s="416">
        <f>INDEX('4主要费项费项月累成本使用情况'!C15:N15,MATCH($L$3&amp;"月",表3_3[[#Headers],[1月]:[12月]],0))/10000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过程管理表单'!H603/10000</f>
        <v>0.48</v>
      </c>
      <c r="Q52" s="416">
        <f>INDEX('4主要费项费项月累成本使用情况'!C21:N21,MATCH($L$3&amp;"月",表3_3[[#Headers],[1月]:[12月]],0))/10000</f>
        <v>0.24</v>
      </c>
      <c r="R52" s="416">
        <f>INDEX('4主要费项费项月累成本使用情况'!C19:N19,MATCH($L$3&amp;"月",表3_3[[#Headers],[1月]:[12月]],0))/10000</f>
        <v>0</v>
      </c>
      <c r="S52" s="436">
        <f t="shared" si="2"/>
        <v>0</v>
      </c>
      <c r="T52" s="437">
        <f t="shared" si="3"/>
        <v>0</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过程管理表单'!H616/10000</f>
        <v>0.064</v>
      </c>
      <c r="Q53" s="416">
        <f>INDEX('4主要费项费项月累成本使用情况'!C25:N25,MATCH($L$3&amp;"月",表3_3[[#Headers],[1月]:[12月]],0))/10000</f>
        <v>0.064</v>
      </c>
      <c r="R53" s="416">
        <f>INDEX('4主要费项费项月累成本使用情况'!C23:N23,MATCH($L$3&amp;"月",表3_3[[#Headers],[1月]:[12月]],0))/10000</f>
        <v>0</v>
      </c>
      <c r="S53" s="436">
        <f t="shared" si="2"/>
        <v>0</v>
      </c>
      <c r="T53" s="437">
        <f t="shared" si="3"/>
        <v>0</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32.4429941509434</v>
      </c>
      <c r="Q54" s="416">
        <f>INDEX('4主要费项费项月累成本使用情况'!C29:N29,MATCH($L$3&amp;"月",表3_3[[#Headers],[1月]:[12月]],0))/10000</f>
        <v>16.2874260754717</v>
      </c>
      <c r="R54" s="416">
        <f>INDEX('4主要费项费项月累成本使用情况'!C27:N27,MATCH($L$3&amp;"月",表3_3[[#Headers],[1月]:[12月]],0))/10000</f>
        <v>11.5443287671233</v>
      </c>
      <c r="S54" s="436">
        <f t="shared" si="2"/>
        <v>0.355834258496996</v>
      </c>
      <c r="T54" s="437">
        <f t="shared" si="3"/>
        <v>0.708787792106002</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0.471698113207547</v>
      </c>
      <c r="Q55" s="416">
        <f>INDEX('4主要费项费项月累成本使用情况'!C33:N33,MATCH($L$3&amp;"月",表3_3[[#Headers],[1月]:[12月]],0))/10000</f>
        <v>0</v>
      </c>
      <c r="R55" s="416">
        <f>INDEX('4主要费项费项月累成本使用情况'!C31:N31,MATCH($L$3&amp;"月",表3_3[[#Headers],[1月]:[12月]],0))/10000</f>
        <v>0</v>
      </c>
      <c r="S55" s="436">
        <f t="shared" si="2"/>
        <v>0</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INDEX('4主要费项费项月累成本使用情况'!C37:N37,MATCH($L$3&amp;"月",表3_3[[#Headers],[1月]:[12月]],0))/10000</f>
        <v>0.471698113207547</v>
      </c>
      <c r="R56" s="416">
        <f>INDEX('4主要费项费项月累成本使用情况'!C35:N35,MATCH($L$3&amp;"月",表3_3[[#Headers],[1月]:[12月]],0))/10000</f>
        <v>1.04968665620094</v>
      </c>
      <c r="S56" s="436" t="str">
        <f t="shared" si="2"/>
        <v>无年度目标</v>
      </c>
      <c r="T56" s="437">
        <f t="shared" si="3"/>
        <v>2.22533571114599</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pans="2:20">
      <c r="B65" s="363"/>
      <c r="C65" s="364"/>
      <c r="D65" s="364"/>
      <c r="E65" s="364"/>
      <c r="F65" s="364"/>
      <c r="G65" s="364"/>
      <c r="H65" s="364"/>
      <c r="I65" s="364"/>
      <c r="J65" s="364"/>
      <c r="K65" s="364"/>
      <c r="L65" s="364"/>
      <c r="M65" s="364"/>
      <c r="T65" s="432"/>
    </row>
    <row r="66" ht="27.95" customHeight="1" spans="1:20">
      <c r="A66" s="333"/>
      <c r="B66" s="366"/>
      <c r="C66" s="333"/>
      <c r="D66" s="333"/>
      <c r="E66" s="333"/>
      <c r="F66" s="333"/>
      <c r="G66" s="333"/>
      <c r="H66" s="333"/>
      <c r="I66" s="333"/>
      <c r="J66" s="333"/>
      <c r="K66" s="333"/>
      <c r="L66" s="333"/>
      <c r="M66" s="333"/>
      <c r="T66" s="432"/>
    </row>
    <row r="67" spans="2:20">
      <c r="B67" s="363"/>
      <c r="C67" s="364"/>
      <c r="D67" s="364"/>
      <c r="E67" s="364"/>
      <c r="F67" s="364"/>
      <c r="G67" s="364"/>
      <c r="H67" s="364"/>
      <c r="I67" s="364"/>
      <c r="J67" s="364"/>
      <c r="K67" s="364"/>
      <c r="L67" s="364"/>
      <c r="M67" s="364"/>
      <c r="T67" s="432"/>
    </row>
    <row r="68" spans="2:20">
      <c r="B68" s="363"/>
      <c r="C68" s="364"/>
      <c r="D68" s="364"/>
      <c r="E68" s="364"/>
      <c r="F68" s="364"/>
      <c r="G68" s="364"/>
      <c r="H68" s="364"/>
      <c r="I68" s="364"/>
      <c r="J68" s="364"/>
      <c r="K68" s="364"/>
      <c r="L68" s="364"/>
      <c r="M68" s="364"/>
      <c r="T68" s="432"/>
    </row>
    <row r="69" spans="2:20">
      <c r="B69" s="363"/>
      <c r="C69" s="364"/>
      <c r="D69" s="364"/>
      <c r="E69" s="364"/>
      <c r="F69" s="364"/>
      <c r="G69" s="364"/>
      <c r="H69" s="364"/>
      <c r="I69" s="364"/>
      <c r="J69" s="364"/>
      <c r="K69" s="364"/>
      <c r="L69" s="364"/>
      <c r="M69" s="364"/>
      <c r="T69" s="432"/>
    </row>
    <row r="70" spans="2:20">
      <c r="B70" s="370"/>
      <c r="C70" s="371"/>
      <c r="D70" s="371"/>
      <c r="E70" s="371"/>
      <c r="F70" s="371"/>
      <c r="G70" s="371"/>
      <c r="H70" s="371"/>
      <c r="I70" s="371"/>
      <c r="J70" s="371"/>
      <c r="K70" s="371"/>
      <c r="L70" s="371"/>
      <c r="M70" s="371"/>
      <c r="N70" s="369"/>
      <c r="O70" s="369"/>
      <c r="P70" s="371"/>
      <c r="Q70" s="371"/>
      <c r="R70" s="371"/>
      <c r="S70" s="371"/>
      <c r="T70" s="435"/>
    </row>
    <row r="71" ht="27.95" customHeight="1" spans="2:20">
      <c r="B71" s="361" t="s">
        <v>225</v>
      </c>
      <c r="C71" s="362"/>
      <c r="D71" s="362"/>
      <c r="E71" s="362"/>
      <c r="F71" s="362"/>
      <c r="G71" s="362"/>
      <c r="H71" s="362"/>
      <c r="I71" s="362"/>
      <c r="J71" s="362"/>
      <c r="K71" s="362"/>
      <c r="L71" s="362"/>
      <c r="M71" s="362"/>
      <c r="N71" s="362"/>
      <c r="O71" s="362"/>
      <c r="P71" s="362"/>
      <c r="Q71" s="362"/>
      <c r="R71" s="362"/>
      <c r="S71" s="362"/>
      <c r="T71" s="431"/>
    </row>
    <row r="72" spans="2:20">
      <c r="B72" s="363"/>
      <c r="C72" s="364"/>
      <c r="D72" s="364"/>
      <c r="E72" s="364"/>
      <c r="F72" s="364"/>
      <c r="G72" s="364"/>
      <c r="H72" s="364"/>
      <c r="I72" s="364"/>
      <c r="J72" s="364"/>
      <c r="K72" s="364"/>
      <c r="L72" s="364"/>
      <c r="M72" s="364"/>
      <c r="T72" s="432"/>
    </row>
    <row r="73" spans="2:20">
      <c r="B73" s="363"/>
      <c r="C73" s="364"/>
      <c r="D73" s="364"/>
      <c r="E73" s="364"/>
      <c r="F73" s="364"/>
      <c r="G73" s="364"/>
      <c r="H73" s="364"/>
      <c r="I73" s="364"/>
      <c r="J73" s="364"/>
      <c r="K73" s="364"/>
      <c r="L73" s="364"/>
      <c r="M73" s="364"/>
      <c r="T73" s="432"/>
    </row>
    <row r="74" spans="2:20">
      <c r="B74" s="363"/>
      <c r="C74" s="364"/>
      <c r="D74" s="364"/>
      <c r="E74" s="364"/>
      <c r="F74" s="364"/>
      <c r="G74" s="364"/>
      <c r="H74" s="364"/>
      <c r="I74" s="364"/>
      <c r="J74" s="364"/>
      <c r="K74" s="364"/>
      <c r="L74" s="364"/>
      <c r="M74" s="364"/>
      <c r="T74" s="432"/>
    </row>
    <row r="75" spans="2:20">
      <c r="B75" s="363"/>
      <c r="C75" s="364"/>
      <c r="D75" s="364"/>
      <c r="E75" s="364"/>
      <c r="F75" s="364"/>
      <c r="G75" s="364"/>
      <c r="H75" s="364"/>
      <c r="I75" s="364"/>
      <c r="J75" s="364"/>
      <c r="K75" s="364"/>
      <c r="L75" s="364"/>
      <c r="M75" s="364"/>
      <c r="T75" s="432"/>
    </row>
    <row r="76" spans="2:20">
      <c r="B76" s="363"/>
      <c r="C76" s="364"/>
      <c r="D76" s="364"/>
      <c r="E76" s="364"/>
      <c r="F76" s="364"/>
      <c r="G76" s="364"/>
      <c r="H76" s="364"/>
      <c r="I76" s="364"/>
      <c r="J76" s="364"/>
      <c r="K76" s="364"/>
      <c r="L76" s="364"/>
      <c r="M76" s="364"/>
      <c r="T76" s="432"/>
    </row>
    <row r="77" spans="2:20">
      <c r="B77" s="363"/>
      <c r="C77" s="364"/>
      <c r="D77" s="364"/>
      <c r="E77" s="364"/>
      <c r="F77" s="364"/>
      <c r="G77" s="364"/>
      <c r="H77" s="364"/>
      <c r="I77" s="364"/>
      <c r="J77" s="364"/>
      <c r="K77" s="364"/>
      <c r="L77" s="364"/>
      <c r="M77" s="364"/>
      <c r="T77" s="432"/>
    </row>
    <row r="78" spans="2:20">
      <c r="B78" s="363"/>
      <c r="C78" s="364"/>
      <c r="D78" s="364"/>
      <c r="E78" s="364"/>
      <c r="F78" s="364"/>
      <c r="G78" s="364"/>
      <c r="H78" s="364"/>
      <c r="I78" s="364"/>
      <c r="J78" s="364"/>
      <c r="K78" s="364"/>
      <c r="L78" s="364"/>
      <c r="M78" s="364"/>
      <c r="T78" s="432"/>
    </row>
    <row r="79" spans="2:20">
      <c r="B79" s="363"/>
      <c r="C79" s="364"/>
      <c r="D79" s="364"/>
      <c r="E79" s="364"/>
      <c r="F79" s="364"/>
      <c r="G79" s="364"/>
      <c r="H79" s="364"/>
      <c r="I79" s="364"/>
      <c r="J79" s="364"/>
      <c r="K79" s="364"/>
      <c r="L79" s="364"/>
      <c r="M79" s="364"/>
      <c r="T79" s="432"/>
    </row>
    <row r="80" spans="2:20">
      <c r="B80" s="363"/>
      <c r="C80" s="364"/>
      <c r="D80" s="364"/>
      <c r="E80" s="364"/>
      <c r="F80" s="364"/>
      <c r="G80" s="364"/>
      <c r="H80" s="364"/>
      <c r="I80" s="364"/>
      <c r="J80" s="364"/>
      <c r="K80" s="364"/>
      <c r="L80" s="364"/>
      <c r="M80" s="364"/>
      <c r="T80" s="432"/>
    </row>
    <row r="81" spans="2:20">
      <c r="B81" s="363"/>
      <c r="C81" s="364"/>
      <c r="D81" s="364"/>
      <c r="E81" s="364"/>
      <c r="F81" s="364"/>
      <c r="G81" s="364"/>
      <c r="H81" s="364"/>
      <c r="I81" s="364"/>
      <c r="J81" s="364"/>
      <c r="K81" s="364"/>
      <c r="L81" s="364"/>
      <c r="M81" s="364"/>
      <c r="T81" s="432"/>
    </row>
    <row r="82" spans="2:20">
      <c r="B82" s="363"/>
      <c r="C82" s="364"/>
      <c r="D82" s="364"/>
      <c r="E82" s="364"/>
      <c r="F82" s="364"/>
      <c r="G82" s="364"/>
      <c r="H82" s="364"/>
      <c r="I82" s="364"/>
      <c r="J82" s="364"/>
      <c r="K82" s="364"/>
      <c r="L82" s="364"/>
      <c r="M82" s="364"/>
      <c r="T82" s="432"/>
    </row>
    <row r="83" spans="2:20">
      <c r="B83" s="363"/>
      <c r="C83" s="364"/>
      <c r="D83" s="364"/>
      <c r="E83" s="364"/>
      <c r="F83" s="364"/>
      <c r="G83" s="364"/>
      <c r="H83" s="364"/>
      <c r="I83" s="364"/>
      <c r="J83" s="364"/>
      <c r="K83" s="364"/>
      <c r="L83" s="364"/>
      <c r="M83" s="364"/>
      <c r="T83" s="432"/>
    </row>
    <row r="84" spans="2:20">
      <c r="B84" s="363"/>
      <c r="C84" s="364"/>
      <c r="D84" s="364"/>
      <c r="E84" s="364"/>
      <c r="F84" s="364"/>
      <c r="G84" s="364"/>
      <c r="H84" s="364"/>
      <c r="I84" s="364"/>
      <c r="J84" s="364"/>
      <c r="K84" s="364"/>
      <c r="L84" s="364"/>
      <c r="M84" s="364"/>
      <c r="T84" s="432"/>
    </row>
    <row r="85" spans="2:20">
      <c r="B85" s="363"/>
      <c r="C85" s="364"/>
      <c r="D85" s="364"/>
      <c r="E85" s="364"/>
      <c r="F85" s="364"/>
      <c r="G85" s="364"/>
      <c r="H85" s="364"/>
      <c r="I85" s="364"/>
      <c r="J85" s="364"/>
      <c r="K85" s="364"/>
      <c r="L85" s="364"/>
      <c r="M85" s="364"/>
      <c r="T85" s="432"/>
    </row>
    <row r="86" spans="2:20">
      <c r="B86" s="363"/>
      <c r="C86" s="364"/>
      <c r="D86" s="364"/>
      <c r="E86" s="364"/>
      <c r="F86" s="364"/>
      <c r="G86" s="364"/>
      <c r="H86" s="364"/>
      <c r="I86" s="364"/>
      <c r="J86" s="364"/>
      <c r="K86" s="364"/>
      <c r="L86" s="364"/>
      <c r="M86" s="364"/>
      <c r="T86" s="432"/>
    </row>
    <row r="87" spans="2:20">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H5" sqref="H5:I5"/>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s="330" customFormat="1" ht="51" customHeight="1" spans="1:20">
      <c r="A2" s="334"/>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深圳区域公司深圳市福田区梅华小学物业管理服务中心</v>
      </c>
      <c r="E3" s="341"/>
      <c r="F3" s="341"/>
      <c r="G3" s="341"/>
      <c r="H3" s="341"/>
      <c r="I3" s="340" t="s">
        <v>171</v>
      </c>
      <c r="J3" s="341">
        <v>2025</v>
      </c>
      <c r="K3" s="377" t="s">
        <v>172</v>
      </c>
      <c r="L3" s="378">
        <v>5</v>
      </c>
      <c r="M3" s="379" t="s">
        <v>173</v>
      </c>
      <c r="N3" s="380"/>
      <c r="O3" s="377" t="s">
        <v>174</v>
      </c>
      <c r="P3" s="381"/>
      <c r="Q3" s="381"/>
      <c r="R3" s="381"/>
      <c r="S3" s="381"/>
      <c r="T3" s="421"/>
      <c r="AC3" s="439"/>
    </row>
    <row r="4" s="332" customFormat="1" ht="74.1" customHeight="1" spans="1:33">
      <c r="A4" s="342"/>
      <c r="B4" s="343" t="s">
        <v>175</v>
      </c>
      <c r="C4" s="343"/>
      <c r="D4" s="344">
        <f>'2 过程管理表单'!H4/10000</f>
        <v>37.6586922641509</v>
      </c>
      <c r="E4" s="344"/>
      <c r="F4" s="343" t="s">
        <v>176</v>
      </c>
      <c r="G4" s="345"/>
      <c r="H4" s="346">
        <f>L3/12</f>
        <v>0.416666666666667</v>
      </c>
      <c r="I4" s="346"/>
      <c r="J4" s="382">
        <f t="shared" ref="J4:J9" si="0">H4</f>
        <v>0.416666666666667</v>
      </c>
      <c r="K4" s="383">
        <f t="shared" ref="K4:K9" si="1">1-J4</f>
        <v>0.583333333333333</v>
      </c>
      <c r="L4" s="384"/>
      <c r="M4" s="385"/>
      <c r="N4" s="386"/>
      <c r="O4" s="387" t="s">
        <v>177</v>
      </c>
      <c r="P4" s="388">
        <f>SUM(P6:P10)</f>
        <v>20</v>
      </c>
      <c r="Q4" s="422" t="s">
        <v>178</v>
      </c>
      <c r="R4" s="423">
        <f>SUM(Q6:Q10)</f>
        <v>20</v>
      </c>
      <c r="S4" s="422" t="s">
        <v>179</v>
      </c>
      <c r="T4" s="424">
        <f>SUM(R6:R10)</f>
        <v>24</v>
      </c>
      <c r="U4" s="425"/>
      <c r="V4" s="425"/>
      <c r="W4" s="425"/>
      <c r="X4" s="425"/>
      <c r="Y4" s="425"/>
      <c r="Z4" s="425"/>
      <c r="AA4" s="425"/>
      <c r="AB4" s="425"/>
      <c r="AC4" s="425"/>
      <c r="AD4" s="425"/>
      <c r="AE4" s="425"/>
      <c r="AF4" s="425"/>
      <c r="AG4" s="425"/>
    </row>
    <row r="5" s="332" customFormat="1" ht="74.1" customHeight="1" spans="1:33">
      <c r="A5" s="342"/>
      <c r="B5" s="343" t="s">
        <v>180</v>
      </c>
      <c r="C5" s="343"/>
      <c r="D5" s="344">
        <f>INDEX('4-1主要费项费项月累成本使用情况 '!C38:N38,MATCH($L$3&amp;"月",表3_3[[#Headers],[1月]:[12月]],0))/10000</f>
        <v>13.822641509434</v>
      </c>
      <c r="E5" s="344"/>
      <c r="F5" s="343" t="s">
        <v>181</v>
      </c>
      <c r="G5" s="345"/>
      <c r="H5" s="346">
        <f>D6/D4</f>
        <v>0.274574550445902</v>
      </c>
      <c r="I5" s="346"/>
      <c r="J5" s="389">
        <f t="shared" si="0"/>
        <v>0.274574550445902</v>
      </c>
      <c r="K5" s="390">
        <f t="shared" si="1"/>
        <v>0.725425449554098</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INDEX('4-1主要费项费项月累成本使用情况 '!C39:N39,MATCH($L$3&amp;"月",表3_3[[#Headers],[1月]:[12月]],0))/10000</f>
        <v>10.3401184988098</v>
      </c>
      <c r="E6" s="347"/>
      <c r="F6" s="343" t="s">
        <v>186</v>
      </c>
      <c r="G6" s="345"/>
      <c r="H6" s="346">
        <f>D6/D5</f>
        <v>0.748056620853016</v>
      </c>
      <c r="I6" s="346"/>
      <c r="J6" s="393">
        <f t="shared" si="0"/>
        <v>0.748056620853016</v>
      </c>
      <c r="K6" s="394">
        <f t="shared" si="1"/>
        <v>0.251943379146984</v>
      </c>
      <c r="L6" s="395"/>
      <c r="M6" s="396"/>
      <c r="N6" s="386"/>
      <c r="O6" s="366" t="s">
        <v>187</v>
      </c>
      <c r="P6" s="397">
        <f>'1-2 人员岗位信息'!D7</f>
        <v>0</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INDEX('4-1主要费项费项月累成本使用情况 '!C48:N48,MATCH($L$3&amp;"月",表3_3[[#Headers],[1月]:[12月]],0))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3</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1</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1</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349">
        <f>INDEX('4-1主要费项费项月累成本使用情况 '!C52:N52,MATCH($L$3&amp;"月",表3_3[[#Headers],[1月]:[12月]],0))</f>
        <v>3</v>
      </c>
      <c r="E9" s="355" t="s">
        <v>197</v>
      </c>
      <c r="F9" s="351" t="s">
        <v>198</v>
      </c>
      <c r="G9" s="345"/>
      <c r="H9" s="356">
        <f>IFERROR(INDEX(劳务外包表!C47:N47,MATCH($L$3&amp;"月",劳务外包表!C1:N1,0))/劳务外包表!N49,"无目标值")</f>
        <v>0.438520547945205</v>
      </c>
      <c r="I9" s="403"/>
      <c r="J9" s="393">
        <f t="shared" si="0"/>
        <v>0.438520547945205</v>
      </c>
      <c r="K9" s="394">
        <f t="shared" si="1"/>
        <v>0.561479452054795</v>
      </c>
      <c r="L9" s="395"/>
      <c r="M9" s="396"/>
      <c r="N9" s="386"/>
      <c r="O9" s="366" t="s">
        <v>199</v>
      </c>
      <c r="P9" s="404">
        <f>'1-2 人员岗位信息'!D155</f>
        <v>0</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0</v>
      </c>
      <c r="E10" s="357"/>
      <c r="F10" s="343" t="s">
        <v>201</v>
      </c>
      <c r="G10" s="343"/>
      <c r="H10" s="358" cm="1">
        <f t="array" ref="H10">SUMPRODUCT(--(LEFT('2-1 采购订单物料明细表报表导出'!$K:$K,7)&lt;&gt;"")*--(LEFT('2-1 采购订单物料明细表报表导出'!$K:$K,7)&lt;=TEXT(DATE(2025,$L$3,1),"yyyy-mm")))</f>
        <v>1</v>
      </c>
      <c r="I10" s="405"/>
      <c r="J10" s="343" t="s">
        <v>202</v>
      </c>
      <c r="K10" s="343"/>
      <c r="L10" s="358" cm="1">
        <f t="array" ref="L10">SUMPRODUCT((TEXT('2-3 引出列表'!$N:$N,"yyyymm")&lt;=TEXT(DATE(2025,$L$3+1,0),"yyyymm"))*(('2-3 引出列表'!$L:$L="已审核")+('2-3 引出列表'!$L:$L="已付款")))</f>
        <v>0</v>
      </c>
      <c r="M10" s="405"/>
      <c r="N10" s="406"/>
      <c r="O10" s="368" t="s">
        <v>203</v>
      </c>
      <c r="P10" s="407">
        <f>'1-2 人员岗位信息'!D35</f>
        <v>19</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s="330" customFormat="1" ht="9" customHeight="1" spans="1:20">
      <c r="A11" s="334"/>
      <c r="B11" s="359"/>
      <c r="C11" s="360"/>
      <c r="D11" s="360"/>
      <c r="E11" s="360"/>
      <c r="F11" s="360"/>
      <c r="G11" s="360"/>
      <c r="H11" s="360"/>
      <c r="I11" s="408"/>
      <c r="J11" s="360"/>
      <c r="K11" s="408"/>
      <c r="L11" s="360"/>
      <c r="M11" s="409"/>
      <c r="N11" s="410"/>
      <c r="O11" s="410"/>
      <c r="P11" s="411"/>
      <c r="Q11" s="411"/>
      <c r="R11" s="411"/>
      <c r="S11" s="411"/>
      <c r="T11" s="430"/>
    </row>
    <row r="12" s="330" customFormat="1" ht="27.95" customHeight="1" spans="1:20">
      <c r="A12" s="334"/>
      <c r="B12" s="361" t="s">
        <v>204</v>
      </c>
      <c r="C12" s="362"/>
      <c r="D12" s="362"/>
      <c r="E12" s="362"/>
      <c r="F12" s="362"/>
      <c r="G12" s="362"/>
      <c r="H12" s="362"/>
      <c r="I12" s="362"/>
      <c r="J12" s="362"/>
      <c r="K12" s="362"/>
      <c r="L12" s="362"/>
      <c r="M12" s="362"/>
      <c r="N12" s="362"/>
      <c r="O12" s="362"/>
      <c r="P12" s="362"/>
      <c r="Q12" s="362"/>
      <c r="R12" s="362"/>
      <c r="S12" s="362"/>
      <c r="T12" s="431"/>
    </row>
    <row r="13" s="330" customFormat="1" ht="17.1" customHeight="1" spans="1:20">
      <c r="A13" s="334"/>
      <c r="B13" s="363"/>
      <c r="C13" s="364"/>
      <c r="D13" s="364"/>
      <c r="E13" s="364"/>
      <c r="F13" s="364"/>
      <c r="G13" s="364"/>
      <c r="H13" s="364"/>
      <c r="I13" s="364"/>
      <c r="J13" s="364"/>
      <c r="K13" s="364"/>
      <c r="L13" s="364"/>
      <c r="M13" s="364"/>
      <c r="N13" s="333"/>
      <c r="O13" s="333"/>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s="330" customFormat="1" ht="20.1" customHeight="1" spans="1:20">
      <c r="A36" s="334"/>
      <c r="B36" s="363"/>
      <c r="C36" s="364"/>
      <c r="D36" s="364"/>
      <c r="E36" s="364"/>
      <c r="F36" s="364"/>
      <c r="G36" s="364"/>
      <c r="H36" s="364"/>
      <c r="I36" s="364"/>
      <c r="J36" s="364"/>
      <c r="K36" s="364"/>
      <c r="L36" s="364"/>
      <c r="M36" s="364"/>
      <c r="N36" s="333"/>
      <c r="O36" s="333"/>
      <c r="T36" s="432"/>
    </row>
    <row r="37" s="330" customFormat="1" ht="20.1" customHeight="1" spans="1:20">
      <c r="A37" s="334"/>
      <c r="B37" s="363"/>
      <c r="C37" s="364"/>
      <c r="D37" s="364"/>
      <c r="E37" s="364"/>
      <c r="F37" s="364"/>
      <c r="G37" s="364"/>
      <c r="H37" s="364"/>
      <c r="I37" s="364"/>
      <c r="J37" s="364"/>
      <c r="K37" s="364"/>
      <c r="L37" s="364"/>
      <c r="M37" s="364"/>
      <c r="N37" s="333"/>
      <c r="O37" s="333"/>
      <c r="T37" s="432"/>
    </row>
    <row r="38" s="330" customFormat="1" ht="20.1" customHeight="1" spans="1:20">
      <c r="A38" s="334"/>
      <c r="B38" s="363"/>
      <c r="C38" s="364"/>
      <c r="D38" s="364"/>
      <c r="E38" s="364"/>
      <c r="F38" s="364"/>
      <c r="G38" s="364"/>
      <c r="H38" s="364"/>
      <c r="I38" s="364"/>
      <c r="J38" s="364"/>
      <c r="K38" s="364"/>
      <c r="L38" s="364"/>
      <c r="M38" s="364"/>
      <c r="N38" s="333"/>
      <c r="O38" s="333"/>
      <c r="T38" s="432"/>
    </row>
    <row r="39" s="330" customFormat="1" ht="20.1" customHeight="1" spans="1:20">
      <c r="A39" s="334"/>
      <c r="B39" s="363"/>
      <c r="C39" s="364"/>
      <c r="D39" s="364"/>
      <c r="E39" s="364"/>
      <c r="F39" s="364"/>
      <c r="G39" s="364"/>
      <c r="H39" s="364"/>
      <c r="I39" s="364"/>
      <c r="J39" s="364"/>
      <c r="K39" s="364"/>
      <c r="L39" s="364"/>
      <c r="M39" s="364"/>
      <c r="N39" s="333"/>
      <c r="O39" s="333"/>
      <c r="T39" s="432"/>
    </row>
    <row r="40" s="330" customFormat="1" ht="20.1" customHeight="1" spans="1:20">
      <c r="A40" s="334"/>
      <c r="B40" s="363"/>
      <c r="C40" s="364"/>
      <c r="D40" s="364"/>
      <c r="E40" s="364"/>
      <c r="F40" s="364"/>
      <c r="G40" s="364"/>
      <c r="H40" s="364"/>
      <c r="I40" s="364"/>
      <c r="J40" s="364"/>
      <c r="K40" s="364"/>
      <c r="L40" s="364"/>
      <c r="M40" s="364"/>
      <c r="N40" s="333"/>
      <c r="O40" s="333"/>
      <c r="T40" s="432"/>
    </row>
    <row r="41" s="330" customFormat="1" ht="20.1" customHeight="1" spans="1:20">
      <c r="A41" s="334"/>
      <c r="B41" s="363"/>
      <c r="C41" s="364"/>
      <c r="D41" s="364"/>
      <c r="E41" s="364"/>
      <c r="F41" s="364"/>
      <c r="G41" s="364"/>
      <c r="H41" s="364"/>
      <c r="I41" s="364"/>
      <c r="J41" s="364"/>
      <c r="K41" s="364"/>
      <c r="L41" s="364"/>
      <c r="M41" s="364"/>
      <c r="N41" s="333"/>
      <c r="O41" s="333"/>
      <c r="T41" s="432"/>
    </row>
    <row r="42" s="330" customFormat="1" ht="20.1" customHeight="1" spans="1:20">
      <c r="A42" s="334"/>
      <c r="B42" s="363"/>
      <c r="C42" s="364"/>
      <c r="D42" s="364"/>
      <c r="E42" s="364"/>
      <c r="F42" s="364"/>
      <c r="G42" s="364"/>
      <c r="H42" s="364"/>
      <c r="I42" s="364"/>
      <c r="J42" s="364"/>
      <c r="K42" s="364"/>
      <c r="L42" s="364"/>
      <c r="M42" s="364"/>
      <c r="N42" s="333"/>
      <c r="O42" s="333"/>
      <c r="T42" s="432"/>
    </row>
    <row r="43" s="330" customFormat="1" ht="20.1" customHeight="1" spans="1:20">
      <c r="A43" s="334"/>
      <c r="B43" s="363"/>
      <c r="C43" s="364"/>
      <c r="D43" s="364"/>
      <c r="E43" s="364"/>
      <c r="F43" s="364"/>
      <c r="G43" s="364"/>
      <c r="H43" s="364"/>
      <c r="I43" s="364"/>
      <c r="J43" s="364"/>
      <c r="K43" s="364"/>
      <c r="L43" s="364"/>
      <c r="M43" s="364"/>
      <c r="N43" s="333"/>
      <c r="O43" s="333"/>
      <c r="T43" s="432"/>
    </row>
    <row r="44" s="330" customFormat="1" ht="20.1" customHeight="1" spans="1:20">
      <c r="A44" s="334"/>
      <c r="B44" s="370"/>
      <c r="C44" s="371"/>
      <c r="D44" s="371"/>
      <c r="E44" s="371"/>
      <c r="F44" s="371"/>
      <c r="G44" s="371"/>
      <c r="H44" s="371"/>
      <c r="I44" s="371"/>
      <c r="J44" s="371"/>
      <c r="K44" s="371"/>
      <c r="L44" s="371"/>
      <c r="M44" s="371"/>
      <c r="N44" s="369"/>
      <c r="O44" s="369"/>
      <c r="P44" s="371"/>
      <c r="Q44" s="371"/>
      <c r="R44" s="371"/>
      <c r="S44" s="371"/>
      <c r="T44" s="435"/>
    </row>
    <row r="45" s="330" customFormat="1" ht="27.95" customHeight="1" spans="1:20">
      <c r="A45" s="334"/>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32.9146922641509</v>
      </c>
      <c r="Q48" s="416">
        <f>INDEX('4-1主要费项费项月累成本使用情况 '!C5:N5,MATCH($L$3&amp;"月",表3_3[[#Headers],[1月]:[12月]],0))/10000</f>
        <v>9.62264150943395</v>
      </c>
      <c r="R48" s="416">
        <f>INDEX('4-1主要费项费项月累成本使用情况 '!C3:N3,MATCH($L$3&amp;"月",表3_3[[#Headers],[1月]:[12月]],0))/10000</f>
        <v>10.3401184988098</v>
      </c>
      <c r="S48" s="436">
        <f t="shared" ref="S48:S56" si="2">IFERROR(R48/P48,"无年度目标")</f>
        <v>0.314149025481601</v>
      </c>
      <c r="T48" s="437">
        <f t="shared" ref="T48:T56" si="3">IFERROR(R48/Q48,"无月度目标")</f>
        <v>1.07456133419004</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4.2</v>
      </c>
      <c r="Q49" s="416">
        <f>INDEX('4-1主要费项费项月累成本使用情况 '!C9:N9,MATCH($L$3&amp;"月",表3_3[[#Headers],[1月]:[12月]],0))/10000</f>
        <v>4.2</v>
      </c>
      <c r="R49" s="416">
        <f>INDEX('4-1主要费项费项月累成本使用情况 '!C7:N7,MATCH($L$3&amp;"月",表3_3[[#Headers],[1月]:[12月]],0))/10000</f>
        <v>0</v>
      </c>
      <c r="S49" s="436">
        <f t="shared" si="2"/>
        <v>0</v>
      </c>
      <c r="T49" s="437">
        <f t="shared" si="3"/>
        <v>0</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0</v>
      </c>
      <c r="Q50" s="416">
        <f>INDEX('4-1主要费项费项月累成本使用情况 '!C13:N13,MATCH($L$3&amp;"月",表3_3[[#Headers],[1月]:[12月]],0))/10000</f>
        <v>0</v>
      </c>
      <c r="R50" s="416">
        <f>INDEX('4-1主要费项费项月累成本使用情况 '!C10:N10,MATCH($L$3&amp;"月",表3_3[[#Headers],[1月]:[12月]],0))/10000</f>
        <v>0</v>
      </c>
      <c r="S50" s="436" t="str">
        <f t="shared" si="2"/>
        <v>无年度目标</v>
      </c>
      <c r="T50" s="437" t="str">
        <f t="shared" si="3"/>
        <v>无月度目标</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过程管理表单'!H598/10000</f>
        <v>0</v>
      </c>
      <c r="Q51" s="416">
        <f>INDEX('4-1主要费项费项月累成本使用情况 '!C17:N17,MATCH($L$3&amp;"月",表3_3[[#Headers],[1月]:[12月]],0))/10000</f>
        <v>0</v>
      </c>
      <c r="R51" s="416">
        <f>INDEX('4-1主要费项费项月累成本使用情况 '!C15:N15,MATCH($L$3&amp;"月",表3_3[[#Headers],[1月]:[12月]],0))/10000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过程管理表单'!H604/10000</f>
        <v>0</v>
      </c>
      <c r="Q52" s="416">
        <f>INDEX('4-1主要费项费项月累成本使用情况 '!C21:N21,MATCH($L$3&amp;"月",表3_3[[#Headers],[1月]:[12月]],0))/10000</f>
        <v>0</v>
      </c>
      <c r="R52" s="416">
        <f>INDEX('4-1主要费项费项月累成本使用情况 '!C19:N19,MATCH($L$3&amp;"月",表3_3[[#Headers],[1月]:[12月]],0))/10000</f>
        <v>0</v>
      </c>
      <c r="S52" s="436" t="str">
        <f t="shared" si="2"/>
        <v>无年度目标</v>
      </c>
      <c r="T52" s="437" t="str">
        <f t="shared" si="3"/>
        <v>无月度目标</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过程管理表单'!H617/10000</f>
        <v>0</v>
      </c>
      <c r="Q53" s="416">
        <f>INDEX('4-1主要费项费项月累成本使用情况 '!C25:N25,MATCH($L$3&amp;"月",表3_3[[#Headers],[1月]:[12月]],0))/10000</f>
        <v>0</v>
      </c>
      <c r="R53" s="416">
        <f>INDEX('4-1主要费项费项月累成本使用情况 '!C23:N23,MATCH($L$3&amp;"月",表3_3[[#Headers],[1月]:[12月]],0))/10000</f>
        <v>0</v>
      </c>
      <c r="S53" s="436" t="str">
        <f t="shared" si="2"/>
        <v>无年度目标</v>
      </c>
      <c r="T53" s="437" t="str">
        <f t="shared" si="3"/>
        <v>无月度目标</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32.4429941509434</v>
      </c>
      <c r="Q54" s="416">
        <f>INDEX('4-1主要费项费项月累成本使用情况 '!C29:N29,MATCH($L$3&amp;"月",表3_3[[#Headers],[1月]:[12月]],0))/10000</f>
        <v>13.5948313962264</v>
      </c>
      <c r="R54" s="416">
        <f>INDEX('4-1主要费项费项月累成本使用情况 '!C27:N27,MATCH($L$3&amp;"月",表3_3[[#Headers],[1月]:[12月]],0))/10000</f>
        <v>9.63090410958906</v>
      </c>
      <c r="S54" s="436">
        <f t="shared" si="2"/>
        <v>0.296856204602466</v>
      </c>
      <c r="T54" s="437">
        <f t="shared" si="3"/>
        <v>0.708423946490603</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0.471698113207547</v>
      </c>
      <c r="Q55" s="416">
        <f>INDEX('4-1主要费项费项月累成本使用情况 '!C33:N33,MATCH($L$3&amp;"月",表3_3[[#Headers],[1月]:[12月]],0))/10000</f>
        <v>0</v>
      </c>
      <c r="R55" s="416">
        <f>INDEX('4-1主要费项费项月累成本使用情况 '!C31:N31,MATCH($L$3&amp;"月",表3_3[[#Headers],[1月]:[12月]],0))/10000</f>
        <v>0</v>
      </c>
      <c r="S55" s="436">
        <f t="shared" si="2"/>
        <v>0</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INDEX('4-1主要费项费项月累成本使用情况 '!C37:N37,MATCH($L$3&amp;"月",表3_3[[#Headers],[1月]:[12月]],0))/10000</f>
        <v>0.471698113207547</v>
      </c>
      <c r="R56" s="416">
        <f>INDEX('4-1主要费项费项月累成本使用情况 '!C35:N35,MATCH($L$3&amp;"月",表3_3[[#Headers],[1月]:[12月]],0))/10000</f>
        <v>0.709214389220764</v>
      </c>
      <c r="S56" s="436" t="str">
        <f t="shared" si="2"/>
        <v>无年度目标</v>
      </c>
      <c r="T56" s="437">
        <f t="shared" si="3"/>
        <v>1.50353450514802</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330" customFormat="1" spans="1:20">
      <c r="A65" s="334"/>
      <c r="B65" s="363"/>
      <c r="C65" s="364"/>
      <c r="D65" s="364"/>
      <c r="E65" s="364"/>
      <c r="F65" s="364"/>
      <c r="G65" s="364"/>
      <c r="H65" s="364"/>
      <c r="I65" s="364"/>
      <c r="J65" s="364"/>
      <c r="K65" s="364"/>
      <c r="L65" s="364"/>
      <c r="M65" s="364"/>
      <c r="N65" s="333"/>
      <c r="O65" s="333"/>
      <c r="T65" s="432"/>
    </row>
    <row r="66" s="330" customFormat="1" ht="27.95" customHeight="1" spans="1:20">
      <c r="A66" s="333"/>
      <c r="B66" s="366"/>
      <c r="C66" s="333"/>
      <c r="D66" s="333"/>
      <c r="E66" s="333"/>
      <c r="F66" s="333"/>
      <c r="G66" s="333"/>
      <c r="H66" s="333"/>
      <c r="I66" s="333"/>
      <c r="J66" s="333"/>
      <c r="K66" s="333"/>
      <c r="L66" s="333"/>
      <c r="M66" s="333"/>
      <c r="N66" s="333"/>
      <c r="O66" s="333"/>
      <c r="T66" s="432"/>
    </row>
    <row r="67" s="330" customFormat="1" spans="1:20">
      <c r="A67" s="334"/>
      <c r="B67" s="363"/>
      <c r="C67" s="364"/>
      <c r="D67" s="364"/>
      <c r="E67" s="364"/>
      <c r="F67" s="364"/>
      <c r="G67" s="364"/>
      <c r="H67" s="364"/>
      <c r="I67" s="364"/>
      <c r="J67" s="364"/>
      <c r="K67" s="364"/>
      <c r="L67" s="364"/>
      <c r="M67" s="364"/>
      <c r="N67" s="333"/>
      <c r="O67" s="333"/>
      <c r="T67" s="432"/>
    </row>
    <row r="68" s="330" customFormat="1" spans="1:20">
      <c r="A68" s="334"/>
      <c r="B68" s="363"/>
      <c r="C68" s="364"/>
      <c r="D68" s="364"/>
      <c r="E68" s="364"/>
      <c r="F68" s="364"/>
      <c r="G68" s="364"/>
      <c r="H68" s="364"/>
      <c r="I68" s="364"/>
      <c r="J68" s="364"/>
      <c r="K68" s="364"/>
      <c r="L68" s="364"/>
      <c r="M68" s="364"/>
      <c r="N68" s="333"/>
      <c r="O68" s="333"/>
      <c r="T68" s="432"/>
    </row>
    <row r="69" s="330" customFormat="1" spans="1:20">
      <c r="A69" s="334"/>
      <c r="B69" s="363"/>
      <c r="C69" s="364"/>
      <c r="D69" s="364"/>
      <c r="E69" s="364"/>
      <c r="F69" s="364"/>
      <c r="G69" s="364"/>
      <c r="H69" s="364"/>
      <c r="I69" s="364"/>
      <c r="J69" s="364"/>
      <c r="K69" s="364"/>
      <c r="L69" s="364"/>
      <c r="M69" s="364"/>
      <c r="N69" s="333"/>
      <c r="O69" s="333"/>
      <c r="T69" s="432"/>
    </row>
    <row r="70" s="330" customFormat="1" spans="1:20">
      <c r="A70" s="334"/>
      <c r="B70" s="370"/>
      <c r="C70" s="371"/>
      <c r="D70" s="371"/>
      <c r="E70" s="371"/>
      <c r="F70" s="371"/>
      <c r="G70" s="371"/>
      <c r="H70" s="371"/>
      <c r="I70" s="371"/>
      <c r="J70" s="371"/>
      <c r="K70" s="371"/>
      <c r="L70" s="371"/>
      <c r="M70" s="371"/>
      <c r="N70" s="369"/>
      <c r="O70" s="369"/>
      <c r="P70" s="371"/>
      <c r="Q70" s="371"/>
      <c r="R70" s="371"/>
      <c r="S70" s="371"/>
      <c r="T70" s="435"/>
    </row>
    <row r="71" s="330" customFormat="1" ht="27.95" customHeight="1" spans="1:20">
      <c r="A71" s="334"/>
      <c r="B71" s="361" t="s">
        <v>225</v>
      </c>
      <c r="C71" s="362"/>
      <c r="D71" s="362"/>
      <c r="E71" s="362"/>
      <c r="F71" s="362"/>
      <c r="G71" s="362"/>
      <c r="H71" s="362"/>
      <c r="I71" s="362"/>
      <c r="J71" s="362"/>
      <c r="K71" s="362"/>
      <c r="L71" s="362"/>
      <c r="M71" s="362"/>
      <c r="N71" s="362"/>
      <c r="O71" s="362"/>
      <c r="P71" s="362"/>
      <c r="Q71" s="362"/>
      <c r="R71" s="362"/>
      <c r="S71" s="362"/>
      <c r="T71" s="431"/>
    </row>
    <row r="72" s="330" customFormat="1" spans="1:20">
      <c r="A72" s="334"/>
      <c r="B72" s="363"/>
      <c r="C72" s="364"/>
      <c r="D72" s="364"/>
      <c r="E72" s="364"/>
      <c r="F72" s="364"/>
      <c r="G72" s="364"/>
      <c r="H72" s="364"/>
      <c r="I72" s="364"/>
      <c r="J72" s="364"/>
      <c r="K72" s="364"/>
      <c r="L72" s="364"/>
      <c r="M72" s="364"/>
      <c r="N72" s="333"/>
      <c r="O72" s="333"/>
      <c r="T72" s="432"/>
    </row>
    <row r="73" s="330" customFormat="1" spans="1:20">
      <c r="A73" s="334"/>
      <c r="B73" s="363"/>
      <c r="C73" s="364"/>
      <c r="D73" s="364"/>
      <c r="E73" s="364"/>
      <c r="F73" s="364"/>
      <c r="G73" s="364"/>
      <c r="H73" s="364"/>
      <c r="I73" s="364"/>
      <c r="J73" s="364"/>
      <c r="K73" s="364"/>
      <c r="L73" s="364"/>
      <c r="M73" s="364"/>
      <c r="N73" s="333"/>
      <c r="O73" s="333"/>
      <c r="T73" s="432"/>
    </row>
    <row r="74" s="330" customFormat="1" spans="1:20">
      <c r="A74" s="334"/>
      <c r="B74" s="363"/>
      <c r="C74" s="364"/>
      <c r="D74" s="364"/>
      <c r="E74" s="364"/>
      <c r="F74" s="364"/>
      <c r="G74" s="364"/>
      <c r="H74" s="364"/>
      <c r="I74" s="364"/>
      <c r="J74" s="364"/>
      <c r="K74" s="364"/>
      <c r="L74" s="364"/>
      <c r="M74" s="364"/>
      <c r="N74" s="333"/>
      <c r="O74" s="333"/>
      <c r="T74" s="432"/>
    </row>
    <row r="75" s="330" customFormat="1" spans="1:20">
      <c r="A75" s="334"/>
      <c r="B75" s="363"/>
      <c r="C75" s="364"/>
      <c r="D75" s="364"/>
      <c r="E75" s="364"/>
      <c r="F75" s="364"/>
      <c r="G75" s="364"/>
      <c r="H75" s="364"/>
      <c r="I75" s="364"/>
      <c r="J75" s="364"/>
      <c r="K75" s="364"/>
      <c r="L75" s="364"/>
      <c r="M75" s="364"/>
      <c r="N75" s="333"/>
      <c r="O75" s="333"/>
      <c r="T75" s="432"/>
    </row>
    <row r="76" s="330" customFormat="1" spans="1:20">
      <c r="A76" s="334"/>
      <c r="B76" s="363"/>
      <c r="C76" s="364"/>
      <c r="D76" s="364"/>
      <c r="E76" s="364"/>
      <c r="F76" s="364"/>
      <c r="G76" s="364"/>
      <c r="H76" s="364"/>
      <c r="I76" s="364"/>
      <c r="J76" s="364"/>
      <c r="K76" s="364"/>
      <c r="L76" s="364"/>
      <c r="M76" s="364"/>
      <c r="N76" s="333"/>
      <c r="O76" s="333"/>
      <c r="T76" s="432"/>
    </row>
    <row r="77" s="330" customFormat="1" spans="1:20">
      <c r="A77" s="334"/>
      <c r="B77" s="363"/>
      <c r="C77" s="364"/>
      <c r="D77" s="364"/>
      <c r="E77" s="364"/>
      <c r="F77" s="364"/>
      <c r="G77" s="364"/>
      <c r="H77" s="364"/>
      <c r="I77" s="364"/>
      <c r="J77" s="364"/>
      <c r="K77" s="364"/>
      <c r="L77" s="364"/>
      <c r="M77" s="364"/>
      <c r="N77" s="333"/>
      <c r="O77" s="333"/>
      <c r="T77" s="432"/>
    </row>
    <row r="78" s="330" customFormat="1" spans="1:20">
      <c r="A78" s="334"/>
      <c r="B78" s="363"/>
      <c r="C78" s="364"/>
      <c r="D78" s="364"/>
      <c r="E78" s="364"/>
      <c r="F78" s="364"/>
      <c r="G78" s="364"/>
      <c r="H78" s="364"/>
      <c r="I78" s="364"/>
      <c r="J78" s="364"/>
      <c r="K78" s="364"/>
      <c r="L78" s="364"/>
      <c r="M78" s="364"/>
      <c r="N78" s="333"/>
      <c r="O78" s="333"/>
      <c r="T78" s="432"/>
    </row>
    <row r="79" s="330" customFormat="1" spans="1:20">
      <c r="A79" s="334"/>
      <c r="B79" s="363"/>
      <c r="C79" s="364"/>
      <c r="D79" s="364"/>
      <c r="E79" s="364"/>
      <c r="F79" s="364"/>
      <c r="G79" s="364"/>
      <c r="H79" s="364"/>
      <c r="I79" s="364"/>
      <c r="J79" s="364"/>
      <c r="K79" s="364"/>
      <c r="L79" s="364"/>
      <c r="M79" s="364"/>
      <c r="N79" s="333"/>
      <c r="O79" s="333"/>
      <c r="T79" s="432"/>
    </row>
    <row r="80" s="330" customFormat="1" spans="1:20">
      <c r="A80" s="334"/>
      <c r="B80" s="363"/>
      <c r="C80" s="364"/>
      <c r="D80" s="364"/>
      <c r="E80" s="364"/>
      <c r="F80" s="364"/>
      <c r="G80" s="364"/>
      <c r="H80" s="364"/>
      <c r="I80" s="364"/>
      <c r="J80" s="364"/>
      <c r="K80" s="364"/>
      <c r="L80" s="364"/>
      <c r="M80" s="364"/>
      <c r="N80" s="333"/>
      <c r="O80" s="333"/>
      <c r="T80" s="432"/>
    </row>
    <row r="81" s="330" customFormat="1" spans="1:20">
      <c r="A81" s="334"/>
      <c r="B81" s="363"/>
      <c r="C81" s="364"/>
      <c r="D81" s="364"/>
      <c r="E81" s="364"/>
      <c r="F81" s="364"/>
      <c r="G81" s="364"/>
      <c r="H81" s="364"/>
      <c r="I81" s="364"/>
      <c r="J81" s="364"/>
      <c r="K81" s="364"/>
      <c r="L81" s="364"/>
      <c r="M81" s="364"/>
      <c r="N81" s="333"/>
      <c r="O81" s="333"/>
      <c r="T81" s="432"/>
    </row>
    <row r="82" s="330" customFormat="1" spans="1:20">
      <c r="A82" s="334"/>
      <c r="B82" s="363"/>
      <c r="C82" s="364"/>
      <c r="D82" s="364"/>
      <c r="E82" s="364"/>
      <c r="F82" s="364"/>
      <c r="G82" s="364"/>
      <c r="H82" s="364"/>
      <c r="I82" s="364"/>
      <c r="J82" s="364"/>
      <c r="K82" s="364"/>
      <c r="L82" s="364"/>
      <c r="M82" s="364"/>
      <c r="N82" s="333"/>
      <c r="O82" s="333"/>
      <c r="T82" s="432"/>
    </row>
    <row r="83" s="330" customFormat="1" spans="1:20">
      <c r="A83" s="334"/>
      <c r="B83" s="363"/>
      <c r="C83" s="364"/>
      <c r="D83" s="364"/>
      <c r="E83" s="364"/>
      <c r="F83" s="364"/>
      <c r="G83" s="364"/>
      <c r="H83" s="364"/>
      <c r="I83" s="364"/>
      <c r="J83" s="364"/>
      <c r="K83" s="364"/>
      <c r="L83" s="364"/>
      <c r="M83" s="364"/>
      <c r="N83" s="333"/>
      <c r="O83" s="333"/>
      <c r="T83" s="432"/>
    </row>
    <row r="84" s="330" customFormat="1" spans="1:20">
      <c r="A84" s="334"/>
      <c r="B84" s="363"/>
      <c r="C84" s="364"/>
      <c r="D84" s="364"/>
      <c r="E84" s="364"/>
      <c r="F84" s="364"/>
      <c r="G84" s="364"/>
      <c r="H84" s="364"/>
      <c r="I84" s="364"/>
      <c r="J84" s="364"/>
      <c r="K84" s="364"/>
      <c r="L84" s="364"/>
      <c r="M84" s="364"/>
      <c r="N84" s="333"/>
      <c r="O84" s="333"/>
      <c r="T84" s="432"/>
    </row>
    <row r="85" s="330" customFormat="1" spans="1:20">
      <c r="A85" s="334"/>
      <c r="B85" s="363"/>
      <c r="C85" s="364"/>
      <c r="D85" s="364"/>
      <c r="E85" s="364"/>
      <c r="F85" s="364"/>
      <c r="G85" s="364"/>
      <c r="H85" s="364"/>
      <c r="I85" s="364"/>
      <c r="J85" s="364"/>
      <c r="K85" s="364"/>
      <c r="L85" s="364"/>
      <c r="M85" s="364"/>
      <c r="N85" s="333"/>
      <c r="O85" s="333"/>
      <c r="T85" s="432"/>
    </row>
    <row r="86" s="330" customFormat="1" spans="1:20">
      <c r="A86" s="334"/>
      <c r="B86" s="363"/>
      <c r="C86" s="364"/>
      <c r="D86" s="364"/>
      <c r="E86" s="364"/>
      <c r="F86" s="364"/>
      <c r="G86" s="364"/>
      <c r="H86" s="364"/>
      <c r="I86" s="364"/>
      <c r="J86" s="364"/>
      <c r="K86" s="364"/>
      <c r="L86" s="364"/>
      <c r="M86" s="364"/>
      <c r="N86" s="333"/>
      <c r="O86" s="333"/>
      <c r="T86" s="432"/>
    </row>
    <row r="87" s="330" customFormat="1" spans="1:20">
      <c r="A87" s="334"/>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60" zoomScaleNormal="160" workbookViewId="0">
      <selection activeCell="A1" sqref="A1:XFC358"/>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437893.14</v>
      </c>
      <c r="D3">
        <v>36973.28</v>
      </c>
      <c r="E3">
        <v>36973.28</v>
      </c>
      <c r="F3">
        <v>36973.28</v>
      </c>
      <c r="G3">
        <v>36973.28</v>
      </c>
      <c r="H3">
        <v>36973.28</v>
      </c>
      <c r="I3">
        <v>36973.28</v>
      </c>
      <c r="J3">
        <v>36973.28</v>
      </c>
      <c r="K3">
        <v>36973.28</v>
      </c>
      <c r="L3">
        <v>36973.28</v>
      </c>
      <c r="M3">
        <v>36973.24</v>
      </c>
      <c r="N3">
        <v>34080.19</v>
      </c>
      <c r="O3">
        <v>34080.19</v>
      </c>
      <c r="P3">
        <v>408962.264150943</v>
      </c>
      <c r="Q3">
        <v>34080.1886792453</v>
      </c>
      <c r="R3">
        <v>34080.1886792453</v>
      </c>
      <c r="S3">
        <v>34080.1886792453</v>
      </c>
      <c r="T3">
        <v>34080.1886792453</v>
      </c>
      <c r="U3">
        <v>34080.1886792453</v>
      </c>
      <c r="V3">
        <v>34080.1886792453</v>
      </c>
      <c r="W3">
        <v>34080.1886792453</v>
      </c>
      <c r="X3">
        <v>34080.1886792453</v>
      </c>
      <c r="Y3">
        <v>34080.1886792453</v>
      </c>
      <c r="Z3">
        <v>34080.1886792453</v>
      </c>
      <c r="AA3">
        <v>34080.1886792453</v>
      </c>
      <c r="AB3">
        <v>34080.1886792453</v>
      </c>
    </row>
    <row r="4" spans="1:28">
      <c r="A4">
        <v>6001</v>
      </c>
      <c r="B4" t="s">
        <v>256</v>
      </c>
      <c r="C4">
        <v>437893.14</v>
      </c>
      <c r="D4">
        <v>36973.28</v>
      </c>
      <c r="E4">
        <v>36973.28</v>
      </c>
      <c r="F4">
        <v>36973.28</v>
      </c>
      <c r="G4">
        <v>36973.28</v>
      </c>
      <c r="H4">
        <v>36973.28</v>
      </c>
      <c r="I4">
        <v>36973.28</v>
      </c>
      <c r="J4">
        <v>36973.28</v>
      </c>
      <c r="K4">
        <v>36973.28</v>
      </c>
      <c r="L4">
        <v>36973.28</v>
      </c>
      <c r="M4">
        <v>36973.24</v>
      </c>
      <c r="N4">
        <v>34080.19</v>
      </c>
      <c r="O4">
        <v>34080.19</v>
      </c>
      <c r="P4">
        <v>408962.264150943</v>
      </c>
      <c r="Q4">
        <v>34080.1886792453</v>
      </c>
      <c r="R4">
        <v>34080.1886792453</v>
      </c>
      <c r="S4">
        <v>34080.1886792453</v>
      </c>
      <c r="T4">
        <v>34080.1886792453</v>
      </c>
      <c r="U4">
        <v>34080.1886792453</v>
      </c>
      <c r="V4">
        <v>34080.1886792453</v>
      </c>
      <c r="W4">
        <v>34080.1886792453</v>
      </c>
      <c r="X4">
        <v>34080.1886792453</v>
      </c>
      <c r="Y4">
        <v>34080.1886792453</v>
      </c>
      <c r="Z4">
        <v>34080.1886792453</v>
      </c>
      <c r="AA4">
        <v>34080.1886792453</v>
      </c>
      <c r="AB4">
        <v>34080.1886792453</v>
      </c>
    </row>
    <row r="5" spans="1:28">
      <c r="A5">
        <v>6001.03</v>
      </c>
      <c r="B5" t="s">
        <v>257</v>
      </c>
      <c r="C5">
        <v>437893.14</v>
      </c>
      <c r="D5">
        <v>36973.28</v>
      </c>
      <c r="E5">
        <v>36973.28</v>
      </c>
      <c r="F5">
        <v>36973.28</v>
      </c>
      <c r="G5">
        <v>36973.28</v>
      </c>
      <c r="H5">
        <v>36973.28</v>
      </c>
      <c r="I5">
        <v>36973.28</v>
      </c>
      <c r="J5">
        <v>36973.28</v>
      </c>
      <c r="K5">
        <v>36973.28</v>
      </c>
      <c r="L5">
        <v>36973.28</v>
      </c>
      <c r="M5">
        <v>36973.24</v>
      </c>
      <c r="N5">
        <v>34080.19</v>
      </c>
      <c r="O5">
        <v>34080.19</v>
      </c>
      <c r="P5">
        <v>408962.264150943</v>
      </c>
      <c r="Q5">
        <v>34080.1886792453</v>
      </c>
      <c r="R5">
        <v>34080.1886792453</v>
      </c>
      <c r="S5">
        <v>34080.1886792453</v>
      </c>
      <c r="T5">
        <v>34080.1886792453</v>
      </c>
      <c r="U5">
        <v>34080.1886792453</v>
      </c>
      <c r="V5">
        <v>34080.1886792453</v>
      </c>
      <c r="W5">
        <v>34080.1886792453</v>
      </c>
      <c r="X5">
        <v>34080.1886792453</v>
      </c>
      <c r="Y5">
        <v>34080.1886792453</v>
      </c>
      <c r="Z5">
        <v>34080.1886792453</v>
      </c>
      <c r="AA5">
        <v>34080.1886792453</v>
      </c>
      <c r="AB5">
        <v>34080.1886792453</v>
      </c>
    </row>
    <row r="6" spans="1:28">
      <c r="A6" t="s">
        <v>258</v>
      </c>
      <c r="B6" t="s">
        <v>259</v>
      </c>
      <c r="C6">
        <v>437893.14</v>
      </c>
      <c r="D6">
        <v>36973.28</v>
      </c>
      <c r="E6">
        <v>36973.28</v>
      </c>
      <c r="F6">
        <v>36973.28</v>
      </c>
      <c r="G6">
        <v>36973.28</v>
      </c>
      <c r="H6">
        <v>36973.28</v>
      </c>
      <c r="I6">
        <v>36973.28</v>
      </c>
      <c r="J6">
        <v>36973.28</v>
      </c>
      <c r="K6">
        <v>36973.28</v>
      </c>
      <c r="L6">
        <v>36973.28</v>
      </c>
      <c r="M6">
        <v>36973.24</v>
      </c>
      <c r="N6">
        <v>34080.19</v>
      </c>
      <c r="O6">
        <v>34080.19</v>
      </c>
      <c r="P6">
        <v>408962.264150943</v>
      </c>
      <c r="Q6">
        <v>34080.1886792453</v>
      </c>
      <c r="R6">
        <v>34080.1886792453</v>
      </c>
      <c r="S6">
        <v>34080.1886792453</v>
      </c>
      <c r="T6">
        <v>34080.1886792453</v>
      </c>
      <c r="U6">
        <v>34080.1886792453</v>
      </c>
      <c r="V6">
        <v>34080.1886792453</v>
      </c>
      <c r="W6">
        <v>34080.1886792453</v>
      </c>
      <c r="X6">
        <v>34080.1886792453</v>
      </c>
      <c r="Y6">
        <v>34080.1886792453</v>
      </c>
      <c r="Z6">
        <v>34080.1886792453</v>
      </c>
      <c r="AA6">
        <v>34080.1886792453</v>
      </c>
      <c r="AB6">
        <v>34080.1886792453</v>
      </c>
    </row>
    <row r="7" spans="1:28">
      <c r="A7" t="s">
        <v>260</v>
      </c>
      <c r="B7" t="s">
        <v>261</v>
      </c>
      <c r="C7">
        <v>431289.34</v>
      </c>
      <c r="D7">
        <v>36973.28</v>
      </c>
      <c r="E7">
        <v>36973.28</v>
      </c>
      <c r="F7">
        <v>36973.28</v>
      </c>
      <c r="G7">
        <v>36029.88</v>
      </c>
      <c r="H7">
        <v>36029.88</v>
      </c>
      <c r="I7">
        <v>36029.88</v>
      </c>
      <c r="J7">
        <v>36029.88</v>
      </c>
      <c r="K7">
        <v>36029.88</v>
      </c>
      <c r="L7">
        <v>36029.88</v>
      </c>
      <c r="M7">
        <v>36029.84</v>
      </c>
      <c r="N7">
        <v>34080.19</v>
      </c>
      <c r="O7">
        <v>34080.19</v>
      </c>
      <c r="P7">
        <v>408962.264150943</v>
      </c>
      <c r="Q7">
        <v>34080.1886792453</v>
      </c>
      <c r="R7">
        <v>34080.1886792453</v>
      </c>
      <c r="S7">
        <v>34080.1886792453</v>
      </c>
      <c r="T7">
        <v>34080.1886792453</v>
      </c>
      <c r="U7">
        <v>34080.1886792453</v>
      </c>
      <c r="V7">
        <v>34080.1886792453</v>
      </c>
      <c r="W7">
        <v>34080.1886792453</v>
      </c>
      <c r="X7">
        <v>34080.1886792453</v>
      </c>
      <c r="Y7">
        <v>34080.1886792453</v>
      </c>
      <c r="Z7">
        <v>34080.1886792453</v>
      </c>
      <c r="AA7">
        <v>34080.1886792453</v>
      </c>
      <c r="AB7">
        <v>34080.1886792453</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6603.8</v>
      </c>
      <c r="D19">
        <v>0</v>
      </c>
      <c r="E19">
        <v>0</v>
      </c>
      <c r="F19">
        <v>0</v>
      </c>
      <c r="G19">
        <v>943.4</v>
      </c>
      <c r="H19">
        <v>943.4</v>
      </c>
      <c r="I19">
        <v>943.4</v>
      </c>
      <c r="J19">
        <v>943.4</v>
      </c>
      <c r="K19">
        <v>943.4</v>
      </c>
      <c r="L19">
        <v>943.4</v>
      </c>
      <c r="M19">
        <v>943.4</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7"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8"/>
      <c r="P65">
        <v>0</v>
      </c>
    </row>
    <row r="66" spans="1:16">
      <c r="A66" t="s">
        <v>373</v>
      </c>
      <c r="B66" t="s">
        <v>374</v>
      </c>
      <c r="C66">
        <v>0</v>
      </c>
      <c r="O66" s="328"/>
      <c r="P66">
        <v>0</v>
      </c>
    </row>
    <row r="67" spans="1:16">
      <c r="A67" t="s">
        <v>375</v>
      </c>
      <c r="B67" t="s">
        <v>376</v>
      </c>
      <c r="C67">
        <v>0</v>
      </c>
      <c r="O67" s="328"/>
      <c r="P67">
        <v>0</v>
      </c>
    </row>
    <row r="68" spans="1:28">
      <c r="A68">
        <v>6001.54</v>
      </c>
      <c r="B68" t="s">
        <v>377</v>
      </c>
      <c r="C68">
        <v>0</v>
      </c>
      <c r="D68">
        <v>0</v>
      </c>
      <c r="E68">
        <v>0</v>
      </c>
      <c r="F68">
        <v>0</v>
      </c>
      <c r="G68">
        <v>0</v>
      </c>
      <c r="H68">
        <v>0</v>
      </c>
      <c r="I68">
        <v>0</v>
      </c>
      <c r="J68">
        <v>0</v>
      </c>
      <c r="K68">
        <v>0</v>
      </c>
      <c r="L68">
        <v>0</v>
      </c>
      <c r="M68">
        <v>0</v>
      </c>
      <c r="N68">
        <v>0</v>
      </c>
      <c r="O68" s="327">
        <v>0</v>
      </c>
      <c r="P68">
        <v>0</v>
      </c>
      <c r="Q68">
        <v>0</v>
      </c>
      <c r="R68">
        <v>0</v>
      </c>
      <c r="S68">
        <v>0</v>
      </c>
      <c r="T68">
        <v>0</v>
      </c>
      <c r="U68">
        <v>0</v>
      </c>
      <c r="V68">
        <v>0</v>
      </c>
      <c r="W68">
        <v>0</v>
      </c>
      <c r="X68">
        <v>0</v>
      </c>
      <c r="Y68">
        <v>0</v>
      </c>
      <c r="Z68">
        <v>0</v>
      </c>
      <c r="AA68">
        <v>0</v>
      </c>
      <c r="AB68">
        <v>0</v>
      </c>
    </row>
    <row r="69" spans="1:16">
      <c r="A69" t="s">
        <v>378</v>
      </c>
      <c r="B69" t="s">
        <v>379</v>
      </c>
      <c r="C69">
        <v>0</v>
      </c>
      <c r="O69" s="327"/>
      <c r="P69">
        <v>0</v>
      </c>
    </row>
    <row r="70" spans="1:16">
      <c r="A70" t="s">
        <v>380</v>
      </c>
      <c r="B70" t="s">
        <v>381</v>
      </c>
      <c r="C70">
        <v>0</v>
      </c>
      <c r="O70" s="328"/>
      <c r="P70">
        <v>0</v>
      </c>
    </row>
    <row r="71" spans="1:16">
      <c r="A71" t="s">
        <v>382</v>
      </c>
      <c r="B71" t="s">
        <v>383</v>
      </c>
      <c r="C71">
        <v>0</v>
      </c>
      <c r="O71" s="328"/>
      <c r="P71">
        <v>0</v>
      </c>
    </row>
    <row r="72" spans="1:16">
      <c r="A72" t="s">
        <v>384</v>
      </c>
      <c r="B72" t="s">
        <v>385</v>
      </c>
      <c r="C72">
        <v>0</v>
      </c>
      <c r="O72" s="328"/>
      <c r="P72">
        <v>0</v>
      </c>
    </row>
    <row r="73" spans="1:16">
      <c r="A73">
        <v>6051</v>
      </c>
      <c r="B73" t="s">
        <v>386</v>
      </c>
      <c r="C73">
        <v>0</v>
      </c>
      <c r="O73" s="328"/>
      <c r="P73">
        <v>0</v>
      </c>
    </row>
    <row r="74" s="327" customFormat="1" spans="1:28">
      <c r="A74" s="327">
        <v>6400</v>
      </c>
      <c r="B74" s="327" t="s">
        <v>4</v>
      </c>
      <c r="C74" s="327">
        <v>402995.84</v>
      </c>
      <c r="D74" s="327">
        <v>27343.08</v>
      </c>
      <c r="E74" s="327">
        <v>27446.47</v>
      </c>
      <c r="F74" s="327">
        <v>26059.01</v>
      </c>
      <c r="G74" s="327">
        <v>24315.65</v>
      </c>
      <c r="H74" s="327">
        <v>36732.97</v>
      </c>
      <c r="I74" s="327">
        <v>27620.21</v>
      </c>
      <c r="J74" s="327">
        <v>28193.26</v>
      </c>
      <c r="K74" s="327">
        <v>26443.03</v>
      </c>
      <c r="L74" s="327">
        <v>27573.04</v>
      </c>
      <c r="M74" s="327">
        <v>50423.04</v>
      </c>
      <c r="N74" s="327">
        <v>50423.04</v>
      </c>
      <c r="O74" s="327">
        <v>50423.04</v>
      </c>
      <c r="P74" s="327">
        <v>376586.922641509</v>
      </c>
      <c r="Q74" s="327">
        <v>29284.5267924528</v>
      </c>
      <c r="R74" s="327">
        <v>27325.9467924528</v>
      </c>
      <c r="S74" s="327">
        <v>32042.9279245283</v>
      </c>
      <c r="T74" s="327">
        <v>27325.9467924528</v>
      </c>
      <c r="U74" s="327">
        <v>27325.9467924528</v>
      </c>
      <c r="V74" s="327">
        <v>47325.9467924528</v>
      </c>
      <c r="W74" s="327">
        <v>27325.9467924528</v>
      </c>
      <c r="X74" s="327">
        <v>27325.9467924528</v>
      </c>
      <c r="Y74" s="327">
        <v>49325.9467924528</v>
      </c>
      <c r="Z74" s="327">
        <v>27325.9467924528</v>
      </c>
      <c r="AA74" s="327">
        <v>27325.9467924528</v>
      </c>
      <c r="AB74" s="327">
        <v>27325.9467924528</v>
      </c>
    </row>
    <row r="75" spans="1:28">
      <c r="A75">
        <v>6401</v>
      </c>
      <c r="B75" t="s">
        <v>5</v>
      </c>
      <c r="C75">
        <v>402995.84</v>
      </c>
      <c r="D75">
        <v>27343.08</v>
      </c>
      <c r="E75">
        <v>27446.47</v>
      </c>
      <c r="F75">
        <v>26059.01</v>
      </c>
      <c r="G75">
        <v>24315.65</v>
      </c>
      <c r="H75">
        <v>36732.97</v>
      </c>
      <c r="I75">
        <v>27620.21</v>
      </c>
      <c r="J75">
        <v>28193.26</v>
      </c>
      <c r="K75">
        <v>26443.03</v>
      </c>
      <c r="L75">
        <v>27573.04</v>
      </c>
      <c r="M75">
        <v>50423.04</v>
      </c>
      <c r="N75">
        <v>50423.04</v>
      </c>
      <c r="O75" s="328">
        <v>50423.04</v>
      </c>
      <c r="P75">
        <v>376586.922641509</v>
      </c>
      <c r="Q75">
        <v>29284.5267924528</v>
      </c>
      <c r="R75">
        <v>27325.9467924528</v>
      </c>
      <c r="S75">
        <v>32042.9279245283</v>
      </c>
      <c r="T75">
        <v>27325.9467924528</v>
      </c>
      <c r="U75">
        <v>27325.9467924528</v>
      </c>
      <c r="V75">
        <v>47325.9467924528</v>
      </c>
      <c r="W75">
        <v>27325.9467924528</v>
      </c>
      <c r="X75">
        <v>27325.9467924528</v>
      </c>
      <c r="Y75">
        <v>49325.9467924528</v>
      </c>
      <c r="Z75">
        <v>27325.9467924528</v>
      </c>
      <c r="AA75">
        <v>27325.9467924528</v>
      </c>
      <c r="AB75">
        <v>27325.9467924528</v>
      </c>
    </row>
    <row r="76" spans="1:28">
      <c r="A76">
        <v>6401.03</v>
      </c>
      <c r="B76" t="s">
        <v>6</v>
      </c>
      <c r="C76">
        <v>388995.84</v>
      </c>
      <c r="D76">
        <v>27343.08</v>
      </c>
      <c r="E76">
        <v>27446.47</v>
      </c>
      <c r="F76">
        <v>26059.01</v>
      </c>
      <c r="G76">
        <v>19315.65</v>
      </c>
      <c r="H76">
        <v>36732.97</v>
      </c>
      <c r="I76">
        <v>27620.21</v>
      </c>
      <c r="J76">
        <v>28193.26</v>
      </c>
      <c r="K76">
        <v>26443.03</v>
      </c>
      <c r="L76">
        <v>27573.04</v>
      </c>
      <c r="M76">
        <v>47423.04</v>
      </c>
      <c r="N76">
        <v>47423.04</v>
      </c>
      <c r="O76" s="328">
        <v>47423.04</v>
      </c>
      <c r="P76">
        <v>376586.922641509</v>
      </c>
      <c r="Q76">
        <v>29284.5267924528</v>
      </c>
      <c r="R76">
        <v>27325.9467924528</v>
      </c>
      <c r="S76">
        <v>32042.9279245283</v>
      </c>
      <c r="T76">
        <v>27325.9467924528</v>
      </c>
      <c r="U76">
        <v>27325.9467924528</v>
      </c>
      <c r="V76">
        <v>47325.9467924528</v>
      </c>
      <c r="W76">
        <v>27325.9467924528</v>
      </c>
      <c r="X76">
        <v>27325.9467924528</v>
      </c>
      <c r="Y76">
        <v>49325.9467924528</v>
      </c>
      <c r="Z76">
        <v>27325.9467924528</v>
      </c>
      <c r="AA76">
        <v>27325.9467924528</v>
      </c>
      <c r="AB76">
        <v>27325.9467924528</v>
      </c>
    </row>
    <row r="77" spans="1:28">
      <c r="A77" t="s">
        <v>7</v>
      </c>
      <c r="B77" t="s">
        <v>8</v>
      </c>
      <c r="C77">
        <v>0</v>
      </c>
      <c r="O77" s="328"/>
      <c r="P77" s="327">
        <v>0</v>
      </c>
      <c r="Q77">
        <v>0</v>
      </c>
      <c r="R77">
        <v>0</v>
      </c>
      <c r="S77">
        <v>0</v>
      </c>
      <c r="T77">
        <v>0</v>
      </c>
      <c r="U77">
        <v>0</v>
      </c>
      <c r="V77">
        <v>0</v>
      </c>
      <c r="W77">
        <v>0</v>
      </c>
      <c r="X77">
        <v>0</v>
      </c>
      <c r="Y77">
        <v>0</v>
      </c>
      <c r="Z77">
        <v>0</v>
      </c>
      <c r="AA77">
        <v>0</v>
      </c>
      <c r="AB77">
        <v>0</v>
      </c>
    </row>
    <row r="78" spans="1:28">
      <c r="A78" t="s">
        <v>10</v>
      </c>
      <c r="B78" t="s">
        <v>11</v>
      </c>
      <c r="C78">
        <v>220526.33</v>
      </c>
      <c r="D78">
        <v>18301.88</v>
      </c>
      <c r="E78">
        <v>18301.88</v>
      </c>
      <c r="F78">
        <v>18301.88</v>
      </c>
      <c r="G78">
        <v>10337.72</v>
      </c>
      <c r="H78">
        <v>27169.81</v>
      </c>
      <c r="I78">
        <v>18301.88</v>
      </c>
      <c r="J78">
        <v>18301.88</v>
      </c>
      <c r="K78">
        <v>18301.88</v>
      </c>
      <c r="L78">
        <v>18301.88</v>
      </c>
      <c r="M78">
        <v>18301.88</v>
      </c>
      <c r="N78">
        <v>18301.88</v>
      </c>
      <c r="O78" s="328">
        <v>18301.88</v>
      </c>
      <c r="P78">
        <v>219622.641509434</v>
      </c>
      <c r="Q78">
        <v>18301.8867924528</v>
      </c>
      <c r="R78">
        <v>18301.8867924528</v>
      </c>
      <c r="S78">
        <v>18301.8867924528</v>
      </c>
      <c r="T78">
        <v>18301.8867924528</v>
      </c>
      <c r="U78">
        <v>18301.8867924528</v>
      </c>
      <c r="V78">
        <v>18301.8867924528</v>
      </c>
      <c r="W78">
        <v>18301.8867924528</v>
      </c>
      <c r="X78">
        <v>18301.8867924528</v>
      </c>
      <c r="Y78">
        <v>18301.8867924528</v>
      </c>
      <c r="Z78">
        <v>18301.8867924528</v>
      </c>
      <c r="AA78">
        <v>18301.8867924528</v>
      </c>
      <c r="AB78">
        <v>18301.8867924528</v>
      </c>
    </row>
    <row r="79" spans="1:28">
      <c r="A79" t="s">
        <v>12</v>
      </c>
      <c r="B79" s="328" t="s">
        <v>13</v>
      </c>
      <c r="C79">
        <v>158450.88</v>
      </c>
      <c r="D79">
        <v>13867.92</v>
      </c>
      <c r="E79">
        <v>13867.92</v>
      </c>
      <c r="F79">
        <v>13867.92</v>
      </c>
      <c r="G79">
        <v>5903.76</v>
      </c>
      <c r="H79">
        <v>13867.92</v>
      </c>
      <c r="I79">
        <v>13867.92</v>
      </c>
      <c r="J79">
        <v>13867.92</v>
      </c>
      <c r="K79">
        <v>13867.92</v>
      </c>
      <c r="L79">
        <v>13867.92</v>
      </c>
      <c r="M79">
        <v>13867.92</v>
      </c>
      <c r="N79">
        <v>13867.92</v>
      </c>
      <c r="O79" s="328">
        <v>13867.92</v>
      </c>
      <c r="P79" s="327">
        <v>166415.094339623</v>
      </c>
      <c r="Q79">
        <v>13867.9245283019</v>
      </c>
      <c r="R79">
        <v>13867.9245283019</v>
      </c>
      <c r="S79">
        <v>13867.9245283019</v>
      </c>
      <c r="T79">
        <v>13867.9245283019</v>
      </c>
      <c r="U79">
        <v>13867.9245283019</v>
      </c>
      <c r="V79">
        <v>13867.9245283019</v>
      </c>
      <c r="W79">
        <v>13867.9245283019</v>
      </c>
      <c r="X79">
        <v>13867.9245283019</v>
      </c>
      <c r="Y79">
        <v>13867.9245283019</v>
      </c>
      <c r="Z79">
        <v>13867.9245283019</v>
      </c>
      <c r="AA79">
        <v>13867.9245283019</v>
      </c>
      <c r="AB79">
        <v>13867.9245283019</v>
      </c>
    </row>
    <row r="80" spans="1:28">
      <c r="A80" t="s">
        <v>16</v>
      </c>
      <c r="B80" s="328" t="s">
        <v>17</v>
      </c>
      <c r="C80">
        <v>0</v>
      </c>
      <c r="O80" s="328"/>
      <c r="P80" s="327">
        <v>0</v>
      </c>
      <c r="Q80">
        <v>0</v>
      </c>
      <c r="R80">
        <v>0</v>
      </c>
      <c r="S80">
        <v>0</v>
      </c>
      <c r="T80">
        <v>0</v>
      </c>
      <c r="U80">
        <v>0</v>
      </c>
      <c r="V80">
        <v>0</v>
      </c>
      <c r="W80">
        <v>0</v>
      </c>
      <c r="X80">
        <v>0</v>
      </c>
      <c r="Y80">
        <v>0</v>
      </c>
      <c r="Z80">
        <v>0</v>
      </c>
      <c r="AA80">
        <v>0</v>
      </c>
      <c r="AB80">
        <v>0</v>
      </c>
    </row>
    <row r="81" spans="1:28">
      <c r="A81" t="s">
        <v>20</v>
      </c>
      <c r="B81" s="328" t="s">
        <v>21</v>
      </c>
      <c r="C81">
        <v>62075.45</v>
      </c>
      <c r="D81">
        <v>4433.96</v>
      </c>
      <c r="E81">
        <v>4433.96</v>
      </c>
      <c r="F81">
        <v>4433.96</v>
      </c>
      <c r="G81">
        <v>4433.96</v>
      </c>
      <c r="H81">
        <v>13301.89</v>
      </c>
      <c r="I81">
        <v>4433.96</v>
      </c>
      <c r="J81">
        <v>4433.96</v>
      </c>
      <c r="K81">
        <v>4433.96</v>
      </c>
      <c r="L81">
        <v>4433.96</v>
      </c>
      <c r="M81">
        <v>4433.96</v>
      </c>
      <c r="N81">
        <v>4433.96</v>
      </c>
      <c r="O81" s="327">
        <v>4433.96</v>
      </c>
      <c r="P81" s="327">
        <v>53207.5471698113</v>
      </c>
      <c r="Q81">
        <v>4433.96226415094</v>
      </c>
      <c r="R81">
        <v>4433.96226415094</v>
      </c>
      <c r="S81">
        <v>4433.96226415094</v>
      </c>
      <c r="T81">
        <v>4433.96226415094</v>
      </c>
      <c r="U81">
        <v>4433.96226415094</v>
      </c>
      <c r="V81">
        <v>4433.96226415094</v>
      </c>
      <c r="W81">
        <v>4433.96226415094</v>
      </c>
      <c r="X81">
        <v>4433.96226415094</v>
      </c>
      <c r="Y81">
        <v>4433.96226415094</v>
      </c>
      <c r="Z81">
        <v>4433.96226415094</v>
      </c>
      <c r="AA81">
        <v>4433.96226415094</v>
      </c>
      <c r="AB81">
        <v>4433.96226415094</v>
      </c>
    </row>
    <row r="82" spans="1:28">
      <c r="A82" t="s">
        <v>26</v>
      </c>
      <c r="B82" t="s">
        <v>27</v>
      </c>
      <c r="C82">
        <v>0</v>
      </c>
      <c r="O82" s="327"/>
      <c r="P82" s="327">
        <v>0</v>
      </c>
      <c r="Q82">
        <v>0</v>
      </c>
      <c r="R82">
        <v>0</v>
      </c>
      <c r="S82">
        <v>0</v>
      </c>
      <c r="T82">
        <v>0</v>
      </c>
      <c r="U82">
        <v>0</v>
      </c>
      <c r="V82">
        <v>0</v>
      </c>
      <c r="W82">
        <v>0</v>
      </c>
      <c r="X82">
        <v>0</v>
      </c>
      <c r="Y82">
        <v>0</v>
      </c>
      <c r="Z82">
        <v>0</v>
      </c>
      <c r="AA82">
        <v>0</v>
      </c>
      <c r="AB82">
        <v>0</v>
      </c>
    </row>
    <row r="83" spans="1:28">
      <c r="A83" t="s">
        <v>30</v>
      </c>
      <c r="B83" t="s">
        <v>31</v>
      </c>
      <c r="C83">
        <v>0</v>
      </c>
      <c r="O83" s="327"/>
      <c r="P83" s="327">
        <v>0</v>
      </c>
      <c r="Q83">
        <v>0</v>
      </c>
      <c r="R83">
        <v>0</v>
      </c>
      <c r="S83">
        <v>0</v>
      </c>
      <c r="T83">
        <v>0</v>
      </c>
      <c r="U83">
        <v>0</v>
      </c>
      <c r="V83">
        <v>0</v>
      </c>
      <c r="W83">
        <v>0</v>
      </c>
      <c r="X83">
        <v>0</v>
      </c>
      <c r="Y83">
        <v>0</v>
      </c>
      <c r="Z83">
        <v>0</v>
      </c>
      <c r="AA83">
        <v>0</v>
      </c>
      <c r="AB83">
        <v>0</v>
      </c>
    </row>
    <row r="84" spans="1:28">
      <c r="A84" t="s">
        <v>34</v>
      </c>
      <c r="B84" t="s">
        <v>35</v>
      </c>
      <c r="C84">
        <v>0</v>
      </c>
      <c r="O84" s="327"/>
      <c r="P84" s="327">
        <v>0</v>
      </c>
      <c r="Q84">
        <v>0</v>
      </c>
      <c r="R84">
        <v>0</v>
      </c>
      <c r="S84">
        <v>0</v>
      </c>
      <c r="T84">
        <v>0</v>
      </c>
      <c r="U84">
        <v>0</v>
      </c>
      <c r="V84">
        <v>0</v>
      </c>
      <c r="W84">
        <v>0</v>
      </c>
      <c r="X84">
        <v>0</v>
      </c>
      <c r="Y84">
        <v>0</v>
      </c>
      <c r="Z84">
        <v>0</v>
      </c>
      <c r="AA84">
        <v>0</v>
      </c>
      <c r="AB84">
        <v>0</v>
      </c>
    </row>
    <row r="85" spans="1:28">
      <c r="A85" t="s">
        <v>44</v>
      </c>
      <c r="B85" t="s">
        <v>45</v>
      </c>
      <c r="C85">
        <v>0</v>
      </c>
      <c r="O85" s="327"/>
      <c r="P85" s="327">
        <v>0</v>
      </c>
      <c r="Q85">
        <v>0</v>
      </c>
      <c r="R85">
        <v>0</v>
      </c>
      <c r="S85">
        <v>0</v>
      </c>
      <c r="T85">
        <v>0</v>
      </c>
      <c r="U85">
        <v>0</v>
      </c>
      <c r="V85">
        <v>0</v>
      </c>
      <c r="W85">
        <v>0</v>
      </c>
      <c r="X85">
        <v>0</v>
      </c>
      <c r="Y85">
        <v>0</v>
      </c>
      <c r="Z85">
        <v>0</v>
      </c>
      <c r="AA85">
        <v>0</v>
      </c>
      <c r="AB85">
        <v>0</v>
      </c>
    </row>
    <row r="86" spans="1:28">
      <c r="A86" t="s">
        <v>48</v>
      </c>
      <c r="B86" t="s">
        <v>49</v>
      </c>
      <c r="C86">
        <v>0</v>
      </c>
      <c r="O86" s="327"/>
      <c r="P86" s="327">
        <v>0</v>
      </c>
      <c r="Q86">
        <v>0</v>
      </c>
      <c r="R86">
        <v>0</v>
      </c>
      <c r="S86">
        <v>0</v>
      </c>
      <c r="T86">
        <v>0</v>
      </c>
      <c r="U86">
        <v>0</v>
      </c>
      <c r="V86">
        <v>0</v>
      </c>
      <c r="W86">
        <v>0</v>
      </c>
      <c r="X86">
        <v>0</v>
      </c>
      <c r="Y86">
        <v>0</v>
      </c>
      <c r="Z86">
        <v>0</v>
      </c>
      <c r="AA86">
        <v>0</v>
      </c>
      <c r="AB86">
        <v>0</v>
      </c>
    </row>
    <row r="87" spans="1:28">
      <c r="A87" t="s">
        <v>54</v>
      </c>
      <c r="B87" t="s">
        <v>55</v>
      </c>
      <c r="C87">
        <v>0</v>
      </c>
      <c r="O87" s="327"/>
      <c r="P87" s="327">
        <v>0</v>
      </c>
      <c r="Q87">
        <v>0</v>
      </c>
      <c r="R87">
        <v>0</v>
      </c>
      <c r="S87">
        <v>0</v>
      </c>
      <c r="T87">
        <v>0</v>
      </c>
      <c r="U87">
        <v>0</v>
      </c>
      <c r="V87">
        <v>0</v>
      </c>
      <c r="W87">
        <v>0</v>
      </c>
      <c r="X87">
        <v>0</v>
      </c>
      <c r="Y87">
        <v>0</v>
      </c>
      <c r="Z87">
        <v>0</v>
      </c>
      <c r="AA87">
        <v>0</v>
      </c>
      <c r="AB87">
        <v>0</v>
      </c>
    </row>
    <row r="88" spans="1:28">
      <c r="A88" t="s">
        <v>62</v>
      </c>
      <c r="B88" t="s">
        <v>63</v>
      </c>
      <c r="C88">
        <v>0</v>
      </c>
      <c r="O88" s="327"/>
      <c r="P88" s="327">
        <v>0</v>
      </c>
      <c r="Q88">
        <v>0</v>
      </c>
      <c r="R88">
        <v>0</v>
      </c>
      <c r="S88">
        <v>0</v>
      </c>
      <c r="T88">
        <v>0</v>
      </c>
      <c r="U88">
        <v>0</v>
      </c>
      <c r="V88">
        <v>0</v>
      </c>
      <c r="W88">
        <v>0</v>
      </c>
      <c r="X88">
        <v>0</v>
      </c>
      <c r="Y88">
        <v>0</v>
      </c>
      <c r="Z88">
        <v>0</v>
      </c>
      <c r="AA88">
        <v>0</v>
      </c>
      <c r="AB88">
        <v>0</v>
      </c>
    </row>
    <row r="89" spans="1:28">
      <c r="A89" t="s">
        <v>65</v>
      </c>
      <c r="B89" t="s">
        <v>66</v>
      </c>
      <c r="C89">
        <v>0</v>
      </c>
      <c r="O89" s="327"/>
      <c r="P89" s="327">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7"/>
      <c r="P91">
        <v>0</v>
      </c>
    </row>
    <row r="92" spans="1:16">
      <c r="A92" t="s">
        <v>391</v>
      </c>
      <c r="B92" t="s">
        <v>392</v>
      </c>
      <c r="C92">
        <v>0</v>
      </c>
      <c r="O92" s="327"/>
      <c r="P92">
        <v>0</v>
      </c>
    </row>
    <row r="93" spans="1:28">
      <c r="A93" t="s">
        <v>393</v>
      </c>
      <c r="B93" t="s">
        <v>394</v>
      </c>
      <c r="C93">
        <v>0</v>
      </c>
      <c r="O93" s="328"/>
      <c r="P93" s="327">
        <v>0</v>
      </c>
      <c r="Q93">
        <v>0</v>
      </c>
      <c r="R93">
        <v>0</v>
      </c>
      <c r="S93">
        <v>0</v>
      </c>
      <c r="T93">
        <v>0</v>
      </c>
      <c r="U93">
        <v>0</v>
      </c>
      <c r="V93">
        <v>0</v>
      </c>
      <c r="W93">
        <v>0</v>
      </c>
      <c r="X93">
        <v>0</v>
      </c>
      <c r="Y93">
        <v>0</v>
      </c>
      <c r="Z93">
        <v>0</v>
      </c>
      <c r="AA93">
        <v>0</v>
      </c>
      <c r="AB93">
        <v>0</v>
      </c>
    </row>
    <row r="94" spans="1:28">
      <c r="A94" t="s">
        <v>395</v>
      </c>
      <c r="B94" t="s">
        <v>396</v>
      </c>
      <c r="C94">
        <v>59400</v>
      </c>
      <c r="D94">
        <v>0</v>
      </c>
      <c r="E94">
        <v>0</v>
      </c>
      <c r="F94">
        <v>0</v>
      </c>
      <c r="G94">
        <v>0</v>
      </c>
      <c r="H94">
        <v>0</v>
      </c>
      <c r="I94">
        <v>0</v>
      </c>
      <c r="J94">
        <v>0</v>
      </c>
      <c r="K94">
        <v>0</v>
      </c>
      <c r="L94">
        <v>0</v>
      </c>
      <c r="M94">
        <v>19800</v>
      </c>
      <c r="N94">
        <v>19800</v>
      </c>
      <c r="O94" s="327">
        <v>19800</v>
      </c>
      <c r="P94" s="327">
        <v>42000</v>
      </c>
      <c r="Q94">
        <v>0</v>
      </c>
      <c r="R94">
        <v>0</v>
      </c>
      <c r="S94">
        <v>0</v>
      </c>
      <c r="T94">
        <v>0</v>
      </c>
      <c r="U94">
        <v>0</v>
      </c>
      <c r="V94">
        <v>20000</v>
      </c>
      <c r="W94">
        <v>0</v>
      </c>
      <c r="X94">
        <v>0</v>
      </c>
      <c r="Y94">
        <v>22000</v>
      </c>
      <c r="Z94">
        <v>0</v>
      </c>
      <c r="AA94">
        <v>0</v>
      </c>
      <c r="AB94">
        <v>0</v>
      </c>
    </row>
    <row r="95" spans="1:16">
      <c r="A95" t="s">
        <v>397</v>
      </c>
      <c r="B95" t="s">
        <v>398</v>
      </c>
      <c r="C95">
        <v>0</v>
      </c>
      <c r="O95" s="328"/>
      <c r="P95" s="327">
        <v>0</v>
      </c>
    </row>
    <row r="96" spans="1:28">
      <c r="A96" t="s">
        <v>399</v>
      </c>
      <c r="B96" t="s">
        <v>400</v>
      </c>
      <c r="C96">
        <v>0</v>
      </c>
      <c r="O96" s="328"/>
      <c r="P96">
        <v>0</v>
      </c>
      <c r="Q96">
        <v>0</v>
      </c>
      <c r="R96">
        <v>0</v>
      </c>
      <c r="S96">
        <v>0</v>
      </c>
      <c r="T96">
        <v>0</v>
      </c>
      <c r="U96">
        <v>0</v>
      </c>
      <c r="V96">
        <v>0</v>
      </c>
      <c r="W96">
        <v>0</v>
      </c>
      <c r="X96">
        <v>0</v>
      </c>
      <c r="Y96">
        <v>0</v>
      </c>
      <c r="Z96">
        <v>0</v>
      </c>
      <c r="AA96">
        <v>0</v>
      </c>
      <c r="AB96">
        <v>0</v>
      </c>
    </row>
    <row r="97" spans="1:16">
      <c r="A97" t="s">
        <v>401</v>
      </c>
      <c r="B97" t="s">
        <v>402</v>
      </c>
      <c r="C97">
        <v>0</v>
      </c>
      <c r="O97" s="328"/>
      <c r="P97">
        <v>0</v>
      </c>
    </row>
    <row r="98" spans="1:16">
      <c r="A98" t="s">
        <v>76</v>
      </c>
      <c r="B98" t="s">
        <v>77</v>
      </c>
      <c r="C98">
        <v>0</v>
      </c>
      <c r="D98">
        <v>0</v>
      </c>
      <c r="E98">
        <v>0</v>
      </c>
      <c r="F98">
        <v>0</v>
      </c>
      <c r="G98">
        <v>0</v>
      </c>
      <c r="H98">
        <v>0</v>
      </c>
      <c r="I98">
        <v>0</v>
      </c>
      <c r="J98">
        <v>0</v>
      </c>
      <c r="K98">
        <v>0</v>
      </c>
      <c r="L98">
        <v>0</v>
      </c>
      <c r="M98">
        <v>0</v>
      </c>
      <c r="N98">
        <v>0</v>
      </c>
      <c r="O98" s="328">
        <v>0</v>
      </c>
      <c r="P98" s="327">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8" t="s">
        <v>83</v>
      </c>
      <c r="C100">
        <v>0</v>
      </c>
      <c r="O100" s="327"/>
      <c r="P100" s="327">
        <v>0</v>
      </c>
      <c r="Q100">
        <v>0</v>
      </c>
      <c r="R100">
        <v>0</v>
      </c>
      <c r="S100">
        <v>0</v>
      </c>
      <c r="T100">
        <v>0</v>
      </c>
      <c r="U100">
        <v>0</v>
      </c>
      <c r="V100">
        <v>0</v>
      </c>
      <c r="W100">
        <v>0</v>
      </c>
      <c r="X100">
        <v>0</v>
      </c>
      <c r="Y100">
        <v>0</v>
      </c>
      <c r="Z100">
        <v>0</v>
      </c>
      <c r="AA100">
        <v>0</v>
      </c>
      <c r="AB100">
        <v>0</v>
      </c>
    </row>
    <row r="101" spans="1:28">
      <c r="A101" t="s">
        <v>86</v>
      </c>
      <c r="B101" s="328" t="s">
        <v>87</v>
      </c>
      <c r="C101">
        <v>0</v>
      </c>
      <c r="P101" s="327">
        <v>0</v>
      </c>
      <c r="Q101">
        <v>0</v>
      </c>
      <c r="R101">
        <v>0</v>
      </c>
      <c r="S101">
        <v>0</v>
      </c>
      <c r="T101">
        <v>0</v>
      </c>
      <c r="U101">
        <v>0</v>
      </c>
      <c r="V101">
        <v>0</v>
      </c>
      <c r="W101">
        <v>0</v>
      </c>
      <c r="X101">
        <v>0</v>
      </c>
      <c r="Y101">
        <v>0</v>
      </c>
      <c r="Z101">
        <v>0</v>
      </c>
      <c r="AA101">
        <v>0</v>
      </c>
      <c r="AB101">
        <v>0</v>
      </c>
    </row>
    <row r="102" spans="1:28">
      <c r="A102" t="s">
        <v>90</v>
      </c>
      <c r="B102" t="s">
        <v>91</v>
      </c>
      <c r="C102">
        <v>0</v>
      </c>
      <c r="O102" s="327"/>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7"/>
      <c r="P105">
        <v>0</v>
      </c>
      <c r="Q105">
        <v>0</v>
      </c>
      <c r="R105">
        <v>0</v>
      </c>
      <c r="S105">
        <v>0</v>
      </c>
      <c r="T105">
        <v>0</v>
      </c>
      <c r="U105">
        <v>0</v>
      </c>
      <c r="V105">
        <v>0</v>
      </c>
      <c r="W105">
        <v>0</v>
      </c>
      <c r="X105">
        <v>0</v>
      </c>
      <c r="Y105">
        <v>0</v>
      </c>
      <c r="Z105">
        <v>0</v>
      </c>
      <c r="AA105">
        <v>0</v>
      </c>
      <c r="AB105">
        <v>0</v>
      </c>
    </row>
    <row r="106" spans="1:28">
      <c r="A106" t="s">
        <v>104</v>
      </c>
      <c r="B106" t="s">
        <v>105</v>
      </c>
      <c r="C106">
        <v>107693.01</v>
      </c>
      <c r="D106">
        <v>9041.2</v>
      </c>
      <c r="E106">
        <v>9144.59</v>
      </c>
      <c r="F106">
        <v>7757.13</v>
      </c>
      <c r="G106">
        <v>8977.93</v>
      </c>
      <c r="H106">
        <v>8963.16</v>
      </c>
      <c r="I106">
        <v>9318.33</v>
      </c>
      <c r="J106">
        <v>9114.88</v>
      </c>
      <c r="K106">
        <v>8141.15</v>
      </c>
      <c r="L106">
        <v>9271.16</v>
      </c>
      <c r="M106">
        <v>9321.16</v>
      </c>
      <c r="N106">
        <v>9321.16</v>
      </c>
      <c r="O106">
        <v>9321.16</v>
      </c>
      <c r="P106" s="327">
        <v>104807.3</v>
      </c>
      <c r="Q106">
        <v>9942.64</v>
      </c>
      <c r="R106">
        <v>8624.06</v>
      </c>
      <c r="S106">
        <v>8624.06</v>
      </c>
      <c r="T106">
        <v>8624.06</v>
      </c>
      <c r="U106">
        <v>8624.06</v>
      </c>
      <c r="V106">
        <v>8624.06</v>
      </c>
      <c r="W106">
        <v>8624.06</v>
      </c>
      <c r="X106">
        <v>8624.06</v>
      </c>
      <c r="Y106">
        <v>8624.06</v>
      </c>
      <c r="Z106">
        <v>8624.06</v>
      </c>
      <c r="AA106">
        <v>8624.06</v>
      </c>
      <c r="AB106">
        <v>8624.06</v>
      </c>
    </row>
    <row r="107" spans="1:28">
      <c r="A107" t="s">
        <v>106</v>
      </c>
      <c r="B107" t="s">
        <v>107</v>
      </c>
      <c r="C107">
        <v>97686.06</v>
      </c>
      <c r="D107">
        <v>8382.76</v>
      </c>
      <c r="E107">
        <v>7985.17</v>
      </c>
      <c r="F107">
        <v>6967.82</v>
      </c>
      <c r="G107">
        <v>8188.62</v>
      </c>
      <c r="H107">
        <v>8138.62</v>
      </c>
      <c r="I107">
        <v>8493.79</v>
      </c>
      <c r="J107">
        <v>8290.34</v>
      </c>
      <c r="K107">
        <v>7313.78</v>
      </c>
      <c r="L107">
        <v>8443.79</v>
      </c>
      <c r="M107">
        <v>8493.79</v>
      </c>
      <c r="N107">
        <v>8493.79</v>
      </c>
      <c r="O107" s="327">
        <v>8493.79</v>
      </c>
      <c r="P107" s="327">
        <v>93240.48</v>
      </c>
      <c r="Q107">
        <v>7770.04</v>
      </c>
      <c r="R107">
        <v>7770.04</v>
      </c>
      <c r="S107">
        <v>7770.04</v>
      </c>
      <c r="T107">
        <v>7770.04</v>
      </c>
      <c r="U107">
        <v>7770.04</v>
      </c>
      <c r="V107">
        <v>7770.04</v>
      </c>
      <c r="W107">
        <v>7770.04</v>
      </c>
      <c r="X107">
        <v>7770.04</v>
      </c>
      <c r="Y107">
        <v>7770.04</v>
      </c>
      <c r="Z107">
        <v>7770.04</v>
      </c>
      <c r="AA107">
        <v>7770.04</v>
      </c>
      <c r="AB107">
        <v>7770.04</v>
      </c>
    </row>
    <row r="108" spans="1:28">
      <c r="A108" t="s">
        <v>110</v>
      </c>
      <c r="B108" t="s">
        <v>111</v>
      </c>
      <c r="C108">
        <v>554.1</v>
      </c>
      <c r="D108">
        <v>0</v>
      </c>
      <c r="E108">
        <v>323.2</v>
      </c>
      <c r="F108">
        <v>23.09</v>
      </c>
      <c r="G108">
        <v>23.09</v>
      </c>
      <c r="H108">
        <v>23.09</v>
      </c>
      <c r="I108">
        <v>23.09</v>
      </c>
      <c r="J108">
        <v>23.09</v>
      </c>
      <c r="K108">
        <v>23.09</v>
      </c>
      <c r="L108">
        <v>23.09</v>
      </c>
      <c r="M108">
        <v>23.09</v>
      </c>
      <c r="N108">
        <v>23.09</v>
      </c>
      <c r="O108">
        <v>23.09</v>
      </c>
      <c r="P108" s="327">
        <v>1021.1</v>
      </c>
      <c r="Q108">
        <v>1021.1</v>
      </c>
      <c r="R108">
        <v>0</v>
      </c>
      <c r="S108">
        <v>0</v>
      </c>
      <c r="T108">
        <v>0</v>
      </c>
      <c r="U108">
        <v>0</v>
      </c>
      <c r="V108">
        <v>0</v>
      </c>
      <c r="W108">
        <v>0</v>
      </c>
      <c r="X108">
        <v>0</v>
      </c>
      <c r="Y108">
        <v>0</v>
      </c>
      <c r="Z108">
        <v>0</v>
      </c>
      <c r="AA108">
        <v>0</v>
      </c>
      <c r="AB108">
        <v>0</v>
      </c>
    </row>
    <row r="109" spans="1:28">
      <c r="A109" t="s">
        <v>113</v>
      </c>
      <c r="B109" t="s">
        <v>114</v>
      </c>
      <c r="C109">
        <v>70</v>
      </c>
      <c r="D109">
        <v>0</v>
      </c>
      <c r="E109">
        <v>70</v>
      </c>
      <c r="F109">
        <v>0</v>
      </c>
      <c r="G109">
        <v>0</v>
      </c>
      <c r="H109">
        <v>0</v>
      </c>
      <c r="I109">
        <v>0</v>
      </c>
      <c r="J109">
        <v>0</v>
      </c>
      <c r="K109">
        <v>0</v>
      </c>
      <c r="L109">
        <v>0</v>
      </c>
      <c r="M109">
        <v>0</v>
      </c>
      <c r="N109">
        <v>0</v>
      </c>
      <c r="O109">
        <v>0</v>
      </c>
      <c r="P109" s="327">
        <v>408</v>
      </c>
      <c r="Q109">
        <v>34</v>
      </c>
      <c r="R109">
        <v>34</v>
      </c>
      <c r="S109">
        <v>34</v>
      </c>
      <c r="T109">
        <v>34</v>
      </c>
      <c r="U109">
        <v>34</v>
      </c>
      <c r="V109">
        <v>34</v>
      </c>
      <c r="W109">
        <v>34</v>
      </c>
      <c r="X109">
        <v>34</v>
      </c>
      <c r="Y109">
        <v>34</v>
      </c>
      <c r="Z109">
        <v>34</v>
      </c>
      <c r="AA109">
        <v>34</v>
      </c>
      <c r="AB109">
        <v>34</v>
      </c>
    </row>
    <row r="110" spans="1:28">
      <c r="A110" t="s">
        <v>116</v>
      </c>
      <c r="B110" t="s">
        <v>117</v>
      </c>
      <c r="C110">
        <v>7966.85</v>
      </c>
      <c r="D110">
        <v>540.44</v>
      </c>
      <c r="E110">
        <v>648.22</v>
      </c>
      <c r="F110">
        <v>648.22</v>
      </c>
      <c r="G110">
        <v>648.22</v>
      </c>
      <c r="H110">
        <v>683.45</v>
      </c>
      <c r="I110">
        <v>683.45</v>
      </c>
      <c r="J110">
        <v>683.45</v>
      </c>
      <c r="K110">
        <v>686.28</v>
      </c>
      <c r="L110">
        <v>686.28</v>
      </c>
      <c r="M110">
        <v>686.28</v>
      </c>
      <c r="N110">
        <v>686.28</v>
      </c>
      <c r="O110">
        <v>686.28</v>
      </c>
      <c r="P110" s="327">
        <v>8424.24</v>
      </c>
      <c r="Q110">
        <v>702.02</v>
      </c>
      <c r="R110">
        <v>702.02</v>
      </c>
      <c r="S110">
        <v>702.02</v>
      </c>
      <c r="T110">
        <v>702.02</v>
      </c>
      <c r="U110">
        <v>702.02</v>
      </c>
      <c r="V110">
        <v>702.02</v>
      </c>
      <c r="W110">
        <v>702.02</v>
      </c>
      <c r="X110">
        <v>702.02</v>
      </c>
      <c r="Y110">
        <v>702.02</v>
      </c>
      <c r="Z110">
        <v>702.02</v>
      </c>
      <c r="AA110">
        <v>702.02</v>
      </c>
      <c r="AB110">
        <v>702.02</v>
      </c>
    </row>
    <row r="111" spans="1:28">
      <c r="A111" t="s">
        <v>119</v>
      </c>
      <c r="B111" t="s">
        <v>120</v>
      </c>
      <c r="C111">
        <v>1416</v>
      </c>
      <c r="D111">
        <v>118</v>
      </c>
      <c r="E111">
        <v>118</v>
      </c>
      <c r="F111">
        <v>118</v>
      </c>
      <c r="G111">
        <v>118</v>
      </c>
      <c r="H111">
        <v>118</v>
      </c>
      <c r="I111">
        <v>118</v>
      </c>
      <c r="J111">
        <v>118</v>
      </c>
      <c r="K111">
        <v>118</v>
      </c>
      <c r="L111">
        <v>118</v>
      </c>
      <c r="M111">
        <v>118</v>
      </c>
      <c r="N111">
        <v>118</v>
      </c>
      <c r="O111">
        <v>118</v>
      </c>
      <c r="P111" s="327">
        <v>1416</v>
      </c>
      <c r="Q111">
        <v>118</v>
      </c>
      <c r="R111">
        <v>118</v>
      </c>
      <c r="S111">
        <v>118</v>
      </c>
      <c r="T111">
        <v>118</v>
      </c>
      <c r="U111">
        <v>118</v>
      </c>
      <c r="V111">
        <v>118</v>
      </c>
      <c r="W111">
        <v>118</v>
      </c>
      <c r="X111">
        <v>118</v>
      </c>
      <c r="Y111">
        <v>118</v>
      </c>
      <c r="Z111">
        <v>118</v>
      </c>
      <c r="AA111">
        <v>118</v>
      </c>
      <c r="AB111">
        <v>118</v>
      </c>
    </row>
    <row r="112" spans="1:28">
      <c r="A112" t="s">
        <v>122</v>
      </c>
      <c r="B112" t="s">
        <v>123</v>
      </c>
      <c r="C112">
        <v>0</v>
      </c>
      <c r="P112" s="327">
        <v>0</v>
      </c>
      <c r="Q112">
        <v>0</v>
      </c>
      <c r="R112">
        <v>0</v>
      </c>
      <c r="S112">
        <v>0</v>
      </c>
      <c r="T112">
        <v>0</v>
      </c>
      <c r="U112">
        <v>0</v>
      </c>
      <c r="V112">
        <v>0</v>
      </c>
      <c r="W112">
        <v>0</v>
      </c>
      <c r="X112">
        <v>0</v>
      </c>
      <c r="Y112">
        <v>0</v>
      </c>
      <c r="Z112">
        <v>0</v>
      </c>
      <c r="AA112">
        <v>0</v>
      </c>
      <c r="AB112">
        <v>0</v>
      </c>
    </row>
    <row r="113" spans="1:28">
      <c r="A113" t="s">
        <v>125</v>
      </c>
      <c r="B113" t="s">
        <v>126</v>
      </c>
      <c r="C113">
        <v>0</v>
      </c>
      <c r="P113" s="327">
        <v>0</v>
      </c>
      <c r="Q113">
        <v>0</v>
      </c>
      <c r="R113">
        <v>0</v>
      </c>
      <c r="S113">
        <v>0</v>
      </c>
      <c r="T113">
        <v>0</v>
      </c>
      <c r="U113">
        <v>0</v>
      </c>
      <c r="V113">
        <v>0</v>
      </c>
      <c r="W113">
        <v>0</v>
      </c>
      <c r="X113">
        <v>0</v>
      </c>
      <c r="Y113">
        <v>0</v>
      </c>
      <c r="Z113">
        <v>0</v>
      </c>
      <c r="AA113">
        <v>0</v>
      </c>
      <c r="AB113">
        <v>0</v>
      </c>
    </row>
    <row r="114" spans="1:28">
      <c r="A114" t="s">
        <v>128</v>
      </c>
      <c r="B114" t="s">
        <v>129</v>
      </c>
      <c r="C114">
        <v>0</v>
      </c>
      <c r="P114" s="327">
        <v>297.48</v>
      </c>
      <c r="Q114">
        <v>297.48</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7">
        <v>0</v>
      </c>
      <c r="Q116">
        <v>0</v>
      </c>
      <c r="R116">
        <v>0</v>
      </c>
      <c r="S116">
        <v>0</v>
      </c>
      <c r="T116">
        <v>0</v>
      </c>
      <c r="U116">
        <v>0</v>
      </c>
      <c r="V116">
        <v>0</v>
      </c>
      <c r="W116">
        <v>0</v>
      </c>
      <c r="X116">
        <v>0</v>
      </c>
      <c r="Y116">
        <v>0</v>
      </c>
      <c r="Z116">
        <v>0</v>
      </c>
      <c r="AA116">
        <v>0</v>
      </c>
      <c r="AB116">
        <v>0</v>
      </c>
    </row>
    <row r="117" spans="1:28">
      <c r="A117" t="s">
        <v>139</v>
      </c>
      <c r="B117" t="s">
        <v>140</v>
      </c>
      <c r="C117">
        <v>0</v>
      </c>
      <c r="P117" s="327">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7">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D123">
        <v>0</v>
      </c>
      <c r="E123">
        <v>0</v>
      </c>
      <c r="F123">
        <v>0</v>
      </c>
      <c r="G123">
        <v>0</v>
      </c>
      <c r="H123">
        <v>0</v>
      </c>
      <c r="I123">
        <v>0</v>
      </c>
      <c r="J123">
        <v>0</v>
      </c>
      <c r="K123">
        <v>0</v>
      </c>
      <c r="L123">
        <v>0</v>
      </c>
      <c r="M123">
        <v>0</v>
      </c>
      <c r="N123">
        <v>0</v>
      </c>
      <c r="O123">
        <v>0</v>
      </c>
      <c r="P123" s="327">
        <v>0</v>
      </c>
      <c r="Q123">
        <v>0</v>
      </c>
      <c r="R123">
        <v>0</v>
      </c>
      <c r="S123">
        <v>0</v>
      </c>
      <c r="T123">
        <v>0</v>
      </c>
      <c r="U123">
        <v>0</v>
      </c>
      <c r="V123">
        <v>0</v>
      </c>
      <c r="W123">
        <v>0</v>
      </c>
      <c r="X123">
        <v>0</v>
      </c>
      <c r="Y123">
        <v>0</v>
      </c>
      <c r="Z123">
        <v>0</v>
      </c>
      <c r="AA123">
        <v>0</v>
      </c>
      <c r="AB123">
        <v>0</v>
      </c>
    </row>
    <row r="124" spans="1:28">
      <c r="A124" t="s">
        <v>149</v>
      </c>
      <c r="B124" t="s">
        <v>150</v>
      </c>
      <c r="C124">
        <v>1376.5</v>
      </c>
      <c r="D124">
        <v>0</v>
      </c>
      <c r="E124">
        <v>0</v>
      </c>
      <c r="F124">
        <v>0</v>
      </c>
      <c r="G124">
        <v>0</v>
      </c>
      <c r="H124">
        <v>600</v>
      </c>
      <c r="I124">
        <v>0</v>
      </c>
      <c r="J124">
        <v>776.5</v>
      </c>
      <c r="K124">
        <v>0</v>
      </c>
      <c r="L124">
        <v>0</v>
      </c>
      <c r="M124">
        <v>0</v>
      </c>
      <c r="N124">
        <v>0</v>
      </c>
      <c r="O124">
        <v>0</v>
      </c>
      <c r="P124">
        <v>5440</v>
      </c>
      <c r="Q124">
        <v>1040</v>
      </c>
      <c r="R124">
        <v>400</v>
      </c>
      <c r="S124">
        <v>400</v>
      </c>
      <c r="T124">
        <v>400</v>
      </c>
      <c r="U124">
        <v>400</v>
      </c>
      <c r="V124">
        <v>400</v>
      </c>
      <c r="W124">
        <v>400</v>
      </c>
      <c r="X124">
        <v>400</v>
      </c>
      <c r="Y124">
        <v>400</v>
      </c>
      <c r="Z124">
        <v>400</v>
      </c>
      <c r="AA124">
        <v>400</v>
      </c>
      <c r="AB124">
        <v>400</v>
      </c>
    </row>
    <row r="125" spans="1:28">
      <c r="A125" t="s">
        <v>151</v>
      </c>
      <c r="B125" t="s">
        <v>152</v>
      </c>
      <c r="C125">
        <v>0</v>
      </c>
      <c r="P125" s="327">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1376.5</v>
      </c>
      <c r="H127">
        <v>600</v>
      </c>
      <c r="J127">
        <v>776.5</v>
      </c>
      <c r="P127" s="327">
        <v>4800</v>
      </c>
      <c r="Q127">
        <v>400</v>
      </c>
      <c r="R127">
        <v>400</v>
      </c>
      <c r="S127">
        <v>400</v>
      </c>
      <c r="T127">
        <v>400</v>
      </c>
      <c r="U127">
        <v>400</v>
      </c>
      <c r="V127">
        <v>400</v>
      </c>
      <c r="W127">
        <v>400</v>
      </c>
      <c r="X127">
        <v>400</v>
      </c>
      <c r="Y127">
        <v>400</v>
      </c>
      <c r="Z127">
        <v>400</v>
      </c>
      <c r="AA127">
        <v>400</v>
      </c>
      <c r="AB127">
        <v>400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7">
        <v>640</v>
      </c>
      <c r="Q132">
        <v>640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4716.98113207547</v>
      </c>
      <c r="Q133">
        <v>0</v>
      </c>
      <c r="R133">
        <v>0</v>
      </c>
      <c r="S133">
        <v>4716.98113207547</v>
      </c>
      <c r="T133">
        <v>0</v>
      </c>
      <c r="U133">
        <v>0</v>
      </c>
      <c r="V133">
        <v>0</v>
      </c>
      <c r="W133">
        <v>0</v>
      </c>
      <c r="X133">
        <v>0</v>
      </c>
      <c r="Y133">
        <v>0</v>
      </c>
      <c r="Z133">
        <v>0</v>
      </c>
      <c r="AA133">
        <v>0</v>
      </c>
      <c r="AB133">
        <v>0</v>
      </c>
    </row>
    <row r="134" spans="1:28">
      <c r="A134" t="s">
        <v>419</v>
      </c>
      <c r="B134" t="s">
        <v>420</v>
      </c>
      <c r="C134">
        <v>0</v>
      </c>
      <c r="P134" s="327">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7">
        <v>4716.98113207547</v>
      </c>
      <c r="Q140">
        <v>0</v>
      </c>
      <c r="R140">
        <v>0</v>
      </c>
      <c r="S140">
        <v>4716.98113207547</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14000</v>
      </c>
      <c r="D142">
        <v>0</v>
      </c>
      <c r="E142">
        <v>0</v>
      </c>
      <c r="F142">
        <v>0</v>
      </c>
      <c r="G142">
        <v>5000</v>
      </c>
      <c r="H142">
        <v>0</v>
      </c>
      <c r="I142">
        <v>0</v>
      </c>
      <c r="J142">
        <v>0</v>
      </c>
      <c r="K142">
        <v>0</v>
      </c>
      <c r="L142">
        <v>0</v>
      </c>
      <c r="M142">
        <v>3000</v>
      </c>
      <c r="N142">
        <v>3000</v>
      </c>
      <c r="O142">
        <v>3000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14000</v>
      </c>
      <c r="D172">
        <v>0</v>
      </c>
      <c r="E172">
        <v>0</v>
      </c>
      <c r="F172">
        <v>0</v>
      </c>
      <c r="G172">
        <v>5000</v>
      </c>
      <c r="H172">
        <v>0</v>
      </c>
      <c r="I172">
        <v>0</v>
      </c>
      <c r="J172">
        <v>0</v>
      </c>
      <c r="K172">
        <v>0</v>
      </c>
      <c r="L172">
        <v>0</v>
      </c>
      <c r="M172">
        <v>3000</v>
      </c>
      <c r="N172">
        <v>3000</v>
      </c>
      <c r="O172">
        <v>3000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14000</v>
      </c>
      <c r="D180">
        <v>0</v>
      </c>
      <c r="E180">
        <v>0</v>
      </c>
      <c r="F180">
        <v>0</v>
      </c>
      <c r="G180">
        <v>5000</v>
      </c>
      <c r="H180">
        <v>0</v>
      </c>
      <c r="I180">
        <v>0</v>
      </c>
      <c r="J180">
        <v>0</v>
      </c>
      <c r="K180">
        <v>0</v>
      </c>
      <c r="L180">
        <v>0</v>
      </c>
      <c r="M180">
        <v>3000</v>
      </c>
      <c r="N180">
        <v>3000</v>
      </c>
      <c r="O180">
        <v>3000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1531.6992</v>
      </c>
      <c r="D332">
        <v>0</v>
      </c>
      <c r="E332">
        <v>0</v>
      </c>
      <c r="F332">
        <v>0</v>
      </c>
      <c r="G332">
        <v>0</v>
      </c>
      <c r="H332">
        <v>0</v>
      </c>
      <c r="I332">
        <v>0</v>
      </c>
      <c r="J332">
        <v>893.4912</v>
      </c>
      <c r="K332">
        <v>127.6416</v>
      </c>
      <c r="L332">
        <v>127.6416</v>
      </c>
      <c r="M332">
        <v>127.6416</v>
      </c>
      <c r="N332">
        <v>127.6416</v>
      </c>
      <c r="O332">
        <v>127.6416</v>
      </c>
      <c r="P332">
        <v>1329.28301886792</v>
      </c>
      <c r="Q332">
        <v>113.603773584906</v>
      </c>
      <c r="R332">
        <v>113.603773584906</v>
      </c>
      <c r="S332">
        <v>79.6415094339622</v>
      </c>
      <c r="T332">
        <v>113.603773584906</v>
      </c>
      <c r="U332">
        <v>113.603773584906</v>
      </c>
      <c r="V332">
        <v>113.603773584906</v>
      </c>
      <c r="W332">
        <v>113.603773584906</v>
      </c>
      <c r="X332">
        <v>113.603773584906</v>
      </c>
      <c r="Y332">
        <v>113.603773584906</v>
      </c>
      <c r="Z332">
        <v>113.603773584906</v>
      </c>
      <c r="AA332">
        <v>113.603773584906</v>
      </c>
      <c r="AB332">
        <v>113.603773584906</v>
      </c>
    </row>
    <row r="333" spans="1:28">
      <c r="A333">
        <v>6404</v>
      </c>
      <c r="B333" t="s">
        <v>674</v>
      </c>
      <c r="C333">
        <v>33365.6008</v>
      </c>
      <c r="D333">
        <v>9630.2</v>
      </c>
      <c r="E333">
        <v>9526.81</v>
      </c>
      <c r="F333">
        <v>10914.27</v>
      </c>
      <c r="G333">
        <v>12657.63</v>
      </c>
      <c r="H333">
        <v>240.309999999998</v>
      </c>
      <c r="I333">
        <v>9353.07</v>
      </c>
      <c r="J333">
        <v>7886.5288</v>
      </c>
      <c r="K333">
        <v>10402.6084</v>
      </c>
      <c r="L333">
        <v>9272.5984</v>
      </c>
      <c r="M333">
        <v>-13577.4416</v>
      </c>
      <c r="N333">
        <v>-16470.4916</v>
      </c>
      <c r="O333">
        <v>-16470.4916</v>
      </c>
      <c r="P333">
        <v>31046.058490566</v>
      </c>
      <c r="Q333">
        <v>4682.05811320754</v>
      </c>
      <c r="R333">
        <v>6640.63811320754</v>
      </c>
      <c r="S333">
        <v>1957.61924528302</v>
      </c>
      <c r="T333">
        <v>6640.63811320754</v>
      </c>
      <c r="U333">
        <v>6640.63811320754</v>
      </c>
      <c r="V333">
        <v>-13359.3618867925</v>
      </c>
      <c r="W333">
        <v>6640.63811320754</v>
      </c>
      <c r="X333">
        <v>6640.63811320754</v>
      </c>
      <c r="Y333">
        <v>-15359.3618867925</v>
      </c>
      <c r="Z333">
        <v>6640.63811320754</v>
      </c>
      <c r="AA333">
        <v>6640.63811320754</v>
      </c>
      <c r="AB333">
        <v>6640.63811320754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33365.6008</v>
      </c>
      <c r="D347">
        <v>9630.2</v>
      </c>
      <c r="E347">
        <v>9526.81</v>
      </c>
      <c r="F347">
        <v>10914.27</v>
      </c>
      <c r="G347">
        <v>12657.63</v>
      </c>
      <c r="H347">
        <v>240.309999999998</v>
      </c>
      <c r="I347">
        <v>9353.07</v>
      </c>
      <c r="J347">
        <v>7886.5288</v>
      </c>
      <c r="K347">
        <v>10402.6084</v>
      </c>
      <c r="L347">
        <v>9272.5984</v>
      </c>
      <c r="M347">
        <v>-13577.4416</v>
      </c>
      <c r="N347">
        <v>-16470.4916</v>
      </c>
      <c r="O347">
        <v>-16470.4916</v>
      </c>
      <c r="P347">
        <v>31046.058490566</v>
      </c>
      <c r="Q347">
        <v>4682.05811320754</v>
      </c>
      <c r="R347">
        <v>6640.63811320754</v>
      </c>
      <c r="S347">
        <v>1957.61924528302</v>
      </c>
      <c r="T347">
        <v>6640.63811320754</v>
      </c>
      <c r="U347">
        <v>6640.63811320754</v>
      </c>
      <c r="V347">
        <v>-13359.3618867925</v>
      </c>
      <c r="W347">
        <v>6640.63811320754</v>
      </c>
      <c r="X347">
        <v>6640.63811320754</v>
      </c>
      <c r="Y347">
        <v>-15359.3618867925</v>
      </c>
      <c r="Z347">
        <v>6640.63811320754</v>
      </c>
      <c r="AA347">
        <v>6640.63811320754</v>
      </c>
      <c r="AB347">
        <v>6640.63811320754</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33365.6008</v>
      </c>
      <c r="D351">
        <v>9630.2</v>
      </c>
      <c r="E351">
        <v>9526.81</v>
      </c>
      <c r="F351">
        <v>10914.27</v>
      </c>
      <c r="G351">
        <v>12657.63</v>
      </c>
      <c r="H351">
        <v>240.309999999998</v>
      </c>
      <c r="I351">
        <v>9353.07</v>
      </c>
      <c r="J351">
        <v>7886.5288</v>
      </c>
      <c r="K351">
        <v>10402.6084</v>
      </c>
      <c r="L351">
        <v>9272.5984</v>
      </c>
      <c r="M351">
        <v>-13577.4416</v>
      </c>
      <c r="N351">
        <v>-16470.4916</v>
      </c>
      <c r="O351">
        <v>-16470.4916</v>
      </c>
      <c r="P351">
        <v>31046.058490566</v>
      </c>
      <c r="Q351">
        <v>4682.05811320754</v>
      </c>
      <c r="R351">
        <v>6640.63811320754</v>
      </c>
      <c r="S351">
        <v>1957.61924528302</v>
      </c>
      <c r="T351">
        <v>6640.63811320754</v>
      </c>
      <c r="U351">
        <v>6640.63811320754</v>
      </c>
      <c r="V351">
        <v>-13359.3618867925</v>
      </c>
      <c r="W351">
        <v>6640.63811320754</v>
      </c>
      <c r="X351">
        <v>6640.63811320754</v>
      </c>
      <c r="Y351">
        <v>-15359.3618867925</v>
      </c>
      <c r="Z351">
        <v>6640.63811320754</v>
      </c>
      <c r="AA351">
        <v>6640.63811320754</v>
      </c>
      <c r="AB351">
        <v>6640.63811320754</v>
      </c>
    </row>
    <row r="352" spans="1:28">
      <c r="A352">
        <v>6714</v>
      </c>
      <c r="B352" t="s">
        <v>693</v>
      </c>
      <c r="C352">
        <v>33365.6008</v>
      </c>
      <c r="D352">
        <v>9630.2</v>
      </c>
      <c r="E352">
        <v>9526.81</v>
      </c>
      <c r="F352">
        <v>10914.27</v>
      </c>
      <c r="G352">
        <v>12657.63</v>
      </c>
      <c r="H352">
        <v>240.309999999998</v>
      </c>
      <c r="I352">
        <v>9353.07</v>
      </c>
      <c r="J352">
        <v>7886.5288</v>
      </c>
      <c r="K352">
        <v>10402.6084</v>
      </c>
      <c r="L352">
        <v>9272.5984</v>
      </c>
      <c r="M352">
        <v>-13577.4416</v>
      </c>
      <c r="N352">
        <v>-16470.4916</v>
      </c>
      <c r="O352">
        <v>-16470.4916</v>
      </c>
      <c r="P352">
        <v>31046.058490566</v>
      </c>
      <c r="Q352">
        <v>4682.05811320754</v>
      </c>
      <c r="R352">
        <v>6640.63811320754</v>
      </c>
      <c r="S352">
        <v>1957.61924528302</v>
      </c>
      <c r="T352">
        <v>6640.63811320754</v>
      </c>
      <c r="U352">
        <v>6640.63811320754</v>
      </c>
      <c r="V352">
        <v>-13359.3618867925</v>
      </c>
      <c r="W352">
        <v>6640.63811320754</v>
      </c>
      <c r="X352">
        <v>6640.63811320754</v>
      </c>
      <c r="Y352">
        <v>-15359.3618867925</v>
      </c>
      <c r="Z352">
        <v>6640.63811320754</v>
      </c>
      <c r="AA352">
        <v>6640.63811320754</v>
      </c>
      <c r="AB352">
        <v>6640.63811320754</v>
      </c>
    </row>
    <row r="353" spans="1:16">
      <c r="A353">
        <v>6801</v>
      </c>
      <c r="B353" t="s">
        <v>694</v>
      </c>
      <c r="C353">
        <v>0</v>
      </c>
      <c r="P353">
        <v>0</v>
      </c>
    </row>
    <row r="354" spans="1:28">
      <c r="A354">
        <v>6715</v>
      </c>
      <c r="B354" t="s">
        <v>695</v>
      </c>
      <c r="C354">
        <v>33365.6008</v>
      </c>
      <c r="D354">
        <v>9630.2</v>
      </c>
      <c r="E354">
        <v>9526.81</v>
      </c>
      <c r="F354">
        <v>10914.27</v>
      </c>
      <c r="G354">
        <v>12657.63</v>
      </c>
      <c r="H354">
        <v>240.309999999998</v>
      </c>
      <c r="I354">
        <v>9353.07</v>
      </c>
      <c r="J354">
        <v>7886.5288</v>
      </c>
      <c r="K354">
        <v>10402.6084</v>
      </c>
      <c r="L354">
        <v>9272.5984</v>
      </c>
      <c r="M354">
        <v>-13577.4416</v>
      </c>
      <c r="N354">
        <v>-16470.4916</v>
      </c>
      <c r="O354">
        <v>-16470.4916</v>
      </c>
      <c r="P354">
        <v>31046.058490566</v>
      </c>
      <c r="Q354">
        <v>4682.05811320754</v>
      </c>
      <c r="R354">
        <v>6640.63811320754</v>
      </c>
      <c r="S354">
        <v>1957.61924528302</v>
      </c>
      <c r="T354">
        <v>6640.63811320754</v>
      </c>
      <c r="U354">
        <v>6640.63811320754</v>
      </c>
      <c r="V354">
        <v>-13359.3618867925</v>
      </c>
      <c r="W354">
        <v>6640.63811320754</v>
      </c>
      <c r="X354">
        <v>6640.63811320754</v>
      </c>
      <c r="Y354">
        <v>-15359.3618867925</v>
      </c>
      <c r="Z354">
        <v>6640.63811320754</v>
      </c>
      <c r="AA354">
        <v>6640.63811320754</v>
      </c>
      <c r="AB354">
        <v>6640.63811320754</v>
      </c>
    </row>
    <row r="355" spans="1:16">
      <c r="A355">
        <v>6716</v>
      </c>
      <c r="B355" t="s">
        <v>696</v>
      </c>
      <c r="C355">
        <v>0</v>
      </c>
      <c r="P355">
        <v>0</v>
      </c>
    </row>
    <row r="356" spans="1:28">
      <c r="A356" t="s">
        <v>697</v>
      </c>
      <c r="B356" t="s">
        <v>698</v>
      </c>
      <c r="C356">
        <v>0.0796936439789852</v>
      </c>
      <c r="D356">
        <v>0.260463772756975</v>
      </c>
      <c r="E356">
        <v>0.25766742901901</v>
      </c>
      <c r="F356">
        <v>0.295193447808796</v>
      </c>
      <c r="G356">
        <v>0.342345336956851</v>
      </c>
      <c r="H356">
        <v>0.00649955860015659</v>
      </c>
      <c r="I356">
        <v>0.252968359853386</v>
      </c>
      <c r="J356">
        <v>0.237469329202062</v>
      </c>
      <c r="K356">
        <v>0.284807028210643</v>
      </c>
      <c r="L356">
        <v>0.254244146042764</v>
      </c>
      <c r="M356">
        <v>-0.36377120317289</v>
      </c>
      <c r="N356">
        <v>-0.479541047159655</v>
      </c>
      <c r="O356">
        <v>-0.479541047159655</v>
      </c>
      <c r="P356">
        <v>0.0791646182237601</v>
      </c>
      <c r="Q356">
        <v>0.140716999307958</v>
      </c>
      <c r="R356">
        <v>0.198186751557093</v>
      </c>
      <c r="S356">
        <v>0.0597784470588235</v>
      </c>
      <c r="T356">
        <v>0.198186751557093</v>
      </c>
      <c r="U356">
        <v>0.198186751557093</v>
      </c>
      <c r="V356">
        <v>-0.388664459515571</v>
      </c>
      <c r="W356">
        <v>0.198186751557093</v>
      </c>
      <c r="X356">
        <v>0.198186751557093</v>
      </c>
      <c r="Y356">
        <v>-0.447349580622838</v>
      </c>
      <c r="Z356">
        <v>0.198186751557093</v>
      </c>
      <c r="AA356">
        <v>0.198186751557093</v>
      </c>
      <c r="AB356">
        <v>0.198186751557093</v>
      </c>
    </row>
    <row r="357" spans="2:28">
      <c r="B357" t="s">
        <v>697</v>
      </c>
      <c r="C357">
        <v>0.0761957604542514</v>
      </c>
      <c r="D357">
        <v>0.260463772756975</v>
      </c>
      <c r="E357">
        <v>0.25766742901901</v>
      </c>
      <c r="F357">
        <v>0.295193447808796</v>
      </c>
      <c r="G357">
        <v>0.342345336956851</v>
      </c>
      <c r="H357">
        <v>0.00649955860015659</v>
      </c>
      <c r="I357">
        <v>0.252968359853386</v>
      </c>
      <c r="J357">
        <v>0.21330346671975</v>
      </c>
      <c r="K357">
        <v>0.281354762141741</v>
      </c>
      <c r="L357">
        <v>0.250791879973862</v>
      </c>
      <c r="M357">
        <v>-0.367223472976672</v>
      </c>
      <c r="N357">
        <v>-0.48328637839167</v>
      </c>
      <c r="O357">
        <v>-0.48328637839167</v>
      </c>
      <c r="P357">
        <v>0.0759142376009226</v>
      </c>
      <c r="Q357">
        <v>0.137383573702422</v>
      </c>
      <c r="R357">
        <v>0.194853325951557</v>
      </c>
      <c r="S357">
        <v>0.0574415612456747</v>
      </c>
      <c r="T357">
        <v>0.194853325951557</v>
      </c>
      <c r="U357">
        <v>0.194853325951557</v>
      </c>
      <c r="V357">
        <v>-0.391997885121107</v>
      </c>
      <c r="W357">
        <v>0.194853325951557</v>
      </c>
      <c r="X357">
        <v>0.194853325951557</v>
      </c>
      <c r="Y357">
        <v>-0.450683006228374</v>
      </c>
      <c r="Z357">
        <v>0.194853325951557</v>
      </c>
      <c r="AA357">
        <v>0.194853325951557</v>
      </c>
      <c r="AB357">
        <v>0.194853325951557</v>
      </c>
    </row>
    <row r="358" spans="2:28">
      <c r="B358" t="s">
        <v>699</v>
      </c>
      <c r="C358">
        <v>0.0761957604542514</v>
      </c>
      <c r="D358">
        <v>0.260463772756975</v>
      </c>
      <c r="E358">
        <v>0.25766742901901</v>
      </c>
      <c r="F358">
        <v>0.295193447808796</v>
      </c>
      <c r="G358">
        <v>0.342345336956851</v>
      </c>
      <c r="H358">
        <v>0.00649955860015659</v>
      </c>
      <c r="I358">
        <v>0.252968359853386</v>
      </c>
      <c r="J358">
        <v>0.21330346671975</v>
      </c>
      <c r="K358">
        <v>0.281354762141741</v>
      </c>
      <c r="L358">
        <v>0.250791879973862</v>
      </c>
      <c r="M358">
        <v>-0.367223472976672</v>
      </c>
      <c r="N358">
        <v>-0.48328637839167</v>
      </c>
      <c r="O358">
        <v>-0.48328637839167</v>
      </c>
      <c r="P358">
        <v>0.0759142376009226</v>
      </c>
      <c r="Q358">
        <v>0.137383573702422</v>
      </c>
      <c r="R358">
        <v>0.194853325951557</v>
      </c>
      <c r="S358">
        <v>0.0574415612456747</v>
      </c>
      <c r="T358">
        <v>0.194853325951557</v>
      </c>
      <c r="U358">
        <v>0.194853325951557</v>
      </c>
      <c r="V358">
        <v>-0.391997885121107</v>
      </c>
      <c r="W358">
        <v>0.194853325951557</v>
      </c>
      <c r="X358">
        <v>0.194853325951557</v>
      </c>
      <c r="Y358">
        <v>-0.450683006228374</v>
      </c>
      <c r="Z358">
        <v>0.194853325951557</v>
      </c>
      <c r="AA358">
        <v>0.194853325951557</v>
      </c>
      <c r="AB358">
        <v>0.194853325951557</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G15" sqref="G15"/>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4">
      <c r="B9" t="s">
        <v>731</v>
      </c>
      <c r="C9" t="s">
        <v>732</v>
      </c>
      <c r="D9">
        <v>0</v>
      </c>
    </row>
    <row r="10" customHeight="1" spans="2:16">
      <c r="B10" t="s">
        <v>195</v>
      </c>
      <c r="C10" t="s">
        <v>733</v>
      </c>
      <c r="D10">
        <v>1</v>
      </c>
      <c r="E10">
        <v>1</v>
      </c>
      <c r="F10">
        <v>1</v>
      </c>
      <c r="G10">
        <v>1</v>
      </c>
      <c r="H10">
        <v>1</v>
      </c>
      <c r="I10">
        <v>1</v>
      </c>
      <c r="J10">
        <v>1</v>
      </c>
      <c r="K10">
        <v>1</v>
      </c>
      <c r="L10">
        <v>1</v>
      </c>
      <c r="M10">
        <v>1</v>
      </c>
      <c r="N10">
        <v>1</v>
      </c>
      <c r="O10">
        <v>1</v>
      </c>
      <c r="P10">
        <v>1</v>
      </c>
    </row>
    <row r="11" customHeight="1" spans="2:4">
      <c r="B11" t="s">
        <v>734</v>
      </c>
      <c r="C11" t="s">
        <v>735</v>
      </c>
      <c r="D11">
        <v>0</v>
      </c>
    </row>
    <row r="12" customHeight="1" spans="2:4">
      <c r="B12" t="s">
        <v>736</v>
      </c>
      <c r="C12" t="s">
        <v>737</v>
      </c>
      <c r="D12">
        <v>0</v>
      </c>
    </row>
    <row r="13" customHeight="1" spans="2:4">
      <c r="B13" t="s">
        <v>203</v>
      </c>
      <c r="C13" t="s">
        <v>738</v>
      </c>
      <c r="D13">
        <v>0</v>
      </c>
    </row>
    <row r="14" customHeight="1" spans="2:4">
      <c r="B14" t="s">
        <v>739</v>
      </c>
      <c r="C14" t="s">
        <v>740</v>
      </c>
      <c r="D14">
        <v>0</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1</v>
      </c>
      <c r="E20">
        <v>1</v>
      </c>
      <c r="F20">
        <v>1</v>
      </c>
      <c r="G20">
        <v>1</v>
      </c>
      <c r="H20">
        <v>1</v>
      </c>
      <c r="I20">
        <v>1</v>
      </c>
      <c r="J20">
        <v>1</v>
      </c>
      <c r="K20">
        <v>1</v>
      </c>
      <c r="L20">
        <v>1</v>
      </c>
      <c r="M20">
        <v>1</v>
      </c>
      <c r="N20">
        <v>1</v>
      </c>
      <c r="O20">
        <v>1</v>
      </c>
      <c r="P20">
        <v>1</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7" customFormat="1" spans="2:16">
      <c r="B24" s="327" t="s">
        <v>731</v>
      </c>
      <c r="C24" s="327" t="s">
        <v>732</v>
      </c>
      <c r="D24" s="327">
        <v>0</v>
      </c>
      <c r="E24" s="327">
        <v>0</v>
      </c>
      <c r="F24" s="327">
        <v>0</v>
      </c>
      <c r="G24" s="327">
        <v>0</v>
      </c>
      <c r="H24" s="327">
        <v>0</v>
      </c>
      <c r="I24" s="327">
        <v>0</v>
      </c>
      <c r="J24" s="327">
        <v>0</v>
      </c>
      <c r="K24" s="327">
        <v>0</v>
      </c>
      <c r="L24" s="327">
        <v>0</v>
      </c>
      <c r="M24" s="327">
        <v>0</v>
      </c>
      <c r="N24" s="327">
        <v>0</v>
      </c>
      <c r="O24" s="327">
        <v>0</v>
      </c>
      <c r="P24" s="327">
        <v>0</v>
      </c>
    </row>
    <row r="25" s="327" customFormat="1" spans="2:16">
      <c r="B25" s="327" t="s">
        <v>195</v>
      </c>
      <c r="C25" s="327" t="s">
        <v>733</v>
      </c>
      <c r="D25" s="327">
        <v>104807.3</v>
      </c>
      <c r="E25" s="327">
        <v>9942.64</v>
      </c>
      <c r="F25" s="327">
        <v>8624.06</v>
      </c>
      <c r="G25" s="327">
        <v>8624.06</v>
      </c>
      <c r="H25" s="327">
        <v>8624.06</v>
      </c>
      <c r="I25" s="327">
        <v>8624.06</v>
      </c>
      <c r="J25" s="327">
        <v>8624.06</v>
      </c>
      <c r="K25" s="327">
        <v>8624.06</v>
      </c>
      <c r="L25" s="327">
        <v>8624.06</v>
      </c>
      <c r="M25" s="327">
        <v>8624.06</v>
      </c>
      <c r="N25" s="327">
        <v>8624.06</v>
      </c>
      <c r="O25" s="327">
        <v>8624.06</v>
      </c>
      <c r="P25" s="327">
        <v>8624.06</v>
      </c>
    </row>
    <row r="26" s="327" customFormat="1" spans="2:16">
      <c r="B26" s="327" t="s">
        <v>734</v>
      </c>
      <c r="C26" s="327" t="s">
        <v>735</v>
      </c>
      <c r="D26" s="327">
        <v>0</v>
      </c>
      <c r="E26" s="327">
        <v>0</v>
      </c>
      <c r="F26" s="327">
        <v>0</v>
      </c>
      <c r="G26" s="327">
        <v>0</v>
      </c>
      <c r="H26" s="327">
        <v>0</v>
      </c>
      <c r="I26" s="327">
        <v>0</v>
      </c>
      <c r="J26" s="327">
        <v>0</v>
      </c>
      <c r="K26" s="327">
        <v>0</v>
      </c>
      <c r="L26" s="327">
        <v>0</v>
      </c>
      <c r="M26" s="327">
        <v>0</v>
      </c>
      <c r="N26" s="327">
        <v>0</v>
      </c>
      <c r="O26" s="327">
        <v>0</v>
      </c>
      <c r="P26" s="327">
        <v>0</v>
      </c>
    </row>
    <row r="27" s="327" customFormat="1" spans="2:16">
      <c r="B27" s="327" t="s">
        <v>736</v>
      </c>
      <c r="C27" s="327" t="s">
        <v>737</v>
      </c>
      <c r="D27" s="327">
        <v>0</v>
      </c>
      <c r="E27" s="327">
        <v>0</v>
      </c>
      <c r="F27" s="327">
        <v>0</v>
      </c>
      <c r="G27" s="327">
        <v>0</v>
      </c>
      <c r="H27" s="327">
        <v>0</v>
      </c>
      <c r="I27" s="327">
        <v>0</v>
      </c>
      <c r="J27" s="327">
        <v>0</v>
      </c>
      <c r="K27" s="327">
        <v>0</v>
      </c>
      <c r="L27" s="327">
        <v>0</v>
      </c>
      <c r="M27" s="327">
        <v>0</v>
      </c>
      <c r="N27" s="327">
        <v>0</v>
      </c>
      <c r="O27" s="327">
        <v>0</v>
      </c>
      <c r="P27" s="327">
        <v>0</v>
      </c>
    </row>
    <row r="28" s="327" customFormat="1" spans="2:16">
      <c r="B28" s="327" t="s">
        <v>203</v>
      </c>
      <c r="C28" s="327" t="s">
        <v>738</v>
      </c>
      <c r="D28" s="327">
        <v>0</v>
      </c>
      <c r="E28" s="327">
        <v>0</v>
      </c>
      <c r="F28" s="327">
        <v>0</v>
      </c>
      <c r="G28" s="327">
        <v>0</v>
      </c>
      <c r="H28" s="327">
        <v>0</v>
      </c>
      <c r="I28" s="327">
        <v>0</v>
      </c>
      <c r="J28" s="327">
        <v>0</v>
      </c>
      <c r="K28" s="327">
        <v>0</v>
      </c>
      <c r="L28" s="327">
        <v>0</v>
      </c>
      <c r="M28" s="327">
        <v>0</v>
      </c>
      <c r="N28" s="327">
        <v>0</v>
      </c>
      <c r="O28" s="327">
        <v>0</v>
      </c>
      <c r="P28" s="327">
        <v>0</v>
      </c>
    </row>
    <row r="29" s="327" customFormat="1" spans="2:16">
      <c r="B29" s="327" t="s">
        <v>739</v>
      </c>
      <c r="C29" s="327" t="s">
        <v>740</v>
      </c>
      <c r="D29" s="327">
        <v>0</v>
      </c>
      <c r="E29" s="327">
        <v>0</v>
      </c>
      <c r="F29" s="327">
        <v>0</v>
      </c>
      <c r="G29" s="327">
        <v>0</v>
      </c>
      <c r="H29" s="327">
        <v>0</v>
      </c>
      <c r="I29" s="327">
        <v>0</v>
      </c>
      <c r="J29" s="327">
        <v>0</v>
      </c>
      <c r="K29" s="327">
        <v>0</v>
      </c>
      <c r="L29" s="327">
        <v>0</v>
      </c>
      <c r="M29" s="327">
        <v>0</v>
      </c>
      <c r="N29" s="327">
        <v>0</v>
      </c>
      <c r="O29" s="327">
        <v>0</v>
      </c>
      <c r="P29" s="327">
        <v>0</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104807.3</v>
      </c>
      <c r="E35">
        <v>9942.64</v>
      </c>
      <c r="F35">
        <v>8624.06</v>
      </c>
      <c r="G35">
        <v>8624.06</v>
      </c>
      <c r="H35">
        <v>8624.06</v>
      </c>
      <c r="I35">
        <v>8624.06</v>
      </c>
      <c r="J35">
        <v>8624.06</v>
      </c>
      <c r="K35">
        <v>8624.06</v>
      </c>
      <c r="L35">
        <v>8624.06</v>
      </c>
      <c r="M35">
        <v>8624.06</v>
      </c>
      <c r="N35">
        <v>8624.06</v>
      </c>
      <c r="O35">
        <v>8624.06</v>
      </c>
      <c r="P35">
        <v>8624.06</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4">
      <c r="B39" t="s">
        <v>731</v>
      </c>
      <c r="C39" t="s">
        <v>732</v>
      </c>
      <c r="D39">
        <v>0</v>
      </c>
    </row>
    <row r="40" customHeight="1" spans="2:16">
      <c r="B40" t="s">
        <v>195</v>
      </c>
      <c r="C40" t="s">
        <v>733</v>
      </c>
      <c r="D40">
        <v>93240.48</v>
      </c>
      <c r="E40">
        <v>7770.04</v>
      </c>
      <c r="F40">
        <v>7770.04</v>
      </c>
      <c r="G40">
        <v>7770.04</v>
      </c>
      <c r="H40">
        <v>7770.04</v>
      </c>
      <c r="I40">
        <v>7770.04</v>
      </c>
      <c r="J40">
        <v>7770.04</v>
      </c>
      <c r="K40">
        <v>7770.04</v>
      </c>
      <c r="L40">
        <v>7770.04</v>
      </c>
      <c r="M40">
        <v>7770.04</v>
      </c>
      <c r="N40">
        <v>7770.04</v>
      </c>
      <c r="O40">
        <v>7770.04</v>
      </c>
      <c r="P40">
        <v>7770.04</v>
      </c>
    </row>
    <row r="41" customHeight="1" spans="2:4">
      <c r="B41" t="s">
        <v>734</v>
      </c>
      <c r="C41" t="s">
        <v>735</v>
      </c>
      <c r="D41">
        <v>0</v>
      </c>
    </row>
    <row r="42" customHeight="1" spans="2:4">
      <c r="B42" t="s">
        <v>736</v>
      </c>
      <c r="C42" t="s">
        <v>737</v>
      </c>
      <c r="D42">
        <v>0</v>
      </c>
    </row>
    <row r="43" customHeight="1" spans="2:4">
      <c r="B43" t="s">
        <v>203</v>
      </c>
      <c r="C43" t="s">
        <v>738</v>
      </c>
      <c r="D43">
        <v>0</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93240.48</v>
      </c>
      <c r="E50">
        <v>7770.04</v>
      </c>
      <c r="F50">
        <v>7770.04</v>
      </c>
      <c r="G50">
        <v>7770.04</v>
      </c>
      <c r="H50">
        <v>7770.04</v>
      </c>
      <c r="I50">
        <v>7770.04</v>
      </c>
      <c r="J50">
        <v>7770.04</v>
      </c>
      <c r="K50">
        <v>7770.04</v>
      </c>
      <c r="L50">
        <v>7770.04</v>
      </c>
      <c r="M50">
        <v>7770.04</v>
      </c>
      <c r="N50">
        <v>7770.04</v>
      </c>
      <c r="O50">
        <v>7770.04</v>
      </c>
      <c r="P50">
        <v>7770.04</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4">
      <c r="B54" t="s">
        <v>731</v>
      </c>
      <c r="C54" t="s">
        <v>732</v>
      </c>
      <c r="D54">
        <v>0</v>
      </c>
    </row>
    <row r="55" customHeight="1" spans="2:5">
      <c r="B55" t="s">
        <v>195</v>
      </c>
      <c r="C55" t="s">
        <v>733</v>
      </c>
      <c r="D55">
        <v>1021.1</v>
      </c>
      <c r="E55">
        <v>1021.1</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1021.1</v>
      </c>
      <c r="E65">
        <v>1021.1</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4">
      <c r="B69" t="s">
        <v>731</v>
      </c>
      <c r="C69" t="s">
        <v>732</v>
      </c>
      <c r="D69">
        <v>0</v>
      </c>
    </row>
    <row r="70" customHeight="1" spans="2:16">
      <c r="B70" t="s">
        <v>195</v>
      </c>
      <c r="C70" t="s">
        <v>733</v>
      </c>
      <c r="D70">
        <v>8424.24</v>
      </c>
      <c r="E70">
        <v>702.02</v>
      </c>
      <c r="F70">
        <v>702.02</v>
      </c>
      <c r="G70">
        <v>702.02</v>
      </c>
      <c r="H70">
        <v>702.02</v>
      </c>
      <c r="I70">
        <v>702.02</v>
      </c>
      <c r="J70">
        <v>702.02</v>
      </c>
      <c r="K70">
        <v>702.02</v>
      </c>
      <c r="L70">
        <v>702.02</v>
      </c>
      <c r="M70">
        <v>702.02</v>
      </c>
      <c r="N70">
        <v>702.02</v>
      </c>
      <c r="O70">
        <v>702.02</v>
      </c>
      <c r="P70">
        <v>702.02</v>
      </c>
    </row>
    <row r="71" customHeight="1" spans="2:4">
      <c r="B71" t="s">
        <v>734</v>
      </c>
      <c r="C71" t="s">
        <v>735</v>
      </c>
      <c r="D71">
        <v>0</v>
      </c>
    </row>
    <row r="72" customHeight="1" spans="2:4">
      <c r="B72" t="s">
        <v>736</v>
      </c>
      <c r="C72" t="s">
        <v>737</v>
      </c>
      <c r="D72">
        <v>0</v>
      </c>
    </row>
    <row r="73" customHeight="1" spans="2:4">
      <c r="B73" t="s">
        <v>203</v>
      </c>
      <c r="C73" t="s">
        <v>738</v>
      </c>
      <c r="D73">
        <v>0</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8424.24</v>
      </c>
      <c r="E80">
        <v>702.02</v>
      </c>
      <c r="F80">
        <v>702.02</v>
      </c>
      <c r="G80">
        <v>702.02</v>
      </c>
      <c r="H80">
        <v>702.02</v>
      </c>
      <c r="I80">
        <v>702.02</v>
      </c>
      <c r="J80">
        <v>702.02</v>
      </c>
      <c r="K80">
        <v>702.02</v>
      </c>
      <c r="L80">
        <v>702.02</v>
      </c>
      <c r="M80">
        <v>702.02</v>
      </c>
      <c r="N80">
        <v>702.02</v>
      </c>
      <c r="O80">
        <v>702.02</v>
      </c>
      <c r="P80">
        <v>702.02</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4">
      <c r="B84" t="s">
        <v>731</v>
      </c>
      <c r="C84" t="s">
        <v>732</v>
      </c>
      <c r="D84">
        <v>0</v>
      </c>
    </row>
    <row r="85" customHeight="1" spans="2:16">
      <c r="B85" t="s">
        <v>195</v>
      </c>
      <c r="C85" t="s">
        <v>733</v>
      </c>
      <c r="D85">
        <v>1416</v>
      </c>
      <c r="E85">
        <v>118</v>
      </c>
      <c r="F85">
        <v>118</v>
      </c>
      <c r="G85">
        <v>118</v>
      </c>
      <c r="H85">
        <v>118</v>
      </c>
      <c r="I85">
        <v>118</v>
      </c>
      <c r="J85">
        <v>118</v>
      </c>
      <c r="K85">
        <v>118</v>
      </c>
      <c r="L85">
        <v>118</v>
      </c>
      <c r="M85">
        <v>118</v>
      </c>
      <c r="N85">
        <v>118</v>
      </c>
      <c r="O85">
        <v>118</v>
      </c>
      <c r="P85">
        <v>118</v>
      </c>
    </row>
    <row r="86" customHeight="1" spans="2:4">
      <c r="B86" t="s">
        <v>734</v>
      </c>
      <c r="C86" t="s">
        <v>735</v>
      </c>
      <c r="D86">
        <v>0</v>
      </c>
    </row>
    <row r="87" customHeight="1" spans="2:4">
      <c r="B87" t="s">
        <v>736</v>
      </c>
      <c r="C87" t="s">
        <v>737</v>
      </c>
      <c r="D87">
        <v>0</v>
      </c>
    </row>
    <row r="88" customHeight="1" spans="2:4">
      <c r="B88" t="s">
        <v>203</v>
      </c>
      <c r="C88" t="s">
        <v>738</v>
      </c>
      <c r="D88">
        <v>0</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1416</v>
      </c>
      <c r="E95">
        <v>118</v>
      </c>
      <c r="F95">
        <v>118</v>
      </c>
      <c r="G95">
        <v>118</v>
      </c>
      <c r="H95">
        <v>118</v>
      </c>
      <c r="I95">
        <v>118</v>
      </c>
      <c r="J95">
        <v>118</v>
      </c>
      <c r="K95">
        <v>118</v>
      </c>
      <c r="L95">
        <v>118</v>
      </c>
      <c r="M95">
        <v>118</v>
      </c>
      <c r="N95">
        <v>118</v>
      </c>
      <c r="O95">
        <v>118</v>
      </c>
      <c r="P95">
        <v>118</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4">
      <c r="B99" t="s">
        <v>731</v>
      </c>
      <c r="C99" t="s">
        <v>732</v>
      </c>
      <c r="D99">
        <v>0</v>
      </c>
    </row>
    <row r="100" customHeight="1" spans="2:16">
      <c r="B100" t="s">
        <v>195</v>
      </c>
      <c r="C100" t="s">
        <v>733</v>
      </c>
      <c r="D100">
        <v>408</v>
      </c>
      <c r="E100">
        <v>34</v>
      </c>
      <c r="F100">
        <v>34</v>
      </c>
      <c r="G100">
        <v>34</v>
      </c>
      <c r="H100">
        <v>34</v>
      </c>
      <c r="I100">
        <v>34</v>
      </c>
      <c r="J100">
        <v>34</v>
      </c>
      <c r="K100">
        <v>34</v>
      </c>
      <c r="L100">
        <v>34</v>
      </c>
      <c r="M100">
        <v>34</v>
      </c>
      <c r="N100">
        <v>34</v>
      </c>
      <c r="O100">
        <v>34</v>
      </c>
      <c r="P100">
        <v>34</v>
      </c>
    </row>
    <row r="101" customHeight="1" spans="2:4">
      <c r="B101" t="s">
        <v>734</v>
      </c>
      <c r="C101" t="s">
        <v>735</v>
      </c>
      <c r="D101">
        <v>0</v>
      </c>
    </row>
    <row r="102" customHeight="1" spans="2:4">
      <c r="B102" t="s">
        <v>736</v>
      </c>
      <c r="C102" t="s">
        <v>737</v>
      </c>
      <c r="D102">
        <v>0</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408</v>
      </c>
      <c r="E110">
        <v>34</v>
      </c>
      <c r="F110">
        <v>34</v>
      </c>
      <c r="G110">
        <v>34</v>
      </c>
      <c r="H110">
        <v>34</v>
      </c>
      <c r="I110">
        <v>34</v>
      </c>
      <c r="J110">
        <v>34</v>
      </c>
      <c r="K110">
        <v>34</v>
      </c>
      <c r="L110">
        <v>34</v>
      </c>
      <c r="M110">
        <v>34</v>
      </c>
      <c r="N110">
        <v>34</v>
      </c>
      <c r="O110">
        <v>34</v>
      </c>
      <c r="P110">
        <v>34</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731</v>
      </c>
      <c r="C114" t="s">
        <v>732</v>
      </c>
      <c r="D114">
        <v>0</v>
      </c>
    </row>
    <row r="115" customHeight="1" spans="2:5">
      <c r="B115" t="s">
        <v>195</v>
      </c>
      <c r="C115" t="s">
        <v>733</v>
      </c>
      <c r="D115">
        <v>297.48</v>
      </c>
      <c r="E115">
        <v>297.48</v>
      </c>
    </row>
    <row r="116" customHeight="1" spans="2:4">
      <c r="B116" t="s">
        <v>734</v>
      </c>
      <c r="C116" t="s">
        <v>735</v>
      </c>
      <c r="D116">
        <v>0</v>
      </c>
    </row>
    <row r="117" customHeight="1" spans="2:4">
      <c r="B117" t="s">
        <v>736</v>
      </c>
      <c r="C117" t="s">
        <v>737</v>
      </c>
      <c r="D117">
        <v>0</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297.48</v>
      </c>
      <c r="E125">
        <v>297.48</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4">
      <c r="B190" t="s">
        <v>195</v>
      </c>
      <c r="C190" t="s">
        <v>733</v>
      </c>
      <c r="D190">
        <v>0</v>
      </c>
    </row>
    <row r="191" customHeight="1" spans="2:4">
      <c r="B191" t="s">
        <v>734</v>
      </c>
      <c r="C191" t="s">
        <v>735</v>
      </c>
      <c r="D191">
        <v>0</v>
      </c>
    </row>
    <row r="192" customHeight="1" spans="2:4">
      <c r="B192" t="s">
        <v>736</v>
      </c>
      <c r="C192" t="s">
        <v>737</v>
      </c>
      <c r="D192">
        <v>0</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0</v>
      </c>
      <c r="E200">
        <v>0</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60" zoomScaleNormal="60" zoomScaleSheetLayoutView="40" topLeftCell="G1" workbookViewId="0">
      <pane xSplit="26790" topLeftCell="A1" activePane="topLeft"/>
      <selection activeCell="X701" sqref="X701"/>
      <selection pane="topRight"/>
    </sheetView>
  </sheetViews>
  <sheetFormatPr defaultColWidth="8.75833333333333" defaultRowHeight="16.5"/>
  <cols>
    <col min="1" max="1" width="8.75833333333333" style="264"/>
    <col min="2" max="2" width="10.5" style="121" customWidth="1"/>
    <col min="3" max="3" width="12.875" style="123" customWidth="1"/>
    <col min="4" max="4" width="25.125" style="121" customWidth="1"/>
    <col min="5" max="6" width="32.875" style="121" customWidth="1"/>
    <col min="7" max="7" width="16.375" style="122" customWidth="1"/>
    <col min="8" max="8" width="16.875" style="265" customWidth="1"/>
    <col min="9" max="9" width="13.125" style="265"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6" customWidth="1" outlineLevel="2"/>
    <col min="65" max="65" width="4.625" style="267" customWidth="1"/>
    <col min="66" max="66" width="8.75833333333333" style="268"/>
    <col min="67" max="16384" width="8.75833333333333" style="264"/>
  </cols>
  <sheetData>
    <row r="1" s="260" customFormat="1" ht="23.1" customHeight="1" spans="1:66">
      <c r="A1" s="269" t="s">
        <v>762</v>
      </c>
      <c r="B1" s="270" t="s">
        <v>763</v>
      </c>
      <c r="C1" s="271" t="s">
        <v>764</v>
      </c>
      <c r="D1" s="271"/>
      <c r="E1" s="271"/>
      <c r="F1" s="271"/>
      <c r="G1" s="271"/>
      <c r="H1" s="272" t="s">
        <v>719</v>
      </c>
      <c r="I1" s="272"/>
      <c r="J1" s="272"/>
      <c r="K1" s="272"/>
      <c r="L1" s="272"/>
      <c r="M1" s="272"/>
      <c r="N1" s="272"/>
      <c r="O1" s="272" t="s">
        <v>765</v>
      </c>
      <c r="P1" s="272"/>
      <c r="Q1" s="272"/>
      <c r="R1" s="272"/>
      <c r="S1" s="272"/>
      <c r="T1" s="272"/>
      <c r="U1" s="272"/>
      <c r="V1" s="272"/>
      <c r="W1" s="272"/>
      <c r="X1" s="272"/>
      <c r="Y1" s="272"/>
      <c r="Z1" s="272"/>
      <c r="AA1" s="291"/>
      <c r="AB1" s="269" t="s">
        <v>719</v>
      </c>
      <c r="AC1" s="260" t="s">
        <v>719</v>
      </c>
      <c r="AF1" s="260" t="s">
        <v>719</v>
      </c>
      <c r="AI1" s="260" t="s">
        <v>719</v>
      </c>
      <c r="AL1" s="260" t="s">
        <v>719</v>
      </c>
      <c r="AO1" s="260" t="s">
        <v>719</v>
      </c>
      <c r="AR1" s="260" t="s">
        <v>719</v>
      </c>
      <c r="AU1" s="260" t="s">
        <v>719</v>
      </c>
      <c r="AX1" s="260" t="s">
        <v>719</v>
      </c>
      <c r="BA1" s="260" t="s">
        <v>719</v>
      </c>
      <c r="BD1" s="260" t="s">
        <v>719</v>
      </c>
      <c r="BG1" s="260" t="s">
        <v>719</v>
      </c>
      <c r="BJ1" s="260" t="s">
        <v>719</v>
      </c>
      <c r="BL1" s="296"/>
      <c r="BM1" s="308"/>
      <c r="BN1" s="300"/>
    </row>
    <row r="2" s="260" customFormat="1" ht="23.1" customHeight="1" spans="1:66">
      <c r="A2" s="273"/>
      <c r="B2" s="274"/>
      <c r="C2" s="271"/>
      <c r="D2" s="271"/>
      <c r="E2" s="271"/>
      <c r="F2" s="271"/>
      <c r="G2" s="271"/>
      <c r="H2" s="275"/>
      <c r="I2" s="275"/>
      <c r="J2" s="275"/>
      <c r="K2" s="275"/>
      <c r="L2" s="275"/>
      <c r="M2" s="275"/>
      <c r="N2" s="275"/>
      <c r="O2" s="275"/>
      <c r="P2" s="275"/>
      <c r="Q2" s="275"/>
      <c r="R2" s="275"/>
      <c r="S2" s="275"/>
      <c r="T2" s="275"/>
      <c r="U2" s="275"/>
      <c r="V2" s="275"/>
      <c r="W2" s="275"/>
      <c r="X2" s="275"/>
      <c r="Y2" s="275"/>
      <c r="Z2" s="275"/>
      <c r="AA2" s="291"/>
      <c r="AB2" s="292"/>
      <c r="AC2" s="293" t="s">
        <v>766</v>
      </c>
      <c r="AD2" s="294"/>
      <c r="AE2" s="295"/>
      <c r="AF2" s="296" t="s">
        <v>767</v>
      </c>
      <c r="AG2" s="299"/>
      <c r="AH2" s="300"/>
      <c r="AI2" s="296" t="s">
        <v>768</v>
      </c>
      <c r="AJ2" s="299"/>
      <c r="AK2" s="300"/>
      <c r="AL2" s="296" t="s">
        <v>769</v>
      </c>
      <c r="AM2" s="299" t="s">
        <v>769</v>
      </c>
      <c r="AN2" s="300" t="s">
        <v>769</v>
      </c>
      <c r="AO2" s="296" t="s">
        <v>770</v>
      </c>
      <c r="AP2" s="299" t="s">
        <v>770</v>
      </c>
      <c r="AQ2" s="300" t="s">
        <v>770</v>
      </c>
      <c r="AR2" s="296" t="s">
        <v>771</v>
      </c>
      <c r="AS2" s="299" t="s">
        <v>771</v>
      </c>
      <c r="AT2" s="300" t="s">
        <v>771</v>
      </c>
      <c r="AU2" s="296" t="s">
        <v>772</v>
      </c>
      <c r="AV2" s="299" t="s">
        <v>772</v>
      </c>
      <c r="AW2" s="300" t="s">
        <v>772</v>
      </c>
      <c r="AX2" s="296" t="s">
        <v>773</v>
      </c>
      <c r="AY2" s="299" t="s">
        <v>773</v>
      </c>
      <c r="AZ2" s="300" t="s">
        <v>773</v>
      </c>
      <c r="BA2" s="296" t="s">
        <v>774</v>
      </c>
      <c r="BB2" s="299" t="s">
        <v>774</v>
      </c>
      <c r="BC2" s="300" t="s">
        <v>774</v>
      </c>
      <c r="BD2" s="296" t="s">
        <v>775</v>
      </c>
      <c r="BE2" s="299" t="s">
        <v>775</v>
      </c>
      <c r="BF2" s="300" t="s">
        <v>775</v>
      </c>
      <c r="BG2" s="296" t="s">
        <v>776</v>
      </c>
      <c r="BH2" s="299" t="s">
        <v>776</v>
      </c>
      <c r="BI2" s="300" t="s">
        <v>776</v>
      </c>
      <c r="BJ2" s="296" t="s">
        <v>777</v>
      </c>
      <c r="BK2" s="299" t="s">
        <v>777</v>
      </c>
      <c r="BL2" s="299" t="s">
        <v>777</v>
      </c>
      <c r="BM2" s="308"/>
      <c r="BN2" s="300"/>
    </row>
    <row r="3" s="261" customFormat="1" ht="53.1" customHeight="1" spans="1:66">
      <c r="A3" s="276"/>
      <c r="B3" s="277"/>
      <c r="C3" s="278" t="s">
        <v>778</v>
      </c>
      <c r="D3" s="279" t="s">
        <v>3</v>
      </c>
      <c r="E3" s="279" t="s">
        <v>779</v>
      </c>
      <c r="F3" s="279" t="s">
        <v>780</v>
      </c>
      <c r="G3" s="279" t="s">
        <v>781</v>
      </c>
      <c r="H3" s="261" t="s">
        <v>782</v>
      </c>
      <c r="I3" s="261" t="s">
        <v>783</v>
      </c>
      <c r="J3" s="261" t="s">
        <v>784</v>
      </c>
      <c r="K3" s="261" t="s">
        <v>785</v>
      </c>
      <c r="L3" s="261" t="s">
        <v>786</v>
      </c>
      <c r="M3" s="261" t="s">
        <v>787</v>
      </c>
      <c r="N3" s="261" t="s">
        <v>788</v>
      </c>
      <c r="O3" s="284" t="s">
        <v>766</v>
      </c>
      <c r="P3" s="284" t="s">
        <v>767</v>
      </c>
      <c r="Q3" s="284" t="s">
        <v>768</v>
      </c>
      <c r="R3" s="284" t="s">
        <v>769</v>
      </c>
      <c r="S3" s="284" t="s">
        <v>770</v>
      </c>
      <c r="T3" s="284" t="s">
        <v>771</v>
      </c>
      <c r="U3" s="284" t="s">
        <v>772</v>
      </c>
      <c r="V3" s="284" t="s">
        <v>773</v>
      </c>
      <c r="W3" s="284" t="s">
        <v>774</v>
      </c>
      <c r="X3" s="284" t="s">
        <v>775</v>
      </c>
      <c r="Y3" s="284" t="s">
        <v>776</v>
      </c>
      <c r="Z3" s="284" t="s">
        <v>777</v>
      </c>
      <c r="AA3" s="297" t="s">
        <v>789</v>
      </c>
      <c r="AB3" s="261" t="s">
        <v>790</v>
      </c>
      <c r="AC3" s="261" t="s">
        <v>791</v>
      </c>
      <c r="AD3" s="261" t="s">
        <v>792</v>
      </c>
      <c r="AE3" s="261" t="s">
        <v>793</v>
      </c>
      <c r="AF3" s="261" t="s">
        <v>791</v>
      </c>
      <c r="AG3" s="261" t="s">
        <v>792</v>
      </c>
      <c r="AH3" s="261" t="s">
        <v>793</v>
      </c>
      <c r="AI3" s="261" t="s">
        <v>791</v>
      </c>
      <c r="AJ3" s="261" t="s">
        <v>792</v>
      </c>
      <c r="AK3" s="261" t="s">
        <v>793</v>
      </c>
      <c r="AL3" s="261" t="s">
        <v>791</v>
      </c>
      <c r="AM3" s="261" t="s">
        <v>792</v>
      </c>
      <c r="AN3" s="261" t="s">
        <v>793</v>
      </c>
      <c r="AO3" s="261" t="s">
        <v>791</v>
      </c>
      <c r="AP3" s="261" t="s">
        <v>792</v>
      </c>
      <c r="AQ3" s="261" t="s">
        <v>793</v>
      </c>
      <c r="AR3" s="261" t="s">
        <v>791</v>
      </c>
      <c r="AS3" s="261" t="s">
        <v>792</v>
      </c>
      <c r="AT3" s="261" t="s">
        <v>793</v>
      </c>
      <c r="AU3" s="261" t="s">
        <v>791</v>
      </c>
      <c r="AV3" s="261" t="s">
        <v>792</v>
      </c>
      <c r="AW3" s="261" t="s">
        <v>793</v>
      </c>
      <c r="AX3" s="261" t="s">
        <v>791</v>
      </c>
      <c r="AY3" s="261" t="s">
        <v>792</v>
      </c>
      <c r="AZ3" s="261" t="s">
        <v>793</v>
      </c>
      <c r="BA3" s="261" t="s">
        <v>791</v>
      </c>
      <c r="BB3" s="261" t="s">
        <v>792</v>
      </c>
      <c r="BC3" s="261" t="s">
        <v>793</v>
      </c>
      <c r="BD3" s="261" t="s">
        <v>791</v>
      </c>
      <c r="BE3" s="261" t="s">
        <v>792</v>
      </c>
      <c r="BF3" s="261" t="s">
        <v>793</v>
      </c>
      <c r="BG3" s="261" t="s">
        <v>791</v>
      </c>
      <c r="BH3" s="261" t="s">
        <v>792</v>
      </c>
      <c r="BI3" s="261" t="s">
        <v>793</v>
      </c>
      <c r="BJ3" s="261" t="s">
        <v>791</v>
      </c>
      <c r="BK3" s="261" t="s">
        <v>792</v>
      </c>
      <c r="BL3" s="301" t="s">
        <v>793</v>
      </c>
      <c r="BM3" s="309"/>
      <c r="BN3" s="310"/>
    </row>
    <row r="4" s="262" customFormat="1" ht="33.95" hidden="1" customHeight="1" spans="2:66">
      <c r="B4" s="280" t="s">
        <v>794</v>
      </c>
      <c r="C4" s="281">
        <v>1</v>
      </c>
      <c r="D4" s="262" t="s">
        <v>795</v>
      </c>
      <c r="E4" s="262" t="s">
        <v>796</v>
      </c>
      <c r="G4" s="282"/>
      <c r="H4" s="262">
        <f>H5+H381+H582+H652+H658+H668</f>
        <v>376586.92264151</v>
      </c>
      <c r="P4" s="285"/>
      <c r="Q4" s="285"/>
      <c r="R4" s="285"/>
      <c r="S4" s="285"/>
      <c r="T4" s="285"/>
      <c r="U4" s="285"/>
      <c r="V4" s="285"/>
      <c r="W4" s="285"/>
      <c r="X4" s="285"/>
      <c r="Y4" s="285"/>
      <c r="Z4" s="285"/>
      <c r="AA4" s="285"/>
      <c r="AB4" s="262">
        <f t="shared" ref="AB4:AF4" si="0">AB5+AB381+AB582+AB652+AB658+AB668</f>
        <v>376586.92264151</v>
      </c>
      <c r="AC4" s="262">
        <f t="shared" si="0"/>
        <v>76001.5079245283</v>
      </c>
      <c r="AF4" s="262">
        <f t="shared" si="0"/>
        <v>27325.9467924528</v>
      </c>
      <c r="AI4" s="262">
        <f>AI5+AI381+AI582+AI652+AI658+AI668</f>
        <v>27325.9467924528</v>
      </c>
      <c r="AL4" s="262">
        <f>AL5+AL381+AL582+AL652+AL658+AL668</f>
        <v>27325.9467924528</v>
      </c>
      <c r="AO4" s="262">
        <f>AO5+AO381+AO582+AO652+AO658+AO668</f>
        <v>27325.9467924528</v>
      </c>
      <c r="AR4" s="262">
        <f>AR5+AR381+AR582+AR652+AR658+AR668</f>
        <v>27325.9467924528</v>
      </c>
      <c r="AU4" s="262">
        <f>AU5+AU381+AU582+AU652+AU658+AU668</f>
        <v>27325.9467924528</v>
      </c>
      <c r="AX4" s="262">
        <f>AX5+AX381+AX582+AX652+AX658+AX668</f>
        <v>27325.9467924528</v>
      </c>
      <c r="BA4" s="262">
        <f>BA5+BA381+BA582+BA652+BA658+BA668</f>
        <v>27325.9467924528</v>
      </c>
      <c r="BD4" s="262">
        <f>BD5+BD381+BD582+BD652+BD658+BD668</f>
        <v>27325.9467924528</v>
      </c>
      <c r="BG4" s="262">
        <f>BG5+BG381+BG582+BG652+BG658+BG668</f>
        <v>27325.9467924528</v>
      </c>
      <c r="BJ4" s="262">
        <f>BJ5+BJ381+BJ582+BJ652+BJ658+BJ668</f>
        <v>27325.9467924528</v>
      </c>
      <c r="BL4" s="302"/>
      <c r="BM4" s="308"/>
      <c r="BN4" s="285"/>
    </row>
    <row r="5" s="107" customFormat="1" ht="33.95" hidden="1" customHeight="1" outlineLevel="1" collapsed="1" spans="2:66">
      <c r="B5" s="108" t="s">
        <v>794</v>
      </c>
      <c r="C5" s="109">
        <v>1.1</v>
      </c>
      <c r="D5" s="107" t="s">
        <v>214</v>
      </c>
      <c r="E5" s="108"/>
      <c r="F5" s="108"/>
      <c r="H5" s="107">
        <f>H6+H208+H308</f>
        <v>329146.92264151</v>
      </c>
      <c r="P5" s="286"/>
      <c r="Q5" s="286"/>
      <c r="R5" s="286"/>
      <c r="S5" s="286"/>
      <c r="T5" s="286"/>
      <c r="U5" s="286"/>
      <c r="V5" s="286"/>
      <c r="W5" s="286"/>
      <c r="X5" s="286"/>
      <c r="Y5" s="286"/>
      <c r="Z5" s="286"/>
      <c r="AA5" s="286"/>
      <c r="AB5" s="107">
        <f t="shared" ref="AB5:AF5" si="1">AB6+AB208+AB308</f>
        <v>329146.92264151</v>
      </c>
      <c r="AC5" s="107">
        <f t="shared" si="1"/>
        <v>32961.5079245283</v>
      </c>
      <c r="AF5" s="107">
        <f t="shared" si="1"/>
        <v>26925.9467924528</v>
      </c>
      <c r="AI5" s="107">
        <f>AI6+AI208+AI308</f>
        <v>26925.9467924528</v>
      </c>
      <c r="AL5" s="107">
        <f>AL6+AL208+AL308</f>
        <v>26925.9467924528</v>
      </c>
      <c r="AO5" s="107">
        <f>AO6+AO208+AO308</f>
        <v>26925.9467924528</v>
      </c>
      <c r="AR5" s="107">
        <f>AR6+AR208+AR308</f>
        <v>26925.9467924528</v>
      </c>
      <c r="AU5" s="107">
        <f>AU6+AU208+AU308</f>
        <v>26925.9467924528</v>
      </c>
      <c r="AX5" s="107">
        <f>AX6+AX208+AX308</f>
        <v>26925.9467924528</v>
      </c>
      <c r="BA5" s="107">
        <f>BA6+BA208+BA308</f>
        <v>26925.9467924528</v>
      </c>
      <c r="BD5" s="107">
        <f>BD6+BD208+BD308</f>
        <v>26925.9467924528</v>
      </c>
      <c r="BG5" s="107">
        <f>BG6+BG208+BG308</f>
        <v>26925.9467924528</v>
      </c>
      <c r="BJ5" s="107">
        <f>BJ6+BJ208+BJ308</f>
        <v>26925.9467924528</v>
      </c>
      <c r="BL5" s="303"/>
      <c r="BM5" s="311"/>
      <c r="BN5" s="286"/>
    </row>
    <row r="6" s="29" customFormat="1" ht="33.95" hidden="1" customHeight="1" outlineLevel="2" collapsed="1" spans="2:66">
      <c r="B6" s="111" t="s">
        <v>794</v>
      </c>
      <c r="C6" s="112" t="s">
        <v>218</v>
      </c>
      <c r="D6" s="29" t="s">
        <v>219</v>
      </c>
      <c r="E6" s="111"/>
      <c r="F6" s="111"/>
      <c r="G6" s="111"/>
      <c r="H6" s="111">
        <f>H7+H29+H57+H111+H143+H159+H176+H189</f>
        <v>324429.941509434</v>
      </c>
      <c r="I6" s="111"/>
      <c r="J6" s="111"/>
      <c r="K6" s="111"/>
      <c r="L6" s="111"/>
      <c r="M6" s="111"/>
      <c r="N6" s="111"/>
      <c r="O6" s="111"/>
      <c r="P6" s="287"/>
      <c r="Q6" s="287"/>
      <c r="R6" s="287"/>
      <c r="S6" s="287"/>
      <c r="T6" s="287"/>
      <c r="U6" s="287"/>
      <c r="V6" s="287"/>
      <c r="W6" s="287"/>
      <c r="X6" s="287"/>
      <c r="Y6" s="287"/>
      <c r="Z6" s="287"/>
      <c r="AA6" s="287"/>
      <c r="AB6" s="111">
        <f t="shared" ref="AB6:AF6" si="2">AB7+AB29+AB57+AB111+AB143+AB159+AB176+AB189</f>
        <v>324429.941509434</v>
      </c>
      <c r="AC6" s="111">
        <f t="shared" si="2"/>
        <v>28244.5267924528</v>
      </c>
      <c r="AD6" s="111"/>
      <c r="AE6" s="111"/>
      <c r="AF6" s="111">
        <f t="shared" si="2"/>
        <v>26925.9467924528</v>
      </c>
      <c r="AG6" s="111"/>
      <c r="AH6" s="111"/>
      <c r="AI6" s="111">
        <f>AI7+AI29+AI57+AI111+AI143+AI159+AI176+AI189</f>
        <v>26925.9467924528</v>
      </c>
      <c r="AJ6" s="111"/>
      <c r="AK6" s="111"/>
      <c r="AL6" s="111">
        <f>AL7+AL29+AL57+AL111+AL143+AL159+AL176+AL189</f>
        <v>26925.9467924528</v>
      </c>
      <c r="AM6" s="111"/>
      <c r="AN6" s="111"/>
      <c r="AO6" s="111">
        <f>AO7+AO29+AO57+AO111+AO143+AO159+AO176+AO189</f>
        <v>26925.9467924528</v>
      </c>
      <c r="AP6" s="111"/>
      <c r="AQ6" s="111"/>
      <c r="AR6" s="111">
        <f>AR7+AR29+AR57+AR111+AR143+AR159+AR176+AR189</f>
        <v>26925.9467924528</v>
      </c>
      <c r="AS6" s="111"/>
      <c r="AT6" s="111"/>
      <c r="AU6" s="111">
        <f>AU7+AU29+AU57+AU111+AU143+AU159+AU176+AU189</f>
        <v>26925.9467924528</v>
      </c>
      <c r="AV6" s="111"/>
      <c r="AW6" s="111"/>
      <c r="AX6" s="111">
        <f>AX7+AX29+AX57+AX111+AX143+AX159+AX176+AX189</f>
        <v>26925.9467924528</v>
      </c>
      <c r="AY6" s="111"/>
      <c r="AZ6" s="111"/>
      <c r="BA6" s="111">
        <f>BA7+BA29+BA57+BA111+BA143+BA159+BA176+BA189</f>
        <v>26925.9467924528</v>
      </c>
      <c r="BB6" s="111"/>
      <c r="BC6" s="111"/>
      <c r="BD6" s="111">
        <f>BD7+BD29+BD57+BD111+BD143+BD159+BD176+BD189</f>
        <v>26925.9467924528</v>
      </c>
      <c r="BE6" s="111"/>
      <c r="BF6" s="111"/>
      <c r="BG6" s="111">
        <f>BG7+BG29+BG57+BG111+BG143+BG159+BG176+BG189</f>
        <v>26925.9467924528</v>
      </c>
      <c r="BH6" s="111"/>
      <c r="BI6" s="111"/>
      <c r="BJ6" s="111">
        <f>BJ7+BJ29+BJ57+BJ111+BJ143+BJ159+BJ176+BJ189</f>
        <v>26925.9467924528</v>
      </c>
      <c r="BK6" s="111"/>
      <c r="BL6" s="304"/>
      <c r="BM6" s="311"/>
      <c r="BN6" s="312"/>
    </row>
    <row r="7" s="48" customFormat="1" ht="33.95" hidden="1" customHeight="1" outlineLevel="3" collapsed="1" spans="2:66">
      <c r="B7" s="114" t="s">
        <v>794</v>
      </c>
      <c r="C7" s="115" t="s">
        <v>797</v>
      </c>
      <c r="D7" s="48" t="s">
        <v>798</v>
      </c>
      <c r="E7" s="114"/>
      <c r="F7" s="114"/>
      <c r="G7" s="114"/>
      <c r="H7" s="114">
        <f>H8+H15+H22</f>
        <v>0</v>
      </c>
      <c r="I7" s="114"/>
      <c r="J7" s="114"/>
      <c r="K7" s="114"/>
      <c r="L7" s="114"/>
      <c r="M7" s="114"/>
      <c r="N7" s="114"/>
      <c r="O7" s="114"/>
      <c r="P7" s="288"/>
      <c r="Q7" s="288"/>
      <c r="R7" s="288"/>
      <c r="S7" s="288"/>
      <c r="T7" s="288"/>
      <c r="U7" s="288"/>
      <c r="V7" s="288"/>
      <c r="W7" s="288"/>
      <c r="X7" s="288"/>
      <c r="Y7" s="288"/>
      <c r="Z7" s="288"/>
      <c r="AA7" s="288"/>
      <c r="AB7" s="114">
        <f t="shared" ref="AB7:AF7" si="3">AB8+AB15+AB22</f>
        <v>0</v>
      </c>
      <c r="AC7" s="114">
        <f t="shared" si="3"/>
        <v>0</v>
      </c>
      <c r="AD7" s="114"/>
      <c r="AE7" s="114"/>
      <c r="AF7" s="114">
        <f t="shared" si="3"/>
        <v>0</v>
      </c>
      <c r="AG7" s="114"/>
      <c r="AH7" s="114"/>
      <c r="AI7" s="114">
        <f>AI8+AI15+AI22</f>
        <v>0</v>
      </c>
      <c r="AJ7" s="114"/>
      <c r="AK7" s="114"/>
      <c r="AL7" s="114">
        <f>AL8+AL15+AL22</f>
        <v>0</v>
      </c>
      <c r="AM7" s="114"/>
      <c r="AN7" s="114"/>
      <c r="AO7" s="114">
        <f>AO8+AO15+AO22</f>
        <v>0</v>
      </c>
      <c r="AP7" s="114"/>
      <c r="AQ7" s="114"/>
      <c r="AR7" s="114">
        <f>AR8+AR15+AR22</f>
        <v>0</v>
      </c>
      <c r="AS7" s="114"/>
      <c r="AT7" s="114"/>
      <c r="AU7" s="114">
        <f>AU8+AU15+AU22</f>
        <v>0</v>
      </c>
      <c r="AV7" s="114"/>
      <c r="AW7" s="114"/>
      <c r="AX7" s="114">
        <f>AX8+AX15+AX22</f>
        <v>0</v>
      </c>
      <c r="AY7" s="114"/>
      <c r="AZ7" s="114"/>
      <c r="BA7" s="114">
        <f>BA8+BA15+BA22</f>
        <v>0</v>
      </c>
      <c r="BB7" s="114"/>
      <c r="BC7" s="114"/>
      <c r="BD7" s="114">
        <f>BD8+BD15+BD22</f>
        <v>0</v>
      </c>
      <c r="BE7" s="114"/>
      <c r="BF7" s="114"/>
      <c r="BG7" s="114">
        <f>BG8+BG15+BG22</f>
        <v>0</v>
      </c>
      <c r="BH7" s="114"/>
      <c r="BI7" s="114"/>
      <c r="BJ7" s="114">
        <f>BJ8+BJ15+BJ22</f>
        <v>0</v>
      </c>
      <c r="BK7" s="114"/>
      <c r="BL7" s="305"/>
      <c r="BM7" s="311"/>
      <c r="BN7" s="313"/>
    </row>
    <row r="8" s="117" customFormat="1" ht="33.95" hidden="1" customHeight="1" outlineLevel="4" collapsed="1" spans="2:66">
      <c r="B8" s="118" t="s">
        <v>794</v>
      </c>
      <c r="C8" s="119" t="s">
        <v>108</v>
      </c>
      <c r="D8" s="117" t="s">
        <v>109</v>
      </c>
      <c r="E8" s="118"/>
      <c r="F8" s="118"/>
      <c r="G8" s="118"/>
      <c r="H8" s="118">
        <f>SUM(H9:H14)</f>
        <v>0</v>
      </c>
      <c r="I8" s="118"/>
      <c r="J8" s="118"/>
      <c r="K8" s="118"/>
      <c r="L8" s="118"/>
      <c r="M8" s="118"/>
      <c r="N8" s="118"/>
      <c r="O8" s="118"/>
      <c r="P8" s="289"/>
      <c r="Q8" s="289"/>
      <c r="R8" s="289"/>
      <c r="S8" s="289"/>
      <c r="T8" s="289"/>
      <c r="U8" s="289"/>
      <c r="V8" s="289"/>
      <c r="W8" s="289"/>
      <c r="X8" s="289"/>
      <c r="Y8" s="289"/>
      <c r="Z8" s="289"/>
      <c r="AA8" s="289"/>
      <c r="AB8" s="118">
        <f>SUM(AB9:AB14)</f>
        <v>0</v>
      </c>
      <c r="AC8" s="118">
        <f t="shared" ref="AC8:AF8" si="4">SUM(AC9:AC14)</f>
        <v>0</v>
      </c>
      <c r="AD8" s="118"/>
      <c r="AE8" s="118"/>
      <c r="AF8" s="118">
        <f t="shared" si="4"/>
        <v>0</v>
      </c>
      <c r="AG8" s="118"/>
      <c r="AH8" s="118"/>
      <c r="AI8" s="118">
        <f>SUM(AI9:AI14)</f>
        <v>0</v>
      </c>
      <c r="AJ8" s="118"/>
      <c r="AK8" s="118"/>
      <c r="AL8" s="118">
        <f>SUM(AL9:AL14)</f>
        <v>0</v>
      </c>
      <c r="AM8" s="118"/>
      <c r="AN8" s="118"/>
      <c r="AO8" s="118">
        <f>SUM(AO9:AO14)</f>
        <v>0</v>
      </c>
      <c r="AP8" s="118"/>
      <c r="AQ8" s="118"/>
      <c r="AR8" s="118">
        <f>SUM(AR9:AR14)</f>
        <v>0</v>
      </c>
      <c r="AS8" s="118"/>
      <c r="AT8" s="118"/>
      <c r="AU8" s="118">
        <f>SUM(AU9:AU14)</f>
        <v>0</v>
      </c>
      <c r="AV8" s="118"/>
      <c r="AW8" s="118"/>
      <c r="AX8" s="118">
        <f>SUM(AX9:AX14)</f>
        <v>0</v>
      </c>
      <c r="AY8" s="118"/>
      <c r="AZ8" s="118"/>
      <c r="BA8" s="118">
        <f>SUM(BA9:BA14)</f>
        <v>0</v>
      </c>
      <c r="BB8" s="118"/>
      <c r="BC8" s="118"/>
      <c r="BD8" s="118">
        <f>SUM(BD9:BD14)</f>
        <v>0</v>
      </c>
      <c r="BE8" s="118"/>
      <c r="BF8" s="118"/>
      <c r="BG8" s="118">
        <f>SUM(BG9:BG14)</f>
        <v>0</v>
      </c>
      <c r="BH8" s="118"/>
      <c r="BI8" s="118"/>
      <c r="BJ8" s="118">
        <f>SUM(BJ9:BJ14)</f>
        <v>0</v>
      </c>
      <c r="BK8" s="118"/>
      <c r="BL8" s="306"/>
      <c r="BM8" s="311"/>
      <c r="BN8" s="314"/>
    </row>
    <row r="9" s="263" customFormat="1" ht="33.95" hidden="1" customHeight="1" outlineLevel="5" spans="2:66">
      <c r="B9" s="174" t="s">
        <v>799</v>
      </c>
      <c r="C9" s="283" t="s">
        <v>800</v>
      </c>
      <c r="D9" s="263" t="s">
        <v>801</v>
      </c>
      <c r="E9" s="174" t="s">
        <v>802</v>
      </c>
      <c r="F9" s="174"/>
      <c r="G9" s="174" t="s">
        <v>803</v>
      </c>
      <c r="H9" s="174">
        <f t="shared" ref="H9:H14" si="5">AB9</f>
        <v>0</v>
      </c>
      <c r="I9" s="174" t="s">
        <v>804</v>
      </c>
      <c r="J9" s="174" t="e">
        <f t="shared" ref="J9:J14" si="6">SUM(AD9,AG9,AJ9,AM9,AP9,AS9,AV9,AY9,BB9,BE9,BH9,BK9)/N9</f>
        <v>#DIV/0!</v>
      </c>
      <c r="K9" s="174" t="s">
        <v>805</v>
      </c>
      <c r="L9" s="174" t="e">
        <f t="shared" ref="L9:L14" si="7">H9/N9/J9</f>
        <v>#DIV/0!</v>
      </c>
      <c r="M9" s="174" t="s">
        <v>806</v>
      </c>
      <c r="N9" s="174">
        <f t="shared" ref="N9:N14" si="8">COUNTIF(AD9,"&gt;0")+COUNTIF(AG9,"&gt;0")+COUNTIF(AJ9,"&gt;0")+COUNTIF(AM9,"&gt;0")+COUNTIF(AP9,"&gt;0")+COUNTIF(AS9,"&gt;0")+COUNTIF(AV9,"&gt;0")+COUNTIF(AY9,"&gt;0")+COUNTIF(BB9,"&gt;0")+COUNTIF(BE9,"&gt;0")+COUNTIF(BH9,"&gt;0")+COUNTIF(BK9,"&gt;0")</f>
        <v>0</v>
      </c>
      <c r="O9" s="174"/>
      <c r="P9" s="290"/>
      <c r="Q9" s="290"/>
      <c r="R9" s="290"/>
      <c r="S9" s="290"/>
      <c r="T9" s="290"/>
      <c r="U9" s="290"/>
      <c r="V9" s="290"/>
      <c r="W9" s="290"/>
      <c r="X9" s="290"/>
      <c r="Y9" s="290"/>
      <c r="Z9" s="290"/>
      <c r="AA9" s="290"/>
      <c r="AB9" s="174">
        <f>SUM(AC9,AF9,AI9,AL9,AO9,AR9,AU9,AX9,BA9,BD9,BG9,BJ9)</f>
        <v>0</v>
      </c>
      <c r="AC9" s="174">
        <f>AD9*AE9</f>
        <v>0</v>
      </c>
      <c r="AD9" s="174">
        <f>'1-2 人员岗位信息'!F11</f>
        <v>0</v>
      </c>
      <c r="AE9" s="298">
        <f>IFERROR(自有人工预算!E26/AD9,0)</f>
        <v>0</v>
      </c>
      <c r="AF9" s="174">
        <f t="shared" ref="AF9:AF14" si="9">AG9*AH9</f>
        <v>0</v>
      </c>
      <c r="AG9" s="174">
        <f>SUMIFS('1-2 人员岗位信息'!G:G,'1-2 人员岗位信息'!$C:$C,"自有人员",'1-2 人员岗位信息'!$B:$B,$D9)</f>
        <v>0</v>
      </c>
      <c r="AH9" s="298">
        <f>IFERROR(自有人工预算!F26/AG9,0)</f>
        <v>0</v>
      </c>
      <c r="AI9" s="174">
        <f t="shared" ref="AI9:AI14" si="10">AJ9*AK9</f>
        <v>0</v>
      </c>
      <c r="AJ9" s="174">
        <f>SUMIFS('1-2 人员岗位信息'!H:H,'1-2 人员岗位信息'!$C:$C,"自有人员",'1-2 人员岗位信息'!$B:$B,$D9)</f>
        <v>0</v>
      </c>
      <c r="AK9" s="298">
        <f>IFERROR(自有人工预算!G26/AJ9,0)</f>
        <v>0</v>
      </c>
      <c r="AL9" s="174">
        <f>AM9*AN9</f>
        <v>0</v>
      </c>
      <c r="AM9" s="174">
        <f>SUMIFS('1-2 人员岗位信息'!I:I,'1-2 人员岗位信息'!$C:$C,"自有人员",'1-2 人员岗位信息'!$B:$B,$D9)</f>
        <v>0</v>
      </c>
      <c r="AN9" s="298">
        <f>IFERROR(自有人工预算!H26/AM9,0)</f>
        <v>0</v>
      </c>
      <c r="AO9" s="174">
        <f t="shared" ref="AO9:AO14" si="11">AP9*AQ9</f>
        <v>0</v>
      </c>
      <c r="AP9" s="174">
        <f>SUMIFS('1-2 人员岗位信息'!J:J,'1-2 人员岗位信息'!$C:$C,"自有人员",'1-2 人员岗位信息'!$B:$B,$D9)</f>
        <v>0</v>
      </c>
      <c r="AQ9" s="298">
        <f>IFERROR(自有人工预算!I26/AP9,0)</f>
        <v>0</v>
      </c>
      <c r="AR9" s="174">
        <f>AS9*AT9</f>
        <v>0</v>
      </c>
      <c r="AS9" s="174">
        <f>SUMIFS('1-2 人员岗位信息'!K:K,'1-2 人员岗位信息'!$C:$C,"自有人员",'1-2 人员岗位信息'!$B:$B,$D9)</f>
        <v>0</v>
      </c>
      <c r="AT9" s="298">
        <f>IFERROR(自有人工预算!J26/AS9,0)</f>
        <v>0</v>
      </c>
      <c r="AU9" s="174">
        <f t="shared" ref="AU9:AU14" si="12">AV9*AW9</f>
        <v>0</v>
      </c>
      <c r="AV9" s="174">
        <f>SUMIFS('1-2 人员岗位信息'!L:L,'1-2 人员岗位信息'!$C:$C,"自有人员",'1-2 人员岗位信息'!$B:$B,$D9)</f>
        <v>0</v>
      </c>
      <c r="AW9" s="298">
        <f>IFERROR(自有人工预算!K26/AV9,0)</f>
        <v>0</v>
      </c>
      <c r="AX9" s="174">
        <f t="shared" ref="AX9:AX14" si="13">AY9*AZ9</f>
        <v>0</v>
      </c>
      <c r="AY9" s="174">
        <f>SUMIFS('1-2 人员岗位信息'!M:M,'1-2 人员岗位信息'!$C:$C,"自有人员",'1-2 人员岗位信息'!$B:$B,$D9)</f>
        <v>0</v>
      </c>
      <c r="AZ9" s="298">
        <f>IFERROR(自有人工预算!L26/AY9,0)</f>
        <v>0</v>
      </c>
      <c r="BA9" s="174">
        <f t="shared" ref="BA9:BA14" si="14">BB9*BC9</f>
        <v>0</v>
      </c>
      <c r="BB9" s="174">
        <f>SUMIFS('1-2 人员岗位信息'!N:N,'1-2 人员岗位信息'!$C:$C,"自有人员",'1-2 人员岗位信息'!$B:$B,$D9)</f>
        <v>0</v>
      </c>
      <c r="BC9" s="298">
        <f>IFERROR(自有人工预算!M26/BB9,0)</f>
        <v>0</v>
      </c>
      <c r="BD9" s="174">
        <f t="shared" ref="BD9:BD14" si="15">BE9*BF9</f>
        <v>0</v>
      </c>
      <c r="BE9" s="174">
        <f>SUMIFS('1-2 人员岗位信息'!O:O,'1-2 人员岗位信息'!$C:$C,"自有人员",'1-2 人员岗位信息'!$B:$B,$D9)</f>
        <v>0</v>
      </c>
      <c r="BF9" s="298">
        <f>IFERROR(自有人工预算!N26/BE9,0)</f>
        <v>0</v>
      </c>
      <c r="BG9" s="174">
        <f t="shared" ref="BG9:BG14" si="16">BH9*BI9</f>
        <v>0</v>
      </c>
      <c r="BH9" s="174">
        <f>SUMIFS('1-2 人员岗位信息'!P:P,'1-2 人员岗位信息'!$C:$C,"自有人员",'1-2 人员岗位信息'!$B:$B,$D9)</f>
        <v>0</v>
      </c>
      <c r="BI9" s="298">
        <f>IFERROR(自有人工预算!O26/BH9,0)</f>
        <v>0</v>
      </c>
      <c r="BJ9" s="174">
        <f t="shared" ref="BJ9:BJ14" si="17">BK9*BL9</f>
        <v>0</v>
      </c>
      <c r="BK9" s="174">
        <f>SUMIFS('1-2 人员岗位信息'!Q:Q,'1-2 人员岗位信息'!$C:$C,"自有人员",'1-2 人员岗位信息'!$B:$B,$D9)</f>
        <v>0</v>
      </c>
      <c r="BL9" s="298">
        <f>IFERROR(自有人工预算!P26/BK9,0)</f>
        <v>0</v>
      </c>
      <c r="BM9" s="311"/>
      <c r="BN9" s="315"/>
    </row>
    <row r="10" s="263" customFormat="1" ht="33.95" hidden="1" customHeight="1" outlineLevel="5" spans="2:66">
      <c r="B10" s="174" t="s">
        <v>799</v>
      </c>
      <c r="C10" s="283" t="s">
        <v>807</v>
      </c>
      <c r="D10" s="263" t="s">
        <v>808</v>
      </c>
      <c r="E10" s="174" t="s">
        <v>809</v>
      </c>
      <c r="F10" s="174"/>
      <c r="G10" s="174" t="s">
        <v>803</v>
      </c>
      <c r="H10" s="174">
        <f t="shared" si="5"/>
        <v>0</v>
      </c>
      <c r="I10" s="174" t="s">
        <v>804</v>
      </c>
      <c r="J10" s="174" t="e">
        <f t="shared" si="6"/>
        <v>#DIV/0!</v>
      </c>
      <c r="K10" s="174" t="s">
        <v>805</v>
      </c>
      <c r="L10" s="174" t="e">
        <f t="shared" si="7"/>
        <v>#DIV/0!</v>
      </c>
      <c r="M10" s="174" t="s">
        <v>806</v>
      </c>
      <c r="N10" s="174">
        <f t="shared" si="8"/>
        <v>0</v>
      </c>
      <c r="O10" s="174"/>
      <c r="P10" s="290"/>
      <c r="Q10" s="290"/>
      <c r="R10" s="290"/>
      <c r="S10" s="290"/>
      <c r="T10" s="290"/>
      <c r="U10" s="290"/>
      <c r="V10" s="290"/>
      <c r="W10" s="290"/>
      <c r="X10" s="290"/>
      <c r="Y10" s="290"/>
      <c r="Z10" s="290"/>
      <c r="AA10" s="290"/>
      <c r="AB10" s="174">
        <f t="shared" ref="AB10:AB14" si="18">SUM(AC10,AF10,AI10,AL10,AO10,AR10,AU10,AX10,BA10,BD10,BG10,BJ10)</f>
        <v>0</v>
      </c>
      <c r="AC10" s="174">
        <f t="shared" ref="AC10:AC14" si="19">AD10*AE10</f>
        <v>0</v>
      </c>
      <c r="AD10" s="174">
        <f>'1-2 人员岗位信息'!F15</f>
        <v>0</v>
      </c>
      <c r="AE10" s="298"/>
      <c r="AF10" s="174">
        <f t="shared" si="9"/>
        <v>0</v>
      </c>
      <c r="AG10" s="174">
        <f>SUMIFS('1-2 人员岗位信息'!G:G,'1-2 人员岗位信息'!$C:$C,"自有人员",'1-2 人员岗位信息'!$B:$B,$D10)</f>
        <v>0</v>
      </c>
      <c r="AH10" s="298"/>
      <c r="AI10" s="174">
        <f t="shared" si="10"/>
        <v>0</v>
      </c>
      <c r="AJ10" s="174">
        <f>SUMIFS('1-2 人员岗位信息'!H:H,'1-2 人员岗位信息'!$C:$C,"自有人员",'1-2 人员岗位信息'!$B:$B,$D10)</f>
        <v>0</v>
      </c>
      <c r="AK10" s="298"/>
      <c r="AL10" s="174">
        <f t="shared" ref="AL10:AL14" si="20">AM10*AN10</f>
        <v>0</v>
      </c>
      <c r="AM10" s="174">
        <f>SUMIFS('1-2 人员岗位信息'!I:I,'1-2 人员岗位信息'!$C:$C,"自有人员",'1-2 人员岗位信息'!$B:$B,$D10)</f>
        <v>0</v>
      </c>
      <c r="AN10" s="298"/>
      <c r="AO10" s="174">
        <f t="shared" si="11"/>
        <v>0</v>
      </c>
      <c r="AP10" s="174">
        <f>SUMIFS('1-2 人员岗位信息'!J:J,'1-2 人员岗位信息'!$C:$C,"自有人员",'1-2 人员岗位信息'!$B:$B,$D10)</f>
        <v>0</v>
      </c>
      <c r="AQ10" s="298"/>
      <c r="AR10" s="174">
        <f t="shared" ref="AR10:AR14" si="21">AS10*AT10</f>
        <v>0</v>
      </c>
      <c r="AS10" s="174">
        <f>SUMIFS('1-2 人员岗位信息'!K:K,'1-2 人员岗位信息'!$C:$C,"自有人员",'1-2 人员岗位信息'!$B:$B,$D10)</f>
        <v>0</v>
      </c>
      <c r="AT10" s="298"/>
      <c r="AU10" s="174">
        <f t="shared" si="12"/>
        <v>0</v>
      </c>
      <c r="AV10" s="174">
        <f>SUMIFS('1-2 人员岗位信息'!L:L,'1-2 人员岗位信息'!$C:$C,"自有人员",'1-2 人员岗位信息'!$B:$B,$D10)</f>
        <v>0</v>
      </c>
      <c r="AW10" s="298"/>
      <c r="AX10" s="174">
        <f t="shared" si="13"/>
        <v>0</v>
      </c>
      <c r="AY10" s="174">
        <f>SUMIFS('1-2 人员岗位信息'!M:M,'1-2 人员岗位信息'!$C:$C,"自有人员",'1-2 人员岗位信息'!$B:$B,$D10)</f>
        <v>0</v>
      </c>
      <c r="AZ10" s="298"/>
      <c r="BA10" s="174">
        <f t="shared" si="14"/>
        <v>0</v>
      </c>
      <c r="BB10" s="174">
        <f>SUMIFS('1-2 人员岗位信息'!N:N,'1-2 人员岗位信息'!$C:$C,"自有人员",'1-2 人员岗位信息'!$B:$B,$D10)</f>
        <v>0</v>
      </c>
      <c r="BC10" s="298"/>
      <c r="BD10" s="174">
        <f t="shared" si="15"/>
        <v>0</v>
      </c>
      <c r="BE10" s="174">
        <f>SUMIFS('1-2 人员岗位信息'!O:O,'1-2 人员岗位信息'!$C:$C,"自有人员",'1-2 人员岗位信息'!$B:$B,$D10)</f>
        <v>0</v>
      </c>
      <c r="BF10" s="298"/>
      <c r="BG10" s="174">
        <f t="shared" si="16"/>
        <v>0</v>
      </c>
      <c r="BH10" s="174">
        <f>SUMIFS('1-2 人员岗位信息'!P:P,'1-2 人员岗位信息'!$C:$C,"自有人员",'1-2 人员岗位信息'!$B:$B,$D10)</f>
        <v>0</v>
      </c>
      <c r="BI10" s="298"/>
      <c r="BJ10" s="174">
        <f t="shared" si="17"/>
        <v>0</v>
      </c>
      <c r="BK10" s="174">
        <f>SUMIFS('1-2 人员岗位信息'!Q:Q,'1-2 人员岗位信息'!$C:$C,"自有人员",'1-2 人员岗位信息'!$B:$B,$D10)</f>
        <v>0</v>
      </c>
      <c r="BL10" s="307"/>
      <c r="BM10" s="311"/>
      <c r="BN10" s="315"/>
    </row>
    <row r="11" s="263" customFormat="1" ht="33.95" hidden="1" customHeight="1" outlineLevel="5" spans="2:66">
      <c r="B11" s="174" t="s">
        <v>799</v>
      </c>
      <c r="C11" s="283" t="s">
        <v>810</v>
      </c>
      <c r="D11" s="263" t="s">
        <v>811</v>
      </c>
      <c r="E11" s="174" t="s">
        <v>812</v>
      </c>
      <c r="F11" s="174"/>
      <c r="G11" s="174" t="s">
        <v>803</v>
      </c>
      <c r="H11" s="174">
        <f t="shared" si="5"/>
        <v>0</v>
      </c>
      <c r="I11" s="174" t="s">
        <v>804</v>
      </c>
      <c r="J11" s="174" t="e">
        <f t="shared" si="6"/>
        <v>#DIV/0!</v>
      </c>
      <c r="K11" s="174" t="s">
        <v>805</v>
      </c>
      <c r="L11" s="174" t="e">
        <f t="shared" si="7"/>
        <v>#DIV/0!</v>
      </c>
      <c r="M11" s="174" t="s">
        <v>806</v>
      </c>
      <c r="N11" s="174">
        <f t="shared" si="8"/>
        <v>0</v>
      </c>
      <c r="O11" s="174"/>
      <c r="P11" s="290"/>
      <c r="Q11" s="290"/>
      <c r="R11" s="290"/>
      <c r="S11" s="290"/>
      <c r="T11" s="290"/>
      <c r="U11" s="290"/>
      <c r="V11" s="290"/>
      <c r="W11" s="290"/>
      <c r="X11" s="290"/>
      <c r="Y11" s="290"/>
      <c r="Z11" s="290"/>
      <c r="AA11" s="290"/>
      <c r="AB11" s="174">
        <f t="shared" si="18"/>
        <v>0</v>
      </c>
      <c r="AC11" s="174">
        <f t="shared" si="19"/>
        <v>0</v>
      </c>
      <c r="AD11" s="174">
        <f>'1-2 人员岗位信息'!F19</f>
        <v>0</v>
      </c>
      <c r="AE11" s="298"/>
      <c r="AF11" s="174">
        <f t="shared" si="9"/>
        <v>0</v>
      </c>
      <c r="AG11" s="174">
        <f>SUMIFS('1-2 人员岗位信息'!G:G,'1-2 人员岗位信息'!$C:$C,"自有人员",'1-2 人员岗位信息'!$B:$B,$D11)</f>
        <v>0</v>
      </c>
      <c r="AH11" s="298"/>
      <c r="AI11" s="174">
        <f t="shared" si="10"/>
        <v>0</v>
      </c>
      <c r="AJ11" s="174">
        <f>SUMIFS('1-2 人员岗位信息'!H:H,'1-2 人员岗位信息'!$C:$C,"自有人员",'1-2 人员岗位信息'!$B:$B,$D11)</f>
        <v>0</v>
      </c>
      <c r="AK11" s="298"/>
      <c r="AL11" s="174">
        <f t="shared" si="20"/>
        <v>0</v>
      </c>
      <c r="AM11" s="174">
        <f>SUMIFS('1-2 人员岗位信息'!I:I,'1-2 人员岗位信息'!$C:$C,"自有人员",'1-2 人员岗位信息'!$B:$B,$D11)</f>
        <v>0</v>
      </c>
      <c r="AN11" s="298"/>
      <c r="AO11" s="174">
        <f t="shared" si="11"/>
        <v>0</v>
      </c>
      <c r="AP11" s="174">
        <f>SUMIFS('1-2 人员岗位信息'!J:J,'1-2 人员岗位信息'!$C:$C,"自有人员",'1-2 人员岗位信息'!$B:$B,$D11)</f>
        <v>0</v>
      </c>
      <c r="AQ11" s="298"/>
      <c r="AR11" s="174">
        <f t="shared" si="21"/>
        <v>0</v>
      </c>
      <c r="AS11" s="174">
        <f>SUMIFS('1-2 人员岗位信息'!K:K,'1-2 人员岗位信息'!$C:$C,"自有人员",'1-2 人员岗位信息'!$B:$B,$D11)</f>
        <v>0</v>
      </c>
      <c r="AT11" s="298"/>
      <c r="AU11" s="174">
        <f t="shared" si="12"/>
        <v>0</v>
      </c>
      <c r="AV11" s="174">
        <f>SUMIFS('1-2 人员岗位信息'!L:L,'1-2 人员岗位信息'!$C:$C,"自有人员",'1-2 人员岗位信息'!$B:$B,$D11)</f>
        <v>0</v>
      </c>
      <c r="AW11" s="298"/>
      <c r="AX11" s="174">
        <f t="shared" si="13"/>
        <v>0</v>
      </c>
      <c r="AY11" s="174">
        <f>SUMIFS('1-2 人员岗位信息'!M:M,'1-2 人员岗位信息'!$C:$C,"自有人员",'1-2 人员岗位信息'!$B:$B,$D11)</f>
        <v>0</v>
      </c>
      <c r="AZ11" s="298"/>
      <c r="BA11" s="174">
        <f t="shared" si="14"/>
        <v>0</v>
      </c>
      <c r="BB11" s="174">
        <f>SUMIFS('1-2 人员岗位信息'!N:N,'1-2 人员岗位信息'!$C:$C,"自有人员",'1-2 人员岗位信息'!$B:$B,$D11)</f>
        <v>0</v>
      </c>
      <c r="BC11" s="298"/>
      <c r="BD11" s="174">
        <f t="shared" si="15"/>
        <v>0</v>
      </c>
      <c r="BE11" s="174">
        <f>SUMIFS('1-2 人员岗位信息'!O:O,'1-2 人员岗位信息'!$C:$C,"自有人员",'1-2 人员岗位信息'!$B:$B,$D11)</f>
        <v>0</v>
      </c>
      <c r="BF11" s="298"/>
      <c r="BG11" s="174">
        <f t="shared" si="16"/>
        <v>0</v>
      </c>
      <c r="BH11" s="174">
        <f>SUMIFS('1-2 人员岗位信息'!P:P,'1-2 人员岗位信息'!$C:$C,"自有人员",'1-2 人员岗位信息'!$B:$B,$D11)</f>
        <v>0</v>
      </c>
      <c r="BI11" s="298"/>
      <c r="BJ11" s="174">
        <f t="shared" si="17"/>
        <v>0</v>
      </c>
      <c r="BK11" s="174">
        <f>SUMIFS('1-2 人员岗位信息'!Q:Q,'1-2 人员岗位信息'!$C:$C,"自有人员",'1-2 人员岗位信息'!$B:$B,$D11)</f>
        <v>0</v>
      </c>
      <c r="BL11" s="307"/>
      <c r="BM11" s="311"/>
      <c r="BN11" s="315"/>
    </row>
    <row r="12" s="263" customFormat="1" ht="33.95" hidden="1" customHeight="1" outlineLevel="5" spans="2:66">
      <c r="B12" s="174" t="s">
        <v>799</v>
      </c>
      <c r="C12" s="283" t="s">
        <v>813</v>
      </c>
      <c r="D12" s="263" t="s">
        <v>814</v>
      </c>
      <c r="E12" s="174" t="s">
        <v>815</v>
      </c>
      <c r="F12" s="174"/>
      <c r="G12" s="174" t="s">
        <v>803</v>
      </c>
      <c r="H12" s="174">
        <f t="shared" si="5"/>
        <v>0</v>
      </c>
      <c r="I12" s="174" t="s">
        <v>804</v>
      </c>
      <c r="J12" s="174" t="e">
        <f t="shared" si="6"/>
        <v>#DIV/0!</v>
      </c>
      <c r="K12" s="174" t="s">
        <v>805</v>
      </c>
      <c r="L12" s="174" t="e">
        <f t="shared" si="7"/>
        <v>#DIV/0!</v>
      </c>
      <c r="M12" s="174" t="s">
        <v>806</v>
      </c>
      <c r="N12" s="174">
        <f t="shared" si="8"/>
        <v>0</v>
      </c>
      <c r="O12" s="174"/>
      <c r="P12" s="290"/>
      <c r="Q12" s="290"/>
      <c r="R12" s="290"/>
      <c r="S12" s="290"/>
      <c r="T12" s="290"/>
      <c r="U12" s="290"/>
      <c r="V12" s="290"/>
      <c r="W12" s="290"/>
      <c r="X12" s="290"/>
      <c r="Y12" s="290"/>
      <c r="Z12" s="290"/>
      <c r="AA12" s="290"/>
      <c r="AB12" s="174">
        <f t="shared" si="18"/>
        <v>0</v>
      </c>
      <c r="AC12" s="174">
        <f t="shared" si="19"/>
        <v>0</v>
      </c>
      <c r="AD12" s="174">
        <f>'1-2 人员岗位信息'!F23</f>
        <v>0</v>
      </c>
      <c r="AE12" s="298"/>
      <c r="AF12" s="174">
        <f t="shared" si="9"/>
        <v>0</v>
      </c>
      <c r="AG12" s="174">
        <f>SUMIFS('1-2 人员岗位信息'!G:G,'1-2 人员岗位信息'!$C:$C,"自有人员",'1-2 人员岗位信息'!$B:$B,$D12)</f>
        <v>0</v>
      </c>
      <c r="AH12" s="298"/>
      <c r="AI12" s="174">
        <f t="shared" si="10"/>
        <v>0</v>
      </c>
      <c r="AJ12" s="174">
        <f>SUMIFS('1-2 人员岗位信息'!H:H,'1-2 人员岗位信息'!$C:$C,"自有人员",'1-2 人员岗位信息'!$B:$B,$D12)</f>
        <v>0</v>
      </c>
      <c r="AK12" s="298"/>
      <c r="AL12" s="174">
        <f t="shared" si="20"/>
        <v>0</v>
      </c>
      <c r="AM12" s="174">
        <f>SUMIFS('1-2 人员岗位信息'!I:I,'1-2 人员岗位信息'!$C:$C,"自有人员",'1-2 人员岗位信息'!$B:$B,$D12)</f>
        <v>0</v>
      </c>
      <c r="AN12" s="298"/>
      <c r="AO12" s="174">
        <f t="shared" si="11"/>
        <v>0</v>
      </c>
      <c r="AP12" s="174">
        <f>SUMIFS('1-2 人员岗位信息'!J:J,'1-2 人员岗位信息'!$C:$C,"自有人员",'1-2 人员岗位信息'!$B:$B,$D12)</f>
        <v>0</v>
      </c>
      <c r="AQ12" s="298"/>
      <c r="AR12" s="174">
        <f t="shared" si="21"/>
        <v>0</v>
      </c>
      <c r="AS12" s="174">
        <f>SUMIFS('1-2 人员岗位信息'!K:K,'1-2 人员岗位信息'!$C:$C,"自有人员",'1-2 人员岗位信息'!$B:$B,$D12)</f>
        <v>0</v>
      </c>
      <c r="AT12" s="298"/>
      <c r="AU12" s="174">
        <f t="shared" si="12"/>
        <v>0</v>
      </c>
      <c r="AV12" s="174">
        <f>SUMIFS('1-2 人员岗位信息'!L:L,'1-2 人员岗位信息'!$C:$C,"自有人员",'1-2 人员岗位信息'!$B:$B,$D12)</f>
        <v>0</v>
      </c>
      <c r="AW12" s="298"/>
      <c r="AX12" s="174">
        <f t="shared" si="13"/>
        <v>0</v>
      </c>
      <c r="AY12" s="174">
        <f>SUMIFS('1-2 人员岗位信息'!M:M,'1-2 人员岗位信息'!$C:$C,"自有人员",'1-2 人员岗位信息'!$B:$B,$D12)</f>
        <v>0</v>
      </c>
      <c r="AZ12" s="298"/>
      <c r="BA12" s="174">
        <f t="shared" si="14"/>
        <v>0</v>
      </c>
      <c r="BB12" s="174">
        <f>SUMIFS('1-2 人员岗位信息'!N:N,'1-2 人员岗位信息'!$C:$C,"自有人员",'1-2 人员岗位信息'!$B:$B,$D12)</f>
        <v>0</v>
      </c>
      <c r="BC12" s="298"/>
      <c r="BD12" s="174">
        <f t="shared" si="15"/>
        <v>0</v>
      </c>
      <c r="BE12" s="174">
        <f>SUMIFS('1-2 人员岗位信息'!O:O,'1-2 人员岗位信息'!$C:$C,"自有人员",'1-2 人员岗位信息'!$B:$B,$D12)</f>
        <v>0</v>
      </c>
      <c r="BF12" s="298"/>
      <c r="BG12" s="174">
        <f t="shared" si="16"/>
        <v>0</v>
      </c>
      <c r="BH12" s="174">
        <f>SUMIFS('1-2 人员岗位信息'!P:P,'1-2 人员岗位信息'!$C:$C,"自有人员",'1-2 人员岗位信息'!$B:$B,$D12)</f>
        <v>0</v>
      </c>
      <c r="BI12" s="298"/>
      <c r="BJ12" s="174">
        <f t="shared" si="17"/>
        <v>0</v>
      </c>
      <c r="BK12" s="174">
        <f>SUMIFS('1-2 人员岗位信息'!Q:Q,'1-2 人员岗位信息'!$C:$C,"自有人员",'1-2 人员岗位信息'!$B:$B,$D12)</f>
        <v>0</v>
      </c>
      <c r="BL12" s="307"/>
      <c r="BM12" s="311"/>
      <c r="BN12" s="315"/>
    </row>
    <row r="13" s="263" customFormat="1" ht="33.95" hidden="1" customHeight="1" outlineLevel="5" spans="2:66">
      <c r="B13" s="174" t="s">
        <v>799</v>
      </c>
      <c r="C13" s="283" t="s">
        <v>816</v>
      </c>
      <c r="D13" s="263" t="s">
        <v>817</v>
      </c>
      <c r="E13" s="174" t="s">
        <v>818</v>
      </c>
      <c r="F13" s="174"/>
      <c r="G13" s="174" t="s">
        <v>803</v>
      </c>
      <c r="H13" s="174">
        <f t="shared" si="5"/>
        <v>0</v>
      </c>
      <c r="I13" s="174" t="s">
        <v>804</v>
      </c>
      <c r="J13" s="174" t="e">
        <f t="shared" si="6"/>
        <v>#DIV/0!</v>
      </c>
      <c r="K13" s="174" t="s">
        <v>805</v>
      </c>
      <c r="L13" s="174" t="e">
        <f t="shared" si="7"/>
        <v>#DIV/0!</v>
      </c>
      <c r="M13" s="174" t="s">
        <v>806</v>
      </c>
      <c r="N13" s="174">
        <f t="shared" si="8"/>
        <v>0</v>
      </c>
      <c r="O13" s="174"/>
      <c r="P13" s="290"/>
      <c r="Q13" s="290"/>
      <c r="R13" s="290"/>
      <c r="S13" s="290"/>
      <c r="T13" s="290"/>
      <c r="U13" s="290"/>
      <c r="V13" s="290"/>
      <c r="W13" s="290"/>
      <c r="X13" s="290"/>
      <c r="Y13" s="290"/>
      <c r="Z13" s="290"/>
      <c r="AA13" s="290"/>
      <c r="AB13" s="174">
        <f t="shared" si="18"/>
        <v>0</v>
      </c>
      <c r="AC13" s="174">
        <f t="shared" si="19"/>
        <v>0</v>
      </c>
      <c r="AD13" s="174">
        <f>'1-2 人员岗位信息'!F27</f>
        <v>0</v>
      </c>
      <c r="AE13" s="298"/>
      <c r="AF13" s="174">
        <f t="shared" si="9"/>
        <v>0</v>
      </c>
      <c r="AG13" s="174">
        <f>SUMIFS('1-2 人员岗位信息'!G:G,'1-2 人员岗位信息'!$C:$C,"自有人员",'1-2 人员岗位信息'!$B:$B,$D13)</f>
        <v>0</v>
      </c>
      <c r="AH13" s="298"/>
      <c r="AI13" s="174">
        <f t="shared" si="10"/>
        <v>0</v>
      </c>
      <c r="AJ13" s="174">
        <f>SUMIFS('1-2 人员岗位信息'!H:H,'1-2 人员岗位信息'!$C:$C,"自有人员",'1-2 人员岗位信息'!$B:$B,$D13)</f>
        <v>0</v>
      </c>
      <c r="AK13" s="298"/>
      <c r="AL13" s="174">
        <f t="shared" si="20"/>
        <v>0</v>
      </c>
      <c r="AM13" s="174">
        <f>SUMIFS('1-2 人员岗位信息'!I:I,'1-2 人员岗位信息'!$C:$C,"自有人员",'1-2 人员岗位信息'!$B:$B,$D13)</f>
        <v>0</v>
      </c>
      <c r="AN13" s="298"/>
      <c r="AO13" s="174">
        <f t="shared" si="11"/>
        <v>0</v>
      </c>
      <c r="AP13" s="174">
        <f>SUMIFS('1-2 人员岗位信息'!J:J,'1-2 人员岗位信息'!$C:$C,"自有人员",'1-2 人员岗位信息'!$B:$B,$D13)</f>
        <v>0</v>
      </c>
      <c r="AQ13" s="298"/>
      <c r="AR13" s="174">
        <f t="shared" si="21"/>
        <v>0</v>
      </c>
      <c r="AS13" s="174">
        <f>SUMIFS('1-2 人员岗位信息'!K:K,'1-2 人员岗位信息'!$C:$C,"自有人员",'1-2 人员岗位信息'!$B:$B,$D13)</f>
        <v>0</v>
      </c>
      <c r="AT13" s="298"/>
      <c r="AU13" s="174">
        <f t="shared" si="12"/>
        <v>0</v>
      </c>
      <c r="AV13" s="174">
        <f>SUMIFS('1-2 人员岗位信息'!L:L,'1-2 人员岗位信息'!$C:$C,"自有人员",'1-2 人员岗位信息'!$B:$B,$D13)</f>
        <v>0</v>
      </c>
      <c r="AW13" s="298"/>
      <c r="AX13" s="174">
        <f t="shared" si="13"/>
        <v>0</v>
      </c>
      <c r="AY13" s="174">
        <f>SUMIFS('1-2 人员岗位信息'!M:M,'1-2 人员岗位信息'!$C:$C,"自有人员",'1-2 人员岗位信息'!$B:$B,$D13)</f>
        <v>0</v>
      </c>
      <c r="AZ13" s="298"/>
      <c r="BA13" s="174">
        <f t="shared" si="14"/>
        <v>0</v>
      </c>
      <c r="BB13" s="174">
        <f>SUMIFS('1-2 人员岗位信息'!N:N,'1-2 人员岗位信息'!$C:$C,"自有人员",'1-2 人员岗位信息'!$B:$B,$D13)</f>
        <v>0</v>
      </c>
      <c r="BC13" s="298"/>
      <c r="BD13" s="174">
        <f t="shared" si="15"/>
        <v>0</v>
      </c>
      <c r="BE13" s="174">
        <f>SUMIFS('1-2 人员岗位信息'!O:O,'1-2 人员岗位信息'!$C:$C,"自有人员",'1-2 人员岗位信息'!$B:$B,$D13)</f>
        <v>0</v>
      </c>
      <c r="BF13" s="298"/>
      <c r="BG13" s="174">
        <f t="shared" si="16"/>
        <v>0</v>
      </c>
      <c r="BH13" s="174">
        <f>SUMIFS('1-2 人员岗位信息'!P:P,'1-2 人员岗位信息'!$C:$C,"自有人员",'1-2 人员岗位信息'!$B:$B,$D13)</f>
        <v>0</v>
      </c>
      <c r="BI13" s="298"/>
      <c r="BJ13" s="174">
        <f t="shared" si="17"/>
        <v>0</v>
      </c>
      <c r="BK13" s="174">
        <f>SUMIFS('1-2 人员岗位信息'!Q:Q,'1-2 人员岗位信息'!$C:$C,"自有人员",'1-2 人员岗位信息'!$B:$B,$D13)</f>
        <v>0</v>
      </c>
      <c r="BL13" s="307"/>
      <c r="BM13" s="311"/>
      <c r="BN13" s="315"/>
    </row>
    <row r="14" s="263" customFormat="1" ht="33.95" hidden="1" customHeight="1" outlineLevel="5" spans="2:66">
      <c r="B14" s="174" t="s">
        <v>799</v>
      </c>
      <c r="C14" s="283" t="s">
        <v>819</v>
      </c>
      <c r="D14" s="263" t="s">
        <v>820</v>
      </c>
      <c r="E14" s="174" t="s">
        <v>821</v>
      </c>
      <c r="F14" s="174"/>
      <c r="G14" s="174" t="s">
        <v>803</v>
      </c>
      <c r="H14" s="174">
        <f t="shared" si="5"/>
        <v>0</v>
      </c>
      <c r="I14" s="174" t="s">
        <v>804</v>
      </c>
      <c r="J14" s="174" t="e">
        <f t="shared" si="6"/>
        <v>#DIV/0!</v>
      </c>
      <c r="K14" s="174" t="s">
        <v>805</v>
      </c>
      <c r="L14" s="174" t="e">
        <f t="shared" si="7"/>
        <v>#DIV/0!</v>
      </c>
      <c r="M14" s="174" t="s">
        <v>806</v>
      </c>
      <c r="N14" s="174">
        <f t="shared" si="8"/>
        <v>0</v>
      </c>
      <c r="O14" s="174"/>
      <c r="P14" s="290"/>
      <c r="Q14" s="290"/>
      <c r="R14" s="290"/>
      <c r="S14" s="290"/>
      <c r="T14" s="290"/>
      <c r="U14" s="290"/>
      <c r="V14" s="290"/>
      <c r="W14" s="290"/>
      <c r="X14" s="290"/>
      <c r="Y14" s="290"/>
      <c r="Z14" s="290"/>
      <c r="AA14" s="290"/>
      <c r="AB14" s="174">
        <f t="shared" si="18"/>
        <v>0</v>
      </c>
      <c r="AC14" s="174">
        <f t="shared" si="19"/>
        <v>0</v>
      </c>
      <c r="AD14" s="174">
        <f>'1-2 人员岗位信息'!F31</f>
        <v>0</v>
      </c>
      <c r="AE14" s="298"/>
      <c r="AF14" s="174">
        <f t="shared" si="9"/>
        <v>0</v>
      </c>
      <c r="AG14" s="174">
        <f>SUMIFS('1-2 人员岗位信息'!G:G,'1-2 人员岗位信息'!$C:$C,"自有人员",'1-2 人员岗位信息'!$B:$B,$D14)</f>
        <v>0</v>
      </c>
      <c r="AH14" s="298"/>
      <c r="AI14" s="174">
        <f t="shared" si="10"/>
        <v>0</v>
      </c>
      <c r="AJ14" s="174">
        <f>SUMIFS('1-2 人员岗位信息'!H:H,'1-2 人员岗位信息'!$C:$C,"自有人员",'1-2 人员岗位信息'!$B:$B,$D14)</f>
        <v>0</v>
      </c>
      <c r="AK14" s="298"/>
      <c r="AL14" s="174">
        <f t="shared" si="20"/>
        <v>0</v>
      </c>
      <c r="AM14" s="174">
        <f>SUMIFS('1-2 人员岗位信息'!I:I,'1-2 人员岗位信息'!$C:$C,"自有人员",'1-2 人员岗位信息'!$B:$B,$D14)</f>
        <v>0</v>
      </c>
      <c r="AN14" s="298"/>
      <c r="AO14" s="174">
        <f t="shared" si="11"/>
        <v>0</v>
      </c>
      <c r="AP14" s="174">
        <f>SUMIFS('1-2 人员岗位信息'!J:J,'1-2 人员岗位信息'!$C:$C,"自有人员",'1-2 人员岗位信息'!$B:$B,$D14)</f>
        <v>0</v>
      </c>
      <c r="AQ14" s="298"/>
      <c r="AR14" s="174">
        <f t="shared" si="21"/>
        <v>0</v>
      </c>
      <c r="AS14" s="174">
        <f>SUMIFS('1-2 人员岗位信息'!K:K,'1-2 人员岗位信息'!$C:$C,"自有人员",'1-2 人员岗位信息'!$B:$B,$D14)</f>
        <v>0</v>
      </c>
      <c r="AT14" s="298"/>
      <c r="AU14" s="174">
        <f t="shared" si="12"/>
        <v>0</v>
      </c>
      <c r="AV14" s="174">
        <f>SUMIFS('1-2 人员岗位信息'!L:L,'1-2 人员岗位信息'!$C:$C,"自有人员",'1-2 人员岗位信息'!$B:$B,$D14)</f>
        <v>0</v>
      </c>
      <c r="AW14" s="298"/>
      <c r="AX14" s="174">
        <f t="shared" si="13"/>
        <v>0</v>
      </c>
      <c r="AY14" s="174">
        <f>SUMIFS('1-2 人员岗位信息'!M:M,'1-2 人员岗位信息'!$C:$C,"自有人员",'1-2 人员岗位信息'!$B:$B,$D14)</f>
        <v>0</v>
      </c>
      <c r="AZ14" s="298"/>
      <c r="BA14" s="174">
        <f t="shared" si="14"/>
        <v>0</v>
      </c>
      <c r="BB14" s="174">
        <f>SUMIFS('1-2 人员岗位信息'!N:N,'1-2 人员岗位信息'!$C:$C,"自有人员",'1-2 人员岗位信息'!$B:$B,$D14)</f>
        <v>0</v>
      </c>
      <c r="BC14" s="298"/>
      <c r="BD14" s="174">
        <f t="shared" si="15"/>
        <v>0</v>
      </c>
      <c r="BE14" s="174">
        <f>SUMIFS('1-2 人员岗位信息'!O:O,'1-2 人员岗位信息'!$C:$C,"自有人员",'1-2 人员岗位信息'!$B:$B,$D14)</f>
        <v>0</v>
      </c>
      <c r="BF14" s="298"/>
      <c r="BG14" s="174">
        <f t="shared" si="16"/>
        <v>0</v>
      </c>
      <c r="BH14" s="174">
        <f>SUMIFS('1-2 人员岗位信息'!P:P,'1-2 人员岗位信息'!$C:$C,"自有人员",'1-2 人员岗位信息'!$B:$B,$D14)</f>
        <v>0</v>
      </c>
      <c r="BI14" s="298"/>
      <c r="BJ14" s="174">
        <f t="shared" si="17"/>
        <v>0</v>
      </c>
      <c r="BK14" s="174">
        <f>SUMIFS('1-2 人员岗位信息'!Q:Q,'1-2 人员岗位信息'!$C:$C,"自有人员",'1-2 人员岗位信息'!$B:$B,$D14)</f>
        <v>0</v>
      </c>
      <c r="BL14" s="307"/>
      <c r="BM14" s="311"/>
      <c r="BN14" s="315"/>
    </row>
    <row r="15" s="117" customFormat="1" ht="33.95" hidden="1" customHeight="1" outlineLevel="4" collapsed="1" spans="2:66">
      <c r="B15" s="118" t="s">
        <v>794</v>
      </c>
      <c r="C15" s="119" t="s">
        <v>67</v>
      </c>
      <c r="D15" s="117" t="s">
        <v>68</v>
      </c>
      <c r="E15" s="118"/>
      <c r="F15" s="118"/>
      <c r="G15" s="118"/>
      <c r="H15" s="118">
        <f>SUM(H16:H21)</f>
        <v>0</v>
      </c>
      <c r="I15" s="118"/>
      <c r="J15" s="118"/>
      <c r="K15" s="118"/>
      <c r="L15" s="118"/>
      <c r="M15" s="118"/>
      <c r="N15" s="118"/>
      <c r="O15" s="118"/>
      <c r="P15" s="289"/>
      <c r="Q15" s="289"/>
      <c r="R15" s="289"/>
      <c r="S15" s="289"/>
      <c r="T15" s="289"/>
      <c r="U15" s="289"/>
      <c r="V15" s="289"/>
      <c r="W15" s="289"/>
      <c r="X15" s="289"/>
      <c r="Y15" s="289"/>
      <c r="Z15" s="289"/>
      <c r="AA15" s="289"/>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6"/>
      <c r="BM15" s="311"/>
      <c r="BN15" s="314"/>
    </row>
    <row r="16" s="263" customFormat="1" ht="33.95" hidden="1" customHeight="1" outlineLevel="5" spans="2:66">
      <c r="B16" s="174" t="s">
        <v>799</v>
      </c>
      <c r="C16" s="283" t="s">
        <v>822</v>
      </c>
      <c r="D16" s="263" t="s">
        <v>801</v>
      </c>
      <c r="E16" s="174" t="s">
        <v>823</v>
      </c>
      <c r="F16" s="174"/>
      <c r="G16" s="174" t="s">
        <v>803</v>
      </c>
      <c r="H16" s="174">
        <f t="shared" ref="H16:H21" si="23">AB16</f>
        <v>0</v>
      </c>
      <c r="I16" s="174" t="s">
        <v>804</v>
      </c>
      <c r="J16" s="174" t="e">
        <f t="shared" ref="J16:J21" si="24">SUM(AD16,AG16,AJ16,AM16,AP16,AS16,AV16,AY16,BB16,BE16,BH16,BK16)/N16</f>
        <v>#DIV/0!</v>
      </c>
      <c r="K16" s="174" t="s">
        <v>805</v>
      </c>
      <c r="L16" s="174" t="e">
        <f t="shared" ref="L16:L21" si="25">H16/N16/J16</f>
        <v>#DIV/0!</v>
      </c>
      <c r="M16" s="174" t="s">
        <v>806</v>
      </c>
      <c r="N16" s="174">
        <f t="shared" ref="N16:N21" si="26">COUNTIF(AD16,"&gt;0")+COUNTIF(AG16,"&gt;0")+COUNTIF(AJ16,"&gt;0")+COUNTIF(AM16,"&gt;0")+COUNTIF(AP16,"&gt;0")+COUNTIF(AS16,"&gt;0")+COUNTIF(AV16,"&gt;0")+COUNTIF(AY16,"&gt;0")+COUNTIF(BB16,"&gt;0")+COUNTIF(BE16,"&gt;0")+COUNTIF(BH16,"&gt;0")+COUNTIF(BK16,"&gt;0")</f>
        <v>0</v>
      </c>
      <c r="O16" s="174"/>
      <c r="P16" s="290"/>
      <c r="Q16" s="290"/>
      <c r="R16" s="290"/>
      <c r="S16" s="290"/>
      <c r="T16" s="290"/>
      <c r="U16" s="290"/>
      <c r="V16" s="290"/>
      <c r="W16" s="290"/>
      <c r="X16" s="290"/>
      <c r="Y16" s="290"/>
      <c r="Z16" s="290"/>
      <c r="AA16" s="290"/>
      <c r="AB16" s="174">
        <f t="shared" ref="AB16:AB21" si="27">SUM(AC16,AF16,AI16,AL16,AO16,AR16,AU16,AX16,BA16,BD16,BG16,BJ16)</f>
        <v>0</v>
      </c>
      <c r="AC16" s="174">
        <f t="shared" ref="AC16:AC21" si="28">AD16*AE16</f>
        <v>0</v>
      </c>
      <c r="AD16" s="174">
        <f>'1-2 人员岗位信息'!F12</f>
        <v>0</v>
      </c>
      <c r="AE16" s="298"/>
      <c r="AF16" s="174">
        <f t="shared" ref="AF16:AF21" si="29">AG16*AH16</f>
        <v>0</v>
      </c>
      <c r="AG16" s="174">
        <f>SUMIFS('1-2 人员岗位信息'!G:G,'1-2 人员岗位信息'!$C:$C,"劳务派遣",'1-2 人员岗位信息'!$B:$B,$D16)</f>
        <v>0</v>
      </c>
      <c r="AH16" s="298"/>
      <c r="AI16" s="174">
        <f t="shared" ref="AI16:AI21" si="30">AJ16*AK16</f>
        <v>0</v>
      </c>
      <c r="AJ16" s="174">
        <f>SUMIFS('1-2 人员岗位信息'!H:H,'1-2 人员岗位信息'!$C:$C,"劳务派遣",'1-2 人员岗位信息'!$B:$B,$D16)</f>
        <v>0</v>
      </c>
      <c r="AK16" s="298"/>
      <c r="AL16" s="174">
        <f t="shared" ref="AL16:AL21" si="31">AM16*AN16</f>
        <v>0</v>
      </c>
      <c r="AM16" s="174">
        <f>SUMIFS('1-2 人员岗位信息'!I:I,'1-2 人员岗位信息'!$C:$C,"劳务派遣",'1-2 人员岗位信息'!$B:$B,$D16)</f>
        <v>0</v>
      </c>
      <c r="AN16" s="298"/>
      <c r="AO16" s="174">
        <f t="shared" ref="AO16:AO21" si="32">AP16*AQ16</f>
        <v>0</v>
      </c>
      <c r="AP16" s="174">
        <f>SUMIFS('1-2 人员岗位信息'!J:J,'1-2 人员岗位信息'!$C:$C,"劳务派遣",'1-2 人员岗位信息'!$B:$B,$D16)</f>
        <v>0</v>
      </c>
      <c r="AQ16" s="298"/>
      <c r="AR16" s="174">
        <f t="shared" ref="AR16:AR21" si="33">AS16*AT16</f>
        <v>0</v>
      </c>
      <c r="AS16" s="174">
        <f>SUMIFS('1-2 人员岗位信息'!K:K,'1-2 人员岗位信息'!$C:$C,"劳务派遣",'1-2 人员岗位信息'!$B:$B,$D16)</f>
        <v>0</v>
      </c>
      <c r="AT16" s="298"/>
      <c r="AU16" s="174">
        <f t="shared" ref="AU16:AU21" si="34">AV16*AW16</f>
        <v>0</v>
      </c>
      <c r="AV16" s="174">
        <f>SUMIFS('1-2 人员岗位信息'!L:L,'1-2 人员岗位信息'!$C:$C,"劳务派遣",'1-2 人员岗位信息'!$B:$B,$D16)</f>
        <v>0</v>
      </c>
      <c r="AW16" s="298"/>
      <c r="AX16" s="174">
        <f t="shared" ref="AX16:AX21" si="35">AY16*AZ16</f>
        <v>0</v>
      </c>
      <c r="AY16" s="174">
        <f>SUMIFS('1-2 人员岗位信息'!M:M,'1-2 人员岗位信息'!$C:$C,"劳务派遣",'1-2 人员岗位信息'!$B:$B,$D16)</f>
        <v>0</v>
      </c>
      <c r="AZ16" s="298"/>
      <c r="BA16" s="174">
        <f t="shared" ref="BA16:BA21" si="36">BB16*BC16</f>
        <v>0</v>
      </c>
      <c r="BB16" s="174">
        <f>SUMIFS('1-2 人员岗位信息'!N:N,'1-2 人员岗位信息'!$C:$C,"劳务派遣",'1-2 人员岗位信息'!$B:$B,$D16)</f>
        <v>0</v>
      </c>
      <c r="BC16" s="298"/>
      <c r="BD16" s="174">
        <f t="shared" ref="BD16:BD21" si="37">BE16*BF16</f>
        <v>0</v>
      </c>
      <c r="BE16" s="174">
        <f>SUMIFS('1-2 人员岗位信息'!O:O,'1-2 人员岗位信息'!$C:$C,"劳务派遣",'1-2 人员岗位信息'!$B:$B,$D16)</f>
        <v>0</v>
      </c>
      <c r="BF16" s="298"/>
      <c r="BG16" s="174">
        <f t="shared" ref="BG16:BG21" si="38">BH16*BI16</f>
        <v>0</v>
      </c>
      <c r="BH16" s="174">
        <f>SUMIFS('1-2 人员岗位信息'!P:P,'1-2 人员岗位信息'!$C:$C,"劳务派遣",'1-2 人员岗位信息'!$B:$B,$D16)</f>
        <v>0</v>
      </c>
      <c r="BI16" s="298"/>
      <c r="BJ16" s="174">
        <f t="shared" ref="BJ16:BJ20" si="39">BK16*BL16</f>
        <v>0</v>
      </c>
      <c r="BK16" s="174">
        <f>SUMIFS('1-2 人员岗位信息'!Q:Q,'1-2 人员岗位信息'!$C:$C,"劳务派遣",'1-2 人员岗位信息'!$B:$B,$D16)</f>
        <v>0</v>
      </c>
      <c r="BL16" s="307"/>
      <c r="BM16" s="311"/>
      <c r="BN16" s="315"/>
    </row>
    <row r="17" s="263" customFormat="1" ht="33.95" hidden="1" customHeight="1" outlineLevel="5" spans="2:66">
      <c r="B17" s="174" t="s">
        <v>799</v>
      </c>
      <c r="C17" s="283" t="s">
        <v>824</v>
      </c>
      <c r="D17" s="263" t="s">
        <v>808</v>
      </c>
      <c r="E17" s="174" t="s">
        <v>825</v>
      </c>
      <c r="F17" s="174"/>
      <c r="G17" s="174" t="s">
        <v>803</v>
      </c>
      <c r="H17" s="174">
        <f t="shared" si="23"/>
        <v>0</v>
      </c>
      <c r="I17" s="174" t="s">
        <v>804</v>
      </c>
      <c r="J17" s="174" t="e">
        <f t="shared" si="24"/>
        <v>#DIV/0!</v>
      </c>
      <c r="K17" s="174" t="s">
        <v>805</v>
      </c>
      <c r="L17" s="174" t="e">
        <f t="shared" si="25"/>
        <v>#DIV/0!</v>
      </c>
      <c r="M17" s="174" t="s">
        <v>806</v>
      </c>
      <c r="N17" s="174">
        <f t="shared" si="26"/>
        <v>0</v>
      </c>
      <c r="O17" s="174"/>
      <c r="P17" s="290"/>
      <c r="Q17" s="290"/>
      <c r="R17" s="290"/>
      <c r="S17" s="290"/>
      <c r="T17" s="290"/>
      <c r="U17" s="290"/>
      <c r="V17" s="290"/>
      <c r="W17" s="290"/>
      <c r="X17" s="290"/>
      <c r="Y17" s="290"/>
      <c r="Z17" s="290"/>
      <c r="AA17" s="290"/>
      <c r="AB17" s="174">
        <f t="shared" si="27"/>
        <v>0</v>
      </c>
      <c r="AC17" s="174">
        <f t="shared" si="28"/>
        <v>0</v>
      </c>
      <c r="AD17" s="174">
        <f>'1-2 人员岗位信息'!F16</f>
        <v>0</v>
      </c>
      <c r="AE17" s="298"/>
      <c r="AF17" s="174">
        <f t="shared" si="29"/>
        <v>0</v>
      </c>
      <c r="AG17" s="174">
        <f>SUMIFS('1-2 人员岗位信息'!G:G,'1-2 人员岗位信息'!$C:$C,"劳务派遣",'1-2 人员岗位信息'!$B:$B,$D17)</f>
        <v>0</v>
      </c>
      <c r="AH17" s="298"/>
      <c r="AI17" s="174">
        <f t="shared" si="30"/>
        <v>0</v>
      </c>
      <c r="AJ17" s="174">
        <f>SUMIFS('1-2 人员岗位信息'!H:H,'1-2 人员岗位信息'!$C:$C,"劳务派遣",'1-2 人员岗位信息'!$B:$B,$D17)</f>
        <v>0</v>
      </c>
      <c r="AK17" s="298"/>
      <c r="AL17" s="174">
        <f t="shared" si="31"/>
        <v>0</v>
      </c>
      <c r="AM17" s="174">
        <f>SUMIFS('1-2 人员岗位信息'!I:I,'1-2 人员岗位信息'!$C:$C,"劳务派遣",'1-2 人员岗位信息'!$B:$B,$D17)</f>
        <v>0</v>
      </c>
      <c r="AN17" s="298"/>
      <c r="AO17" s="174">
        <f t="shared" si="32"/>
        <v>0</v>
      </c>
      <c r="AP17" s="174">
        <f>SUMIFS('1-2 人员岗位信息'!J:J,'1-2 人员岗位信息'!$C:$C,"劳务派遣",'1-2 人员岗位信息'!$B:$B,$D17)</f>
        <v>0</v>
      </c>
      <c r="AQ17" s="298"/>
      <c r="AR17" s="174">
        <f t="shared" si="33"/>
        <v>0</v>
      </c>
      <c r="AS17" s="174">
        <f>SUMIFS('1-2 人员岗位信息'!K:K,'1-2 人员岗位信息'!$C:$C,"劳务派遣",'1-2 人员岗位信息'!$B:$B,$D17)</f>
        <v>0</v>
      </c>
      <c r="AT17" s="298"/>
      <c r="AU17" s="174">
        <f t="shared" si="34"/>
        <v>0</v>
      </c>
      <c r="AV17" s="174">
        <f>SUMIFS('1-2 人员岗位信息'!L:L,'1-2 人员岗位信息'!$C:$C,"劳务派遣",'1-2 人员岗位信息'!$B:$B,$D17)</f>
        <v>0</v>
      </c>
      <c r="AW17" s="298"/>
      <c r="AX17" s="174">
        <f t="shared" si="35"/>
        <v>0</v>
      </c>
      <c r="AY17" s="174">
        <f>SUMIFS('1-2 人员岗位信息'!M:M,'1-2 人员岗位信息'!$C:$C,"劳务派遣",'1-2 人员岗位信息'!$B:$B,$D17)</f>
        <v>0</v>
      </c>
      <c r="AZ17" s="298"/>
      <c r="BA17" s="174">
        <f t="shared" si="36"/>
        <v>0</v>
      </c>
      <c r="BB17" s="174">
        <f>SUMIFS('1-2 人员岗位信息'!N:N,'1-2 人员岗位信息'!$C:$C,"劳务派遣",'1-2 人员岗位信息'!$B:$B,$D17)</f>
        <v>0</v>
      </c>
      <c r="BC17" s="298"/>
      <c r="BD17" s="174">
        <f t="shared" si="37"/>
        <v>0</v>
      </c>
      <c r="BE17" s="174">
        <f>SUMIFS('1-2 人员岗位信息'!O:O,'1-2 人员岗位信息'!$C:$C,"劳务派遣",'1-2 人员岗位信息'!$B:$B,$D17)</f>
        <v>0</v>
      </c>
      <c r="BF17" s="298"/>
      <c r="BG17" s="174">
        <f t="shared" si="38"/>
        <v>0</v>
      </c>
      <c r="BH17" s="174">
        <f>SUMIFS('1-2 人员岗位信息'!P:P,'1-2 人员岗位信息'!$C:$C,"劳务派遣",'1-2 人员岗位信息'!$B:$B,$D17)</f>
        <v>0</v>
      </c>
      <c r="BI17" s="298"/>
      <c r="BJ17" s="174">
        <f t="shared" si="39"/>
        <v>0</v>
      </c>
      <c r="BK17" s="174">
        <f>SUMIFS('1-2 人员岗位信息'!Q:Q,'1-2 人员岗位信息'!$C:$C,"劳务派遣",'1-2 人员岗位信息'!$B:$B,$D17)</f>
        <v>0</v>
      </c>
      <c r="BL17" s="307"/>
      <c r="BM17" s="311"/>
      <c r="BN17" s="315"/>
    </row>
    <row r="18" s="263" customFormat="1" ht="33.95" hidden="1" customHeight="1" outlineLevel="5" spans="2:66">
      <c r="B18" s="174" t="s">
        <v>799</v>
      </c>
      <c r="C18" s="283" t="s">
        <v>826</v>
      </c>
      <c r="D18" s="263" t="s">
        <v>811</v>
      </c>
      <c r="E18" s="174" t="s">
        <v>812</v>
      </c>
      <c r="F18" s="174"/>
      <c r="G18" s="174" t="s">
        <v>803</v>
      </c>
      <c r="H18" s="174">
        <f t="shared" si="23"/>
        <v>0</v>
      </c>
      <c r="I18" s="174" t="s">
        <v>804</v>
      </c>
      <c r="J18" s="174" t="e">
        <f t="shared" si="24"/>
        <v>#DIV/0!</v>
      </c>
      <c r="K18" s="174" t="s">
        <v>805</v>
      </c>
      <c r="L18" s="174" t="e">
        <f t="shared" si="25"/>
        <v>#DIV/0!</v>
      </c>
      <c r="M18" s="174" t="s">
        <v>806</v>
      </c>
      <c r="N18" s="174">
        <f t="shared" si="26"/>
        <v>0</v>
      </c>
      <c r="O18" s="174"/>
      <c r="P18" s="290"/>
      <c r="Q18" s="290"/>
      <c r="R18" s="290"/>
      <c r="S18" s="290"/>
      <c r="T18" s="290"/>
      <c r="U18" s="290"/>
      <c r="V18" s="290"/>
      <c r="W18" s="290"/>
      <c r="X18" s="290"/>
      <c r="Y18" s="290"/>
      <c r="Z18" s="290"/>
      <c r="AA18" s="290"/>
      <c r="AB18" s="174">
        <f t="shared" si="27"/>
        <v>0</v>
      </c>
      <c r="AC18" s="174">
        <f t="shared" si="28"/>
        <v>0</v>
      </c>
      <c r="AD18" s="174">
        <f>'1-2 人员岗位信息'!F20</f>
        <v>0</v>
      </c>
      <c r="AE18" s="298"/>
      <c r="AF18" s="174">
        <f t="shared" si="29"/>
        <v>0</v>
      </c>
      <c r="AG18" s="174">
        <f>SUMIFS('1-2 人员岗位信息'!G:G,'1-2 人员岗位信息'!$C:$C,"劳务派遣",'1-2 人员岗位信息'!$B:$B,$D18)</f>
        <v>0</v>
      </c>
      <c r="AH18" s="298"/>
      <c r="AI18" s="174">
        <f t="shared" si="30"/>
        <v>0</v>
      </c>
      <c r="AJ18" s="174">
        <f>SUMIFS('1-2 人员岗位信息'!H:H,'1-2 人员岗位信息'!$C:$C,"劳务派遣",'1-2 人员岗位信息'!$B:$B,$D18)</f>
        <v>0</v>
      </c>
      <c r="AK18" s="298"/>
      <c r="AL18" s="174">
        <f t="shared" si="31"/>
        <v>0</v>
      </c>
      <c r="AM18" s="174">
        <f>SUMIFS('1-2 人员岗位信息'!I:I,'1-2 人员岗位信息'!$C:$C,"劳务派遣",'1-2 人员岗位信息'!$B:$B,$D18)</f>
        <v>0</v>
      </c>
      <c r="AN18" s="298"/>
      <c r="AO18" s="174">
        <f t="shared" si="32"/>
        <v>0</v>
      </c>
      <c r="AP18" s="174">
        <f>SUMIFS('1-2 人员岗位信息'!J:J,'1-2 人员岗位信息'!$C:$C,"劳务派遣",'1-2 人员岗位信息'!$B:$B,$D18)</f>
        <v>0</v>
      </c>
      <c r="AQ18" s="298"/>
      <c r="AR18" s="174">
        <f t="shared" si="33"/>
        <v>0</v>
      </c>
      <c r="AS18" s="174">
        <f>SUMIFS('1-2 人员岗位信息'!K:K,'1-2 人员岗位信息'!$C:$C,"劳务派遣",'1-2 人员岗位信息'!$B:$B,$D18)</f>
        <v>0</v>
      </c>
      <c r="AT18" s="298"/>
      <c r="AU18" s="174">
        <f t="shared" si="34"/>
        <v>0</v>
      </c>
      <c r="AV18" s="174">
        <f>SUMIFS('1-2 人员岗位信息'!L:L,'1-2 人员岗位信息'!$C:$C,"劳务派遣",'1-2 人员岗位信息'!$B:$B,$D18)</f>
        <v>0</v>
      </c>
      <c r="AW18" s="298"/>
      <c r="AX18" s="174">
        <f t="shared" si="35"/>
        <v>0</v>
      </c>
      <c r="AY18" s="174">
        <f>SUMIFS('1-2 人员岗位信息'!M:M,'1-2 人员岗位信息'!$C:$C,"劳务派遣",'1-2 人员岗位信息'!$B:$B,$D18)</f>
        <v>0</v>
      </c>
      <c r="AZ18" s="298"/>
      <c r="BA18" s="174">
        <f t="shared" si="36"/>
        <v>0</v>
      </c>
      <c r="BB18" s="174">
        <f>SUMIFS('1-2 人员岗位信息'!N:N,'1-2 人员岗位信息'!$C:$C,"劳务派遣",'1-2 人员岗位信息'!$B:$B,$D18)</f>
        <v>0</v>
      </c>
      <c r="BC18" s="298"/>
      <c r="BD18" s="174">
        <f t="shared" si="37"/>
        <v>0</v>
      </c>
      <c r="BE18" s="174">
        <f>SUMIFS('1-2 人员岗位信息'!O:O,'1-2 人员岗位信息'!$C:$C,"劳务派遣",'1-2 人员岗位信息'!$B:$B,$D18)</f>
        <v>0</v>
      </c>
      <c r="BF18" s="298"/>
      <c r="BG18" s="174">
        <f t="shared" si="38"/>
        <v>0</v>
      </c>
      <c r="BH18" s="174">
        <f>SUMIFS('1-2 人员岗位信息'!P:P,'1-2 人员岗位信息'!$C:$C,"劳务派遣",'1-2 人员岗位信息'!$B:$B,$D18)</f>
        <v>0</v>
      </c>
      <c r="BI18" s="298"/>
      <c r="BJ18" s="174">
        <f t="shared" si="39"/>
        <v>0</v>
      </c>
      <c r="BK18" s="174">
        <f>SUMIFS('1-2 人员岗位信息'!Q:Q,'1-2 人员岗位信息'!$C:$C,"劳务派遣",'1-2 人员岗位信息'!$B:$B,$D18)</f>
        <v>0</v>
      </c>
      <c r="BL18" s="298"/>
      <c r="BM18" s="311"/>
      <c r="BN18" s="315"/>
    </row>
    <row r="19" s="263" customFormat="1" ht="33.95" hidden="1" customHeight="1" outlineLevel="5" spans="2:66">
      <c r="B19" s="174" t="s">
        <v>799</v>
      </c>
      <c r="C19" s="283" t="s">
        <v>827</v>
      </c>
      <c r="D19" s="263" t="s">
        <v>814</v>
      </c>
      <c r="E19" s="174" t="s">
        <v>815</v>
      </c>
      <c r="F19" s="174"/>
      <c r="G19" s="174" t="s">
        <v>803</v>
      </c>
      <c r="H19" s="174">
        <f t="shared" si="23"/>
        <v>0</v>
      </c>
      <c r="I19" s="174" t="s">
        <v>804</v>
      </c>
      <c r="J19" s="174" t="e">
        <f t="shared" si="24"/>
        <v>#DIV/0!</v>
      </c>
      <c r="K19" s="174" t="s">
        <v>805</v>
      </c>
      <c r="L19" s="174" t="e">
        <f t="shared" si="25"/>
        <v>#DIV/0!</v>
      </c>
      <c r="M19" s="174" t="s">
        <v>806</v>
      </c>
      <c r="N19" s="174">
        <f t="shared" si="26"/>
        <v>0</v>
      </c>
      <c r="O19" s="174"/>
      <c r="P19" s="290"/>
      <c r="Q19" s="290"/>
      <c r="R19" s="290"/>
      <c r="S19" s="290"/>
      <c r="T19" s="290"/>
      <c r="U19" s="290"/>
      <c r="V19" s="290"/>
      <c r="W19" s="290"/>
      <c r="X19" s="290"/>
      <c r="Y19" s="290"/>
      <c r="Z19" s="290"/>
      <c r="AA19" s="290"/>
      <c r="AB19" s="174">
        <f t="shared" si="27"/>
        <v>0</v>
      </c>
      <c r="AC19" s="174">
        <f t="shared" si="28"/>
        <v>0</v>
      </c>
      <c r="AD19" s="174">
        <f>'1-2 人员岗位信息'!F24</f>
        <v>0</v>
      </c>
      <c r="AE19" s="298"/>
      <c r="AF19" s="174">
        <f t="shared" si="29"/>
        <v>0</v>
      </c>
      <c r="AG19" s="174">
        <f>SUMIFS('1-2 人员岗位信息'!G:G,'1-2 人员岗位信息'!$C:$C,"劳务派遣",'1-2 人员岗位信息'!$B:$B,$D19)</f>
        <v>0</v>
      </c>
      <c r="AH19" s="298"/>
      <c r="AI19" s="174">
        <f t="shared" si="30"/>
        <v>0</v>
      </c>
      <c r="AJ19" s="174">
        <f>SUMIFS('1-2 人员岗位信息'!H:H,'1-2 人员岗位信息'!$C:$C,"劳务派遣",'1-2 人员岗位信息'!$B:$B,$D19)</f>
        <v>0</v>
      </c>
      <c r="AK19" s="298"/>
      <c r="AL19" s="174">
        <f t="shared" si="31"/>
        <v>0</v>
      </c>
      <c r="AM19" s="174">
        <f>SUMIFS('1-2 人员岗位信息'!I:I,'1-2 人员岗位信息'!$C:$C,"劳务派遣",'1-2 人员岗位信息'!$B:$B,$D19)</f>
        <v>0</v>
      </c>
      <c r="AN19" s="298"/>
      <c r="AO19" s="174">
        <f t="shared" si="32"/>
        <v>0</v>
      </c>
      <c r="AP19" s="174">
        <f>SUMIFS('1-2 人员岗位信息'!J:J,'1-2 人员岗位信息'!$C:$C,"劳务派遣",'1-2 人员岗位信息'!$B:$B,$D19)</f>
        <v>0</v>
      </c>
      <c r="AQ19" s="298"/>
      <c r="AR19" s="174">
        <f t="shared" si="33"/>
        <v>0</v>
      </c>
      <c r="AS19" s="174">
        <f>SUMIFS('1-2 人员岗位信息'!K:K,'1-2 人员岗位信息'!$C:$C,"劳务派遣",'1-2 人员岗位信息'!$B:$B,$D19)</f>
        <v>0</v>
      </c>
      <c r="AT19" s="298"/>
      <c r="AU19" s="174">
        <f t="shared" si="34"/>
        <v>0</v>
      </c>
      <c r="AV19" s="174">
        <f>SUMIFS('1-2 人员岗位信息'!L:L,'1-2 人员岗位信息'!$C:$C,"劳务派遣",'1-2 人员岗位信息'!$B:$B,$D19)</f>
        <v>0</v>
      </c>
      <c r="AW19" s="298"/>
      <c r="AX19" s="174">
        <f t="shared" si="35"/>
        <v>0</v>
      </c>
      <c r="AY19" s="174">
        <f>SUMIFS('1-2 人员岗位信息'!M:M,'1-2 人员岗位信息'!$C:$C,"劳务派遣",'1-2 人员岗位信息'!$B:$B,$D19)</f>
        <v>0</v>
      </c>
      <c r="AZ19" s="298"/>
      <c r="BA19" s="174">
        <f t="shared" si="36"/>
        <v>0</v>
      </c>
      <c r="BB19" s="174">
        <f>SUMIFS('1-2 人员岗位信息'!N:N,'1-2 人员岗位信息'!$C:$C,"劳务派遣",'1-2 人员岗位信息'!$B:$B,$D19)</f>
        <v>0</v>
      </c>
      <c r="BC19" s="298"/>
      <c r="BD19" s="174">
        <f t="shared" si="37"/>
        <v>0</v>
      </c>
      <c r="BE19" s="174">
        <f>SUMIFS('1-2 人员岗位信息'!O:O,'1-2 人员岗位信息'!$C:$C,"劳务派遣",'1-2 人员岗位信息'!$B:$B,$D19)</f>
        <v>0</v>
      </c>
      <c r="BF19" s="298"/>
      <c r="BG19" s="174">
        <f t="shared" si="38"/>
        <v>0</v>
      </c>
      <c r="BH19" s="174">
        <f>SUMIFS('1-2 人员岗位信息'!P:P,'1-2 人员岗位信息'!$C:$C,"劳务派遣",'1-2 人员岗位信息'!$B:$B,$D19)</f>
        <v>0</v>
      </c>
      <c r="BI19" s="298"/>
      <c r="BJ19" s="174">
        <f t="shared" si="39"/>
        <v>0</v>
      </c>
      <c r="BK19" s="174">
        <f>SUMIFS('1-2 人员岗位信息'!Q:Q,'1-2 人员岗位信息'!$C:$C,"劳务派遣",'1-2 人员岗位信息'!$B:$B,$D19)</f>
        <v>0</v>
      </c>
      <c r="BL19" s="307"/>
      <c r="BM19" s="311"/>
      <c r="BN19" s="315"/>
    </row>
    <row r="20" s="263" customFormat="1" ht="33.95" hidden="1" customHeight="1" outlineLevel="5" spans="2:66">
      <c r="B20" s="174" t="s">
        <v>799</v>
      </c>
      <c r="C20" s="283" t="s">
        <v>828</v>
      </c>
      <c r="D20" s="263" t="s">
        <v>817</v>
      </c>
      <c r="E20" s="174" t="s">
        <v>818</v>
      </c>
      <c r="F20" s="174"/>
      <c r="G20" s="174" t="s">
        <v>803</v>
      </c>
      <c r="H20" s="174">
        <f t="shared" si="23"/>
        <v>0</v>
      </c>
      <c r="I20" s="174" t="s">
        <v>804</v>
      </c>
      <c r="J20" s="174" t="e">
        <f t="shared" si="24"/>
        <v>#DIV/0!</v>
      </c>
      <c r="K20" s="174" t="s">
        <v>805</v>
      </c>
      <c r="L20" s="174" t="e">
        <f t="shared" si="25"/>
        <v>#DIV/0!</v>
      </c>
      <c r="M20" s="174" t="s">
        <v>806</v>
      </c>
      <c r="N20" s="174">
        <f t="shared" si="26"/>
        <v>0</v>
      </c>
      <c r="O20" s="174"/>
      <c r="P20" s="290"/>
      <c r="Q20" s="290"/>
      <c r="R20" s="290"/>
      <c r="S20" s="290"/>
      <c r="T20" s="290"/>
      <c r="U20" s="290"/>
      <c r="V20" s="290"/>
      <c r="W20" s="290"/>
      <c r="X20" s="290"/>
      <c r="Y20" s="290"/>
      <c r="Z20" s="290"/>
      <c r="AA20" s="290"/>
      <c r="AB20" s="174">
        <f t="shared" si="27"/>
        <v>0</v>
      </c>
      <c r="AC20" s="174">
        <f t="shared" si="28"/>
        <v>0</v>
      </c>
      <c r="AD20" s="174">
        <f>'1-2 人员岗位信息'!F28</f>
        <v>0</v>
      </c>
      <c r="AE20" s="298"/>
      <c r="AF20" s="174">
        <f t="shared" si="29"/>
        <v>0</v>
      </c>
      <c r="AG20" s="174">
        <f>SUMIFS('1-2 人员岗位信息'!G:G,'1-2 人员岗位信息'!$C:$C,"劳务派遣",'1-2 人员岗位信息'!$B:$B,$D20)</f>
        <v>0</v>
      </c>
      <c r="AH20" s="298"/>
      <c r="AI20" s="174">
        <f t="shared" si="30"/>
        <v>0</v>
      </c>
      <c r="AJ20" s="174">
        <f>SUMIFS('1-2 人员岗位信息'!H:H,'1-2 人员岗位信息'!$C:$C,"劳务派遣",'1-2 人员岗位信息'!$B:$B,$D20)</f>
        <v>0</v>
      </c>
      <c r="AK20" s="298"/>
      <c r="AL20" s="174">
        <f t="shared" si="31"/>
        <v>0</v>
      </c>
      <c r="AM20" s="174">
        <f>SUMIFS('1-2 人员岗位信息'!I:I,'1-2 人员岗位信息'!$C:$C,"劳务派遣",'1-2 人员岗位信息'!$B:$B,$D20)</f>
        <v>0</v>
      </c>
      <c r="AN20" s="298"/>
      <c r="AO20" s="174">
        <f t="shared" si="32"/>
        <v>0</v>
      </c>
      <c r="AP20" s="174">
        <f>SUMIFS('1-2 人员岗位信息'!J:J,'1-2 人员岗位信息'!$C:$C,"劳务派遣",'1-2 人员岗位信息'!$B:$B,$D20)</f>
        <v>0</v>
      </c>
      <c r="AQ20" s="298"/>
      <c r="AR20" s="174">
        <f t="shared" si="33"/>
        <v>0</v>
      </c>
      <c r="AS20" s="174">
        <f>SUMIFS('1-2 人员岗位信息'!K:K,'1-2 人员岗位信息'!$C:$C,"劳务派遣",'1-2 人员岗位信息'!$B:$B,$D20)</f>
        <v>0</v>
      </c>
      <c r="AT20" s="298"/>
      <c r="AU20" s="174">
        <f t="shared" si="34"/>
        <v>0</v>
      </c>
      <c r="AV20" s="174">
        <f>SUMIFS('1-2 人员岗位信息'!L:L,'1-2 人员岗位信息'!$C:$C,"劳务派遣",'1-2 人员岗位信息'!$B:$B,$D20)</f>
        <v>0</v>
      </c>
      <c r="AW20" s="298"/>
      <c r="AX20" s="174">
        <f t="shared" si="35"/>
        <v>0</v>
      </c>
      <c r="AY20" s="174">
        <f>SUMIFS('1-2 人员岗位信息'!M:M,'1-2 人员岗位信息'!$C:$C,"劳务派遣",'1-2 人员岗位信息'!$B:$B,$D20)</f>
        <v>0</v>
      </c>
      <c r="AZ20" s="298"/>
      <c r="BA20" s="174">
        <f t="shared" si="36"/>
        <v>0</v>
      </c>
      <c r="BB20" s="174">
        <f>SUMIFS('1-2 人员岗位信息'!N:N,'1-2 人员岗位信息'!$C:$C,"劳务派遣",'1-2 人员岗位信息'!$B:$B,$D20)</f>
        <v>0</v>
      </c>
      <c r="BC20" s="298"/>
      <c r="BD20" s="174">
        <f t="shared" si="37"/>
        <v>0</v>
      </c>
      <c r="BE20" s="174">
        <f>SUMIFS('1-2 人员岗位信息'!O:O,'1-2 人员岗位信息'!$C:$C,"劳务派遣",'1-2 人员岗位信息'!$B:$B,$D20)</f>
        <v>0</v>
      </c>
      <c r="BF20" s="298"/>
      <c r="BG20" s="174">
        <f t="shared" si="38"/>
        <v>0</v>
      </c>
      <c r="BH20" s="174">
        <f>SUMIFS('1-2 人员岗位信息'!P:P,'1-2 人员岗位信息'!$C:$C,"劳务派遣",'1-2 人员岗位信息'!$B:$B,$D20)</f>
        <v>0</v>
      </c>
      <c r="BI20" s="298"/>
      <c r="BJ20" s="174">
        <f t="shared" si="39"/>
        <v>0</v>
      </c>
      <c r="BK20" s="174">
        <f>SUMIFS('1-2 人员岗位信息'!Q:Q,'1-2 人员岗位信息'!$C:$C,"劳务派遣",'1-2 人员岗位信息'!$B:$B,$D20)</f>
        <v>0</v>
      </c>
      <c r="BL20" s="307"/>
      <c r="BM20" s="311"/>
      <c r="BN20" s="315"/>
    </row>
    <row r="21" s="263" customFormat="1" ht="33.95" hidden="1" customHeight="1" outlineLevel="5" spans="2:66">
      <c r="B21" s="174" t="s">
        <v>799</v>
      </c>
      <c r="C21" s="283" t="s">
        <v>829</v>
      </c>
      <c r="D21" s="263" t="s">
        <v>820</v>
      </c>
      <c r="E21" s="174" t="s">
        <v>821</v>
      </c>
      <c r="F21" s="174"/>
      <c r="G21" s="174" t="s">
        <v>803</v>
      </c>
      <c r="H21" s="174">
        <f t="shared" si="23"/>
        <v>0</v>
      </c>
      <c r="I21" s="174" t="s">
        <v>804</v>
      </c>
      <c r="J21" s="174" t="e">
        <f t="shared" si="24"/>
        <v>#DIV/0!</v>
      </c>
      <c r="K21" s="174" t="s">
        <v>805</v>
      </c>
      <c r="L21" s="174" t="e">
        <f t="shared" si="25"/>
        <v>#DIV/0!</v>
      </c>
      <c r="M21" s="174" t="s">
        <v>806</v>
      </c>
      <c r="N21" s="174">
        <f t="shared" si="26"/>
        <v>0</v>
      </c>
      <c r="O21" s="174"/>
      <c r="P21" s="290"/>
      <c r="Q21" s="290"/>
      <c r="R21" s="290"/>
      <c r="S21" s="290"/>
      <c r="T21" s="290"/>
      <c r="U21" s="290"/>
      <c r="V21" s="290"/>
      <c r="W21" s="290"/>
      <c r="X21" s="290"/>
      <c r="Y21" s="290"/>
      <c r="Z21" s="290"/>
      <c r="AA21" s="290"/>
      <c r="AB21" s="174">
        <f t="shared" si="27"/>
        <v>0</v>
      </c>
      <c r="AC21" s="174">
        <f t="shared" si="28"/>
        <v>0</v>
      </c>
      <c r="AD21" s="174">
        <f>'1-2 人员岗位信息'!F32</f>
        <v>0</v>
      </c>
      <c r="AE21" s="298"/>
      <c r="AF21" s="174">
        <f t="shared" si="29"/>
        <v>0</v>
      </c>
      <c r="AG21" s="174">
        <f>SUMIFS('1-2 人员岗位信息'!G:G,'1-2 人员岗位信息'!$C:$C,"劳务派遣",'1-2 人员岗位信息'!$B:$B,$D21)</f>
        <v>0</v>
      </c>
      <c r="AH21" s="298"/>
      <c r="AI21" s="174">
        <f t="shared" si="30"/>
        <v>0</v>
      </c>
      <c r="AJ21" s="174">
        <f>SUMIFS('1-2 人员岗位信息'!H:H,'1-2 人员岗位信息'!$C:$C,"劳务派遣",'1-2 人员岗位信息'!$B:$B,$D21)</f>
        <v>0</v>
      </c>
      <c r="AK21" s="298"/>
      <c r="AL21" s="174">
        <f t="shared" si="31"/>
        <v>0</v>
      </c>
      <c r="AM21" s="174">
        <f>SUMIFS('1-2 人员岗位信息'!I:I,'1-2 人员岗位信息'!$C:$C,"劳务派遣",'1-2 人员岗位信息'!$B:$B,$D21)</f>
        <v>0</v>
      </c>
      <c r="AN21" s="298"/>
      <c r="AO21" s="174">
        <f t="shared" si="32"/>
        <v>0</v>
      </c>
      <c r="AP21" s="174">
        <f>SUMIFS('1-2 人员岗位信息'!J:J,'1-2 人员岗位信息'!$C:$C,"劳务派遣",'1-2 人员岗位信息'!$B:$B,$D21)</f>
        <v>0</v>
      </c>
      <c r="AQ21" s="298"/>
      <c r="AR21" s="174">
        <f t="shared" si="33"/>
        <v>0</v>
      </c>
      <c r="AS21" s="174">
        <f>SUMIFS('1-2 人员岗位信息'!K:K,'1-2 人员岗位信息'!$C:$C,"劳务派遣",'1-2 人员岗位信息'!$B:$B,$D21)</f>
        <v>0</v>
      </c>
      <c r="AT21" s="298"/>
      <c r="AU21" s="174">
        <f t="shared" si="34"/>
        <v>0</v>
      </c>
      <c r="AV21" s="174">
        <f>SUMIFS('1-2 人员岗位信息'!L:L,'1-2 人员岗位信息'!$C:$C,"劳务派遣",'1-2 人员岗位信息'!$B:$B,$D21)</f>
        <v>0</v>
      </c>
      <c r="AW21" s="298"/>
      <c r="AX21" s="174">
        <f t="shared" si="35"/>
        <v>0</v>
      </c>
      <c r="AY21" s="174">
        <f>SUMIFS('1-2 人员岗位信息'!M:M,'1-2 人员岗位信息'!$C:$C,"劳务派遣",'1-2 人员岗位信息'!$B:$B,$D21)</f>
        <v>0</v>
      </c>
      <c r="AZ21" s="298"/>
      <c r="BA21" s="174">
        <f t="shared" si="36"/>
        <v>0</v>
      </c>
      <c r="BB21" s="174">
        <f>SUMIFS('1-2 人员岗位信息'!N:N,'1-2 人员岗位信息'!$C:$C,"劳务派遣",'1-2 人员岗位信息'!$B:$B,$D21)</f>
        <v>0</v>
      </c>
      <c r="BC21" s="298"/>
      <c r="BD21" s="174">
        <f t="shared" si="37"/>
        <v>0</v>
      </c>
      <c r="BE21" s="174">
        <f>SUMIFS('1-2 人员岗位信息'!O:O,'1-2 人员岗位信息'!$C:$C,"劳务派遣",'1-2 人员岗位信息'!$B:$B,$D21)</f>
        <v>0</v>
      </c>
      <c r="BF21" s="298"/>
      <c r="BG21" s="174">
        <f t="shared" si="38"/>
        <v>0</v>
      </c>
      <c r="BH21" s="174">
        <f>SUMIFS('1-2 人员岗位信息'!P:P,'1-2 人员岗位信息'!$C:$C,"劳务派遣",'1-2 人员岗位信息'!$B:$B,$D21)</f>
        <v>0</v>
      </c>
      <c r="BI21" s="298"/>
      <c r="BJ21" s="174">
        <f>BK20*BL21</f>
        <v>0</v>
      </c>
      <c r="BK21" s="174">
        <f>SUMIFS('1-2 人员岗位信息'!Q:Q,'1-2 人员岗位信息'!$C:$C,"劳务派遣",'1-2 人员岗位信息'!$B:$B,$D21)</f>
        <v>0</v>
      </c>
      <c r="BL21" s="307"/>
      <c r="BM21" s="311"/>
      <c r="BN21" s="315"/>
    </row>
    <row r="22" s="117" customFormat="1" ht="33.95" hidden="1" customHeight="1" outlineLevel="4" collapsed="1" spans="2:66">
      <c r="B22" s="118" t="s">
        <v>794</v>
      </c>
      <c r="C22" s="119" t="s">
        <v>18</v>
      </c>
      <c r="D22" s="117" t="s">
        <v>19</v>
      </c>
      <c r="E22" s="118"/>
      <c r="F22" s="118"/>
      <c r="G22" s="118"/>
      <c r="H22" s="118">
        <f>SUM(H23:H28)</f>
        <v>0</v>
      </c>
      <c r="I22" s="118"/>
      <c r="J22" s="118"/>
      <c r="K22" s="118"/>
      <c r="L22" s="118"/>
      <c r="M22" s="118"/>
      <c r="N22" s="118"/>
      <c r="O22" s="118"/>
      <c r="P22" s="289"/>
      <c r="Q22" s="289"/>
      <c r="R22" s="289"/>
      <c r="S22" s="289"/>
      <c r="T22" s="289"/>
      <c r="U22" s="289"/>
      <c r="V22" s="289"/>
      <c r="W22" s="289"/>
      <c r="X22" s="289"/>
      <c r="Y22" s="289"/>
      <c r="Z22" s="289"/>
      <c r="AA22" s="289"/>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6"/>
      <c r="BM22" s="311"/>
      <c r="BN22" s="314"/>
    </row>
    <row r="23" s="263" customFormat="1" ht="33.95" hidden="1" customHeight="1" outlineLevel="5" spans="2:66">
      <c r="B23" s="174" t="s">
        <v>799</v>
      </c>
      <c r="C23" s="283" t="s">
        <v>830</v>
      </c>
      <c r="D23" s="263" t="s">
        <v>801</v>
      </c>
      <c r="E23" s="174" t="s">
        <v>831</v>
      </c>
      <c r="F23" s="174"/>
      <c r="G23" s="174" t="s">
        <v>803</v>
      </c>
      <c r="H23" s="174">
        <f t="shared" ref="H23:H28" si="40">AB23</f>
        <v>0</v>
      </c>
      <c r="I23" s="174" t="s">
        <v>804</v>
      </c>
      <c r="J23" s="174" t="e">
        <f t="shared" ref="J23:J28" si="41">SUM(AD23,AG23,AJ23,AM23,AP23,AS23,AV23,AY23,BB23,BE23,BH23,BK23)/N23</f>
        <v>#DIV/0!</v>
      </c>
      <c r="K23" s="174" t="s">
        <v>805</v>
      </c>
      <c r="L23" s="174" t="e">
        <f t="shared" ref="L23:L28" si="42">H23/N23/J23</f>
        <v>#DIV/0!</v>
      </c>
      <c r="M23" s="174" t="s">
        <v>806</v>
      </c>
      <c r="N23" s="174">
        <f t="shared" ref="N23:N28" si="43">COUNTIF(AD23,"&gt;0")+COUNTIF(AG23,"&gt;0")+COUNTIF(AJ23,"&gt;0")+COUNTIF(AM23,"&gt;0")+COUNTIF(AP23,"&gt;0")+COUNTIF(AS23,"&gt;0")+COUNTIF(AV23,"&gt;0")+COUNTIF(AY23,"&gt;0")+COUNTIF(BB23,"&gt;0")+COUNTIF(BE23,"&gt;0")+COUNTIF(BH23,"&gt;0")+COUNTIF(BK23,"&gt;0")</f>
        <v>0</v>
      </c>
      <c r="O23" s="174"/>
      <c r="P23" s="290"/>
      <c r="Q23" s="290"/>
      <c r="R23" s="290"/>
      <c r="S23" s="290"/>
      <c r="T23" s="290"/>
      <c r="U23" s="290"/>
      <c r="V23" s="290"/>
      <c r="W23" s="290"/>
      <c r="X23" s="290"/>
      <c r="Y23" s="290"/>
      <c r="Z23" s="290"/>
      <c r="AA23" s="290"/>
      <c r="AB23" s="174">
        <f t="shared" ref="AB23:AB28" si="44">SUM(AC23,AF23,AI23,AL23,AO23,AR23,AU23,AX23,BA23,BD23,BG23,BJ23)</f>
        <v>0</v>
      </c>
      <c r="AC23" s="174">
        <f t="shared" ref="AC23:AC28" si="45">AD23*AE23</f>
        <v>0</v>
      </c>
      <c r="AD23" s="174">
        <f>'1-2 人员岗位信息'!F13</f>
        <v>0</v>
      </c>
      <c r="AE23" s="298">
        <f>IFERROR(预算主表!P80/(12*AD23),0)</f>
        <v>0</v>
      </c>
      <c r="AF23" s="174">
        <f t="shared" ref="AF23:AF28" si="46">AG23*AH23</f>
        <v>0</v>
      </c>
      <c r="AG23" s="174">
        <f>SUMIFS('1-2 人员岗位信息'!G:G,'1-2 人员岗位信息'!$C:$C,"专业外包",'1-2 人员岗位信息'!$B:$B,$D23)</f>
        <v>0</v>
      </c>
      <c r="AH23" s="298">
        <f>AE23</f>
        <v>0</v>
      </c>
      <c r="AI23" s="174">
        <f t="shared" ref="AI23:AI28" si="47">AJ23*AK23</f>
        <v>0</v>
      </c>
      <c r="AJ23" s="174">
        <f>SUMIFS('1-2 人员岗位信息'!H:H,'1-2 人员岗位信息'!$C:$C,"专业外包",'1-2 人员岗位信息'!$B:$B,$D23)</f>
        <v>0</v>
      </c>
      <c r="AK23" s="298">
        <f>AE23</f>
        <v>0</v>
      </c>
      <c r="AL23" s="174">
        <f t="shared" ref="AL23:AL28" si="48">AM23*AN23</f>
        <v>0</v>
      </c>
      <c r="AM23" s="174">
        <f>SUMIFS('1-2 人员岗位信息'!I:I,'1-2 人员岗位信息'!$C:$C,"专业外包",'1-2 人员岗位信息'!$B:$B,$D23)</f>
        <v>0</v>
      </c>
      <c r="AN23" s="298">
        <f>AE23</f>
        <v>0</v>
      </c>
      <c r="AO23" s="174">
        <f t="shared" ref="AO23:AO28" si="49">AP23*AQ23</f>
        <v>0</v>
      </c>
      <c r="AP23" s="174">
        <f>SUMIFS('1-2 人员岗位信息'!J:J,'1-2 人员岗位信息'!$C:$C,"专业外包",'1-2 人员岗位信息'!$B:$B,$D23)</f>
        <v>0</v>
      </c>
      <c r="AQ23" s="298">
        <f>AE23</f>
        <v>0</v>
      </c>
      <c r="AR23" s="174">
        <f t="shared" ref="AR23:AR28" si="50">AS23*AT23</f>
        <v>0</v>
      </c>
      <c r="AS23" s="174">
        <f>SUMIFS('1-2 人员岗位信息'!K:K,'1-2 人员岗位信息'!$C:$C,"专业外包",'1-2 人员岗位信息'!$B:$B,$D23)</f>
        <v>0</v>
      </c>
      <c r="AT23" s="298">
        <f>AE23</f>
        <v>0</v>
      </c>
      <c r="AU23" s="174">
        <f t="shared" ref="AU23:AU28" si="51">AV23*AW23</f>
        <v>0</v>
      </c>
      <c r="AV23" s="174">
        <f>SUMIFS('1-2 人员岗位信息'!L:L,'1-2 人员岗位信息'!$C:$C,"专业外包",'1-2 人员岗位信息'!$B:$B,$D23)</f>
        <v>0</v>
      </c>
      <c r="AW23" s="298">
        <f>AE23</f>
        <v>0</v>
      </c>
      <c r="AX23" s="174">
        <f t="shared" ref="AX23:AX28" si="52">AY23*AZ23</f>
        <v>0</v>
      </c>
      <c r="AY23" s="174">
        <f>SUMIFS('1-2 人员岗位信息'!M:M,'1-2 人员岗位信息'!$C:$C,"专业外包",'1-2 人员岗位信息'!$B:$B,$D23)</f>
        <v>0</v>
      </c>
      <c r="AZ23" s="298">
        <f>AE23</f>
        <v>0</v>
      </c>
      <c r="BA23" s="174">
        <f t="shared" ref="BA23:BA28" si="53">BB23*BC23</f>
        <v>0</v>
      </c>
      <c r="BB23" s="174">
        <f>SUMIFS('1-2 人员岗位信息'!N:N,'1-2 人员岗位信息'!$C:$C,"专业外包",'1-2 人员岗位信息'!$B:$B,$D23)</f>
        <v>0</v>
      </c>
      <c r="BC23" s="298">
        <f>AE23</f>
        <v>0</v>
      </c>
      <c r="BD23" s="174">
        <f t="shared" ref="BD23:BD28" si="54">BE23*BF23</f>
        <v>0</v>
      </c>
      <c r="BE23" s="174">
        <f>SUMIFS('1-2 人员岗位信息'!O:O,'1-2 人员岗位信息'!$C:$C,"专业外包",'1-2 人员岗位信息'!$B:$B,$D23)</f>
        <v>0</v>
      </c>
      <c r="BF23" s="298">
        <f>AE23</f>
        <v>0</v>
      </c>
      <c r="BG23" s="174">
        <f t="shared" ref="BG23:BG28" si="55">BH23*BI23</f>
        <v>0</v>
      </c>
      <c r="BH23" s="174">
        <f>SUMIFS('1-2 人员岗位信息'!P:P,'1-2 人员岗位信息'!$C:$C,"专业外包",'1-2 人员岗位信息'!$B:$B,$D23)</f>
        <v>0</v>
      </c>
      <c r="BI23" s="298">
        <f>AE23</f>
        <v>0</v>
      </c>
      <c r="BJ23" s="174">
        <f t="shared" ref="BJ23:BJ28" si="56">BK23*BL23</f>
        <v>0</v>
      </c>
      <c r="BK23" s="174">
        <f>SUMIFS('1-2 人员岗位信息'!Q:Q,'1-2 人员岗位信息'!$C:$C,"专业外包",'1-2 人员岗位信息'!$B:$B,$D23)</f>
        <v>0</v>
      </c>
      <c r="BL23" s="307">
        <f>AE23</f>
        <v>0</v>
      </c>
      <c r="BM23" s="311"/>
      <c r="BN23" s="315"/>
    </row>
    <row r="24" s="263" customFormat="1" ht="33.95" hidden="1" customHeight="1" outlineLevel="5" spans="2:66">
      <c r="B24" s="174" t="s">
        <v>799</v>
      </c>
      <c r="C24" s="283" t="s">
        <v>832</v>
      </c>
      <c r="D24" s="263" t="s">
        <v>808</v>
      </c>
      <c r="E24" s="174" t="s">
        <v>833</v>
      </c>
      <c r="F24" s="174"/>
      <c r="G24" s="174" t="s">
        <v>803</v>
      </c>
      <c r="H24" s="174">
        <f t="shared" si="40"/>
        <v>0</v>
      </c>
      <c r="I24" s="174" t="s">
        <v>804</v>
      </c>
      <c r="J24" s="174" t="e">
        <f t="shared" si="41"/>
        <v>#DIV/0!</v>
      </c>
      <c r="K24" s="174" t="s">
        <v>805</v>
      </c>
      <c r="L24" s="174" t="e">
        <f t="shared" si="42"/>
        <v>#DIV/0!</v>
      </c>
      <c r="M24" s="174" t="s">
        <v>806</v>
      </c>
      <c r="N24" s="174">
        <f t="shared" si="43"/>
        <v>0</v>
      </c>
      <c r="O24" s="174"/>
      <c r="P24" s="290"/>
      <c r="Q24" s="290"/>
      <c r="R24" s="290"/>
      <c r="S24" s="290"/>
      <c r="T24" s="290"/>
      <c r="U24" s="290"/>
      <c r="V24" s="290"/>
      <c r="W24" s="290"/>
      <c r="X24" s="290"/>
      <c r="Y24" s="290"/>
      <c r="Z24" s="290"/>
      <c r="AA24" s="290"/>
      <c r="AB24" s="174">
        <f t="shared" si="44"/>
        <v>0</v>
      </c>
      <c r="AC24" s="174">
        <f t="shared" si="45"/>
        <v>0</v>
      </c>
      <c r="AD24" s="174">
        <f>'1-2 人员岗位信息'!F17</f>
        <v>0</v>
      </c>
      <c r="AE24" s="298"/>
      <c r="AF24" s="174">
        <f t="shared" si="46"/>
        <v>0</v>
      </c>
      <c r="AG24" s="174">
        <f>SUMIFS('1-2 人员岗位信息'!G:G,'1-2 人员岗位信息'!$C:$C,"专业外包",'1-2 人员岗位信息'!$B:$B,$D24)</f>
        <v>0</v>
      </c>
      <c r="AH24" s="298"/>
      <c r="AI24" s="174">
        <f t="shared" si="47"/>
        <v>0</v>
      </c>
      <c r="AJ24" s="174">
        <f>SUMIFS('1-2 人员岗位信息'!H:H,'1-2 人员岗位信息'!$C:$C,"专业外包",'1-2 人员岗位信息'!$B:$B,$D24)</f>
        <v>0</v>
      </c>
      <c r="AK24" s="298"/>
      <c r="AL24" s="174">
        <f t="shared" si="48"/>
        <v>0</v>
      </c>
      <c r="AM24" s="174">
        <f>SUMIFS('1-2 人员岗位信息'!I:I,'1-2 人员岗位信息'!$C:$C,"专业外包",'1-2 人员岗位信息'!$B:$B,$D24)</f>
        <v>0</v>
      </c>
      <c r="AN24" s="298"/>
      <c r="AO24" s="174">
        <f t="shared" si="49"/>
        <v>0</v>
      </c>
      <c r="AP24" s="174">
        <f>SUMIFS('1-2 人员岗位信息'!J:J,'1-2 人员岗位信息'!$C:$C,"专业外包",'1-2 人员岗位信息'!$B:$B,$D24)</f>
        <v>0</v>
      </c>
      <c r="AQ24" s="298"/>
      <c r="AR24" s="174">
        <f t="shared" si="50"/>
        <v>0</v>
      </c>
      <c r="AS24" s="174">
        <f>SUMIFS('1-2 人员岗位信息'!K:K,'1-2 人员岗位信息'!$C:$C,"专业外包",'1-2 人员岗位信息'!$B:$B,$D24)</f>
        <v>0</v>
      </c>
      <c r="AT24" s="298"/>
      <c r="AU24" s="174">
        <f t="shared" si="51"/>
        <v>0</v>
      </c>
      <c r="AV24" s="174">
        <f>SUMIFS('1-2 人员岗位信息'!L:L,'1-2 人员岗位信息'!$C:$C,"专业外包",'1-2 人员岗位信息'!$B:$B,$D24)</f>
        <v>0</v>
      </c>
      <c r="AW24" s="298"/>
      <c r="AX24" s="174">
        <f t="shared" si="52"/>
        <v>0</v>
      </c>
      <c r="AY24" s="174">
        <f>SUMIFS('1-2 人员岗位信息'!M:M,'1-2 人员岗位信息'!$C:$C,"专业外包",'1-2 人员岗位信息'!$B:$B,$D24)</f>
        <v>0</v>
      </c>
      <c r="AZ24" s="298"/>
      <c r="BA24" s="174">
        <f t="shared" si="53"/>
        <v>0</v>
      </c>
      <c r="BB24" s="174">
        <f>SUMIFS('1-2 人员岗位信息'!N:N,'1-2 人员岗位信息'!$C:$C,"专业外包",'1-2 人员岗位信息'!$B:$B,$D24)</f>
        <v>0</v>
      </c>
      <c r="BC24" s="298"/>
      <c r="BD24" s="174">
        <f t="shared" si="54"/>
        <v>0</v>
      </c>
      <c r="BE24" s="174">
        <f>SUMIFS('1-2 人员岗位信息'!O:O,'1-2 人员岗位信息'!$C:$C,"专业外包",'1-2 人员岗位信息'!$B:$B,$D24)</f>
        <v>0</v>
      </c>
      <c r="BF24" s="298"/>
      <c r="BG24" s="174">
        <f t="shared" si="55"/>
        <v>0</v>
      </c>
      <c r="BH24" s="174">
        <f>SUMIFS('1-2 人员岗位信息'!P:P,'1-2 人员岗位信息'!$C:$C,"专业外包",'1-2 人员岗位信息'!$B:$B,$D24)</f>
        <v>0</v>
      </c>
      <c r="BI24" s="298"/>
      <c r="BJ24" s="174">
        <f t="shared" si="56"/>
        <v>0</v>
      </c>
      <c r="BK24" s="174">
        <f>SUMIFS('1-2 人员岗位信息'!Q:Q,'1-2 人员岗位信息'!$C:$C,"专业外包",'1-2 人员岗位信息'!$B:$B,$D24)</f>
        <v>0</v>
      </c>
      <c r="BL24" s="307"/>
      <c r="BM24" s="311"/>
      <c r="BN24" s="315"/>
    </row>
    <row r="25" s="263" customFormat="1" ht="33.95" hidden="1" customHeight="1" outlineLevel="5" spans="2:66">
      <c r="B25" s="174" t="s">
        <v>799</v>
      </c>
      <c r="C25" s="283" t="s">
        <v>834</v>
      </c>
      <c r="D25" s="263" t="s">
        <v>811</v>
      </c>
      <c r="E25" s="174" t="s">
        <v>812</v>
      </c>
      <c r="F25" s="174"/>
      <c r="G25" s="174" t="s">
        <v>803</v>
      </c>
      <c r="H25" s="174">
        <f t="shared" si="40"/>
        <v>0</v>
      </c>
      <c r="I25" s="174" t="s">
        <v>804</v>
      </c>
      <c r="J25" s="174" t="e">
        <f t="shared" si="41"/>
        <v>#DIV/0!</v>
      </c>
      <c r="K25" s="174" t="s">
        <v>805</v>
      </c>
      <c r="L25" s="174" t="e">
        <f t="shared" si="42"/>
        <v>#DIV/0!</v>
      </c>
      <c r="M25" s="174" t="s">
        <v>806</v>
      </c>
      <c r="N25" s="174">
        <f t="shared" si="43"/>
        <v>0</v>
      </c>
      <c r="O25" s="174"/>
      <c r="P25" s="290"/>
      <c r="Q25" s="290"/>
      <c r="R25" s="290"/>
      <c r="S25" s="290"/>
      <c r="T25" s="290"/>
      <c r="U25" s="290"/>
      <c r="V25" s="290"/>
      <c r="W25" s="290"/>
      <c r="X25" s="290"/>
      <c r="Y25" s="290"/>
      <c r="Z25" s="290"/>
      <c r="AA25" s="290"/>
      <c r="AB25" s="174">
        <f t="shared" si="44"/>
        <v>0</v>
      </c>
      <c r="AC25" s="174">
        <f t="shared" si="45"/>
        <v>0</v>
      </c>
      <c r="AD25" s="174">
        <f>'1-2 人员岗位信息'!F21</f>
        <v>0</v>
      </c>
      <c r="AE25" s="298"/>
      <c r="AF25" s="174">
        <f t="shared" si="46"/>
        <v>0</v>
      </c>
      <c r="AG25" s="174">
        <f>SUMIFS('1-2 人员岗位信息'!G:G,'1-2 人员岗位信息'!$C:$C,"专业外包",'1-2 人员岗位信息'!$B:$B,$D25)</f>
        <v>0</v>
      </c>
      <c r="AH25" s="298"/>
      <c r="AI25" s="174">
        <f t="shared" si="47"/>
        <v>0</v>
      </c>
      <c r="AJ25" s="174">
        <f>SUMIFS('1-2 人员岗位信息'!H:H,'1-2 人员岗位信息'!$C:$C,"专业外包",'1-2 人员岗位信息'!$B:$B,$D25)</f>
        <v>0</v>
      </c>
      <c r="AK25" s="298"/>
      <c r="AL25" s="174">
        <f t="shared" si="48"/>
        <v>0</v>
      </c>
      <c r="AM25" s="174">
        <f>SUMIFS('1-2 人员岗位信息'!I:I,'1-2 人员岗位信息'!$C:$C,"专业外包",'1-2 人员岗位信息'!$B:$B,$D25)</f>
        <v>0</v>
      </c>
      <c r="AN25" s="298"/>
      <c r="AO25" s="174">
        <f t="shared" si="49"/>
        <v>0</v>
      </c>
      <c r="AP25" s="174">
        <f>SUMIFS('1-2 人员岗位信息'!J:J,'1-2 人员岗位信息'!$C:$C,"专业外包",'1-2 人员岗位信息'!$B:$B,$D25)</f>
        <v>0</v>
      </c>
      <c r="AQ25" s="298"/>
      <c r="AR25" s="174">
        <f t="shared" si="50"/>
        <v>0</v>
      </c>
      <c r="AS25" s="174">
        <f>SUMIFS('1-2 人员岗位信息'!K:K,'1-2 人员岗位信息'!$C:$C,"专业外包",'1-2 人员岗位信息'!$B:$B,$D25)</f>
        <v>0</v>
      </c>
      <c r="AT25" s="298"/>
      <c r="AU25" s="174">
        <f t="shared" si="51"/>
        <v>0</v>
      </c>
      <c r="AV25" s="174">
        <f>SUMIFS('1-2 人员岗位信息'!L:L,'1-2 人员岗位信息'!$C:$C,"专业外包",'1-2 人员岗位信息'!$B:$B,$D25)</f>
        <v>0</v>
      </c>
      <c r="AW25" s="298"/>
      <c r="AX25" s="174">
        <f t="shared" si="52"/>
        <v>0</v>
      </c>
      <c r="AY25" s="174">
        <f>SUMIFS('1-2 人员岗位信息'!M:M,'1-2 人员岗位信息'!$C:$C,"专业外包",'1-2 人员岗位信息'!$B:$B,$D25)</f>
        <v>0</v>
      </c>
      <c r="AZ25" s="298"/>
      <c r="BA25" s="174">
        <f t="shared" si="53"/>
        <v>0</v>
      </c>
      <c r="BB25" s="174">
        <f>SUMIFS('1-2 人员岗位信息'!N:N,'1-2 人员岗位信息'!$C:$C,"专业外包",'1-2 人员岗位信息'!$B:$B,$D25)</f>
        <v>0</v>
      </c>
      <c r="BC25" s="298"/>
      <c r="BD25" s="174">
        <f t="shared" si="54"/>
        <v>0</v>
      </c>
      <c r="BE25" s="174">
        <f>SUMIFS('1-2 人员岗位信息'!O:O,'1-2 人员岗位信息'!$C:$C,"专业外包",'1-2 人员岗位信息'!$B:$B,$D25)</f>
        <v>0</v>
      </c>
      <c r="BF25" s="298"/>
      <c r="BG25" s="174">
        <f t="shared" si="55"/>
        <v>0</v>
      </c>
      <c r="BH25" s="174">
        <f>SUMIFS('1-2 人员岗位信息'!P:P,'1-2 人员岗位信息'!$C:$C,"专业外包",'1-2 人员岗位信息'!$B:$B,$D25)</f>
        <v>0</v>
      </c>
      <c r="BI25" s="298"/>
      <c r="BJ25" s="174">
        <f t="shared" si="56"/>
        <v>0</v>
      </c>
      <c r="BK25" s="174">
        <f>SUMIFS('1-2 人员岗位信息'!Q:Q,'1-2 人员岗位信息'!$C:$C,"专业外包",'1-2 人员岗位信息'!$B:$B,$D25)</f>
        <v>0</v>
      </c>
      <c r="BL25" s="307"/>
      <c r="BM25" s="311"/>
      <c r="BN25" s="315"/>
    </row>
    <row r="26" s="263" customFormat="1" ht="33.95" hidden="1" customHeight="1" outlineLevel="5" spans="2:66">
      <c r="B26" s="174" t="s">
        <v>799</v>
      </c>
      <c r="C26" s="283" t="s">
        <v>835</v>
      </c>
      <c r="D26" s="263" t="s">
        <v>814</v>
      </c>
      <c r="E26" s="174" t="s">
        <v>815</v>
      </c>
      <c r="F26" s="174"/>
      <c r="G26" s="174" t="s">
        <v>803</v>
      </c>
      <c r="H26" s="174">
        <f t="shared" si="40"/>
        <v>0</v>
      </c>
      <c r="I26" s="174" t="s">
        <v>804</v>
      </c>
      <c r="J26" s="174" t="e">
        <f t="shared" si="41"/>
        <v>#DIV/0!</v>
      </c>
      <c r="K26" s="174" t="s">
        <v>805</v>
      </c>
      <c r="L26" s="174" t="e">
        <f t="shared" si="42"/>
        <v>#DIV/0!</v>
      </c>
      <c r="M26" s="174" t="s">
        <v>806</v>
      </c>
      <c r="N26" s="174">
        <f t="shared" si="43"/>
        <v>0</v>
      </c>
      <c r="O26" s="174"/>
      <c r="P26" s="290"/>
      <c r="Q26" s="290"/>
      <c r="R26" s="290"/>
      <c r="S26" s="290"/>
      <c r="T26" s="290"/>
      <c r="U26" s="290"/>
      <c r="V26" s="290"/>
      <c r="W26" s="290"/>
      <c r="X26" s="290"/>
      <c r="Y26" s="290"/>
      <c r="Z26" s="290"/>
      <c r="AA26" s="290"/>
      <c r="AB26" s="174">
        <f t="shared" si="44"/>
        <v>0</v>
      </c>
      <c r="AC26" s="174">
        <f t="shared" si="45"/>
        <v>0</v>
      </c>
      <c r="AD26" s="174">
        <f>'1-2 人员岗位信息'!F25</f>
        <v>0</v>
      </c>
      <c r="AE26" s="298"/>
      <c r="AF26" s="174">
        <f t="shared" si="46"/>
        <v>0</v>
      </c>
      <c r="AG26" s="174">
        <f>SUMIFS('1-2 人员岗位信息'!G:G,'1-2 人员岗位信息'!$C:$C,"专业外包",'1-2 人员岗位信息'!$B:$B,$D26)</f>
        <v>0</v>
      </c>
      <c r="AH26" s="298"/>
      <c r="AI26" s="174">
        <f t="shared" si="47"/>
        <v>0</v>
      </c>
      <c r="AJ26" s="174">
        <f>SUMIFS('1-2 人员岗位信息'!H:H,'1-2 人员岗位信息'!$C:$C,"专业外包",'1-2 人员岗位信息'!$B:$B,$D26)</f>
        <v>0</v>
      </c>
      <c r="AK26" s="298"/>
      <c r="AL26" s="174">
        <f t="shared" si="48"/>
        <v>0</v>
      </c>
      <c r="AM26" s="174">
        <f>SUMIFS('1-2 人员岗位信息'!I:I,'1-2 人员岗位信息'!$C:$C,"专业外包",'1-2 人员岗位信息'!$B:$B,$D26)</f>
        <v>0</v>
      </c>
      <c r="AN26" s="298"/>
      <c r="AO26" s="174">
        <f t="shared" si="49"/>
        <v>0</v>
      </c>
      <c r="AP26" s="174">
        <f>SUMIFS('1-2 人员岗位信息'!J:J,'1-2 人员岗位信息'!$C:$C,"专业外包",'1-2 人员岗位信息'!$B:$B,$D26)</f>
        <v>0</v>
      </c>
      <c r="AQ26" s="298"/>
      <c r="AR26" s="174">
        <f t="shared" si="50"/>
        <v>0</v>
      </c>
      <c r="AS26" s="174">
        <f>SUMIFS('1-2 人员岗位信息'!K:K,'1-2 人员岗位信息'!$C:$C,"专业外包",'1-2 人员岗位信息'!$B:$B,$D26)</f>
        <v>0</v>
      </c>
      <c r="AT26" s="298"/>
      <c r="AU26" s="174">
        <f t="shared" si="51"/>
        <v>0</v>
      </c>
      <c r="AV26" s="174">
        <f>SUMIFS('1-2 人员岗位信息'!L:L,'1-2 人员岗位信息'!$C:$C,"专业外包",'1-2 人员岗位信息'!$B:$B,$D26)</f>
        <v>0</v>
      </c>
      <c r="AW26" s="298"/>
      <c r="AX26" s="174">
        <f t="shared" si="52"/>
        <v>0</v>
      </c>
      <c r="AY26" s="174">
        <f>SUMIFS('1-2 人员岗位信息'!M:M,'1-2 人员岗位信息'!$C:$C,"专业外包",'1-2 人员岗位信息'!$B:$B,$D26)</f>
        <v>0</v>
      </c>
      <c r="AZ26" s="298"/>
      <c r="BA26" s="174">
        <f t="shared" si="53"/>
        <v>0</v>
      </c>
      <c r="BB26" s="174">
        <f>SUMIFS('1-2 人员岗位信息'!N:N,'1-2 人员岗位信息'!$C:$C,"专业外包",'1-2 人员岗位信息'!$B:$B,$D26)</f>
        <v>0</v>
      </c>
      <c r="BC26" s="298"/>
      <c r="BD26" s="174">
        <f t="shared" si="54"/>
        <v>0</v>
      </c>
      <c r="BE26" s="174">
        <f>SUMIFS('1-2 人员岗位信息'!O:O,'1-2 人员岗位信息'!$C:$C,"专业外包",'1-2 人员岗位信息'!$B:$B,$D26)</f>
        <v>0</v>
      </c>
      <c r="BF26" s="298"/>
      <c r="BG26" s="174">
        <f t="shared" si="55"/>
        <v>0</v>
      </c>
      <c r="BH26" s="174">
        <f>SUMIFS('1-2 人员岗位信息'!P:P,'1-2 人员岗位信息'!$C:$C,"专业外包",'1-2 人员岗位信息'!$B:$B,$D26)</f>
        <v>0</v>
      </c>
      <c r="BI26" s="298"/>
      <c r="BJ26" s="174">
        <f t="shared" si="56"/>
        <v>0</v>
      </c>
      <c r="BK26" s="174">
        <f>SUMIFS('1-2 人员岗位信息'!Q:Q,'1-2 人员岗位信息'!$C:$C,"专业外包",'1-2 人员岗位信息'!$B:$B,$D26)</f>
        <v>0</v>
      </c>
      <c r="BL26" s="307"/>
      <c r="BM26" s="311"/>
      <c r="BN26" s="315"/>
    </row>
    <row r="27" s="263" customFormat="1" ht="33.95" hidden="1" customHeight="1" outlineLevel="5" spans="2:66">
      <c r="B27" s="174" t="s">
        <v>799</v>
      </c>
      <c r="C27" s="283" t="s">
        <v>836</v>
      </c>
      <c r="D27" s="263" t="s">
        <v>817</v>
      </c>
      <c r="E27" s="174" t="s">
        <v>818</v>
      </c>
      <c r="F27" s="174"/>
      <c r="G27" s="174" t="s">
        <v>803</v>
      </c>
      <c r="H27" s="174">
        <f t="shared" si="40"/>
        <v>0</v>
      </c>
      <c r="I27" s="174" t="s">
        <v>804</v>
      </c>
      <c r="J27" s="174" t="e">
        <f t="shared" si="41"/>
        <v>#DIV/0!</v>
      </c>
      <c r="K27" s="174" t="s">
        <v>805</v>
      </c>
      <c r="L27" s="174" t="e">
        <f t="shared" si="42"/>
        <v>#DIV/0!</v>
      </c>
      <c r="M27" s="174" t="s">
        <v>806</v>
      </c>
      <c r="N27" s="174">
        <f t="shared" si="43"/>
        <v>0</v>
      </c>
      <c r="O27" s="174"/>
      <c r="P27" s="290"/>
      <c r="Q27" s="290"/>
      <c r="R27" s="290"/>
      <c r="S27" s="290"/>
      <c r="T27" s="290"/>
      <c r="U27" s="290"/>
      <c r="V27" s="290"/>
      <c r="W27" s="290"/>
      <c r="X27" s="290"/>
      <c r="Y27" s="290"/>
      <c r="Z27" s="290"/>
      <c r="AA27" s="290"/>
      <c r="AB27" s="174">
        <f t="shared" si="44"/>
        <v>0</v>
      </c>
      <c r="AC27" s="174">
        <f t="shared" si="45"/>
        <v>0</v>
      </c>
      <c r="AD27" s="174">
        <f>'1-2 人员岗位信息'!F29</f>
        <v>0</v>
      </c>
      <c r="AE27" s="298"/>
      <c r="AF27" s="174">
        <f t="shared" si="46"/>
        <v>0</v>
      </c>
      <c r="AG27" s="174">
        <f>SUMIFS('1-2 人员岗位信息'!G:G,'1-2 人员岗位信息'!$C:$C,"专业外包",'1-2 人员岗位信息'!$B:$B,$D27)</f>
        <v>0</v>
      </c>
      <c r="AH27" s="298"/>
      <c r="AI27" s="174">
        <f t="shared" si="47"/>
        <v>0</v>
      </c>
      <c r="AJ27" s="174">
        <f>SUMIFS('1-2 人员岗位信息'!H:H,'1-2 人员岗位信息'!$C:$C,"专业外包",'1-2 人员岗位信息'!$B:$B,$D27)</f>
        <v>0</v>
      </c>
      <c r="AK27" s="298"/>
      <c r="AL27" s="174">
        <f t="shared" si="48"/>
        <v>0</v>
      </c>
      <c r="AM27" s="174">
        <f>SUMIFS('1-2 人员岗位信息'!I:I,'1-2 人员岗位信息'!$C:$C,"专业外包",'1-2 人员岗位信息'!$B:$B,$D27)</f>
        <v>0</v>
      </c>
      <c r="AN27" s="298"/>
      <c r="AO27" s="174">
        <f t="shared" si="49"/>
        <v>0</v>
      </c>
      <c r="AP27" s="174">
        <f>SUMIFS('1-2 人员岗位信息'!J:J,'1-2 人员岗位信息'!$C:$C,"专业外包",'1-2 人员岗位信息'!$B:$B,$D27)</f>
        <v>0</v>
      </c>
      <c r="AQ27" s="298"/>
      <c r="AR27" s="174">
        <f t="shared" si="50"/>
        <v>0</v>
      </c>
      <c r="AS27" s="174">
        <f>SUMIFS('1-2 人员岗位信息'!K:K,'1-2 人员岗位信息'!$C:$C,"专业外包",'1-2 人员岗位信息'!$B:$B,$D27)</f>
        <v>0</v>
      </c>
      <c r="AT27" s="298"/>
      <c r="AU27" s="174">
        <f t="shared" si="51"/>
        <v>0</v>
      </c>
      <c r="AV27" s="174">
        <f>SUMIFS('1-2 人员岗位信息'!L:L,'1-2 人员岗位信息'!$C:$C,"专业外包",'1-2 人员岗位信息'!$B:$B,$D27)</f>
        <v>0</v>
      </c>
      <c r="AW27" s="298"/>
      <c r="AX27" s="174">
        <f t="shared" si="52"/>
        <v>0</v>
      </c>
      <c r="AY27" s="174">
        <f>SUMIFS('1-2 人员岗位信息'!M:M,'1-2 人员岗位信息'!$C:$C,"专业外包",'1-2 人员岗位信息'!$B:$B,$D27)</f>
        <v>0</v>
      </c>
      <c r="AZ27" s="298"/>
      <c r="BA27" s="174">
        <f t="shared" si="53"/>
        <v>0</v>
      </c>
      <c r="BB27" s="174">
        <f>SUMIFS('1-2 人员岗位信息'!N:N,'1-2 人员岗位信息'!$C:$C,"专业外包",'1-2 人员岗位信息'!$B:$B,$D27)</f>
        <v>0</v>
      </c>
      <c r="BC27" s="298"/>
      <c r="BD27" s="174">
        <f t="shared" si="54"/>
        <v>0</v>
      </c>
      <c r="BE27" s="174">
        <f>SUMIFS('1-2 人员岗位信息'!O:O,'1-2 人员岗位信息'!$C:$C,"专业外包",'1-2 人员岗位信息'!$B:$B,$D27)</f>
        <v>0</v>
      </c>
      <c r="BF27" s="298"/>
      <c r="BG27" s="174">
        <f t="shared" si="55"/>
        <v>0</v>
      </c>
      <c r="BH27" s="174">
        <f>SUMIFS('1-2 人员岗位信息'!P:P,'1-2 人员岗位信息'!$C:$C,"专业外包",'1-2 人员岗位信息'!$B:$B,$D27)</f>
        <v>0</v>
      </c>
      <c r="BI27" s="298"/>
      <c r="BJ27" s="174">
        <f t="shared" si="56"/>
        <v>0</v>
      </c>
      <c r="BK27" s="174">
        <f>SUMIFS('1-2 人员岗位信息'!Q:Q,'1-2 人员岗位信息'!$C:$C,"专业外包",'1-2 人员岗位信息'!$B:$B,$D27)</f>
        <v>0</v>
      </c>
      <c r="BL27" s="307"/>
      <c r="BM27" s="311"/>
      <c r="BN27" s="315"/>
    </row>
    <row r="28" s="263" customFormat="1" ht="33.95" hidden="1" customHeight="1" outlineLevel="5" spans="2:66">
      <c r="B28" s="174" t="s">
        <v>799</v>
      </c>
      <c r="C28" s="283" t="s">
        <v>837</v>
      </c>
      <c r="D28" s="263" t="s">
        <v>820</v>
      </c>
      <c r="E28" s="174" t="s">
        <v>821</v>
      </c>
      <c r="F28" s="174"/>
      <c r="G28" s="174" t="s">
        <v>803</v>
      </c>
      <c r="H28" s="174">
        <f t="shared" si="40"/>
        <v>0</v>
      </c>
      <c r="I28" s="174" t="s">
        <v>804</v>
      </c>
      <c r="J28" s="174" t="e">
        <f t="shared" si="41"/>
        <v>#DIV/0!</v>
      </c>
      <c r="K28" s="174" t="s">
        <v>805</v>
      </c>
      <c r="L28" s="174" t="e">
        <f t="shared" si="42"/>
        <v>#DIV/0!</v>
      </c>
      <c r="M28" s="174" t="s">
        <v>806</v>
      </c>
      <c r="N28" s="174">
        <f t="shared" si="43"/>
        <v>0</v>
      </c>
      <c r="O28" s="174"/>
      <c r="P28" s="290"/>
      <c r="Q28" s="290"/>
      <c r="R28" s="290"/>
      <c r="S28" s="290"/>
      <c r="T28" s="290"/>
      <c r="U28" s="290"/>
      <c r="V28" s="290"/>
      <c r="W28" s="290"/>
      <c r="X28" s="290"/>
      <c r="Y28" s="290"/>
      <c r="Z28" s="290"/>
      <c r="AA28" s="290"/>
      <c r="AB28" s="174">
        <f t="shared" si="44"/>
        <v>0</v>
      </c>
      <c r="AC28" s="174">
        <f t="shared" si="45"/>
        <v>0</v>
      </c>
      <c r="AD28" s="174">
        <f>'1-2 人员岗位信息'!F33</f>
        <v>0</v>
      </c>
      <c r="AE28" s="298"/>
      <c r="AF28" s="174">
        <f t="shared" si="46"/>
        <v>0</v>
      </c>
      <c r="AG28" s="174">
        <f>SUMIFS('1-2 人员岗位信息'!G:G,'1-2 人员岗位信息'!$C:$C,"专业外包",'1-2 人员岗位信息'!$B:$B,$D28)</f>
        <v>0</v>
      </c>
      <c r="AH28" s="298"/>
      <c r="AI28" s="174">
        <f t="shared" si="47"/>
        <v>0</v>
      </c>
      <c r="AJ28" s="174">
        <f>SUMIFS('1-2 人员岗位信息'!H:H,'1-2 人员岗位信息'!$C:$C,"专业外包",'1-2 人员岗位信息'!$B:$B,$D28)</f>
        <v>0</v>
      </c>
      <c r="AK28" s="298"/>
      <c r="AL28" s="174">
        <f t="shared" si="48"/>
        <v>0</v>
      </c>
      <c r="AM28" s="174">
        <f>SUMIFS('1-2 人员岗位信息'!I:I,'1-2 人员岗位信息'!$C:$C,"专业外包",'1-2 人员岗位信息'!$B:$B,$D28)</f>
        <v>0</v>
      </c>
      <c r="AN28" s="298"/>
      <c r="AO28" s="174">
        <f t="shared" si="49"/>
        <v>0</v>
      </c>
      <c r="AP28" s="174">
        <f>SUMIFS('1-2 人员岗位信息'!J:J,'1-2 人员岗位信息'!$C:$C,"专业外包",'1-2 人员岗位信息'!$B:$B,$D28)</f>
        <v>0</v>
      </c>
      <c r="AQ28" s="298"/>
      <c r="AR28" s="174">
        <f t="shared" si="50"/>
        <v>0</v>
      </c>
      <c r="AS28" s="174">
        <f>SUMIFS('1-2 人员岗位信息'!K:K,'1-2 人员岗位信息'!$C:$C,"专业外包",'1-2 人员岗位信息'!$B:$B,$D28)</f>
        <v>0</v>
      </c>
      <c r="AT28" s="298"/>
      <c r="AU28" s="174">
        <f t="shared" si="51"/>
        <v>0</v>
      </c>
      <c r="AV28" s="174">
        <f>SUMIFS('1-2 人员岗位信息'!L:L,'1-2 人员岗位信息'!$C:$C,"专业外包",'1-2 人员岗位信息'!$B:$B,$D28)</f>
        <v>0</v>
      </c>
      <c r="AW28" s="298"/>
      <c r="AX28" s="174">
        <f t="shared" si="52"/>
        <v>0</v>
      </c>
      <c r="AY28" s="174">
        <f>SUMIFS('1-2 人员岗位信息'!M:M,'1-2 人员岗位信息'!$C:$C,"专业外包",'1-2 人员岗位信息'!$B:$B,$D28)</f>
        <v>0</v>
      </c>
      <c r="AZ28" s="298"/>
      <c r="BA28" s="174">
        <f t="shared" si="53"/>
        <v>0</v>
      </c>
      <c r="BB28" s="174">
        <f>SUMIFS('1-2 人员岗位信息'!N:N,'1-2 人员岗位信息'!$C:$C,"专业外包",'1-2 人员岗位信息'!$B:$B,$D28)</f>
        <v>0</v>
      </c>
      <c r="BC28" s="298"/>
      <c r="BD28" s="174">
        <f t="shared" si="54"/>
        <v>0</v>
      </c>
      <c r="BE28" s="174">
        <f>SUMIFS('1-2 人员岗位信息'!O:O,'1-2 人员岗位信息'!$C:$C,"专业外包",'1-2 人员岗位信息'!$B:$B,$D28)</f>
        <v>0</v>
      </c>
      <c r="BF28" s="298"/>
      <c r="BG28" s="174">
        <f t="shared" si="55"/>
        <v>0</v>
      </c>
      <c r="BH28" s="174">
        <f>SUMIFS('1-2 人员岗位信息'!P:P,'1-2 人员岗位信息'!$C:$C,"专业外包",'1-2 人员岗位信息'!$B:$B,$D28)</f>
        <v>0</v>
      </c>
      <c r="BI28" s="298"/>
      <c r="BJ28" s="174">
        <f t="shared" si="56"/>
        <v>0</v>
      </c>
      <c r="BK28" s="174">
        <f>SUMIFS('1-2 人员岗位信息'!Q:Q,'1-2 人员岗位信息'!$C:$C,"专业外包",'1-2 人员岗位信息'!$B:$B,$D28)</f>
        <v>0</v>
      </c>
      <c r="BL28" s="307"/>
      <c r="BM28" s="311"/>
      <c r="BN28" s="315"/>
    </row>
    <row r="29" s="48" customFormat="1" ht="33.95" hidden="1" customHeight="1" outlineLevel="3" collapsed="1" spans="2:66">
      <c r="B29" s="114" t="s">
        <v>794</v>
      </c>
      <c r="C29" s="115" t="s">
        <v>838</v>
      </c>
      <c r="D29" s="48" t="s">
        <v>839</v>
      </c>
      <c r="E29" s="114"/>
      <c r="F29" s="114"/>
      <c r="G29" s="114"/>
      <c r="H29" s="114">
        <f>H30+H39+H48</f>
        <v>0</v>
      </c>
      <c r="I29" s="114"/>
      <c r="J29" s="114"/>
      <c r="K29" s="114"/>
      <c r="L29" s="114"/>
      <c r="M29" s="114"/>
      <c r="N29" s="114"/>
      <c r="O29" s="114"/>
      <c r="P29" s="288"/>
      <c r="Q29" s="288"/>
      <c r="R29" s="288"/>
      <c r="S29" s="288"/>
      <c r="T29" s="288"/>
      <c r="U29" s="288"/>
      <c r="V29" s="288"/>
      <c r="W29" s="288"/>
      <c r="X29" s="288"/>
      <c r="Y29" s="288"/>
      <c r="Z29" s="288"/>
      <c r="AA29" s="288"/>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5"/>
      <c r="BM29" s="311"/>
      <c r="BN29" s="313"/>
    </row>
    <row r="30" s="117" customFormat="1" ht="33.95" hidden="1" customHeight="1" outlineLevel="4" collapsed="1" spans="2:66">
      <c r="B30" s="118" t="s">
        <v>794</v>
      </c>
      <c r="C30" s="119" t="s">
        <v>112</v>
      </c>
      <c r="D30" s="117" t="s">
        <v>109</v>
      </c>
      <c r="E30" s="118"/>
      <c r="F30" s="118"/>
      <c r="G30" s="118"/>
      <c r="H30" s="118">
        <f>SUM(H31:H38)</f>
        <v>0</v>
      </c>
      <c r="I30" s="118"/>
      <c r="J30" s="118"/>
      <c r="K30" s="118"/>
      <c r="L30" s="118"/>
      <c r="M30" s="118"/>
      <c r="N30" s="118"/>
      <c r="O30" s="118"/>
      <c r="P30" s="289"/>
      <c r="Q30" s="289"/>
      <c r="R30" s="289"/>
      <c r="S30" s="289"/>
      <c r="T30" s="289"/>
      <c r="U30" s="289"/>
      <c r="V30" s="289"/>
      <c r="W30" s="289"/>
      <c r="X30" s="289"/>
      <c r="Y30" s="289"/>
      <c r="Z30" s="289"/>
      <c r="AA30" s="289"/>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6"/>
      <c r="BM30" s="311"/>
      <c r="BN30" s="314"/>
    </row>
    <row r="31" s="263" customFormat="1" ht="33.95" hidden="1" customHeight="1" outlineLevel="5" spans="2:66">
      <c r="B31" s="174" t="s">
        <v>799</v>
      </c>
      <c r="C31" s="283" t="s">
        <v>840</v>
      </c>
      <c r="D31" s="263" t="s">
        <v>841</v>
      </c>
      <c r="E31" s="174" t="s">
        <v>842</v>
      </c>
      <c r="F31" s="174"/>
      <c r="G31" s="174" t="s">
        <v>803</v>
      </c>
      <c r="H31" s="174">
        <f t="shared" ref="H31:H38" si="59">AB31</f>
        <v>0</v>
      </c>
      <c r="I31" s="174" t="s">
        <v>804</v>
      </c>
      <c r="J31" s="174">
        <f t="shared" ref="J31:J38" si="60">SUM(AD31,AG31,AJ31,AM31,AP31,AS31,AV31,AY31,BB31,BE31,BH31,BK31)/N31</f>
        <v>1</v>
      </c>
      <c r="K31" s="174" t="s">
        <v>805</v>
      </c>
      <c r="L31" s="174">
        <f t="shared" ref="L31:L38" si="61">H31/N31/J31</f>
        <v>0</v>
      </c>
      <c r="M31" s="174" t="s">
        <v>806</v>
      </c>
      <c r="N31" s="174">
        <f t="shared" ref="N31:N38" si="62">COUNTIF(AD31,"&gt;0")+COUNTIF(AG31,"&gt;0")+COUNTIF(AJ31,"&gt;0")+COUNTIF(AM31,"&gt;0")+COUNTIF(AP31,"&gt;0")+COUNTIF(AS31,"&gt;0")+COUNTIF(AV31,"&gt;0")+COUNTIF(AY31,"&gt;0")+COUNTIF(BB31,"&gt;0")+COUNTIF(BE31,"&gt;0")+COUNTIF(BH31,"&gt;0")+COUNTIF(BK31,"&gt;0")</f>
        <v>12</v>
      </c>
      <c r="O31" s="174"/>
      <c r="P31" s="290"/>
      <c r="Q31" s="290"/>
      <c r="R31" s="290"/>
      <c r="S31" s="290"/>
      <c r="T31" s="290"/>
      <c r="U31" s="290"/>
      <c r="V31" s="290"/>
      <c r="W31" s="290"/>
      <c r="X31" s="290"/>
      <c r="Y31" s="290"/>
      <c r="Z31" s="290"/>
      <c r="AA31" s="290"/>
      <c r="AB31" s="174">
        <f t="shared" ref="AB31:AB38" si="63">SUM(AC31,AF31,AI31,AL31,AO31,AR31,AU31,AX31,BA31,BD31,BG31,BJ31)</f>
        <v>0</v>
      </c>
      <c r="AC31" s="174">
        <f t="shared" ref="AC31:AC38" si="64">AD31*AE31</f>
        <v>0</v>
      </c>
      <c r="AD31" s="174">
        <v>1</v>
      </c>
      <c r="AE31" s="298">
        <f>自有人工预算!E28/AD31</f>
        <v>0</v>
      </c>
      <c r="AF31" s="174">
        <f t="shared" ref="AF31:AF38" si="65">AG31*AH31</f>
        <v>0</v>
      </c>
      <c r="AG31" s="174">
        <v>1</v>
      </c>
      <c r="AH31" s="298">
        <f>自有人工预算!F28/AG31</f>
        <v>0</v>
      </c>
      <c r="AI31" s="174">
        <f t="shared" ref="AI31:AI38" si="66">AJ31*AK31</f>
        <v>0</v>
      </c>
      <c r="AJ31" s="174">
        <v>1</v>
      </c>
      <c r="AK31" s="298">
        <f>自有人工预算!G28/AJ31</f>
        <v>0</v>
      </c>
      <c r="AL31" s="174">
        <f t="shared" ref="AL31:AL38" si="67">AM31*AN31</f>
        <v>0</v>
      </c>
      <c r="AM31" s="174">
        <v>1</v>
      </c>
      <c r="AN31" s="298">
        <f>自有人工预算!H28/AM31</f>
        <v>0</v>
      </c>
      <c r="AO31" s="174">
        <f t="shared" ref="AO31:AO38" si="68">AP31*AQ31</f>
        <v>0</v>
      </c>
      <c r="AP31" s="174">
        <v>1</v>
      </c>
      <c r="AQ31" s="298">
        <f>自有人工预算!I28/AP31</f>
        <v>0</v>
      </c>
      <c r="AR31" s="174">
        <f t="shared" ref="AR31:AR38" si="69">AS31*AT31</f>
        <v>0</v>
      </c>
      <c r="AS31" s="174">
        <v>1</v>
      </c>
      <c r="AT31" s="298">
        <f>自有人工预算!J28/AS31</f>
        <v>0</v>
      </c>
      <c r="AU31" s="174">
        <f t="shared" ref="AU31:AU38" si="70">AV31*AW31</f>
        <v>0</v>
      </c>
      <c r="AV31" s="174">
        <v>1</v>
      </c>
      <c r="AW31" s="298">
        <f>自有人工预算!K28/AV31</f>
        <v>0</v>
      </c>
      <c r="AX31" s="174">
        <f t="shared" ref="AX31:AX38" si="71">AY31*AZ31</f>
        <v>0</v>
      </c>
      <c r="AY31" s="174">
        <v>1</v>
      </c>
      <c r="AZ31" s="298">
        <f>自有人工预算!L28/AY31</f>
        <v>0</v>
      </c>
      <c r="BA31" s="174">
        <f t="shared" ref="BA31:BA38" si="72">BB31*BC31</f>
        <v>0</v>
      </c>
      <c r="BB31" s="174">
        <v>1</v>
      </c>
      <c r="BC31" s="298">
        <f>自有人工预算!M28/BB31</f>
        <v>0</v>
      </c>
      <c r="BD31" s="174">
        <f t="shared" ref="BD31:BD38" si="73">BE31*BF31</f>
        <v>0</v>
      </c>
      <c r="BE31" s="174">
        <v>1</v>
      </c>
      <c r="BF31" s="298">
        <f>自有人工预算!N28/BE31</f>
        <v>0</v>
      </c>
      <c r="BG31" s="174">
        <f t="shared" ref="BG31:BG38" si="74">BH31*BI31</f>
        <v>0</v>
      </c>
      <c r="BH31" s="174">
        <v>1</v>
      </c>
      <c r="BI31" s="298">
        <f>自有人工预算!O28/BH31</f>
        <v>0</v>
      </c>
      <c r="BJ31" s="174">
        <f t="shared" ref="BJ31:BJ38" si="75">BK31*BL31</f>
        <v>0</v>
      </c>
      <c r="BK31" s="174">
        <v>1</v>
      </c>
      <c r="BL31" s="298">
        <f>自有人工预算!P28/BK31</f>
        <v>0</v>
      </c>
      <c r="BM31" s="311"/>
      <c r="BN31" s="315"/>
    </row>
    <row r="32" s="263" customFormat="1" ht="33.95" hidden="1" customHeight="1" outlineLevel="5" spans="2:66">
      <c r="B32" s="174" t="s">
        <v>799</v>
      </c>
      <c r="C32" s="283" t="s">
        <v>843</v>
      </c>
      <c r="D32" s="263" t="s">
        <v>844</v>
      </c>
      <c r="E32" s="174" t="s">
        <v>842</v>
      </c>
      <c r="F32" s="174"/>
      <c r="G32" s="174" t="s">
        <v>803</v>
      </c>
      <c r="H32" s="174">
        <f t="shared" si="59"/>
        <v>0</v>
      </c>
      <c r="I32" s="174" t="s">
        <v>804</v>
      </c>
      <c r="J32" s="174" t="e">
        <f t="shared" si="60"/>
        <v>#DIV/0!</v>
      </c>
      <c r="K32" s="174" t="s">
        <v>805</v>
      </c>
      <c r="L32" s="174" t="e">
        <f t="shared" si="61"/>
        <v>#DIV/0!</v>
      </c>
      <c r="M32" s="174" t="s">
        <v>806</v>
      </c>
      <c r="N32" s="174">
        <f t="shared" si="62"/>
        <v>0</v>
      </c>
      <c r="O32" s="174"/>
      <c r="P32" s="290"/>
      <c r="Q32" s="290"/>
      <c r="R32" s="290"/>
      <c r="S32" s="290"/>
      <c r="T32" s="290"/>
      <c r="U32" s="290"/>
      <c r="V32" s="290"/>
      <c r="W32" s="290"/>
      <c r="X32" s="290"/>
      <c r="Y32" s="290"/>
      <c r="Z32" s="290"/>
      <c r="AA32" s="290"/>
      <c r="AB32" s="174">
        <f t="shared" si="63"/>
        <v>0</v>
      </c>
      <c r="AC32" s="174">
        <f t="shared" si="64"/>
        <v>0</v>
      </c>
      <c r="AD32" s="174">
        <f>SUMIFS('1-2 人员岗位信息'!F:F,'1-2 人员岗位信息'!$C:$C,"自有人员",'1-2 人员岗位信息'!$B:$B,$D32)</f>
        <v>0</v>
      </c>
      <c r="AE32" s="298"/>
      <c r="AF32" s="174">
        <f t="shared" si="65"/>
        <v>0</v>
      </c>
      <c r="AG32" s="174">
        <f>SUMIFS('1-2 人员岗位信息'!G:G,'1-2 人员岗位信息'!$C:$C,"自有人员",'1-2 人员岗位信息'!$B:$B,$D32)</f>
        <v>0</v>
      </c>
      <c r="AH32" s="298"/>
      <c r="AI32" s="174">
        <f t="shared" si="66"/>
        <v>0</v>
      </c>
      <c r="AJ32" s="174">
        <f>SUMIFS('1-2 人员岗位信息'!H:H,'1-2 人员岗位信息'!$C:$C,"自有人员",'1-2 人员岗位信息'!$B:$B,$D32)</f>
        <v>0</v>
      </c>
      <c r="AK32" s="298"/>
      <c r="AL32" s="174">
        <f t="shared" si="67"/>
        <v>0</v>
      </c>
      <c r="AM32" s="174">
        <f>SUMIFS('1-2 人员岗位信息'!I:I,'1-2 人员岗位信息'!$C:$C,"自有人员",'1-2 人员岗位信息'!$B:$B,$D32)</f>
        <v>0</v>
      </c>
      <c r="AN32" s="298"/>
      <c r="AO32" s="174">
        <f t="shared" si="68"/>
        <v>0</v>
      </c>
      <c r="AP32" s="174">
        <f>SUMIFS('1-2 人员岗位信息'!J:J,'1-2 人员岗位信息'!$C:$C,"自有人员",'1-2 人员岗位信息'!$B:$B,$D32)</f>
        <v>0</v>
      </c>
      <c r="AQ32" s="298"/>
      <c r="AR32" s="174">
        <f t="shared" si="69"/>
        <v>0</v>
      </c>
      <c r="AS32" s="174">
        <f>SUMIFS('1-2 人员岗位信息'!K:K,'1-2 人员岗位信息'!$C:$C,"自有人员",'1-2 人员岗位信息'!$B:$B,$D32)</f>
        <v>0</v>
      </c>
      <c r="AT32" s="298"/>
      <c r="AU32" s="174">
        <f t="shared" si="70"/>
        <v>0</v>
      </c>
      <c r="AV32" s="174">
        <f>SUMIFS('1-2 人员岗位信息'!L:L,'1-2 人员岗位信息'!$C:$C,"自有人员",'1-2 人员岗位信息'!$B:$B,$D32)</f>
        <v>0</v>
      </c>
      <c r="AW32" s="298"/>
      <c r="AX32" s="174">
        <f t="shared" si="71"/>
        <v>0</v>
      </c>
      <c r="AY32" s="174">
        <f>SUMIFS('1-2 人员岗位信息'!M:M,'1-2 人员岗位信息'!$C:$C,"自有人员",'1-2 人员岗位信息'!$B:$B,$D32)</f>
        <v>0</v>
      </c>
      <c r="AZ32" s="298"/>
      <c r="BA32" s="174">
        <f t="shared" si="72"/>
        <v>0</v>
      </c>
      <c r="BB32" s="174">
        <f>SUMIFS('1-2 人员岗位信息'!N:N,'1-2 人员岗位信息'!$C:$C,"自有人员",'1-2 人员岗位信息'!$B:$B,$D32)</f>
        <v>0</v>
      </c>
      <c r="BC32" s="298"/>
      <c r="BD32" s="174">
        <f t="shared" si="73"/>
        <v>0</v>
      </c>
      <c r="BE32" s="174">
        <f>SUMIFS('1-2 人员岗位信息'!O:O,'1-2 人员岗位信息'!$C:$C,"自有人员",'1-2 人员岗位信息'!$B:$B,$D32)</f>
        <v>0</v>
      </c>
      <c r="BF32" s="298"/>
      <c r="BG32" s="174">
        <f t="shared" si="74"/>
        <v>0</v>
      </c>
      <c r="BH32" s="174">
        <f>SUMIFS('1-2 人员岗位信息'!P:P,'1-2 人员岗位信息'!$C:$C,"自有人员",'1-2 人员岗位信息'!$B:$B,$D32)</f>
        <v>0</v>
      </c>
      <c r="BI32" s="298"/>
      <c r="BJ32" s="174">
        <f t="shared" si="75"/>
        <v>0</v>
      </c>
      <c r="BK32" s="174">
        <f>SUMIFS('1-2 人员岗位信息'!Q:Q,'1-2 人员岗位信息'!$C:$C,"自有人员",'1-2 人员岗位信息'!$B:$B,$D32)</f>
        <v>0</v>
      </c>
      <c r="BL32" s="307"/>
      <c r="BM32" s="311"/>
      <c r="BN32" s="315"/>
    </row>
    <row r="33" s="263" customFormat="1" ht="33.95" hidden="1" customHeight="1" outlineLevel="5" spans="2:66">
      <c r="B33" s="174" t="s">
        <v>799</v>
      </c>
      <c r="C33" s="283" t="s">
        <v>845</v>
      </c>
      <c r="D33" s="263" t="s">
        <v>846</v>
      </c>
      <c r="E33" s="174" t="s">
        <v>847</v>
      </c>
      <c r="F33" s="174"/>
      <c r="G33" s="174" t="s">
        <v>803</v>
      </c>
      <c r="H33" s="174">
        <f t="shared" si="59"/>
        <v>0</v>
      </c>
      <c r="I33" s="174" t="s">
        <v>804</v>
      </c>
      <c r="J33" s="174" t="e">
        <f t="shared" si="60"/>
        <v>#DIV/0!</v>
      </c>
      <c r="K33" s="174" t="s">
        <v>805</v>
      </c>
      <c r="L33" s="174" t="e">
        <f t="shared" si="61"/>
        <v>#DIV/0!</v>
      </c>
      <c r="M33" s="174" t="s">
        <v>806</v>
      </c>
      <c r="N33" s="174">
        <f t="shared" si="62"/>
        <v>0</v>
      </c>
      <c r="O33" s="174"/>
      <c r="P33" s="290"/>
      <c r="Q33" s="290"/>
      <c r="R33" s="290"/>
      <c r="S33" s="290"/>
      <c r="T33" s="290"/>
      <c r="U33" s="290"/>
      <c r="V33" s="290"/>
      <c r="W33" s="290"/>
      <c r="X33" s="290"/>
      <c r="Y33" s="290"/>
      <c r="Z33" s="290"/>
      <c r="AA33" s="290"/>
      <c r="AB33" s="174">
        <f t="shared" si="63"/>
        <v>0</v>
      </c>
      <c r="AC33" s="174">
        <f t="shared" si="64"/>
        <v>0</v>
      </c>
      <c r="AD33" s="174">
        <f>SUMIFS('1-2 人员岗位信息'!F:F,'1-2 人员岗位信息'!$C:$C,"自有人员",'1-2 人员岗位信息'!$B:$B,$D33)</f>
        <v>0</v>
      </c>
      <c r="AE33" s="298"/>
      <c r="AF33" s="174">
        <f t="shared" si="65"/>
        <v>0</v>
      </c>
      <c r="AG33" s="174">
        <f>SUMIFS('1-2 人员岗位信息'!G:G,'1-2 人员岗位信息'!$C:$C,"自有人员",'1-2 人员岗位信息'!$B:$B,$D33)</f>
        <v>0</v>
      </c>
      <c r="AH33" s="298"/>
      <c r="AI33" s="174">
        <f t="shared" si="66"/>
        <v>0</v>
      </c>
      <c r="AJ33" s="174">
        <f>SUMIFS('1-2 人员岗位信息'!H:H,'1-2 人员岗位信息'!$C:$C,"自有人员",'1-2 人员岗位信息'!$B:$B,$D33)</f>
        <v>0</v>
      </c>
      <c r="AK33" s="298"/>
      <c r="AL33" s="174">
        <f t="shared" si="67"/>
        <v>0</v>
      </c>
      <c r="AM33" s="174">
        <f>SUMIFS('1-2 人员岗位信息'!I:I,'1-2 人员岗位信息'!$C:$C,"自有人员",'1-2 人员岗位信息'!$B:$B,$D33)</f>
        <v>0</v>
      </c>
      <c r="AN33" s="298"/>
      <c r="AO33" s="174">
        <f t="shared" si="68"/>
        <v>0</v>
      </c>
      <c r="AP33" s="174">
        <f>SUMIFS('1-2 人员岗位信息'!J:J,'1-2 人员岗位信息'!$C:$C,"自有人员",'1-2 人员岗位信息'!$B:$B,$D33)</f>
        <v>0</v>
      </c>
      <c r="AQ33" s="298"/>
      <c r="AR33" s="174">
        <f t="shared" si="69"/>
        <v>0</v>
      </c>
      <c r="AS33" s="174">
        <f>SUMIFS('1-2 人员岗位信息'!K:K,'1-2 人员岗位信息'!$C:$C,"自有人员",'1-2 人员岗位信息'!$B:$B,$D33)</f>
        <v>0</v>
      </c>
      <c r="AT33" s="298"/>
      <c r="AU33" s="174">
        <f t="shared" si="70"/>
        <v>0</v>
      </c>
      <c r="AV33" s="174">
        <f>SUMIFS('1-2 人员岗位信息'!L:L,'1-2 人员岗位信息'!$C:$C,"自有人员",'1-2 人员岗位信息'!$B:$B,$D33)</f>
        <v>0</v>
      </c>
      <c r="AW33" s="298"/>
      <c r="AX33" s="174">
        <f t="shared" si="71"/>
        <v>0</v>
      </c>
      <c r="AY33" s="174">
        <f>SUMIFS('1-2 人员岗位信息'!M:M,'1-2 人员岗位信息'!$C:$C,"自有人员",'1-2 人员岗位信息'!$B:$B,$D33)</f>
        <v>0</v>
      </c>
      <c r="AZ33" s="298"/>
      <c r="BA33" s="174">
        <f t="shared" si="72"/>
        <v>0</v>
      </c>
      <c r="BB33" s="174">
        <f>SUMIFS('1-2 人员岗位信息'!N:N,'1-2 人员岗位信息'!$C:$C,"自有人员",'1-2 人员岗位信息'!$B:$B,$D33)</f>
        <v>0</v>
      </c>
      <c r="BC33" s="298"/>
      <c r="BD33" s="174">
        <f t="shared" si="73"/>
        <v>0</v>
      </c>
      <c r="BE33" s="174">
        <f>SUMIFS('1-2 人员岗位信息'!O:O,'1-2 人员岗位信息'!$C:$C,"自有人员",'1-2 人员岗位信息'!$B:$B,$D33)</f>
        <v>0</v>
      </c>
      <c r="BF33" s="298"/>
      <c r="BG33" s="174">
        <f t="shared" si="74"/>
        <v>0</v>
      </c>
      <c r="BH33" s="174">
        <f>SUMIFS('1-2 人员岗位信息'!P:P,'1-2 人员岗位信息'!$C:$C,"自有人员",'1-2 人员岗位信息'!$B:$B,$D33)</f>
        <v>0</v>
      </c>
      <c r="BI33" s="298"/>
      <c r="BJ33" s="174">
        <f t="shared" si="75"/>
        <v>0</v>
      </c>
      <c r="BK33" s="174">
        <f>SUMIFS('1-2 人员岗位信息'!Q:Q,'1-2 人员岗位信息'!$C:$C,"自有人员",'1-2 人员岗位信息'!$B:$B,$D33)</f>
        <v>0</v>
      </c>
      <c r="BL33" s="307"/>
      <c r="BM33" s="311"/>
      <c r="BN33" s="315"/>
    </row>
    <row r="34" s="263" customFormat="1" ht="33.95" hidden="1" customHeight="1" outlineLevel="5" spans="2:66">
      <c r="B34" s="174" t="s">
        <v>799</v>
      </c>
      <c r="C34" s="283" t="s">
        <v>848</v>
      </c>
      <c r="D34" s="263" t="s">
        <v>849</v>
      </c>
      <c r="E34" s="174" t="s">
        <v>850</v>
      </c>
      <c r="F34" s="174"/>
      <c r="G34" s="174" t="s">
        <v>803</v>
      </c>
      <c r="H34" s="174">
        <f t="shared" si="59"/>
        <v>0</v>
      </c>
      <c r="I34" s="174" t="s">
        <v>804</v>
      </c>
      <c r="J34" s="174" t="e">
        <f t="shared" si="60"/>
        <v>#DIV/0!</v>
      </c>
      <c r="K34" s="174" t="s">
        <v>805</v>
      </c>
      <c r="L34" s="174" t="e">
        <f t="shared" si="61"/>
        <v>#DIV/0!</v>
      </c>
      <c r="M34" s="174" t="s">
        <v>806</v>
      </c>
      <c r="N34" s="174">
        <f t="shared" si="62"/>
        <v>0</v>
      </c>
      <c r="O34" s="174"/>
      <c r="P34" s="290"/>
      <c r="Q34" s="290"/>
      <c r="R34" s="290"/>
      <c r="S34" s="290"/>
      <c r="T34" s="290"/>
      <c r="U34" s="290"/>
      <c r="V34" s="290"/>
      <c r="W34" s="290"/>
      <c r="X34" s="290"/>
      <c r="Y34" s="290"/>
      <c r="Z34" s="290"/>
      <c r="AA34" s="290"/>
      <c r="AB34" s="174">
        <f t="shared" si="63"/>
        <v>0</v>
      </c>
      <c r="AC34" s="174">
        <f t="shared" si="64"/>
        <v>0</v>
      </c>
      <c r="AD34" s="174">
        <f>SUMIFS('1-2 人员岗位信息'!F:F,'1-2 人员岗位信息'!$C:$C,"自有人员",'1-2 人员岗位信息'!$B:$B,$D34)</f>
        <v>0</v>
      </c>
      <c r="AE34" s="298"/>
      <c r="AF34" s="174">
        <f t="shared" si="65"/>
        <v>0</v>
      </c>
      <c r="AG34" s="174">
        <f>SUMIFS('1-2 人员岗位信息'!G:G,'1-2 人员岗位信息'!$C:$C,"自有人员",'1-2 人员岗位信息'!$B:$B,$D34)</f>
        <v>0</v>
      </c>
      <c r="AH34" s="298"/>
      <c r="AI34" s="174">
        <f t="shared" si="66"/>
        <v>0</v>
      </c>
      <c r="AJ34" s="174">
        <f>SUMIFS('1-2 人员岗位信息'!H:H,'1-2 人员岗位信息'!$C:$C,"自有人员",'1-2 人员岗位信息'!$B:$B,$D34)</f>
        <v>0</v>
      </c>
      <c r="AK34" s="298"/>
      <c r="AL34" s="174">
        <f t="shared" si="67"/>
        <v>0</v>
      </c>
      <c r="AM34" s="174">
        <f>SUMIFS('1-2 人员岗位信息'!I:I,'1-2 人员岗位信息'!$C:$C,"自有人员",'1-2 人员岗位信息'!$B:$B,$D34)</f>
        <v>0</v>
      </c>
      <c r="AN34" s="298"/>
      <c r="AO34" s="174">
        <f t="shared" si="68"/>
        <v>0</v>
      </c>
      <c r="AP34" s="174">
        <f>SUMIFS('1-2 人员岗位信息'!J:J,'1-2 人员岗位信息'!$C:$C,"自有人员",'1-2 人员岗位信息'!$B:$B,$D34)</f>
        <v>0</v>
      </c>
      <c r="AQ34" s="298"/>
      <c r="AR34" s="174">
        <f t="shared" si="69"/>
        <v>0</v>
      </c>
      <c r="AS34" s="174">
        <f>SUMIFS('1-2 人员岗位信息'!K:K,'1-2 人员岗位信息'!$C:$C,"自有人员",'1-2 人员岗位信息'!$B:$B,$D34)</f>
        <v>0</v>
      </c>
      <c r="AT34" s="298"/>
      <c r="AU34" s="174">
        <f t="shared" si="70"/>
        <v>0</v>
      </c>
      <c r="AV34" s="174">
        <f>SUMIFS('1-2 人员岗位信息'!L:L,'1-2 人员岗位信息'!$C:$C,"自有人员",'1-2 人员岗位信息'!$B:$B,$D34)</f>
        <v>0</v>
      </c>
      <c r="AW34" s="298"/>
      <c r="AX34" s="174">
        <f t="shared" si="71"/>
        <v>0</v>
      </c>
      <c r="AY34" s="174">
        <f>SUMIFS('1-2 人员岗位信息'!M:M,'1-2 人员岗位信息'!$C:$C,"自有人员",'1-2 人员岗位信息'!$B:$B,$D34)</f>
        <v>0</v>
      </c>
      <c r="AZ34" s="298"/>
      <c r="BA34" s="174">
        <f t="shared" si="72"/>
        <v>0</v>
      </c>
      <c r="BB34" s="174">
        <f>SUMIFS('1-2 人员岗位信息'!N:N,'1-2 人员岗位信息'!$C:$C,"自有人员",'1-2 人员岗位信息'!$B:$B,$D34)</f>
        <v>0</v>
      </c>
      <c r="BC34" s="298"/>
      <c r="BD34" s="174">
        <f t="shared" si="73"/>
        <v>0</v>
      </c>
      <c r="BE34" s="174">
        <f>SUMIFS('1-2 人员岗位信息'!O:O,'1-2 人员岗位信息'!$C:$C,"自有人员",'1-2 人员岗位信息'!$B:$B,$D34)</f>
        <v>0</v>
      </c>
      <c r="BF34" s="298"/>
      <c r="BG34" s="174">
        <f t="shared" si="74"/>
        <v>0</v>
      </c>
      <c r="BH34" s="174">
        <f>SUMIFS('1-2 人员岗位信息'!P:P,'1-2 人员岗位信息'!$C:$C,"自有人员",'1-2 人员岗位信息'!$B:$B,$D34)</f>
        <v>0</v>
      </c>
      <c r="BI34" s="298"/>
      <c r="BJ34" s="174">
        <f t="shared" si="75"/>
        <v>0</v>
      </c>
      <c r="BK34" s="174">
        <f>SUMIFS('1-2 人员岗位信息'!Q:Q,'1-2 人员岗位信息'!$C:$C,"自有人员",'1-2 人员岗位信息'!$B:$B,$D34)</f>
        <v>0</v>
      </c>
      <c r="BL34" s="307"/>
      <c r="BM34" s="311"/>
      <c r="BN34" s="315"/>
    </row>
    <row r="35" s="263" customFormat="1" ht="33.95" hidden="1" customHeight="1" outlineLevel="5" spans="2:66">
      <c r="B35" s="174" t="s">
        <v>799</v>
      </c>
      <c r="C35" s="283" t="s">
        <v>851</v>
      </c>
      <c r="D35" s="263" t="s">
        <v>852</v>
      </c>
      <c r="E35" s="174" t="s">
        <v>853</v>
      </c>
      <c r="F35" s="174"/>
      <c r="G35" s="174" t="s">
        <v>803</v>
      </c>
      <c r="H35" s="174">
        <f t="shared" si="59"/>
        <v>0</v>
      </c>
      <c r="I35" s="174" t="s">
        <v>804</v>
      </c>
      <c r="J35" s="174" t="e">
        <f t="shared" si="60"/>
        <v>#DIV/0!</v>
      </c>
      <c r="K35" s="174" t="s">
        <v>805</v>
      </c>
      <c r="L35" s="174" t="e">
        <f t="shared" si="61"/>
        <v>#DIV/0!</v>
      </c>
      <c r="M35" s="174" t="s">
        <v>806</v>
      </c>
      <c r="N35" s="174">
        <f t="shared" si="62"/>
        <v>0</v>
      </c>
      <c r="O35" s="174"/>
      <c r="P35" s="290"/>
      <c r="Q35" s="290"/>
      <c r="R35" s="290"/>
      <c r="S35" s="290"/>
      <c r="T35" s="290"/>
      <c r="U35" s="290"/>
      <c r="V35" s="290"/>
      <c r="W35" s="290"/>
      <c r="X35" s="290"/>
      <c r="Y35" s="290"/>
      <c r="Z35" s="290"/>
      <c r="AA35" s="290"/>
      <c r="AB35" s="174">
        <f t="shared" si="63"/>
        <v>0</v>
      </c>
      <c r="AC35" s="174">
        <f t="shared" si="64"/>
        <v>0</v>
      </c>
      <c r="AD35" s="174">
        <f>SUMIFS('1-2 人员岗位信息'!F:F,'1-2 人员岗位信息'!$C:$C,"自有人员",'1-2 人员岗位信息'!$B:$B,$D35)</f>
        <v>0</v>
      </c>
      <c r="AE35" s="298"/>
      <c r="AF35" s="174">
        <f t="shared" si="65"/>
        <v>0</v>
      </c>
      <c r="AG35" s="174">
        <f>SUMIFS('1-2 人员岗位信息'!G:G,'1-2 人员岗位信息'!$C:$C,"自有人员",'1-2 人员岗位信息'!$B:$B,$D35)</f>
        <v>0</v>
      </c>
      <c r="AH35" s="298"/>
      <c r="AI35" s="174">
        <f t="shared" si="66"/>
        <v>0</v>
      </c>
      <c r="AJ35" s="174">
        <f>SUMIFS('1-2 人员岗位信息'!H:H,'1-2 人员岗位信息'!$C:$C,"自有人员",'1-2 人员岗位信息'!$B:$B,$D35)</f>
        <v>0</v>
      </c>
      <c r="AK35" s="298"/>
      <c r="AL35" s="174">
        <f t="shared" si="67"/>
        <v>0</v>
      </c>
      <c r="AM35" s="174">
        <f>SUMIFS('1-2 人员岗位信息'!I:I,'1-2 人员岗位信息'!$C:$C,"自有人员",'1-2 人员岗位信息'!$B:$B,$D35)</f>
        <v>0</v>
      </c>
      <c r="AN35" s="298"/>
      <c r="AO35" s="174">
        <f t="shared" si="68"/>
        <v>0</v>
      </c>
      <c r="AP35" s="174">
        <f>SUMIFS('1-2 人员岗位信息'!J:J,'1-2 人员岗位信息'!$C:$C,"自有人员",'1-2 人员岗位信息'!$B:$B,$D35)</f>
        <v>0</v>
      </c>
      <c r="AQ35" s="298"/>
      <c r="AR35" s="174">
        <f t="shared" si="69"/>
        <v>0</v>
      </c>
      <c r="AS35" s="174">
        <f>SUMIFS('1-2 人员岗位信息'!K:K,'1-2 人员岗位信息'!$C:$C,"自有人员",'1-2 人员岗位信息'!$B:$B,$D35)</f>
        <v>0</v>
      </c>
      <c r="AT35" s="298"/>
      <c r="AU35" s="174">
        <f t="shared" si="70"/>
        <v>0</v>
      </c>
      <c r="AV35" s="174">
        <f>SUMIFS('1-2 人员岗位信息'!L:L,'1-2 人员岗位信息'!$C:$C,"自有人员",'1-2 人员岗位信息'!$B:$B,$D35)</f>
        <v>0</v>
      </c>
      <c r="AW35" s="298"/>
      <c r="AX35" s="174">
        <f t="shared" si="71"/>
        <v>0</v>
      </c>
      <c r="AY35" s="174">
        <f>SUMIFS('1-2 人员岗位信息'!M:M,'1-2 人员岗位信息'!$C:$C,"自有人员",'1-2 人员岗位信息'!$B:$B,$D35)</f>
        <v>0</v>
      </c>
      <c r="AZ35" s="298"/>
      <c r="BA35" s="174">
        <f t="shared" si="72"/>
        <v>0</v>
      </c>
      <c r="BB35" s="174">
        <f>SUMIFS('1-2 人员岗位信息'!N:N,'1-2 人员岗位信息'!$C:$C,"自有人员",'1-2 人员岗位信息'!$B:$B,$D35)</f>
        <v>0</v>
      </c>
      <c r="BC35" s="298"/>
      <c r="BD35" s="174">
        <f t="shared" si="73"/>
        <v>0</v>
      </c>
      <c r="BE35" s="174">
        <f>SUMIFS('1-2 人员岗位信息'!O:O,'1-2 人员岗位信息'!$C:$C,"自有人员",'1-2 人员岗位信息'!$B:$B,$D35)</f>
        <v>0</v>
      </c>
      <c r="BF35" s="298"/>
      <c r="BG35" s="174">
        <f t="shared" si="74"/>
        <v>0</v>
      </c>
      <c r="BH35" s="174">
        <f>SUMIFS('1-2 人员岗位信息'!P:P,'1-2 人员岗位信息'!$C:$C,"自有人员",'1-2 人员岗位信息'!$B:$B,$D35)</f>
        <v>0</v>
      </c>
      <c r="BI35" s="298"/>
      <c r="BJ35" s="174">
        <f t="shared" si="75"/>
        <v>0</v>
      </c>
      <c r="BK35" s="174">
        <f>SUMIFS('1-2 人员岗位信息'!Q:Q,'1-2 人员岗位信息'!$C:$C,"自有人员",'1-2 人员岗位信息'!$B:$B,$D35)</f>
        <v>0</v>
      </c>
      <c r="BL35" s="307"/>
      <c r="BM35" s="311"/>
      <c r="BN35" s="315"/>
    </row>
    <row r="36" s="263" customFormat="1" ht="33.95" hidden="1" customHeight="1" outlineLevel="5" spans="2:66">
      <c r="B36" s="174" t="s">
        <v>799</v>
      </c>
      <c r="C36" s="283" t="s">
        <v>854</v>
      </c>
      <c r="D36" s="263" t="s">
        <v>855</v>
      </c>
      <c r="E36" s="174" t="s">
        <v>856</v>
      </c>
      <c r="F36" s="174"/>
      <c r="G36" s="174" t="s">
        <v>803</v>
      </c>
      <c r="H36" s="174">
        <f t="shared" si="59"/>
        <v>0</v>
      </c>
      <c r="I36" s="174" t="s">
        <v>804</v>
      </c>
      <c r="J36" s="174" t="e">
        <f t="shared" si="60"/>
        <v>#DIV/0!</v>
      </c>
      <c r="K36" s="174" t="s">
        <v>805</v>
      </c>
      <c r="L36" s="174" t="e">
        <f t="shared" si="61"/>
        <v>#DIV/0!</v>
      </c>
      <c r="M36" s="174" t="s">
        <v>806</v>
      </c>
      <c r="N36" s="174">
        <f t="shared" si="62"/>
        <v>0</v>
      </c>
      <c r="O36" s="174"/>
      <c r="P36" s="290"/>
      <c r="Q36" s="290"/>
      <c r="R36" s="290"/>
      <c r="S36" s="290"/>
      <c r="T36" s="290"/>
      <c r="U36" s="290"/>
      <c r="V36" s="290"/>
      <c r="W36" s="290"/>
      <c r="X36" s="290"/>
      <c r="Y36" s="290"/>
      <c r="Z36" s="290"/>
      <c r="AA36" s="290"/>
      <c r="AB36" s="174">
        <f t="shared" si="63"/>
        <v>0</v>
      </c>
      <c r="AC36" s="174">
        <f t="shared" si="64"/>
        <v>0</v>
      </c>
      <c r="AD36" s="174">
        <f>SUMIFS('1-2 人员岗位信息'!F:F,'1-2 人员岗位信息'!$C:$C,"自有人员",'1-2 人员岗位信息'!$B:$B,$D36)</f>
        <v>0</v>
      </c>
      <c r="AE36" s="298"/>
      <c r="AF36" s="174">
        <f t="shared" si="65"/>
        <v>0</v>
      </c>
      <c r="AG36" s="174">
        <f>SUMIFS('1-2 人员岗位信息'!G:G,'1-2 人员岗位信息'!$C:$C,"自有人员",'1-2 人员岗位信息'!$B:$B,$D36)</f>
        <v>0</v>
      </c>
      <c r="AH36" s="298"/>
      <c r="AI36" s="174">
        <f t="shared" si="66"/>
        <v>0</v>
      </c>
      <c r="AJ36" s="174">
        <f>SUMIFS('1-2 人员岗位信息'!H:H,'1-2 人员岗位信息'!$C:$C,"自有人员",'1-2 人员岗位信息'!$B:$B,$D36)</f>
        <v>0</v>
      </c>
      <c r="AK36" s="298"/>
      <c r="AL36" s="174">
        <f t="shared" si="67"/>
        <v>0</v>
      </c>
      <c r="AM36" s="174">
        <f>SUMIFS('1-2 人员岗位信息'!I:I,'1-2 人员岗位信息'!$C:$C,"自有人员",'1-2 人员岗位信息'!$B:$B,$D36)</f>
        <v>0</v>
      </c>
      <c r="AN36" s="298"/>
      <c r="AO36" s="174">
        <f t="shared" si="68"/>
        <v>0</v>
      </c>
      <c r="AP36" s="174">
        <f>SUMIFS('1-2 人员岗位信息'!J:J,'1-2 人员岗位信息'!$C:$C,"自有人员",'1-2 人员岗位信息'!$B:$B,$D36)</f>
        <v>0</v>
      </c>
      <c r="AQ36" s="298"/>
      <c r="AR36" s="174">
        <f t="shared" si="69"/>
        <v>0</v>
      </c>
      <c r="AS36" s="174">
        <f>SUMIFS('1-2 人员岗位信息'!K:K,'1-2 人员岗位信息'!$C:$C,"自有人员",'1-2 人员岗位信息'!$B:$B,$D36)</f>
        <v>0</v>
      </c>
      <c r="AT36" s="298"/>
      <c r="AU36" s="174">
        <f t="shared" si="70"/>
        <v>0</v>
      </c>
      <c r="AV36" s="174">
        <f>SUMIFS('1-2 人员岗位信息'!L:L,'1-2 人员岗位信息'!$C:$C,"自有人员",'1-2 人员岗位信息'!$B:$B,$D36)</f>
        <v>0</v>
      </c>
      <c r="AW36" s="298"/>
      <c r="AX36" s="174">
        <f t="shared" si="71"/>
        <v>0</v>
      </c>
      <c r="AY36" s="174">
        <f>SUMIFS('1-2 人员岗位信息'!M:M,'1-2 人员岗位信息'!$C:$C,"自有人员",'1-2 人员岗位信息'!$B:$B,$D36)</f>
        <v>0</v>
      </c>
      <c r="AZ36" s="298"/>
      <c r="BA36" s="174">
        <f t="shared" si="72"/>
        <v>0</v>
      </c>
      <c r="BB36" s="174">
        <f>SUMIFS('1-2 人员岗位信息'!N:N,'1-2 人员岗位信息'!$C:$C,"自有人员",'1-2 人员岗位信息'!$B:$B,$D36)</f>
        <v>0</v>
      </c>
      <c r="BC36" s="298"/>
      <c r="BD36" s="174">
        <f t="shared" si="73"/>
        <v>0</v>
      </c>
      <c r="BE36" s="174">
        <f>SUMIFS('1-2 人员岗位信息'!O:O,'1-2 人员岗位信息'!$C:$C,"自有人员",'1-2 人员岗位信息'!$B:$B,$D36)</f>
        <v>0</v>
      </c>
      <c r="BF36" s="298"/>
      <c r="BG36" s="174">
        <f t="shared" si="74"/>
        <v>0</v>
      </c>
      <c r="BH36" s="174">
        <f>SUMIFS('1-2 人员岗位信息'!P:P,'1-2 人员岗位信息'!$C:$C,"自有人员",'1-2 人员岗位信息'!$B:$B,$D36)</f>
        <v>0</v>
      </c>
      <c r="BI36" s="298"/>
      <c r="BJ36" s="174">
        <f t="shared" si="75"/>
        <v>0</v>
      </c>
      <c r="BK36" s="174">
        <f>SUMIFS('1-2 人员岗位信息'!Q:Q,'1-2 人员岗位信息'!$C:$C,"自有人员",'1-2 人员岗位信息'!$B:$B,$D36)</f>
        <v>0</v>
      </c>
      <c r="BL36" s="307"/>
      <c r="BM36" s="311"/>
      <c r="BN36" s="315"/>
    </row>
    <row r="37" s="263" customFormat="1" ht="33.95" hidden="1" customHeight="1" outlineLevel="5" spans="2:66">
      <c r="B37" s="174" t="s">
        <v>799</v>
      </c>
      <c r="C37" s="283" t="s">
        <v>857</v>
      </c>
      <c r="D37" s="263" t="s">
        <v>858</v>
      </c>
      <c r="E37" s="174" t="s">
        <v>859</v>
      </c>
      <c r="F37" s="174"/>
      <c r="G37" s="174" t="s">
        <v>803</v>
      </c>
      <c r="H37" s="174">
        <f t="shared" si="59"/>
        <v>0</v>
      </c>
      <c r="I37" s="174" t="s">
        <v>804</v>
      </c>
      <c r="J37" s="174" t="e">
        <f t="shared" si="60"/>
        <v>#DIV/0!</v>
      </c>
      <c r="K37" s="174" t="s">
        <v>805</v>
      </c>
      <c r="L37" s="174" t="e">
        <f t="shared" si="61"/>
        <v>#DIV/0!</v>
      </c>
      <c r="M37" s="174" t="s">
        <v>806</v>
      </c>
      <c r="N37" s="174">
        <f t="shared" si="62"/>
        <v>0</v>
      </c>
      <c r="O37" s="174"/>
      <c r="P37" s="290"/>
      <c r="Q37" s="290"/>
      <c r="R37" s="290"/>
      <c r="S37" s="290"/>
      <c r="T37" s="290"/>
      <c r="U37" s="290"/>
      <c r="V37" s="290"/>
      <c r="W37" s="290"/>
      <c r="X37" s="290"/>
      <c r="Y37" s="290"/>
      <c r="Z37" s="290"/>
      <c r="AA37" s="290"/>
      <c r="AB37" s="174">
        <f t="shared" si="63"/>
        <v>0</v>
      </c>
      <c r="AC37" s="174">
        <f t="shared" si="64"/>
        <v>0</v>
      </c>
      <c r="AD37" s="174">
        <f>SUMIFS('1-2 人员岗位信息'!F:F,'1-2 人员岗位信息'!$C:$C,"自有人员",'1-2 人员岗位信息'!$B:$B,$D37)</f>
        <v>0</v>
      </c>
      <c r="AE37" s="298"/>
      <c r="AF37" s="174">
        <f t="shared" si="65"/>
        <v>0</v>
      </c>
      <c r="AG37" s="174">
        <f>SUMIFS('1-2 人员岗位信息'!G:G,'1-2 人员岗位信息'!$C:$C,"自有人员",'1-2 人员岗位信息'!$B:$B,$D37)</f>
        <v>0</v>
      </c>
      <c r="AH37" s="298"/>
      <c r="AI37" s="174">
        <f t="shared" si="66"/>
        <v>0</v>
      </c>
      <c r="AJ37" s="174">
        <f>SUMIFS('1-2 人员岗位信息'!H:H,'1-2 人员岗位信息'!$C:$C,"自有人员",'1-2 人员岗位信息'!$B:$B,$D37)</f>
        <v>0</v>
      </c>
      <c r="AK37" s="298"/>
      <c r="AL37" s="174">
        <f t="shared" si="67"/>
        <v>0</v>
      </c>
      <c r="AM37" s="174">
        <f>SUMIFS('1-2 人员岗位信息'!I:I,'1-2 人员岗位信息'!$C:$C,"自有人员",'1-2 人员岗位信息'!$B:$B,$D37)</f>
        <v>0</v>
      </c>
      <c r="AN37" s="298"/>
      <c r="AO37" s="174">
        <f t="shared" si="68"/>
        <v>0</v>
      </c>
      <c r="AP37" s="174">
        <f>SUMIFS('1-2 人员岗位信息'!J:J,'1-2 人员岗位信息'!$C:$C,"自有人员",'1-2 人员岗位信息'!$B:$B,$D37)</f>
        <v>0</v>
      </c>
      <c r="AQ37" s="298"/>
      <c r="AR37" s="174">
        <f t="shared" si="69"/>
        <v>0</v>
      </c>
      <c r="AS37" s="174">
        <f>SUMIFS('1-2 人员岗位信息'!K:K,'1-2 人员岗位信息'!$C:$C,"自有人员",'1-2 人员岗位信息'!$B:$B,$D37)</f>
        <v>0</v>
      </c>
      <c r="AT37" s="298"/>
      <c r="AU37" s="174">
        <f t="shared" si="70"/>
        <v>0</v>
      </c>
      <c r="AV37" s="174">
        <f>SUMIFS('1-2 人员岗位信息'!L:L,'1-2 人员岗位信息'!$C:$C,"自有人员",'1-2 人员岗位信息'!$B:$B,$D37)</f>
        <v>0</v>
      </c>
      <c r="AW37" s="298"/>
      <c r="AX37" s="174">
        <f t="shared" si="71"/>
        <v>0</v>
      </c>
      <c r="AY37" s="174">
        <f>SUMIFS('1-2 人员岗位信息'!M:M,'1-2 人员岗位信息'!$C:$C,"自有人员",'1-2 人员岗位信息'!$B:$B,$D37)</f>
        <v>0</v>
      </c>
      <c r="AZ37" s="298"/>
      <c r="BA37" s="174">
        <f t="shared" si="72"/>
        <v>0</v>
      </c>
      <c r="BB37" s="174">
        <f>SUMIFS('1-2 人员岗位信息'!N:N,'1-2 人员岗位信息'!$C:$C,"自有人员",'1-2 人员岗位信息'!$B:$B,$D37)</f>
        <v>0</v>
      </c>
      <c r="BC37" s="298"/>
      <c r="BD37" s="174">
        <f t="shared" si="73"/>
        <v>0</v>
      </c>
      <c r="BE37" s="174">
        <f>SUMIFS('1-2 人员岗位信息'!O:O,'1-2 人员岗位信息'!$C:$C,"自有人员",'1-2 人员岗位信息'!$B:$B,$D37)</f>
        <v>0</v>
      </c>
      <c r="BF37" s="298"/>
      <c r="BG37" s="174">
        <f t="shared" si="74"/>
        <v>0</v>
      </c>
      <c r="BH37" s="174">
        <f>SUMIFS('1-2 人员岗位信息'!P:P,'1-2 人员岗位信息'!$C:$C,"自有人员",'1-2 人员岗位信息'!$B:$B,$D37)</f>
        <v>0</v>
      </c>
      <c r="BI37" s="298"/>
      <c r="BJ37" s="174">
        <f t="shared" si="75"/>
        <v>0</v>
      </c>
      <c r="BK37" s="174">
        <f>SUMIFS('1-2 人员岗位信息'!Q:Q,'1-2 人员岗位信息'!$C:$C,"自有人员",'1-2 人员岗位信息'!$B:$B,$D37)</f>
        <v>0</v>
      </c>
      <c r="BL37" s="307"/>
      <c r="BM37" s="311"/>
      <c r="BN37" s="315"/>
    </row>
    <row r="38" s="263" customFormat="1" ht="33.95" hidden="1" customHeight="1" outlineLevel="5" spans="2:66">
      <c r="B38" s="174" t="s">
        <v>799</v>
      </c>
      <c r="C38" s="283" t="s">
        <v>860</v>
      </c>
      <c r="D38" s="263" t="s">
        <v>861</v>
      </c>
      <c r="E38" s="174" t="s">
        <v>821</v>
      </c>
      <c r="F38" s="174"/>
      <c r="G38" s="174" t="s">
        <v>803</v>
      </c>
      <c r="H38" s="174">
        <f t="shared" si="59"/>
        <v>0</v>
      </c>
      <c r="I38" s="174" t="s">
        <v>804</v>
      </c>
      <c r="J38" s="174" t="e">
        <f t="shared" si="60"/>
        <v>#DIV/0!</v>
      </c>
      <c r="K38" s="174" t="s">
        <v>805</v>
      </c>
      <c r="L38" s="174" t="e">
        <f t="shared" si="61"/>
        <v>#DIV/0!</v>
      </c>
      <c r="M38" s="174" t="s">
        <v>806</v>
      </c>
      <c r="N38" s="174">
        <f t="shared" si="62"/>
        <v>0</v>
      </c>
      <c r="O38" s="174"/>
      <c r="P38" s="290"/>
      <c r="Q38" s="290"/>
      <c r="R38" s="290"/>
      <c r="S38" s="290"/>
      <c r="T38" s="290"/>
      <c r="U38" s="290"/>
      <c r="V38" s="290"/>
      <c r="W38" s="290"/>
      <c r="X38" s="290"/>
      <c r="Y38" s="290"/>
      <c r="Z38" s="290"/>
      <c r="AA38" s="290"/>
      <c r="AB38" s="174">
        <f t="shared" si="63"/>
        <v>0</v>
      </c>
      <c r="AC38" s="174">
        <f t="shared" si="64"/>
        <v>0</v>
      </c>
      <c r="AD38" s="174">
        <f>SUMIFS('1-2 人员岗位信息'!F:F,'1-2 人员岗位信息'!$C:$C,"自有人员",'1-2 人员岗位信息'!$B:$B,$D38)</f>
        <v>0</v>
      </c>
      <c r="AE38" s="298"/>
      <c r="AF38" s="174">
        <f t="shared" si="65"/>
        <v>0</v>
      </c>
      <c r="AG38" s="174">
        <f>SUMIFS('1-2 人员岗位信息'!G:G,'1-2 人员岗位信息'!$C:$C,"自有人员",'1-2 人员岗位信息'!$B:$B,$D38)</f>
        <v>0</v>
      </c>
      <c r="AH38" s="298"/>
      <c r="AI38" s="174">
        <f t="shared" si="66"/>
        <v>0</v>
      </c>
      <c r="AJ38" s="174">
        <f>SUMIFS('1-2 人员岗位信息'!H:H,'1-2 人员岗位信息'!$C:$C,"自有人员",'1-2 人员岗位信息'!$B:$B,$D38)</f>
        <v>0</v>
      </c>
      <c r="AK38" s="298"/>
      <c r="AL38" s="174">
        <f t="shared" si="67"/>
        <v>0</v>
      </c>
      <c r="AM38" s="174">
        <f>SUMIFS('1-2 人员岗位信息'!I:I,'1-2 人员岗位信息'!$C:$C,"自有人员",'1-2 人员岗位信息'!$B:$B,$D38)</f>
        <v>0</v>
      </c>
      <c r="AN38" s="298"/>
      <c r="AO38" s="174">
        <f t="shared" si="68"/>
        <v>0</v>
      </c>
      <c r="AP38" s="174">
        <f>SUMIFS('1-2 人员岗位信息'!J:J,'1-2 人员岗位信息'!$C:$C,"自有人员",'1-2 人员岗位信息'!$B:$B,$D38)</f>
        <v>0</v>
      </c>
      <c r="AQ38" s="298"/>
      <c r="AR38" s="174">
        <f t="shared" si="69"/>
        <v>0</v>
      </c>
      <c r="AS38" s="174">
        <f>SUMIFS('1-2 人员岗位信息'!K:K,'1-2 人员岗位信息'!$C:$C,"自有人员",'1-2 人员岗位信息'!$B:$B,$D38)</f>
        <v>0</v>
      </c>
      <c r="AT38" s="298"/>
      <c r="AU38" s="174">
        <f t="shared" si="70"/>
        <v>0</v>
      </c>
      <c r="AV38" s="174">
        <f>SUMIFS('1-2 人员岗位信息'!L:L,'1-2 人员岗位信息'!$C:$C,"自有人员",'1-2 人员岗位信息'!$B:$B,$D38)</f>
        <v>0</v>
      </c>
      <c r="AW38" s="298"/>
      <c r="AX38" s="174">
        <f t="shared" si="71"/>
        <v>0</v>
      </c>
      <c r="AY38" s="174">
        <f>SUMIFS('1-2 人员岗位信息'!M:M,'1-2 人员岗位信息'!$C:$C,"自有人员",'1-2 人员岗位信息'!$B:$B,$D38)</f>
        <v>0</v>
      </c>
      <c r="AZ38" s="298"/>
      <c r="BA38" s="174">
        <f t="shared" si="72"/>
        <v>0</v>
      </c>
      <c r="BB38" s="174">
        <f>SUMIFS('1-2 人员岗位信息'!N:N,'1-2 人员岗位信息'!$C:$C,"自有人员",'1-2 人员岗位信息'!$B:$B,$D38)</f>
        <v>0</v>
      </c>
      <c r="BC38" s="298"/>
      <c r="BD38" s="174">
        <f t="shared" si="73"/>
        <v>0</v>
      </c>
      <c r="BE38" s="174">
        <f>SUMIFS('1-2 人员岗位信息'!O:O,'1-2 人员岗位信息'!$C:$C,"自有人员",'1-2 人员岗位信息'!$B:$B,$D38)</f>
        <v>0</v>
      </c>
      <c r="BF38" s="298"/>
      <c r="BG38" s="174">
        <f t="shared" si="74"/>
        <v>0</v>
      </c>
      <c r="BH38" s="174">
        <f>SUMIFS('1-2 人员岗位信息'!P:P,'1-2 人员岗位信息'!$C:$C,"自有人员",'1-2 人员岗位信息'!$B:$B,$D38)</f>
        <v>0</v>
      </c>
      <c r="BI38" s="298"/>
      <c r="BJ38" s="174">
        <f t="shared" si="75"/>
        <v>0</v>
      </c>
      <c r="BK38" s="174">
        <f>SUMIFS('1-2 人员岗位信息'!Q:Q,'1-2 人员岗位信息'!$C:$C,"自有人员",'1-2 人员岗位信息'!$B:$B,$D38)</f>
        <v>0</v>
      </c>
      <c r="BL38" s="307"/>
      <c r="BM38" s="311"/>
      <c r="BN38" s="315"/>
    </row>
    <row r="39" s="117" customFormat="1" ht="33.95" hidden="1" customHeight="1" outlineLevel="4" collapsed="1" spans="2:66">
      <c r="B39" s="118" t="s">
        <v>794</v>
      </c>
      <c r="C39" s="119" t="s">
        <v>69</v>
      </c>
      <c r="D39" s="117" t="s">
        <v>68</v>
      </c>
      <c r="E39" s="118"/>
      <c r="F39" s="118"/>
      <c r="G39" s="118"/>
      <c r="H39" s="118">
        <f>SUM(H40:H47)</f>
        <v>0</v>
      </c>
      <c r="I39" s="118"/>
      <c r="J39" s="118"/>
      <c r="K39" s="118"/>
      <c r="L39" s="118"/>
      <c r="M39" s="118"/>
      <c r="N39" s="118"/>
      <c r="O39" s="118"/>
      <c r="P39" s="289"/>
      <c r="Q39" s="289"/>
      <c r="R39" s="289"/>
      <c r="S39" s="289"/>
      <c r="T39" s="289"/>
      <c r="U39" s="289"/>
      <c r="V39" s="289"/>
      <c r="W39" s="289"/>
      <c r="X39" s="289"/>
      <c r="Y39" s="289"/>
      <c r="Z39" s="289"/>
      <c r="AA39" s="289"/>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6"/>
      <c r="BM39" s="311"/>
      <c r="BN39" s="314"/>
    </row>
    <row r="40" s="263" customFormat="1" ht="33.95" hidden="1" customHeight="1" outlineLevel="5" spans="2:66">
      <c r="B40" s="174" t="s">
        <v>799</v>
      </c>
      <c r="C40" s="283" t="s">
        <v>862</v>
      </c>
      <c r="D40" s="263" t="s">
        <v>841</v>
      </c>
      <c r="E40" s="174" t="s">
        <v>863</v>
      </c>
      <c r="F40" s="174"/>
      <c r="G40" s="174" t="s">
        <v>803</v>
      </c>
      <c r="H40" s="174">
        <f t="shared" ref="H40:H47" si="77">AB40</f>
        <v>0</v>
      </c>
      <c r="I40" s="174" t="s">
        <v>804</v>
      </c>
      <c r="J40" s="174" t="e">
        <f t="shared" ref="J40:J47" si="78">SUM(AD40,AG40,AJ40,AM40,AP40,AS40,AV40,AY40,BB40,BE40,BH40,BK40)/N40</f>
        <v>#DIV/0!</v>
      </c>
      <c r="K40" s="174" t="s">
        <v>805</v>
      </c>
      <c r="L40" s="174" t="e">
        <f t="shared" ref="L40:L47" si="79">H40/N40/J40</f>
        <v>#DIV/0!</v>
      </c>
      <c r="M40" s="174" t="s">
        <v>806</v>
      </c>
      <c r="N40" s="174">
        <f t="shared" ref="N40:N47" si="80">COUNTIF(AD40,"&gt;0")+COUNTIF(AG40,"&gt;0")+COUNTIF(AJ40,"&gt;0")+COUNTIF(AM40,"&gt;0")+COUNTIF(AP40,"&gt;0")+COUNTIF(AS40,"&gt;0")+COUNTIF(AV40,"&gt;0")+COUNTIF(AY40,"&gt;0")+COUNTIF(BB40,"&gt;0")+COUNTIF(BE40,"&gt;0")+COUNTIF(BH40,"&gt;0")+COUNTIF(BK40,"&gt;0")</f>
        <v>0</v>
      </c>
      <c r="O40" s="174"/>
      <c r="P40" s="290"/>
      <c r="Q40" s="290"/>
      <c r="R40" s="290"/>
      <c r="S40" s="290"/>
      <c r="T40" s="290"/>
      <c r="U40" s="290"/>
      <c r="V40" s="290"/>
      <c r="W40" s="290"/>
      <c r="X40" s="290"/>
      <c r="Y40" s="290"/>
      <c r="Z40" s="290"/>
      <c r="AA40" s="290"/>
      <c r="AB40" s="174">
        <f t="shared" ref="AB40:AB47" si="81">SUM(AC40,AF40,AI40,AL40,AO40,AR40,AU40,AX40,BA40,BD40,BG40,BJ40)</f>
        <v>0</v>
      </c>
      <c r="AC40" s="174">
        <f t="shared" ref="AC40:AC47" si="82">AD40*AE40</f>
        <v>0</v>
      </c>
      <c r="AD40" s="174">
        <f>SUMIFS('1-2 人员岗位信息'!F:F,'1-2 人员岗位信息'!$C:$C,"劳务派遣",'1-2 人员岗位信息'!$B:$B,$D40)</f>
        <v>0</v>
      </c>
      <c r="AE40" s="298"/>
      <c r="AF40" s="174">
        <f t="shared" ref="AF40:AF47" si="83">AG40*AH40</f>
        <v>0</v>
      </c>
      <c r="AG40" s="174">
        <f>SUMIFS('1-2 人员岗位信息'!G:G,'1-2 人员岗位信息'!$C:$C,"劳务派遣",'1-2 人员岗位信息'!$B:$B,$D40)</f>
        <v>0</v>
      </c>
      <c r="AH40" s="298"/>
      <c r="AI40" s="174">
        <f t="shared" ref="AI40:AI47" si="84">AJ40*AK40</f>
        <v>0</v>
      </c>
      <c r="AJ40" s="174">
        <f>SUMIFS('1-2 人员岗位信息'!H:H,'1-2 人员岗位信息'!$C:$C,"劳务派遣",'1-2 人员岗位信息'!$B:$B,$D40)</f>
        <v>0</v>
      </c>
      <c r="AK40" s="298"/>
      <c r="AL40" s="174">
        <f t="shared" ref="AL40:AL47" si="85">AM40*AN40</f>
        <v>0</v>
      </c>
      <c r="AM40" s="174">
        <f>SUMIFS('1-2 人员岗位信息'!I:I,'1-2 人员岗位信息'!$C:$C,"劳务派遣",'1-2 人员岗位信息'!$B:$B,$D40)</f>
        <v>0</v>
      </c>
      <c r="AN40" s="298"/>
      <c r="AO40" s="174">
        <f t="shared" ref="AO40:AO47" si="86">AP40*AQ40</f>
        <v>0</v>
      </c>
      <c r="AP40" s="174">
        <f>SUMIFS('1-2 人员岗位信息'!J:J,'1-2 人员岗位信息'!$C:$C,"劳务派遣",'1-2 人员岗位信息'!$B:$B,$D40)</f>
        <v>0</v>
      </c>
      <c r="AQ40" s="298"/>
      <c r="AR40" s="174">
        <f t="shared" ref="AR40:AR47" si="87">AS40*AT40</f>
        <v>0</v>
      </c>
      <c r="AS40" s="174">
        <f>SUMIFS('1-2 人员岗位信息'!K:K,'1-2 人员岗位信息'!$C:$C,"劳务派遣",'1-2 人员岗位信息'!$B:$B,$D40)</f>
        <v>0</v>
      </c>
      <c r="AT40" s="298"/>
      <c r="AU40" s="174">
        <f t="shared" ref="AU40:AU47" si="88">AV40*AW40</f>
        <v>0</v>
      </c>
      <c r="AV40" s="174">
        <f>SUMIFS('1-2 人员岗位信息'!L:L,'1-2 人员岗位信息'!$C:$C,"劳务派遣",'1-2 人员岗位信息'!$B:$B,$D40)</f>
        <v>0</v>
      </c>
      <c r="AW40" s="298"/>
      <c r="AX40" s="174">
        <f t="shared" ref="AX40:AX47" si="89">AY40*AZ40</f>
        <v>0</v>
      </c>
      <c r="AY40" s="174">
        <f>SUMIFS('1-2 人员岗位信息'!M:M,'1-2 人员岗位信息'!$C:$C,"劳务派遣",'1-2 人员岗位信息'!$B:$B,$D40)</f>
        <v>0</v>
      </c>
      <c r="AZ40" s="298"/>
      <c r="BA40" s="174">
        <f t="shared" ref="BA40:BA47" si="90">BB40*BC40</f>
        <v>0</v>
      </c>
      <c r="BB40" s="174">
        <f>SUMIFS('1-2 人员岗位信息'!N:N,'1-2 人员岗位信息'!$C:$C,"劳务派遣",'1-2 人员岗位信息'!$B:$B,$D40)</f>
        <v>0</v>
      </c>
      <c r="BC40" s="298"/>
      <c r="BD40" s="174">
        <f t="shared" ref="BD40:BD47" si="91">BE40*BF40</f>
        <v>0</v>
      </c>
      <c r="BE40" s="174">
        <f>SUMIFS('1-2 人员岗位信息'!O:O,'1-2 人员岗位信息'!$C:$C,"劳务派遣",'1-2 人员岗位信息'!$B:$B,$D40)</f>
        <v>0</v>
      </c>
      <c r="BF40" s="298"/>
      <c r="BG40" s="174">
        <f t="shared" ref="BG40:BG47" si="92">BH40*BI40</f>
        <v>0</v>
      </c>
      <c r="BH40" s="174">
        <f>SUMIFS('1-2 人员岗位信息'!P:P,'1-2 人员岗位信息'!$C:$C,"劳务派遣",'1-2 人员岗位信息'!$B:$B,$D40)</f>
        <v>0</v>
      </c>
      <c r="BI40" s="298"/>
      <c r="BJ40" s="174">
        <f t="shared" ref="BJ40:BJ47" si="93">BK40*BL40</f>
        <v>0</v>
      </c>
      <c r="BK40" s="174">
        <f>SUMIFS('1-2 人员岗位信息'!Q:Q,'1-2 人员岗位信息'!$C:$C,"劳务派遣",'1-2 人员岗位信息'!$B:$B,$D40)</f>
        <v>0</v>
      </c>
      <c r="BL40" s="307"/>
      <c r="BM40" s="311"/>
      <c r="BN40" s="315"/>
    </row>
    <row r="41" s="263" customFormat="1" ht="33.95" hidden="1" customHeight="1" outlineLevel="5" spans="2:66">
      <c r="B41" s="174" t="s">
        <v>799</v>
      </c>
      <c r="C41" s="283" t="s">
        <v>864</v>
      </c>
      <c r="D41" s="263" t="s">
        <v>844</v>
      </c>
      <c r="E41" s="174" t="s">
        <v>863</v>
      </c>
      <c r="F41" s="174"/>
      <c r="G41" s="174" t="s">
        <v>803</v>
      </c>
      <c r="H41" s="174">
        <f t="shared" si="77"/>
        <v>0</v>
      </c>
      <c r="I41" s="174" t="s">
        <v>804</v>
      </c>
      <c r="J41" s="174" t="e">
        <f t="shared" si="78"/>
        <v>#DIV/0!</v>
      </c>
      <c r="K41" s="174" t="s">
        <v>805</v>
      </c>
      <c r="L41" s="174" t="e">
        <f t="shared" si="79"/>
        <v>#DIV/0!</v>
      </c>
      <c r="M41" s="174" t="s">
        <v>806</v>
      </c>
      <c r="N41" s="174">
        <f t="shared" si="80"/>
        <v>0</v>
      </c>
      <c r="O41" s="174"/>
      <c r="P41" s="290"/>
      <c r="Q41" s="290"/>
      <c r="R41" s="290"/>
      <c r="S41" s="290"/>
      <c r="T41" s="290"/>
      <c r="U41" s="290"/>
      <c r="V41" s="290"/>
      <c r="W41" s="290"/>
      <c r="X41" s="290"/>
      <c r="Y41" s="290"/>
      <c r="Z41" s="290"/>
      <c r="AA41" s="290"/>
      <c r="AB41" s="174">
        <f t="shared" si="81"/>
        <v>0</v>
      </c>
      <c r="AC41" s="174">
        <f t="shared" si="82"/>
        <v>0</v>
      </c>
      <c r="AD41" s="174">
        <f>SUMIFS('1-2 人员岗位信息'!F:F,'1-2 人员岗位信息'!$C:$C,"劳务派遣",'1-2 人员岗位信息'!$B:$B,$D41)</f>
        <v>0</v>
      </c>
      <c r="AE41" s="298"/>
      <c r="AF41" s="174">
        <f t="shared" si="83"/>
        <v>0</v>
      </c>
      <c r="AG41" s="174">
        <f>SUMIFS('1-2 人员岗位信息'!G:G,'1-2 人员岗位信息'!$C:$C,"劳务派遣",'1-2 人员岗位信息'!$B:$B,$D41)</f>
        <v>0</v>
      </c>
      <c r="AH41" s="298"/>
      <c r="AI41" s="174">
        <f t="shared" si="84"/>
        <v>0</v>
      </c>
      <c r="AJ41" s="174">
        <f>SUMIFS('1-2 人员岗位信息'!H:H,'1-2 人员岗位信息'!$C:$C,"劳务派遣",'1-2 人员岗位信息'!$B:$B,$D41)</f>
        <v>0</v>
      </c>
      <c r="AK41" s="298"/>
      <c r="AL41" s="174">
        <f t="shared" si="85"/>
        <v>0</v>
      </c>
      <c r="AM41" s="174">
        <f>SUMIFS('1-2 人员岗位信息'!I:I,'1-2 人员岗位信息'!$C:$C,"劳务派遣",'1-2 人员岗位信息'!$B:$B,$D41)</f>
        <v>0</v>
      </c>
      <c r="AN41" s="298"/>
      <c r="AO41" s="174">
        <f t="shared" si="86"/>
        <v>0</v>
      </c>
      <c r="AP41" s="174">
        <f>SUMIFS('1-2 人员岗位信息'!J:J,'1-2 人员岗位信息'!$C:$C,"劳务派遣",'1-2 人员岗位信息'!$B:$B,$D41)</f>
        <v>0</v>
      </c>
      <c r="AQ41" s="298"/>
      <c r="AR41" s="174">
        <f t="shared" si="87"/>
        <v>0</v>
      </c>
      <c r="AS41" s="174">
        <f>SUMIFS('1-2 人员岗位信息'!K:K,'1-2 人员岗位信息'!$C:$C,"劳务派遣",'1-2 人员岗位信息'!$B:$B,$D41)</f>
        <v>0</v>
      </c>
      <c r="AT41" s="298"/>
      <c r="AU41" s="174">
        <f t="shared" si="88"/>
        <v>0</v>
      </c>
      <c r="AV41" s="174">
        <f>SUMIFS('1-2 人员岗位信息'!L:L,'1-2 人员岗位信息'!$C:$C,"劳务派遣",'1-2 人员岗位信息'!$B:$B,$D41)</f>
        <v>0</v>
      </c>
      <c r="AW41" s="298"/>
      <c r="AX41" s="174">
        <f t="shared" si="89"/>
        <v>0</v>
      </c>
      <c r="AY41" s="174">
        <f>SUMIFS('1-2 人员岗位信息'!M:M,'1-2 人员岗位信息'!$C:$C,"劳务派遣",'1-2 人员岗位信息'!$B:$B,$D41)</f>
        <v>0</v>
      </c>
      <c r="AZ41" s="298"/>
      <c r="BA41" s="174">
        <f t="shared" si="90"/>
        <v>0</v>
      </c>
      <c r="BB41" s="174">
        <f>SUMIFS('1-2 人员岗位信息'!N:N,'1-2 人员岗位信息'!$C:$C,"劳务派遣",'1-2 人员岗位信息'!$B:$B,$D41)</f>
        <v>0</v>
      </c>
      <c r="BC41" s="298"/>
      <c r="BD41" s="174">
        <f t="shared" si="91"/>
        <v>0</v>
      </c>
      <c r="BE41" s="174">
        <f>SUMIFS('1-2 人员岗位信息'!O:O,'1-2 人员岗位信息'!$C:$C,"劳务派遣",'1-2 人员岗位信息'!$B:$B,$D41)</f>
        <v>0</v>
      </c>
      <c r="BF41" s="298"/>
      <c r="BG41" s="174">
        <f t="shared" si="92"/>
        <v>0</v>
      </c>
      <c r="BH41" s="174">
        <f>SUMIFS('1-2 人员岗位信息'!P:P,'1-2 人员岗位信息'!$C:$C,"劳务派遣",'1-2 人员岗位信息'!$B:$B,$D41)</f>
        <v>0</v>
      </c>
      <c r="BI41" s="298"/>
      <c r="BJ41" s="174">
        <f t="shared" si="93"/>
        <v>0</v>
      </c>
      <c r="BK41" s="174">
        <f>SUMIFS('1-2 人员岗位信息'!Q:Q,'1-2 人员岗位信息'!$C:$C,"劳务派遣",'1-2 人员岗位信息'!$B:$B,$D41)</f>
        <v>0</v>
      </c>
      <c r="BL41" s="307"/>
      <c r="BM41" s="311"/>
      <c r="BN41" s="315"/>
    </row>
    <row r="42" s="263" customFormat="1" ht="33.95" hidden="1" customHeight="1" outlineLevel="5" spans="2:66">
      <c r="B42" s="174" t="s">
        <v>799</v>
      </c>
      <c r="C42" s="283" t="s">
        <v>865</v>
      </c>
      <c r="D42" s="263" t="s">
        <v>846</v>
      </c>
      <c r="E42" s="174" t="s">
        <v>847</v>
      </c>
      <c r="F42" s="174"/>
      <c r="G42" s="174" t="s">
        <v>803</v>
      </c>
      <c r="H42" s="174">
        <f t="shared" si="77"/>
        <v>0</v>
      </c>
      <c r="I42" s="174" t="s">
        <v>804</v>
      </c>
      <c r="J42" s="174" t="e">
        <f t="shared" si="78"/>
        <v>#DIV/0!</v>
      </c>
      <c r="K42" s="174" t="s">
        <v>805</v>
      </c>
      <c r="L42" s="174" t="e">
        <f t="shared" si="79"/>
        <v>#DIV/0!</v>
      </c>
      <c r="M42" s="174" t="s">
        <v>806</v>
      </c>
      <c r="N42" s="174">
        <f t="shared" si="80"/>
        <v>0</v>
      </c>
      <c r="O42" s="174"/>
      <c r="P42" s="290"/>
      <c r="Q42" s="290"/>
      <c r="R42" s="290"/>
      <c r="S42" s="290"/>
      <c r="T42" s="290"/>
      <c r="U42" s="290"/>
      <c r="V42" s="290"/>
      <c r="W42" s="290"/>
      <c r="X42" s="290"/>
      <c r="Y42" s="290"/>
      <c r="Z42" s="290"/>
      <c r="AA42" s="290"/>
      <c r="AB42" s="174">
        <f t="shared" si="81"/>
        <v>0</v>
      </c>
      <c r="AC42" s="174">
        <f t="shared" si="82"/>
        <v>0</v>
      </c>
      <c r="AD42" s="174">
        <f>SUMIFS('1-2 人员岗位信息'!F:F,'1-2 人员岗位信息'!$C:$C,"劳务派遣",'1-2 人员岗位信息'!$B:$B,$D42)</f>
        <v>0</v>
      </c>
      <c r="AE42" s="298"/>
      <c r="AF42" s="174">
        <f t="shared" si="83"/>
        <v>0</v>
      </c>
      <c r="AG42" s="174">
        <f>SUMIFS('1-2 人员岗位信息'!G:G,'1-2 人员岗位信息'!$C:$C,"劳务派遣",'1-2 人员岗位信息'!$B:$B,$D42)</f>
        <v>0</v>
      </c>
      <c r="AH42" s="298"/>
      <c r="AI42" s="174">
        <f t="shared" si="84"/>
        <v>0</v>
      </c>
      <c r="AJ42" s="174">
        <f>SUMIFS('1-2 人员岗位信息'!H:H,'1-2 人员岗位信息'!$C:$C,"劳务派遣",'1-2 人员岗位信息'!$B:$B,$D42)</f>
        <v>0</v>
      </c>
      <c r="AK42" s="298"/>
      <c r="AL42" s="174">
        <f t="shared" si="85"/>
        <v>0</v>
      </c>
      <c r="AM42" s="174">
        <f>SUMIFS('1-2 人员岗位信息'!I:I,'1-2 人员岗位信息'!$C:$C,"劳务派遣",'1-2 人员岗位信息'!$B:$B,$D42)</f>
        <v>0</v>
      </c>
      <c r="AN42" s="298"/>
      <c r="AO42" s="174">
        <f t="shared" si="86"/>
        <v>0</v>
      </c>
      <c r="AP42" s="174">
        <f>SUMIFS('1-2 人员岗位信息'!J:J,'1-2 人员岗位信息'!$C:$C,"劳务派遣",'1-2 人员岗位信息'!$B:$B,$D42)</f>
        <v>0</v>
      </c>
      <c r="AQ42" s="298"/>
      <c r="AR42" s="174">
        <f t="shared" si="87"/>
        <v>0</v>
      </c>
      <c r="AS42" s="174">
        <f>SUMIFS('1-2 人员岗位信息'!K:K,'1-2 人员岗位信息'!$C:$C,"劳务派遣",'1-2 人员岗位信息'!$B:$B,$D42)</f>
        <v>0</v>
      </c>
      <c r="AT42" s="298"/>
      <c r="AU42" s="174">
        <f t="shared" si="88"/>
        <v>0</v>
      </c>
      <c r="AV42" s="174">
        <f>SUMIFS('1-2 人员岗位信息'!L:L,'1-2 人员岗位信息'!$C:$C,"劳务派遣",'1-2 人员岗位信息'!$B:$B,$D42)</f>
        <v>0</v>
      </c>
      <c r="AW42" s="298"/>
      <c r="AX42" s="174">
        <f t="shared" si="89"/>
        <v>0</v>
      </c>
      <c r="AY42" s="174">
        <f>SUMIFS('1-2 人员岗位信息'!M:M,'1-2 人员岗位信息'!$C:$C,"劳务派遣",'1-2 人员岗位信息'!$B:$B,$D42)</f>
        <v>0</v>
      </c>
      <c r="AZ42" s="298"/>
      <c r="BA42" s="174">
        <f t="shared" si="90"/>
        <v>0</v>
      </c>
      <c r="BB42" s="174">
        <f>SUMIFS('1-2 人员岗位信息'!N:N,'1-2 人员岗位信息'!$C:$C,"劳务派遣",'1-2 人员岗位信息'!$B:$B,$D42)</f>
        <v>0</v>
      </c>
      <c r="BC42" s="298"/>
      <c r="BD42" s="174">
        <f t="shared" si="91"/>
        <v>0</v>
      </c>
      <c r="BE42" s="174">
        <f>SUMIFS('1-2 人员岗位信息'!O:O,'1-2 人员岗位信息'!$C:$C,"劳务派遣",'1-2 人员岗位信息'!$B:$B,$D42)</f>
        <v>0</v>
      </c>
      <c r="BF42" s="298"/>
      <c r="BG42" s="174">
        <f t="shared" si="92"/>
        <v>0</v>
      </c>
      <c r="BH42" s="174">
        <f>SUMIFS('1-2 人员岗位信息'!P:P,'1-2 人员岗位信息'!$C:$C,"劳务派遣",'1-2 人员岗位信息'!$B:$B,$D42)</f>
        <v>0</v>
      </c>
      <c r="BI42" s="298"/>
      <c r="BJ42" s="174">
        <f t="shared" si="93"/>
        <v>0</v>
      </c>
      <c r="BK42" s="174">
        <f>SUMIFS('1-2 人员岗位信息'!Q:Q,'1-2 人员岗位信息'!$C:$C,"劳务派遣",'1-2 人员岗位信息'!$B:$B,$D42)</f>
        <v>0</v>
      </c>
      <c r="BL42" s="307"/>
      <c r="BM42" s="311"/>
      <c r="BN42" s="315"/>
    </row>
    <row r="43" s="263" customFormat="1" ht="33.95" hidden="1" customHeight="1" outlineLevel="5" spans="2:66">
      <c r="B43" s="174" t="s">
        <v>799</v>
      </c>
      <c r="C43" s="283" t="s">
        <v>866</v>
      </c>
      <c r="D43" s="263" t="s">
        <v>849</v>
      </c>
      <c r="E43" s="174" t="s">
        <v>850</v>
      </c>
      <c r="F43" s="174"/>
      <c r="G43" s="174" t="s">
        <v>803</v>
      </c>
      <c r="H43" s="174">
        <f t="shared" si="77"/>
        <v>0</v>
      </c>
      <c r="I43" s="174" t="s">
        <v>804</v>
      </c>
      <c r="J43" s="174" t="e">
        <f t="shared" si="78"/>
        <v>#DIV/0!</v>
      </c>
      <c r="K43" s="174" t="s">
        <v>805</v>
      </c>
      <c r="L43" s="174" t="e">
        <f t="shared" si="79"/>
        <v>#DIV/0!</v>
      </c>
      <c r="M43" s="174" t="s">
        <v>806</v>
      </c>
      <c r="N43" s="174">
        <f t="shared" si="80"/>
        <v>0</v>
      </c>
      <c r="O43" s="174"/>
      <c r="P43" s="290"/>
      <c r="Q43" s="290"/>
      <c r="R43" s="290"/>
      <c r="S43" s="290"/>
      <c r="T43" s="290"/>
      <c r="U43" s="290"/>
      <c r="V43" s="290"/>
      <c r="W43" s="290"/>
      <c r="X43" s="290"/>
      <c r="Y43" s="290"/>
      <c r="Z43" s="290"/>
      <c r="AA43" s="290"/>
      <c r="AB43" s="174">
        <f t="shared" si="81"/>
        <v>0</v>
      </c>
      <c r="AC43" s="174">
        <f t="shared" si="82"/>
        <v>0</v>
      </c>
      <c r="AD43" s="174">
        <f>SUMIFS('1-2 人员岗位信息'!F:F,'1-2 人员岗位信息'!$C:$C,"劳务派遣",'1-2 人员岗位信息'!$B:$B,$D43)</f>
        <v>0</v>
      </c>
      <c r="AE43" s="298"/>
      <c r="AF43" s="174">
        <f t="shared" si="83"/>
        <v>0</v>
      </c>
      <c r="AG43" s="174">
        <f>SUMIFS('1-2 人员岗位信息'!G:G,'1-2 人员岗位信息'!$C:$C,"劳务派遣",'1-2 人员岗位信息'!$B:$B,$D43)</f>
        <v>0</v>
      </c>
      <c r="AH43" s="298"/>
      <c r="AI43" s="174">
        <f t="shared" si="84"/>
        <v>0</v>
      </c>
      <c r="AJ43" s="174">
        <f>SUMIFS('1-2 人员岗位信息'!H:H,'1-2 人员岗位信息'!$C:$C,"劳务派遣",'1-2 人员岗位信息'!$B:$B,$D43)</f>
        <v>0</v>
      </c>
      <c r="AK43" s="298"/>
      <c r="AL43" s="174">
        <f t="shared" si="85"/>
        <v>0</v>
      </c>
      <c r="AM43" s="174">
        <f>SUMIFS('1-2 人员岗位信息'!I:I,'1-2 人员岗位信息'!$C:$C,"劳务派遣",'1-2 人员岗位信息'!$B:$B,$D43)</f>
        <v>0</v>
      </c>
      <c r="AN43" s="298"/>
      <c r="AO43" s="174">
        <f t="shared" si="86"/>
        <v>0</v>
      </c>
      <c r="AP43" s="174">
        <f>SUMIFS('1-2 人员岗位信息'!J:J,'1-2 人员岗位信息'!$C:$C,"劳务派遣",'1-2 人员岗位信息'!$B:$B,$D43)</f>
        <v>0</v>
      </c>
      <c r="AQ43" s="298"/>
      <c r="AR43" s="174">
        <f t="shared" si="87"/>
        <v>0</v>
      </c>
      <c r="AS43" s="174">
        <f>SUMIFS('1-2 人员岗位信息'!K:K,'1-2 人员岗位信息'!$C:$C,"劳务派遣",'1-2 人员岗位信息'!$B:$B,$D43)</f>
        <v>0</v>
      </c>
      <c r="AT43" s="298"/>
      <c r="AU43" s="174">
        <f t="shared" si="88"/>
        <v>0</v>
      </c>
      <c r="AV43" s="174">
        <f>SUMIFS('1-2 人员岗位信息'!L:L,'1-2 人员岗位信息'!$C:$C,"劳务派遣",'1-2 人员岗位信息'!$B:$B,$D43)</f>
        <v>0</v>
      </c>
      <c r="AW43" s="298"/>
      <c r="AX43" s="174">
        <f t="shared" si="89"/>
        <v>0</v>
      </c>
      <c r="AY43" s="174">
        <f>SUMIFS('1-2 人员岗位信息'!M:M,'1-2 人员岗位信息'!$C:$C,"劳务派遣",'1-2 人员岗位信息'!$B:$B,$D43)</f>
        <v>0</v>
      </c>
      <c r="AZ43" s="298"/>
      <c r="BA43" s="174">
        <f t="shared" si="90"/>
        <v>0</v>
      </c>
      <c r="BB43" s="174">
        <f>SUMIFS('1-2 人员岗位信息'!N:N,'1-2 人员岗位信息'!$C:$C,"劳务派遣",'1-2 人员岗位信息'!$B:$B,$D43)</f>
        <v>0</v>
      </c>
      <c r="BC43" s="298"/>
      <c r="BD43" s="174">
        <f t="shared" si="91"/>
        <v>0</v>
      </c>
      <c r="BE43" s="174">
        <f>SUMIFS('1-2 人员岗位信息'!O:O,'1-2 人员岗位信息'!$C:$C,"劳务派遣",'1-2 人员岗位信息'!$B:$B,$D43)</f>
        <v>0</v>
      </c>
      <c r="BF43" s="298"/>
      <c r="BG43" s="174">
        <f t="shared" si="92"/>
        <v>0</v>
      </c>
      <c r="BH43" s="174">
        <f>SUMIFS('1-2 人员岗位信息'!P:P,'1-2 人员岗位信息'!$C:$C,"劳务派遣",'1-2 人员岗位信息'!$B:$B,$D43)</f>
        <v>0</v>
      </c>
      <c r="BI43" s="298"/>
      <c r="BJ43" s="174">
        <f t="shared" si="93"/>
        <v>0</v>
      </c>
      <c r="BK43" s="174">
        <f>SUMIFS('1-2 人员岗位信息'!Q:Q,'1-2 人员岗位信息'!$C:$C,"劳务派遣",'1-2 人员岗位信息'!$B:$B,$D43)</f>
        <v>0</v>
      </c>
      <c r="BL43" s="307"/>
      <c r="BM43" s="311"/>
      <c r="BN43" s="315"/>
    </row>
    <row r="44" s="263" customFormat="1" ht="33.95" hidden="1" customHeight="1" outlineLevel="5" spans="2:66">
      <c r="B44" s="174" t="s">
        <v>799</v>
      </c>
      <c r="C44" s="283" t="s">
        <v>867</v>
      </c>
      <c r="D44" s="263" t="s">
        <v>852</v>
      </c>
      <c r="E44" s="174" t="s">
        <v>853</v>
      </c>
      <c r="F44" s="174"/>
      <c r="G44" s="174" t="s">
        <v>803</v>
      </c>
      <c r="H44" s="174">
        <f t="shared" si="77"/>
        <v>0</v>
      </c>
      <c r="I44" s="174" t="s">
        <v>804</v>
      </c>
      <c r="J44" s="174" t="e">
        <f t="shared" si="78"/>
        <v>#DIV/0!</v>
      </c>
      <c r="K44" s="174" t="s">
        <v>805</v>
      </c>
      <c r="L44" s="174" t="e">
        <f t="shared" si="79"/>
        <v>#DIV/0!</v>
      </c>
      <c r="M44" s="174" t="s">
        <v>806</v>
      </c>
      <c r="N44" s="174">
        <f t="shared" si="80"/>
        <v>0</v>
      </c>
      <c r="O44" s="174"/>
      <c r="P44" s="290"/>
      <c r="Q44" s="290"/>
      <c r="R44" s="290"/>
      <c r="S44" s="290"/>
      <c r="T44" s="290"/>
      <c r="U44" s="290"/>
      <c r="V44" s="290"/>
      <c r="W44" s="290"/>
      <c r="X44" s="290"/>
      <c r="Y44" s="290"/>
      <c r="Z44" s="290"/>
      <c r="AA44" s="290"/>
      <c r="AB44" s="174">
        <f t="shared" si="81"/>
        <v>0</v>
      </c>
      <c r="AC44" s="174">
        <f t="shared" si="82"/>
        <v>0</v>
      </c>
      <c r="AD44" s="174">
        <f>SUMIFS('1-2 人员岗位信息'!F:F,'1-2 人员岗位信息'!$C:$C,"劳务派遣",'1-2 人员岗位信息'!$B:$B,$D44)</f>
        <v>0</v>
      </c>
      <c r="AE44" s="298"/>
      <c r="AF44" s="174">
        <f t="shared" si="83"/>
        <v>0</v>
      </c>
      <c r="AG44" s="174">
        <f>SUMIFS('1-2 人员岗位信息'!G:G,'1-2 人员岗位信息'!$C:$C,"劳务派遣",'1-2 人员岗位信息'!$B:$B,$D44)</f>
        <v>0</v>
      </c>
      <c r="AH44" s="298"/>
      <c r="AI44" s="174">
        <f t="shared" si="84"/>
        <v>0</v>
      </c>
      <c r="AJ44" s="174">
        <f>SUMIFS('1-2 人员岗位信息'!H:H,'1-2 人员岗位信息'!$C:$C,"劳务派遣",'1-2 人员岗位信息'!$B:$B,$D44)</f>
        <v>0</v>
      </c>
      <c r="AK44" s="298"/>
      <c r="AL44" s="174">
        <f t="shared" si="85"/>
        <v>0</v>
      </c>
      <c r="AM44" s="174">
        <f>SUMIFS('1-2 人员岗位信息'!I:I,'1-2 人员岗位信息'!$C:$C,"劳务派遣",'1-2 人员岗位信息'!$B:$B,$D44)</f>
        <v>0</v>
      </c>
      <c r="AN44" s="298"/>
      <c r="AO44" s="174">
        <f t="shared" si="86"/>
        <v>0</v>
      </c>
      <c r="AP44" s="174">
        <f>SUMIFS('1-2 人员岗位信息'!J:J,'1-2 人员岗位信息'!$C:$C,"劳务派遣",'1-2 人员岗位信息'!$B:$B,$D44)</f>
        <v>0</v>
      </c>
      <c r="AQ44" s="298"/>
      <c r="AR44" s="174">
        <f t="shared" si="87"/>
        <v>0</v>
      </c>
      <c r="AS44" s="174">
        <f>SUMIFS('1-2 人员岗位信息'!K:K,'1-2 人员岗位信息'!$C:$C,"劳务派遣",'1-2 人员岗位信息'!$B:$B,$D44)</f>
        <v>0</v>
      </c>
      <c r="AT44" s="298"/>
      <c r="AU44" s="174">
        <f t="shared" si="88"/>
        <v>0</v>
      </c>
      <c r="AV44" s="174">
        <f>SUMIFS('1-2 人员岗位信息'!L:L,'1-2 人员岗位信息'!$C:$C,"劳务派遣",'1-2 人员岗位信息'!$B:$B,$D44)</f>
        <v>0</v>
      </c>
      <c r="AW44" s="298"/>
      <c r="AX44" s="174">
        <f t="shared" si="89"/>
        <v>0</v>
      </c>
      <c r="AY44" s="174">
        <f>SUMIFS('1-2 人员岗位信息'!M:M,'1-2 人员岗位信息'!$C:$C,"劳务派遣",'1-2 人员岗位信息'!$B:$B,$D44)</f>
        <v>0</v>
      </c>
      <c r="AZ44" s="298"/>
      <c r="BA44" s="174">
        <f t="shared" si="90"/>
        <v>0</v>
      </c>
      <c r="BB44" s="174">
        <f>SUMIFS('1-2 人员岗位信息'!N:N,'1-2 人员岗位信息'!$C:$C,"劳务派遣",'1-2 人员岗位信息'!$B:$B,$D44)</f>
        <v>0</v>
      </c>
      <c r="BC44" s="298"/>
      <c r="BD44" s="174">
        <f t="shared" si="91"/>
        <v>0</v>
      </c>
      <c r="BE44" s="174">
        <f>SUMIFS('1-2 人员岗位信息'!O:O,'1-2 人员岗位信息'!$C:$C,"劳务派遣",'1-2 人员岗位信息'!$B:$B,$D44)</f>
        <v>0</v>
      </c>
      <c r="BF44" s="298"/>
      <c r="BG44" s="174">
        <f t="shared" si="92"/>
        <v>0</v>
      </c>
      <c r="BH44" s="174">
        <f>SUMIFS('1-2 人员岗位信息'!P:P,'1-2 人员岗位信息'!$C:$C,"劳务派遣",'1-2 人员岗位信息'!$B:$B,$D44)</f>
        <v>0</v>
      </c>
      <c r="BI44" s="298"/>
      <c r="BJ44" s="174">
        <f t="shared" si="93"/>
        <v>0</v>
      </c>
      <c r="BK44" s="174">
        <f>SUMIFS('1-2 人员岗位信息'!Q:Q,'1-2 人员岗位信息'!$C:$C,"劳务派遣",'1-2 人员岗位信息'!$B:$B,$D44)</f>
        <v>0</v>
      </c>
      <c r="BL44" s="307"/>
      <c r="BM44" s="311"/>
      <c r="BN44" s="315"/>
    </row>
    <row r="45" s="263" customFormat="1" ht="33.95" hidden="1" customHeight="1" outlineLevel="5" spans="2:66">
      <c r="B45" s="174" t="s">
        <v>799</v>
      </c>
      <c r="C45" s="283" t="s">
        <v>868</v>
      </c>
      <c r="D45" s="263" t="s">
        <v>855</v>
      </c>
      <c r="E45" s="174" t="s">
        <v>856</v>
      </c>
      <c r="F45" s="174"/>
      <c r="G45" s="174" t="s">
        <v>803</v>
      </c>
      <c r="H45" s="174">
        <f t="shared" si="77"/>
        <v>0</v>
      </c>
      <c r="I45" s="174" t="s">
        <v>804</v>
      </c>
      <c r="J45" s="174" t="e">
        <f t="shared" si="78"/>
        <v>#DIV/0!</v>
      </c>
      <c r="K45" s="174" t="s">
        <v>805</v>
      </c>
      <c r="L45" s="174" t="e">
        <f t="shared" si="79"/>
        <v>#DIV/0!</v>
      </c>
      <c r="M45" s="174" t="s">
        <v>806</v>
      </c>
      <c r="N45" s="174">
        <f t="shared" si="80"/>
        <v>0</v>
      </c>
      <c r="O45" s="174"/>
      <c r="P45" s="290"/>
      <c r="Q45" s="290"/>
      <c r="R45" s="290"/>
      <c r="S45" s="290"/>
      <c r="T45" s="290"/>
      <c r="U45" s="290"/>
      <c r="V45" s="290"/>
      <c r="W45" s="290"/>
      <c r="X45" s="290"/>
      <c r="Y45" s="290"/>
      <c r="Z45" s="290"/>
      <c r="AA45" s="290"/>
      <c r="AB45" s="174">
        <f t="shared" si="81"/>
        <v>0</v>
      </c>
      <c r="AC45" s="174">
        <f t="shared" si="82"/>
        <v>0</v>
      </c>
      <c r="AD45" s="174">
        <f>SUMIFS('1-2 人员岗位信息'!F:F,'1-2 人员岗位信息'!$C:$C,"劳务派遣",'1-2 人员岗位信息'!$B:$B,$D45)</f>
        <v>0</v>
      </c>
      <c r="AE45" s="298"/>
      <c r="AF45" s="174">
        <f t="shared" si="83"/>
        <v>0</v>
      </c>
      <c r="AG45" s="174">
        <f>SUMIFS('1-2 人员岗位信息'!G:G,'1-2 人员岗位信息'!$C:$C,"劳务派遣",'1-2 人员岗位信息'!$B:$B,$D45)</f>
        <v>0</v>
      </c>
      <c r="AH45" s="298"/>
      <c r="AI45" s="174">
        <f t="shared" si="84"/>
        <v>0</v>
      </c>
      <c r="AJ45" s="174">
        <f>SUMIFS('1-2 人员岗位信息'!H:H,'1-2 人员岗位信息'!$C:$C,"劳务派遣",'1-2 人员岗位信息'!$B:$B,$D45)</f>
        <v>0</v>
      </c>
      <c r="AK45" s="298"/>
      <c r="AL45" s="174">
        <f t="shared" si="85"/>
        <v>0</v>
      </c>
      <c r="AM45" s="174">
        <f>SUMIFS('1-2 人员岗位信息'!I:I,'1-2 人员岗位信息'!$C:$C,"劳务派遣",'1-2 人员岗位信息'!$B:$B,$D45)</f>
        <v>0</v>
      </c>
      <c r="AN45" s="298"/>
      <c r="AO45" s="174">
        <f t="shared" si="86"/>
        <v>0</v>
      </c>
      <c r="AP45" s="174">
        <f>SUMIFS('1-2 人员岗位信息'!J:J,'1-2 人员岗位信息'!$C:$C,"劳务派遣",'1-2 人员岗位信息'!$B:$B,$D45)</f>
        <v>0</v>
      </c>
      <c r="AQ45" s="298"/>
      <c r="AR45" s="174">
        <f t="shared" si="87"/>
        <v>0</v>
      </c>
      <c r="AS45" s="174">
        <f>SUMIFS('1-2 人员岗位信息'!K:K,'1-2 人员岗位信息'!$C:$C,"劳务派遣",'1-2 人员岗位信息'!$B:$B,$D45)</f>
        <v>0</v>
      </c>
      <c r="AT45" s="298"/>
      <c r="AU45" s="174">
        <f t="shared" si="88"/>
        <v>0</v>
      </c>
      <c r="AV45" s="174">
        <f>SUMIFS('1-2 人员岗位信息'!L:L,'1-2 人员岗位信息'!$C:$C,"劳务派遣",'1-2 人员岗位信息'!$B:$B,$D45)</f>
        <v>0</v>
      </c>
      <c r="AW45" s="298"/>
      <c r="AX45" s="174">
        <f t="shared" si="89"/>
        <v>0</v>
      </c>
      <c r="AY45" s="174">
        <f>SUMIFS('1-2 人员岗位信息'!M:M,'1-2 人员岗位信息'!$C:$C,"劳务派遣",'1-2 人员岗位信息'!$B:$B,$D45)</f>
        <v>0</v>
      </c>
      <c r="AZ45" s="298"/>
      <c r="BA45" s="174">
        <f t="shared" si="90"/>
        <v>0</v>
      </c>
      <c r="BB45" s="174">
        <f>SUMIFS('1-2 人员岗位信息'!N:N,'1-2 人员岗位信息'!$C:$C,"劳务派遣",'1-2 人员岗位信息'!$B:$B,$D45)</f>
        <v>0</v>
      </c>
      <c r="BC45" s="298"/>
      <c r="BD45" s="174">
        <f t="shared" si="91"/>
        <v>0</v>
      </c>
      <c r="BE45" s="174">
        <f>SUMIFS('1-2 人员岗位信息'!O:O,'1-2 人员岗位信息'!$C:$C,"劳务派遣",'1-2 人员岗位信息'!$B:$B,$D45)</f>
        <v>0</v>
      </c>
      <c r="BF45" s="298"/>
      <c r="BG45" s="174">
        <f t="shared" si="92"/>
        <v>0</v>
      </c>
      <c r="BH45" s="174">
        <f>SUMIFS('1-2 人员岗位信息'!P:P,'1-2 人员岗位信息'!$C:$C,"劳务派遣",'1-2 人员岗位信息'!$B:$B,$D45)</f>
        <v>0</v>
      </c>
      <c r="BI45" s="298"/>
      <c r="BJ45" s="174">
        <f t="shared" si="93"/>
        <v>0</v>
      </c>
      <c r="BK45" s="174">
        <f>SUMIFS('1-2 人员岗位信息'!Q:Q,'1-2 人员岗位信息'!$C:$C,"劳务派遣",'1-2 人员岗位信息'!$B:$B,$D45)</f>
        <v>0</v>
      </c>
      <c r="BL45" s="307"/>
      <c r="BM45" s="311"/>
      <c r="BN45" s="315"/>
    </row>
    <row r="46" s="263" customFormat="1" ht="33.95" hidden="1" customHeight="1" outlineLevel="5" spans="2:66">
      <c r="B46" s="174" t="s">
        <v>799</v>
      </c>
      <c r="C46" s="283" t="s">
        <v>869</v>
      </c>
      <c r="D46" s="263" t="s">
        <v>858</v>
      </c>
      <c r="E46" s="174" t="s">
        <v>859</v>
      </c>
      <c r="F46" s="174"/>
      <c r="G46" s="174" t="s">
        <v>803</v>
      </c>
      <c r="H46" s="174">
        <f t="shared" si="77"/>
        <v>0</v>
      </c>
      <c r="I46" s="174" t="s">
        <v>804</v>
      </c>
      <c r="J46" s="174" t="e">
        <f t="shared" si="78"/>
        <v>#DIV/0!</v>
      </c>
      <c r="K46" s="174" t="s">
        <v>805</v>
      </c>
      <c r="L46" s="174" t="e">
        <f t="shared" si="79"/>
        <v>#DIV/0!</v>
      </c>
      <c r="M46" s="174" t="s">
        <v>806</v>
      </c>
      <c r="N46" s="174">
        <f t="shared" si="80"/>
        <v>0</v>
      </c>
      <c r="O46" s="174"/>
      <c r="P46" s="290"/>
      <c r="Q46" s="290"/>
      <c r="R46" s="290"/>
      <c r="S46" s="290"/>
      <c r="T46" s="290"/>
      <c r="U46" s="290"/>
      <c r="V46" s="290"/>
      <c r="W46" s="290"/>
      <c r="X46" s="290"/>
      <c r="Y46" s="290"/>
      <c r="Z46" s="290"/>
      <c r="AA46" s="290"/>
      <c r="AB46" s="174">
        <f t="shared" si="81"/>
        <v>0</v>
      </c>
      <c r="AC46" s="174">
        <f t="shared" si="82"/>
        <v>0</v>
      </c>
      <c r="AD46" s="174">
        <f>SUMIFS('1-2 人员岗位信息'!F:F,'1-2 人员岗位信息'!$C:$C,"劳务派遣",'1-2 人员岗位信息'!$B:$B,$D46)</f>
        <v>0</v>
      </c>
      <c r="AE46" s="298"/>
      <c r="AF46" s="174">
        <f t="shared" si="83"/>
        <v>0</v>
      </c>
      <c r="AG46" s="174">
        <f>SUMIFS('1-2 人员岗位信息'!G:G,'1-2 人员岗位信息'!$C:$C,"劳务派遣",'1-2 人员岗位信息'!$B:$B,$D46)</f>
        <v>0</v>
      </c>
      <c r="AH46" s="298"/>
      <c r="AI46" s="174">
        <f t="shared" si="84"/>
        <v>0</v>
      </c>
      <c r="AJ46" s="174">
        <f>SUMIFS('1-2 人员岗位信息'!H:H,'1-2 人员岗位信息'!$C:$C,"劳务派遣",'1-2 人员岗位信息'!$B:$B,$D46)</f>
        <v>0</v>
      </c>
      <c r="AK46" s="298"/>
      <c r="AL46" s="174">
        <f t="shared" si="85"/>
        <v>0</v>
      </c>
      <c r="AM46" s="174">
        <f>SUMIFS('1-2 人员岗位信息'!I:I,'1-2 人员岗位信息'!$C:$C,"劳务派遣",'1-2 人员岗位信息'!$B:$B,$D46)</f>
        <v>0</v>
      </c>
      <c r="AN46" s="298"/>
      <c r="AO46" s="174">
        <f t="shared" si="86"/>
        <v>0</v>
      </c>
      <c r="AP46" s="174">
        <f>SUMIFS('1-2 人员岗位信息'!J:J,'1-2 人员岗位信息'!$C:$C,"劳务派遣",'1-2 人员岗位信息'!$B:$B,$D46)</f>
        <v>0</v>
      </c>
      <c r="AQ46" s="298"/>
      <c r="AR46" s="174">
        <f t="shared" si="87"/>
        <v>0</v>
      </c>
      <c r="AS46" s="174">
        <f>SUMIFS('1-2 人员岗位信息'!K:K,'1-2 人员岗位信息'!$C:$C,"劳务派遣",'1-2 人员岗位信息'!$B:$B,$D46)</f>
        <v>0</v>
      </c>
      <c r="AT46" s="298"/>
      <c r="AU46" s="174">
        <f t="shared" si="88"/>
        <v>0</v>
      </c>
      <c r="AV46" s="174">
        <f>SUMIFS('1-2 人员岗位信息'!L:L,'1-2 人员岗位信息'!$C:$C,"劳务派遣",'1-2 人员岗位信息'!$B:$B,$D46)</f>
        <v>0</v>
      </c>
      <c r="AW46" s="298"/>
      <c r="AX46" s="174">
        <f t="shared" si="89"/>
        <v>0</v>
      </c>
      <c r="AY46" s="174">
        <f>SUMIFS('1-2 人员岗位信息'!M:M,'1-2 人员岗位信息'!$C:$C,"劳务派遣",'1-2 人员岗位信息'!$B:$B,$D46)</f>
        <v>0</v>
      </c>
      <c r="AZ46" s="298"/>
      <c r="BA46" s="174">
        <f t="shared" si="90"/>
        <v>0</v>
      </c>
      <c r="BB46" s="174">
        <f>SUMIFS('1-2 人员岗位信息'!N:N,'1-2 人员岗位信息'!$C:$C,"劳务派遣",'1-2 人员岗位信息'!$B:$B,$D46)</f>
        <v>0</v>
      </c>
      <c r="BC46" s="298"/>
      <c r="BD46" s="174">
        <f t="shared" si="91"/>
        <v>0</v>
      </c>
      <c r="BE46" s="174">
        <f>SUMIFS('1-2 人员岗位信息'!O:O,'1-2 人员岗位信息'!$C:$C,"劳务派遣",'1-2 人员岗位信息'!$B:$B,$D46)</f>
        <v>0</v>
      </c>
      <c r="BF46" s="298"/>
      <c r="BG46" s="174">
        <f t="shared" si="92"/>
        <v>0</v>
      </c>
      <c r="BH46" s="174">
        <f>SUMIFS('1-2 人员岗位信息'!P:P,'1-2 人员岗位信息'!$C:$C,"劳务派遣",'1-2 人员岗位信息'!$B:$B,$D46)</f>
        <v>0</v>
      </c>
      <c r="BI46" s="298"/>
      <c r="BJ46" s="174">
        <f t="shared" si="93"/>
        <v>0</v>
      </c>
      <c r="BK46" s="174">
        <f>SUMIFS('1-2 人员岗位信息'!Q:Q,'1-2 人员岗位信息'!$C:$C,"劳务派遣",'1-2 人员岗位信息'!$B:$B,$D46)</f>
        <v>0</v>
      </c>
      <c r="BL46" s="307"/>
      <c r="BM46" s="311"/>
      <c r="BN46" s="315"/>
    </row>
    <row r="47" s="263" customFormat="1" ht="33.95" hidden="1" customHeight="1" outlineLevel="5" spans="2:66">
      <c r="B47" s="174" t="s">
        <v>799</v>
      </c>
      <c r="C47" s="283" t="s">
        <v>870</v>
      </c>
      <c r="D47" s="263" t="s">
        <v>861</v>
      </c>
      <c r="E47" s="174" t="s">
        <v>821</v>
      </c>
      <c r="F47" s="174"/>
      <c r="G47" s="174" t="s">
        <v>803</v>
      </c>
      <c r="H47" s="174">
        <f t="shared" si="77"/>
        <v>0</v>
      </c>
      <c r="I47" s="174" t="s">
        <v>804</v>
      </c>
      <c r="J47" s="174" t="e">
        <f t="shared" si="78"/>
        <v>#DIV/0!</v>
      </c>
      <c r="K47" s="174" t="s">
        <v>805</v>
      </c>
      <c r="L47" s="174" t="e">
        <f t="shared" si="79"/>
        <v>#DIV/0!</v>
      </c>
      <c r="M47" s="174" t="s">
        <v>806</v>
      </c>
      <c r="N47" s="174">
        <f t="shared" si="80"/>
        <v>0</v>
      </c>
      <c r="O47" s="174"/>
      <c r="P47" s="290"/>
      <c r="Q47" s="290"/>
      <c r="R47" s="290"/>
      <c r="S47" s="290"/>
      <c r="T47" s="290"/>
      <c r="U47" s="290"/>
      <c r="V47" s="290"/>
      <c r="W47" s="290"/>
      <c r="X47" s="290"/>
      <c r="Y47" s="290"/>
      <c r="Z47" s="290"/>
      <c r="AA47" s="290"/>
      <c r="AB47" s="174">
        <f t="shared" si="81"/>
        <v>0</v>
      </c>
      <c r="AC47" s="174">
        <f t="shared" si="82"/>
        <v>0</v>
      </c>
      <c r="AD47" s="174">
        <f>SUMIFS('1-2 人员岗位信息'!F:F,'1-2 人员岗位信息'!$C:$C,"劳务派遣",'1-2 人员岗位信息'!$B:$B,$D47)</f>
        <v>0</v>
      </c>
      <c r="AE47" s="298"/>
      <c r="AF47" s="174">
        <f t="shared" si="83"/>
        <v>0</v>
      </c>
      <c r="AG47" s="174">
        <f>SUMIFS('1-2 人员岗位信息'!G:G,'1-2 人员岗位信息'!$C:$C,"劳务派遣",'1-2 人员岗位信息'!$B:$B,$D47)</f>
        <v>0</v>
      </c>
      <c r="AH47" s="298"/>
      <c r="AI47" s="174">
        <f t="shared" si="84"/>
        <v>0</v>
      </c>
      <c r="AJ47" s="174">
        <f>SUMIFS('1-2 人员岗位信息'!H:H,'1-2 人员岗位信息'!$C:$C,"劳务派遣",'1-2 人员岗位信息'!$B:$B,$D47)</f>
        <v>0</v>
      </c>
      <c r="AK47" s="298"/>
      <c r="AL47" s="174">
        <f t="shared" si="85"/>
        <v>0</v>
      </c>
      <c r="AM47" s="174">
        <f>SUMIFS('1-2 人员岗位信息'!I:I,'1-2 人员岗位信息'!$C:$C,"劳务派遣",'1-2 人员岗位信息'!$B:$B,$D47)</f>
        <v>0</v>
      </c>
      <c r="AN47" s="298"/>
      <c r="AO47" s="174">
        <f t="shared" si="86"/>
        <v>0</v>
      </c>
      <c r="AP47" s="174">
        <f>SUMIFS('1-2 人员岗位信息'!J:J,'1-2 人员岗位信息'!$C:$C,"劳务派遣",'1-2 人员岗位信息'!$B:$B,$D47)</f>
        <v>0</v>
      </c>
      <c r="AQ47" s="298"/>
      <c r="AR47" s="174">
        <f t="shared" si="87"/>
        <v>0</v>
      </c>
      <c r="AS47" s="174">
        <f>SUMIFS('1-2 人员岗位信息'!K:K,'1-2 人员岗位信息'!$C:$C,"劳务派遣",'1-2 人员岗位信息'!$B:$B,$D47)</f>
        <v>0</v>
      </c>
      <c r="AT47" s="298"/>
      <c r="AU47" s="174">
        <f t="shared" si="88"/>
        <v>0</v>
      </c>
      <c r="AV47" s="174">
        <f>SUMIFS('1-2 人员岗位信息'!L:L,'1-2 人员岗位信息'!$C:$C,"劳务派遣",'1-2 人员岗位信息'!$B:$B,$D47)</f>
        <v>0</v>
      </c>
      <c r="AW47" s="298"/>
      <c r="AX47" s="174">
        <f t="shared" si="89"/>
        <v>0</v>
      </c>
      <c r="AY47" s="174">
        <f>SUMIFS('1-2 人员岗位信息'!M:M,'1-2 人员岗位信息'!$C:$C,"劳务派遣",'1-2 人员岗位信息'!$B:$B,$D47)</f>
        <v>0</v>
      </c>
      <c r="AZ47" s="298"/>
      <c r="BA47" s="174">
        <f t="shared" si="90"/>
        <v>0</v>
      </c>
      <c r="BB47" s="174">
        <f>SUMIFS('1-2 人员岗位信息'!N:N,'1-2 人员岗位信息'!$C:$C,"劳务派遣",'1-2 人员岗位信息'!$B:$B,$D47)</f>
        <v>0</v>
      </c>
      <c r="BC47" s="298"/>
      <c r="BD47" s="174">
        <f t="shared" si="91"/>
        <v>0</v>
      </c>
      <c r="BE47" s="174">
        <f>SUMIFS('1-2 人员岗位信息'!O:O,'1-2 人员岗位信息'!$C:$C,"劳务派遣",'1-2 人员岗位信息'!$B:$B,$D47)</f>
        <v>0</v>
      </c>
      <c r="BF47" s="298"/>
      <c r="BG47" s="174">
        <f t="shared" si="92"/>
        <v>0</v>
      </c>
      <c r="BH47" s="174">
        <f>SUMIFS('1-2 人员岗位信息'!P:P,'1-2 人员岗位信息'!$C:$C,"劳务派遣",'1-2 人员岗位信息'!$B:$B,$D47)</f>
        <v>0</v>
      </c>
      <c r="BI47" s="298"/>
      <c r="BJ47" s="174">
        <f t="shared" si="93"/>
        <v>0</v>
      </c>
      <c r="BK47" s="174">
        <f>SUMIFS('1-2 人员岗位信息'!Q:Q,'1-2 人员岗位信息'!$C:$C,"劳务派遣",'1-2 人员岗位信息'!$B:$B,$D47)</f>
        <v>0</v>
      </c>
      <c r="BL47" s="307"/>
      <c r="BM47" s="311"/>
      <c r="BN47" s="315"/>
    </row>
    <row r="48" s="117" customFormat="1" ht="33.95" hidden="1" customHeight="1" outlineLevel="4" collapsed="1" spans="2:66">
      <c r="B48" s="118" t="s">
        <v>794</v>
      </c>
      <c r="C48" s="119" t="s">
        <v>871</v>
      </c>
      <c r="D48" s="117" t="s">
        <v>19</v>
      </c>
      <c r="E48" s="118"/>
      <c r="F48" s="118"/>
      <c r="G48" s="118"/>
      <c r="H48" s="118">
        <f>SUM(H49:H56)</f>
        <v>0</v>
      </c>
      <c r="I48" s="118"/>
      <c r="J48" s="118"/>
      <c r="K48" s="118"/>
      <c r="L48" s="118"/>
      <c r="M48" s="118"/>
      <c r="N48" s="118"/>
      <c r="O48" s="118"/>
      <c r="P48" s="289"/>
      <c r="Q48" s="289"/>
      <c r="R48" s="289"/>
      <c r="S48" s="289"/>
      <c r="T48" s="289"/>
      <c r="U48" s="289"/>
      <c r="V48" s="289"/>
      <c r="W48" s="289"/>
      <c r="X48" s="289"/>
      <c r="Y48" s="289"/>
      <c r="Z48" s="289"/>
      <c r="AA48" s="289"/>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6"/>
      <c r="BM48" s="311"/>
      <c r="BN48" s="314"/>
    </row>
    <row r="49" s="263" customFormat="1" ht="33.95" hidden="1" customHeight="1" outlineLevel="5" spans="2:66">
      <c r="B49" s="174" t="s">
        <v>799</v>
      </c>
      <c r="C49" s="283" t="s">
        <v>872</v>
      </c>
      <c r="D49" s="263" t="s">
        <v>841</v>
      </c>
      <c r="E49" s="174" t="s">
        <v>873</v>
      </c>
      <c r="F49" s="174"/>
      <c r="G49" s="174" t="s">
        <v>803</v>
      </c>
      <c r="H49" s="174">
        <f t="shared" ref="H49:H56" si="95">AB49</f>
        <v>0</v>
      </c>
      <c r="I49" s="174" t="s">
        <v>804</v>
      </c>
      <c r="J49" s="174" t="e">
        <f t="shared" ref="J49:J56" si="96">SUM(AD49,AG49,AJ49,AM49,AP49,AS49,AV49,AY49,BB49,BE49,BH49,BK49)/N49</f>
        <v>#DIV/0!</v>
      </c>
      <c r="K49" s="174" t="s">
        <v>805</v>
      </c>
      <c r="L49" s="174" t="e">
        <f t="shared" ref="L49:L56" si="97">H49/N49/J49</f>
        <v>#DIV/0!</v>
      </c>
      <c r="M49" s="174" t="s">
        <v>806</v>
      </c>
      <c r="N49" s="174">
        <f t="shared" ref="N49:N56" si="98">COUNTIF(AD49,"&gt;0")+COUNTIF(AG49,"&gt;0")+COUNTIF(AJ49,"&gt;0")+COUNTIF(AM49,"&gt;0")+COUNTIF(AP49,"&gt;0")+COUNTIF(AS49,"&gt;0")+COUNTIF(AV49,"&gt;0")+COUNTIF(AY49,"&gt;0")+COUNTIF(BB49,"&gt;0")+COUNTIF(BE49,"&gt;0")+COUNTIF(BH49,"&gt;0")+COUNTIF(BK49,"&gt;0")</f>
        <v>0</v>
      </c>
      <c r="O49" s="174"/>
      <c r="P49" s="290"/>
      <c r="Q49" s="290"/>
      <c r="R49" s="290"/>
      <c r="S49" s="290"/>
      <c r="T49" s="290"/>
      <c r="U49" s="290"/>
      <c r="V49" s="290"/>
      <c r="W49" s="290"/>
      <c r="X49" s="290"/>
      <c r="Y49" s="290"/>
      <c r="Z49" s="290"/>
      <c r="AA49" s="290"/>
      <c r="AB49" s="174">
        <f t="shared" ref="AB49:AB56" si="99">SUM(AC49,AF49,AI49,AL49,AO49,AR49,AU49,AX49,BA49,BD49,BG49,BJ49)</f>
        <v>0</v>
      </c>
      <c r="AC49" s="174">
        <f t="shared" ref="AC49:AC56" si="100">AD49*AE49</f>
        <v>0</v>
      </c>
      <c r="AD49" s="174">
        <f>SUMIFS('1-2 人员岗位信息'!F:F,'1-2 人员岗位信息'!$C:$C,"专业外包",'1-2 人员岗位信息'!$B:$B,$D49)</f>
        <v>0</v>
      </c>
      <c r="AE49" s="298"/>
      <c r="AF49" s="174">
        <f t="shared" ref="AF49:AF56" si="101">AG49*AH49</f>
        <v>0</v>
      </c>
      <c r="AG49" s="174">
        <f>SUMIFS('1-2 人员岗位信息'!G:G,'1-2 人员岗位信息'!$C:$C,"专业外包",'1-2 人员岗位信息'!$B:$B,$D49)</f>
        <v>0</v>
      </c>
      <c r="AH49" s="298"/>
      <c r="AI49" s="174">
        <f t="shared" ref="AI49:AI56" si="102">AJ49*AK49</f>
        <v>0</v>
      </c>
      <c r="AJ49" s="174">
        <f>SUMIFS('1-2 人员岗位信息'!H:H,'1-2 人员岗位信息'!$C:$C,"专业外包",'1-2 人员岗位信息'!$B:$B,$D49)</f>
        <v>0</v>
      </c>
      <c r="AK49" s="298"/>
      <c r="AL49" s="174">
        <f t="shared" ref="AL49:AL56" si="103">AM49*AN49</f>
        <v>0</v>
      </c>
      <c r="AM49" s="174">
        <f>SUMIFS('1-2 人员岗位信息'!I:I,'1-2 人员岗位信息'!$C:$C,"专业外包",'1-2 人员岗位信息'!$B:$B,$D49)</f>
        <v>0</v>
      </c>
      <c r="AN49" s="298"/>
      <c r="AO49" s="174">
        <f t="shared" ref="AO49:AO56" si="104">AP49*AQ49</f>
        <v>0</v>
      </c>
      <c r="AP49" s="174">
        <f>SUMIFS('1-2 人员岗位信息'!J:J,'1-2 人员岗位信息'!$C:$C,"专业外包",'1-2 人员岗位信息'!$B:$B,$D49)</f>
        <v>0</v>
      </c>
      <c r="AQ49" s="298"/>
      <c r="AR49" s="174">
        <f t="shared" ref="AR49:AR56" si="105">AS49*AT49</f>
        <v>0</v>
      </c>
      <c r="AS49" s="174">
        <f>SUMIFS('1-2 人员岗位信息'!K:K,'1-2 人员岗位信息'!$C:$C,"专业外包",'1-2 人员岗位信息'!$B:$B,$D49)</f>
        <v>0</v>
      </c>
      <c r="AT49" s="298"/>
      <c r="AU49" s="174">
        <f t="shared" ref="AU49:AU56" si="106">AV49*AW49</f>
        <v>0</v>
      </c>
      <c r="AV49" s="174">
        <f>SUMIFS('1-2 人员岗位信息'!L:L,'1-2 人员岗位信息'!$C:$C,"专业外包",'1-2 人员岗位信息'!$B:$B,$D49)</f>
        <v>0</v>
      </c>
      <c r="AW49" s="298"/>
      <c r="AX49" s="174">
        <f t="shared" ref="AX49:AX56" si="107">AY49*AZ49</f>
        <v>0</v>
      </c>
      <c r="AY49" s="174">
        <f>SUMIFS('1-2 人员岗位信息'!M:M,'1-2 人员岗位信息'!$C:$C,"专业外包",'1-2 人员岗位信息'!$B:$B,$D49)</f>
        <v>0</v>
      </c>
      <c r="AZ49" s="298"/>
      <c r="BA49" s="174">
        <f t="shared" ref="BA49:BA56" si="108">BB49*BC49</f>
        <v>0</v>
      </c>
      <c r="BB49" s="174">
        <f>SUMIFS('1-2 人员岗位信息'!N:N,'1-2 人员岗位信息'!$C:$C,"专业外包",'1-2 人员岗位信息'!$B:$B,$D49)</f>
        <v>0</v>
      </c>
      <c r="BC49" s="298"/>
      <c r="BD49" s="174">
        <f t="shared" ref="BD49:BD56" si="109">BE49*BF49</f>
        <v>0</v>
      </c>
      <c r="BE49" s="174">
        <f>SUMIFS('1-2 人员岗位信息'!O:O,'1-2 人员岗位信息'!$C:$C,"专业外包",'1-2 人员岗位信息'!$B:$B,$D49)</f>
        <v>0</v>
      </c>
      <c r="BF49" s="298"/>
      <c r="BG49" s="174">
        <f t="shared" ref="BG49:BG56" si="110">BH49*BI49</f>
        <v>0</v>
      </c>
      <c r="BH49" s="174">
        <f>SUMIFS('1-2 人员岗位信息'!P:P,'1-2 人员岗位信息'!$C:$C,"专业外包",'1-2 人员岗位信息'!$B:$B,$D49)</f>
        <v>0</v>
      </c>
      <c r="BI49" s="298"/>
      <c r="BJ49" s="174">
        <f t="shared" ref="BJ49:BJ56" si="111">BK49*BL49</f>
        <v>0</v>
      </c>
      <c r="BK49" s="174">
        <f>SUMIFS('1-2 人员岗位信息'!Q:Q,'1-2 人员岗位信息'!$C:$C,"专业外包",'1-2 人员岗位信息'!$B:$B,$D49)</f>
        <v>0</v>
      </c>
      <c r="BL49" s="307"/>
      <c r="BM49" s="311"/>
      <c r="BN49" s="315"/>
    </row>
    <row r="50" s="263" customFormat="1" ht="33.95" hidden="1" customHeight="1" outlineLevel="5" spans="2:66">
      <c r="B50" s="174" t="s">
        <v>799</v>
      </c>
      <c r="C50" s="283" t="s">
        <v>874</v>
      </c>
      <c r="D50" s="263" t="s">
        <v>844</v>
      </c>
      <c r="E50" s="174" t="s">
        <v>875</v>
      </c>
      <c r="F50" s="174"/>
      <c r="G50" s="174" t="s">
        <v>803</v>
      </c>
      <c r="H50" s="174">
        <f t="shared" si="95"/>
        <v>0</v>
      </c>
      <c r="I50" s="174" t="s">
        <v>804</v>
      </c>
      <c r="J50" s="174" t="e">
        <f t="shared" si="96"/>
        <v>#DIV/0!</v>
      </c>
      <c r="K50" s="174" t="s">
        <v>805</v>
      </c>
      <c r="L50" s="174" t="e">
        <f t="shared" si="97"/>
        <v>#DIV/0!</v>
      </c>
      <c r="M50" s="174" t="s">
        <v>806</v>
      </c>
      <c r="N50" s="174">
        <f t="shared" si="98"/>
        <v>0</v>
      </c>
      <c r="O50" s="174"/>
      <c r="P50" s="290"/>
      <c r="Q50" s="290"/>
      <c r="R50" s="290"/>
      <c r="S50" s="290"/>
      <c r="T50" s="290"/>
      <c r="U50" s="290"/>
      <c r="V50" s="290"/>
      <c r="W50" s="290"/>
      <c r="X50" s="290"/>
      <c r="Y50" s="290"/>
      <c r="Z50" s="290"/>
      <c r="AA50" s="290"/>
      <c r="AB50" s="174">
        <f t="shared" si="99"/>
        <v>0</v>
      </c>
      <c r="AC50" s="174">
        <f t="shared" si="100"/>
        <v>0</v>
      </c>
      <c r="AD50" s="174">
        <f>SUMIFS('1-2 人员岗位信息'!F:F,'1-2 人员岗位信息'!$C:$C,"专业外包",'1-2 人员岗位信息'!$B:$B,$D50)</f>
        <v>0</v>
      </c>
      <c r="AE50" s="298"/>
      <c r="AF50" s="174">
        <f t="shared" si="101"/>
        <v>0</v>
      </c>
      <c r="AG50" s="174">
        <f>SUMIFS('1-2 人员岗位信息'!G:G,'1-2 人员岗位信息'!$C:$C,"专业外包",'1-2 人员岗位信息'!$B:$B,$D50)</f>
        <v>0</v>
      </c>
      <c r="AH50" s="298"/>
      <c r="AI50" s="174">
        <f t="shared" si="102"/>
        <v>0</v>
      </c>
      <c r="AJ50" s="174">
        <f>SUMIFS('1-2 人员岗位信息'!H:H,'1-2 人员岗位信息'!$C:$C,"专业外包",'1-2 人员岗位信息'!$B:$B,$D50)</f>
        <v>0</v>
      </c>
      <c r="AK50" s="298"/>
      <c r="AL50" s="174">
        <f t="shared" si="103"/>
        <v>0</v>
      </c>
      <c r="AM50" s="174">
        <f>SUMIFS('1-2 人员岗位信息'!I:I,'1-2 人员岗位信息'!$C:$C,"专业外包",'1-2 人员岗位信息'!$B:$B,$D50)</f>
        <v>0</v>
      </c>
      <c r="AN50" s="298"/>
      <c r="AO50" s="174">
        <f t="shared" si="104"/>
        <v>0</v>
      </c>
      <c r="AP50" s="174">
        <f>SUMIFS('1-2 人员岗位信息'!J:J,'1-2 人员岗位信息'!$C:$C,"专业外包",'1-2 人员岗位信息'!$B:$B,$D50)</f>
        <v>0</v>
      </c>
      <c r="AQ50" s="298"/>
      <c r="AR50" s="174">
        <f t="shared" si="105"/>
        <v>0</v>
      </c>
      <c r="AS50" s="174">
        <f>SUMIFS('1-2 人员岗位信息'!K:K,'1-2 人员岗位信息'!$C:$C,"专业外包",'1-2 人员岗位信息'!$B:$B,$D50)</f>
        <v>0</v>
      </c>
      <c r="AT50" s="298"/>
      <c r="AU50" s="174">
        <f t="shared" si="106"/>
        <v>0</v>
      </c>
      <c r="AV50" s="174">
        <f>SUMIFS('1-2 人员岗位信息'!L:L,'1-2 人员岗位信息'!$C:$C,"专业外包",'1-2 人员岗位信息'!$B:$B,$D50)</f>
        <v>0</v>
      </c>
      <c r="AW50" s="298"/>
      <c r="AX50" s="174">
        <f t="shared" si="107"/>
        <v>0</v>
      </c>
      <c r="AY50" s="174">
        <f>SUMIFS('1-2 人员岗位信息'!M:M,'1-2 人员岗位信息'!$C:$C,"专业外包",'1-2 人员岗位信息'!$B:$B,$D50)</f>
        <v>0</v>
      </c>
      <c r="AZ50" s="298"/>
      <c r="BA50" s="174">
        <f t="shared" si="108"/>
        <v>0</v>
      </c>
      <c r="BB50" s="174">
        <f>SUMIFS('1-2 人员岗位信息'!N:N,'1-2 人员岗位信息'!$C:$C,"专业外包",'1-2 人员岗位信息'!$B:$B,$D50)</f>
        <v>0</v>
      </c>
      <c r="BC50" s="298"/>
      <c r="BD50" s="174">
        <f t="shared" si="109"/>
        <v>0</v>
      </c>
      <c r="BE50" s="174">
        <f>SUMIFS('1-2 人员岗位信息'!O:O,'1-2 人员岗位信息'!$C:$C,"专业外包",'1-2 人员岗位信息'!$B:$B,$D50)</f>
        <v>0</v>
      </c>
      <c r="BF50" s="298"/>
      <c r="BG50" s="174">
        <f t="shared" si="110"/>
        <v>0</v>
      </c>
      <c r="BH50" s="174">
        <f>SUMIFS('1-2 人员岗位信息'!P:P,'1-2 人员岗位信息'!$C:$C,"专业外包",'1-2 人员岗位信息'!$B:$B,$D50)</f>
        <v>0</v>
      </c>
      <c r="BI50" s="298"/>
      <c r="BJ50" s="174">
        <f t="shared" si="111"/>
        <v>0</v>
      </c>
      <c r="BK50" s="174">
        <f>SUMIFS('1-2 人员岗位信息'!Q:Q,'1-2 人员岗位信息'!$C:$C,"专业外包",'1-2 人员岗位信息'!$B:$B,$D50)</f>
        <v>0</v>
      </c>
      <c r="BL50" s="307"/>
      <c r="BM50" s="311"/>
      <c r="BN50" s="315"/>
    </row>
    <row r="51" s="263" customFormat="1" ht="33.95" hidden="1" customHeight="1" outlineLevel="5" spans="2:66">
      <c r="B51" s="174" t="s">
        <v>799</v>
      </c>
      <c r="C51" s="283" t="s">
        <v>876</v>
      </c>
      <c r="D51" s="263" t="s">
        <v>846</v>
      </c>
      <c r="E51" s="174" t="s">
        <v>847</v>
      </c>
      <c r="F51" s="174"/>
      <c r="G51" s="174" t="s">
        <v>803</v>
      </c>
      <c r="H51" s="174">
        <f t="shared" si="95"/>
        <v>0</v>
      </c>
      <c r="I51" s="174" t="s">
        <v>804</v>
      </c>
      <c r="J51" s="174" t="e">
        <f t="shared" si="96"/>
        <v>#DIV/0!</v>
      </c>
      <c r="K51" s="174" t="s">
        <v>805</v>
      </c>
      <c r="L51" s="174" t="e">
        <f t="shared" si="97"/>
        <v>#DIV/0!</v>
      </c>
      <c r="M51" s="174" t="s">
        <v>806</v>
      </c>
      <c r="N51" s="174">
        <f t="shared" si="98"/>
        <v>0</v>
      </c>
      <c r="O51" s="174"/>
      <c r="P51" s="290"/>
      <c r="Q51" s="290"/>
      <c r="R51" s="290"/>
      <c r="S51" s="290"/>
      <c r="T51" s="290"/>
      <c r="U51" s="290"/>
      <c r="V51" s="290"/>
      <c r="W51" s="290"/>
      <c r="X51" s="290"/>
      <c r="Y51" s="290"/>
      <c r="Z51" s="290"/>
      <c r="AA51" s="290"/>
      <c r="AB51" s="174">
        <f t="shared" si="99"/>
        <v>0</v>
      </c>
      <c r="AC51" s="174">
        <f t="shared" si="100"/>
        <v>0</v>
      </c>
      <c r="AD51" s="174">
        <f>SUMIFS('1-2 人员岗位信息'!F:F,'1-2 人员岗位信息'!$C:$C,"专业外包",'1-2 人员岗位信息'!$B:$B,$D51)</f>
        <v>0</v>
      </c>
      <c r="AE51" s="298"/>
      <c r="AF51" s="174">
        <f t="shared" si="101"/>
        <v>0</v>
      </c>
      <c r="AG51" s="174">
        <f>SUMIFS('1-2 人员岗位信息'!G:G,'1-2 人员岗位信息'!$C:$C,"专业外包",'1-2 人员岗位信息'!$B:$B,$D51)</f>
        <v>0</v>
      </c>
      <c r="AH51" s="298"/>
      <c r="AI51" s="174">
        <f t="shared" si="102"/>
        <v>0</v>
      </c>
      <c r="AJ51" s="174">
        <f>SUMIFS('1-2 人员岗位信息'!H:H,'1-2 人员岗位信息'!$C:$C,"专业外包",'1-2 人员岗位信息'!$B:$B,$D51)</f>
        <v>0</v>
      </c>
      <c r="AK51" s="298"/>
      <c r="AL51" s="174">
        <f t="shared" si="103"/>
        <v>0</v>
      </c>
      <c r="AM51" s="174">
        <f>SUMIFS('1-2 人员岗位信息'!I:I,'1-2 人员岗位信息'!$C:$C,"专业外包",'1-2 人员岗位信息'!$B:$B,$D51)</f>
        <v>0</v>
      </c>
      <c r="AN51" s="298"/>
      <c r="AO51" s="174">
        <f t="shared" si="104"/>
        <v>0</v>
      </c>
      <c r="AP51" s="174">
        <f>SUMIFS('1-2 人员岗位信息'!J:J,'1-2 人员岗位信息'!$C:$C,"专业外包",'1-2 人员岗位信息'!$B:$B,$D51)</f>
        <v>0</v>
      </c>
      <c r="AQ51" s="298"/>
      <c r="AR51" s="174">
        <f t="shared" si="105"/>
        <v>0</v>
      </c>
      <c r="AS51" s="174">
        <f>SUMIFS('1-2 人员岗位信息'!K:K,'1-2 人员岗位信息'!$C:$C,"专业外包",'1-2 人员岗位信息'!$B:$B,$D51)</f>
        <v>0</v>
      </c>
      <c r="AT51" s="298"/>
      <c r="AU51" s="174">
        <f t="shared" si="106"/>
        <v>0</v>
      </c>
      <c r="AV51" s="174">
        <f>SUMIFS('1-2 人员岗位信息'!L:L,'1-2 人员岗位信息'!$C:$C,"专业外包",'1-2 人员岗位信息'!$B:$B,$D51)</f>
        <v>0</v>
      </c>
      <c r="AW51" s="298"/>
      <c r="AX51" s="174">
        <f t="shared" si="107"/>
        <v>0</v>
      </c>
      <c r="AY51" s="174">
        <f>SUMIFS('1-2 人员岗位信息'!M:M,'1-2 人员岗位信息'!$C:$C,"专业外包",'1-2 人员岗位信息'!$B:$B,$D51)</f>
        <v>0</v>
      </c>
      <c r="AZ51" s="298"/>
      <c r="BA51" s="174">
        <f t="shared" si="108"/>
        <v>0</v>
      </c>
      <c r="BB51" s="174">
        <f>SUMIFS('1-2 人员岗位信息'!N:N,'1-2 人员岗位信息'!$C:$C,"专业外包",'1-2 人员岗位信息'!$B:$B,$D51)</f>
        <v>0</v>
      </c>
      <c r="BC51" s="298"/>
      <c r="BD51" s="174">
        <f t="shared" si="109"/>
        <v>0</v>
      </c>
      <c r="BE51" s="174">
        <f>SUMIFS('1-2 人员岗位信息'!O:O,'1-2 人员岗位信息'!$C:$C,"专业外包",'1-2 人员岗位信息'!$B:$B,$D51)</f>
        <v>0</v>
      </c>
      <c r="BF51" s="298"/>
      <c r="BG51" s="174">
        <f t="shared" si="110"/>
        <v>0</v>
      </c>
      <c r="BH51" s="174">
        <f>SUMIFS('1-2 人员岗位信息'!P:P,'1-2 人员岗位信息'!$C:$C,"专业外包",'1-2 人员岗位信息'!$B:$B,$D51)</f>
        <v>0</v>
      </c>
      <c r="BI51" s="298"/>
      <c r="BJ51" s="174">
        <f t="shared" si="111"/>
        <v>0</v>
      </c>
      <c r="BK51" s="174">
        <f>SUMIFS('1-2 人员岗位信息'!Q:Q,'1-2 人员岗位信息'!$C:$C,"专业外包",'1-2 人员岗位信息'!$B:$B,$D51)</f>
        <v>0</v>
      </c>
      <c r="BL51" s="307"/>
      <c r="BM51" s="311"/>
      <c r="BN51" s="315"/>
    </row>
    <row r="52" s="263" customFormat="1" ht="33.95" hidden="1" customHeight="1" outlineLevel="5" spans="2:66">
      <c r="B52" s="174" t="s">
        <v>799</v>
      </c>
      <c r="C52" s="283" t="s">
        <v>877</v>
      </c>
      <c r="D52" s="263" t="s">
        <v>849</v>
      </c>
      <c r="E52" s="174" t="s">
        <v>850</v>
      </c>
      <c r="F52" s="174"/>
      <c r="G52" s="174" t="s">
        <v>803</v>
      </c>
      <c r="H52" s="174">
        <f t="shared" si="95"/>
        <v>0</v>
      </c>
      <c r="I52" s="174" t="s">
        <v>804</v>
      </c>
      <c r="J52" s="174" t="e">
        <f t="shared" si="96"/>
        <v>#DIV/0!</v>
      </c>
      <c r="K52" s="174" t="s">
        <v>805</v>
      </c>
      <c r="L52" s="174" t="e">
        <f t="shared" si="97"/>
        <v>#DIV/0!</v>
      </c>
      <c r="M52" s="174" t="s">
        <v>806</v>
      </c>
      <c r="N52" s="174">
        <f t="shared" si="98"/>
        <v>0</v>
      </c>
      <c r="O52" s="174"/>
      <c r="P52" s="290"/>
      <c r="Q52" s="290"/>
      <c r="R52" s="290"/>
      <c r="S52" s="290"/>
      <c r="T52" s="290"/>
      <c r="U52" s="290"/>
      <c r="V52" s="290"/>
      <c r="W52" s="290"/>
      <c r="X52" s="290"/>
      <c r="Y52" s="290"/>
      <c r="Z52" s="290"/>
      <c r="AA52" s="290"/>
      <c r="AB52" s="174">
        <f t="shared" si="99"/>
        <v>0</v>
      </c>
      <c r="AC52" s="174">
        <f t="shared" si="100"/>
        <v>0</v>
      </c>
      <c r="AD52" s="174">
        <f>SUMIFS('1-2 人员岗位信息'!F:F,'1-2 人员岗位信息'!$C:$C,"专业外包",'1-2 人员岗位信息'!$B:$B,$D52)</f>
        <v>0</v>
      </c>
      <c r="AE52" s="298"/>
      <c r="AF52" s="174">
        <f t="shared" si="101"/>
        <v>0</v>
      </c>
      <c r="AG52" s="174">
        <f>SUMIFS('1-2 人员岗位信息'!G:G,'1-2 人员岗位信息'!$C:$C,"专业外包",'1-2 人员岗位信息'!$B:$B,$D52)</f>
        <v>0</v>
      </c>
      <c r="AH52" s="298"/>
      <c r="AI52" s="174">
        <f t="shared" si="102"/>
        <v>0</v>
      </c>
      <c r="AJ52" s="174">
        <f>SUMIFS('1-2 人员岗位信息'!H:H,'1-2 人员岗位信息'!$C:$C,"专业外包",'1-2 人员岗位信息'!$B:$B,$D52)</f>
        <v>0</v>
      </c>
      <c r="AK52" s="298"/>
      <c r="AL52" s="174">
        <f t="shared" si="103"/>
        <v>0</v>
      </c>
      <c r="AM52" s="174">
        <f>SUMIFS('1-2 人员岗位信息'!I:I,'1-2 人员岗位信息'!$C:$C,"专业外包",'1-2 人员岗位信息'!$B:$B,$D52)</f>
        <v>0</v>
      </c>
      <c r="AN52" s="298"/>
      <c r="AO52" s="174">
        <f t="shared" si="104"/>
        <v>0</v>
      </c>
      <c r="AP52" s="174">
        <f>SUMIFS('1-2 人员岗位信息'!J:J,'1-2 人员岗位信息'!$C:$C,"专业外包",'1-2 人员岗位信息'!$B:$B,$D52)</f>
        <v>0</v>
      </c>
      <c r="AQ52" s="298"/>
      <c r="AR52" s="174">
        <f t="shared" si="105"/>
        <v>0</v>
      </c>
      <c r="AS52" s="174">
        <f>SUMIFS('1-2 人员岗位信息'!K:K,'1-2 人员岗位信息'!$C:$C,"专业外包",'1-2 人员岗位信息'!$B:$B,$D52)</f>
        <v>0</v>
      </c>
      <c r="AT52" s="298"/>
      <c r="AU52" s="174">
        <f t="shared" si="106"/>
        <v>0</v>
      </c>
      <c r="AV52" s="174">
        <f>SUMIFS('1-2 人员岗位信息'!L:L,'1-2 人员岗位信息'!$C:$C,"专业外包",'1-2 人员岗位信息'!$B:$B,$D52)</f>
        <v>0</v>
      </c>
      <c r="AW52" s="298"/>
      <c r="AX52" s="174">
        <f t="shared" si="107"/>
        <v>0</v>
      </c>
      <c r="AY52" s="174">
        <f>SUMIFS('1-2 人员岗位信息'!M:M,'1-2 人员岗位信息'!$C:$C,"专业外包",'1-2 人员岗位信息'!$B:$B,$D52)</f>
        <v>0</v>
      </c>
      <c r="AZ52" s="298"/>
      <c r="BA52" s="174">
        <f t="shared" si="108"/>
        <v>0</v>
      </c>
      <c r="BB52" s="174">
        <f>SUMIFS('1-2 人员岗位信息'!N:N,'1-2 人员岗位信息'!$C:$C,"专业外包",'1-2 人员岗位信息'!$B:$B,$D52)</f>
        <v>0</v>
      </c>
      <c r="BC52" s="298"/>
      <c r="BD52" s="174">
        <f t="shared" si="109"/>
        <v>0</v>
      </c>
      <c r="BE52" s="174">
        <f>SUMIFS('1-2 人员岗位信息'!O:O,'1-2 人员岗位信息'!$C:$C,"专业外包",'1-2 人员岗位信息'!$B:$B,$D52)</f>
        <v>0</v>
      </c>
      <c r="BF52" s="298"/>
      <c r="BG52" s="174">
        <f t="shared" si="110"/>
        <v>0</v>
      </c>
      <c r="BH52" s="174">
        <f>SUMIFS('1-2 人员岗位信息'!P:P,'1-2 人员岗位信息'!$C:$C,"专业外包",'1-2 人员岗位信息'!$B:$B,$D52)</f>
        <v>0</v>
      </c>
      <c r="BI52" s="298"/>
      <c r="BJ52" s="174">
        <f t="shared" si="111"/>
        <v>0</v>
      </c>
      <c r="BK52" s="174">
        <f>SUMIFS('1-2 人员岗位信息'!Q:Q,'1-2 人员岗位信息'!$C:$C,"专业外包",'1-2 人员岗位信息'!$B:$B,$D52)</f>
        <v>0</v>
      </c>
      <c r="BL52" s="307"/>
      <c r="BM52" s="311"/>
      <c r="BN52" s="315"/>
    </row>
    <row r="53" s="263" customFormat="1" ht="33.95" hidden="1" customHeight="1" outlineLevel="5" spans="2:66">
      <c r="B53" s="174" t="s">
        <v>799</v>
      </c>
      <c r="C53" s="283" t="s">
        <v>878</v>
      </c>
      <c r="D53" s="263" t="s">
        <v>852</v>
      </c>
      <c r="E53" s="174" t="s">
        <v>853</v>
      </c>
      <c r="F53" s="174"/>
      <c r="G53" s="174" t="s">
        <v>803</v>
      </c>
      <c r="H53" s="174">
        <f t="shared" si="95"/>
        <v>0</v>
      </c>
      <c r="I53" s="174" t="s">
        <v>804</v>
      </c>
      <c r="J53" s="174" t="e">
        <f t="shared" si="96"/>
        <v>#DIV/0!</v>
      </c>
      <c r="K53" s="174" t="s">
        <v>805</v>
      </c>
      <c r="L53" s="174" t="e">
        <f t="shared" si="97"/>
        <v>#DIV/0!</v>
      </c>
      <c r="M53" s="174" t="s">
        <v>806</v>
      </c>
      <c r="N53" s="174">
        <f t="shared" si="98"/>
        <v>0</v>
      </c>
      <c r="O53" s="174"/>
      <c r="P53" s="290"/>
      <c r="Q53" s="290"/>
      <c r="R53" s="290"/>
      <c r="S53" s="290"/>
      <c r="T53" s="290"/>
      <c r="U53" s="290"/>
      <c r="V53" s="290"/>
      <c r="W53" s="290"/>
      <c r="X53" s="290"/>
      <c r="Y53" s="290"/>
      <c r="Z53" s="290"/>
      <c r="AA53" s="290"/>
      <c r="AB53" s="174">
        <f t="shared" si="99"/>
        <v>0</v>
      </c>
      <c r="AC53" s="174">
        <f t="shared" si="100"/>
        <v>0</v>
      </c>
      <c r="AD53" s="174">
        <f>SUMIFS('1-2 人员岗位信息'!F:F,'1-2 人员岗位信息'!$C:$C,"专业外包",'1-2 人员岗位信息'!$B:$B,$D53)</f>
        <v>0</v>
      </c>
      <c r="AE53" s="298"/>
      <c r="AF53" s="174">
        <f t="shared" si="101"/>
        <v>0</v>
      </c>
      <c r="AG53" s="174">
        <f>SUMIFS('1-2 人员岗位信息'!G:G,'1-2 人员岗位信息'!$C:$C,"专业外包",'1-2 人员岗位信息'!$B:$B,$D53)</f>
        <v>0</v>
      </c>
      <c r="AH53" s="298"/>
      <c r="AI53" s="174">
        <f t="shared" si="102"/>
        <v>0</v>
      </c>
      <c r="AJ53" s="174">
        <f>SUMIFS('1-2 人员岗位信息'!H:H,'1-2 人员岗位信息'!$C:$C,"专业外包",'1-2 人员岗位信息'!$B:$B,$D53)</f>
        <v>0</v>
      </c>
      <c r="AK53" s="298"/>
      <c r="AL53" s="174">
        <f t="shared" si="103"/>
        <v>0</v>
      </c>
      <c r="AM53" s="174">
        <f>SUMIFS('1-2 人员岗位信息'!I:I,'1-2 人员岗位信息'!$C:$C,"专业外包",'1-2 人员岗位信息'!$B:$B,$D53)</f>
        <v>0</v>
      </c>
      <c r="AN53" s="298"/>
      <c r="AO53" s="174">
        <f t="shared" si="104"/>
        <v>0</v>
      </c>
      <c r="AP53" s="174">
        <f>SUMIFS('1-2 人员岗位信息'!J:J,'1-2 人员岗位信息'!$C:$C,"专业外包",'1-2 人员岗位信息'!$B:$B,$D53)</f>
        <v>0</v>
      </c>
      <c r="AQ53" s="298"/>
      <c r="AR53" s="174">
        <f t="shared" si="105"/>
        <v>0</v>
      </c>
      <c r="AS53" s="174">
        <f>SUMIFS('1-2 人员岗位信息'!K:K,'1-2 人员岗位信息'!$C:$C,"专业外包",'1-2 人员岗位信息'!$B:$B,$D53)</f>
        <v>0</v>
      </c>
      <c r="AT53" s="298"/>
      <c r="AU53" s="174">
        <f t="shared" si="106"/>
        <v>0</v>
      </c>
      <c r="AV53" s="174">
        <f>SUMIFS('1-2 人员岗位信息'!L:L,'1-2 人员岗位信息'!$C:$C,"专业外包",'1-2 人员岗位信息'!$B:$B,$D53)</f>
        <v>0</v>
      </c>
      <c r="AW53" s="298"/>
      <c r="AX53" s="174">
        <f t="shared" si="107"/>
        <v>0</v>
      </c>
      <c r="AY53" s="174">
        <f>SUMIFS('1-2 人员岗位信息'!M:M,'1-2 人员岗位信息'!$C:$C,"专业外包",'1-2 人员岗位信息'!$B:$B,$D53)</f>
        <v>0</v>
      </c>
      <c r="AZ53" s="298"/>
      <c r="BA53" s="174">
        <f t="shared" si="108"/>
        <v>0</v>
      </c>
      <c r="BB53" s="174">
        <f>SUMIFS('1-2 人员岗位信息'!N:N,'1-2 人员岗位信息'!$C:$C,"专业外包",'1-2 人员岗位信息'!$B:$B,$D53)</f>
        <v>0</v>
      </c>
      <c r="BC53" s="298"/>
      <c r="BD53" s="174">
        <f t="shared" si="109"/>
        <v>0</v>
      </c>
      <c r="BE53" s="174">
        <f>SUMIFS('1-2 人员岗位信息'!O:O,'1-2 人员岗位信息'!$C:$C,"专业外包",'1-2 人员岗位信息'!$B:$B,$D53)</f>
        <v>0</v>
      </c>
      <c r="BF53" s="298"/>
      <c r="BG53" s="174">
        <f t="shared" si="110"/>
        <v>0</v>
      </c>
      <c r="BH53" s="174">
        <f>SUMIFS('1-2 人员岗位信息'!P:P,'1-2 人员岗位信息'!$C:$C,"专业外包",'1-2 人员岗位信息'!$B:$B,$D53)</f>
        <v>0</v>
      </c>
      <c r="BI53" s="298"/>
      <c r="BJ53" s="174">
        <f t="shared" si="111"/>
        <v>0</v>
      </c>
      <c r="BK53" s="174">
        <f>SUMIFS('1-2 人员岗位信息'!Q:Q,'1-2 人员岗位信息'!$C:$C,"专业外包",'1-2 人员岗位信息'!$B:$B,$D53)</f>
        <v>0</v>
      </c>
      <c r="BL53" s="307"/>
      <c r="BM53" s="311"/>
      <c r="BN53" s="315"/>
    </row>
    <row r="54" s="263" customFormat="1" ht="33.95" hidden="1" customHeight="1" outlineLevel="5" spans="2:66">
      <c r="B54" s="174" t="s">
        <v>799</v>
      </c>
      <c r="C54" s="283" t="s">
        <v>879</v>
      </c>
      <c r="D54" s="263" t="s">
        <v>855</v>
      </c>
      <c r="E54" s="174" t="s">
        <v>856</v>
      </c>
      <c r="F54" s="174"/>
      <c r="G54" s="174" t="s">
        <v>803</v>
      </c>
      <c r="H54" s="174">
        <f t="shared" si="95"/>
        <v>0</v>
      </c>
      <c r="I54" s="174" t="s">
        <v>804</v>
      </c>
      <c r="J54" s="174" t="e">
        <f t="shared" si="96"/>
        <v>#DIV/0!</v>
      </c>
      <c r="K54" s="174" t="s">
        <v>805</v>
      </c>
      <c r="L54" s="174" t="e">
        <f t="shared" si="97"/>
        <v>#DIV/0!</v>
      </c>
      <c r="M54" s="174" t="s">
        <v>806</v>
      </c>
      <c r="N54" s="174">
        <f t="shared" si="98"/>
        <v>0</v>
      </c>
      <c r="O54" s="174"/>
      <c r="P54" s="290"/>
      <c r="Q54" s="290"/>
      <c r="R54" s="290"/>
      <c r="S54" s="290"/>
      <c r="T54" s="290"/>
      <c r="U54" s="290"/>
      <c r="V54" s="290"/>
      <c r="W54" s="290"/>
      <c r="X54" s="290"/>
      <c r="Y54" s="290"/>
      <c r="Z54" s="290"/>
      <c r="AA54" s="290"/>
      <c r="AB54" s="174">
        <f t="shared" si="99"/>
        <v>0</v>
      </c>
      <c r="AC54" s="174">
        <f t="shared" si="100"/>
        <v>0</v>
      </c>
      <c r="AD54" s="174">
        <f>SUMIFS('1-2 人员岗位信息'!F:F,'1-2 人员岗位信息'!$C:$C,"专业外包",'1-2 人员岗位信息'!$B:$B,$D54)</f>
        <v>0</v>
      </c>
      <c r="AE54" s="298"/>
      <c r="AF54" s="174">
        <f t="shared" si="101"/>
        <v>0</v>
      </c>
      <c r="AG54" s="174">
        <f>SUMIFS('1-2 人员岗位信息'!G:G,'1-2 人员岗位信息'!$C:$C,"专业外包",'1-2 人员岗位信息'!$B:$B,$D54)</f>
        <v>0</v>
      </c>
      <c r="AH54" s="298"/>
      <c r="AI54" s="174">
        <f t="shared" si="102"/>
        <v>0</v>
      </c>
      <c r="AJ54" s="174">
        <f>SUMIFS('1-2 人员岗位信息'!H:H,'1-2 人员岗位信息'!$C:$C,"专业外包",'1-2 人员岗位信息'!$B:$B,$D54)</f>
        <v>0</v>
      </c>
      <c r="AK54" s="298"/>
      <c r="AL54" s="174">
        <f t="shared" si="103"/>
        <v>0</v>
      </c>
      <c r="AM54" s="174">
        <f>SUMIFS('1-2 人员岗位信息'!I:I,'1-2 人员岗位信息'!$C:$C,"专业外包",'1-2 人员岗位信息'!$B:$B,$D54)</f>
        <v>0</v>
      </c>
      <c r="AN54" s="298"/>
      <c r="AO54" s="174">
        <f t="shared" si="104"/>
        <v>0</v>
      </c>
      <c r="AP54" s="174">
        <f>SUMIFS('1-2 人员岗位信息'!J:J,'1-2 人员岗位信息'!$C:$C,"专业外包",'1-2 人员岗位信息'!$B:$B,$D54)</f>
        <v>0</v>
      </c>
      <c r="AQ54" s="298"/>
      <c r="AR54" s="174">
        <f t="shared" si="105"/>
        <v>0</v>
      </c>
      <c r="AS54" s="174">
        <f>SUMIFS('1-2 人员岗位信息'!K:K,'1-2 人员岗位信息'!$C:$C,"专业外包",'1-2 人员岗位信息'!$B:$B,$D54)</f>
        <v>0</v>
      </c>
      <c r="AT54" s="298"/>
      <c r="AU54" s="174">
        <f t="shared" si="106"/>
        <v>0</v>
      </c>
      <c r="AV54" s="174">
        <f>SUMIFS('1-2 人员岗位信息'!L:L,'1-2 人员岗位信息'!$C:$C,"专业外包",'1-2 人员岗位信息'!$B:$B,$D54)</f>
        <v>0</v>
      </c>
      <c r="AW54" s="298"/>
      <c r="AX54" s="174">
        <f t="shared" si="107"/>
        <v>0</v>
      </c>
      <c r="AY54" s="174">
        <f>SUMIFS('1-2 人员岗位信息'!M:M,'1-2 人员岗位信息'!$C:$C,"专业外包",'1-2 人员岗位信息'!$B:$B,$D54)</f>
        <v>0</v>
      </c>
      <c r="AZ54" s="298"/>
      <c r="BA54" s="174">
        <f t="shared" si="108"/>
        <v>0</v>
      </c>
      <c r="BB54" s="174">
        <f>SUMIFS('1-2 人员岗位信息'!N:N,'1-2 人员岗位信息'!$C:$C,"专业外包",'1-2 人员岗位信息'!$B:$B,$D54)</f>
        <v>0</v>
      </c>
      <c r="BC54" s="298"/>
      <c r="BD54" s="174">
        <f t="shared" si="109"/>
        <v>0</v>
      </c>
      <c r="BE54" s="174">
        <f>SUMIFS('1-2 人员岗位信息'!O:O,'1-2 人员岗位信息'!$C:$C,"专业外包",'1-2 人员岗位信息'!$B:$B,$D54)</f>
        <v>0</v>
      </c>
      <c r="BF54" s="298"/>
      <c r="BG54" s="174">
        <f t="shared" si="110"/>
        <v>0</v>
      </c>
      <c r="BH54" s="174">
        <f>SUMIFS('1-2 人员岗位信息'!P:P,'1-2 人员岗位信息'!$C:$C,"专业外包",'1-2 人员岗位信息'!$B:$B,$D54)</f>
        <v>0</v>
      </c>
      <c r="BI54" s="298"/>
      <c r="BJ54" s="174">
        <f t="shared" si="111"/>
        <v>0</v>
      </c>
      <c r="BK54" s="174">
        <f>SUMIFS('1-2 人员岗位信息'!Q:Q,'1-2 人员岗位信息'!$C:$C,"专业外包",'1-2 人员岗位信息'!$B:$B,$D54)</f>
        <v>0</v>
      </c>
      <c r="BL54" s="307"/>
      <c r="BM54" s="311"/>
      <c r="BN54" s="315"/>
    </row>
    <row r="55" s="263" customFormat="1" ht="33.95" hidden="1" customHeight="1" outlineLevel="5" spans="2:66">
      <c r="B55" s="174" t="s">
        <v>799</v>
      </c>
      <c r="C55" s="283" t="s">
        <v>880</v>
      </c>
      <c r="D55" s="263" t="s">
        <v>858</v>
      </c>
      <c r="E55" s="174" t="s">
        <v>859</v>
      </c>
      <c r="F55" s="174"/>
      <c r="G55" s="174" t="s">
        <v>803</v>
      </c>
      <c r="H55" s="174">
        <f t="shared" si="95"/>
        <v>0</v>
      </c>
      <c r="I55" s="174" t="s">
        <v>804</v>
      </c>
      <c r="J55" s="174" t="e">
        <f t="shared" si="96"/>
        <v>#DIV/0!</v>
      </c>
      <c r="K55" s="174" t="s">
        <v>805</v>
      </c>
      <c r="L55" s="174" t="e">
        <f t="shared" si="97"/>
        <v>#DIV/0!</v>
      </c>
      <c r="M55" s="174" t="s">
        <v>806</v>
      </c>
      <c r="N55" s="174">
        <f t="shared" si="98"/>
        <v>0</v>
      </c>
      <c r="O55" s="174"/>
      <c r="P55" s="290"/>
      <c r="Q55" s="290"/>
      <c r="R55" s="290"/>
      <c r="S55" s="290"/>
      <c r="T55" s="290"/>
      <c r="U55" s="290"/>
      <c r="V55" s="290"/>
      <c r="W55" s="290"/>
      <c r="X55" s="290"/>
      <c r="Y55" s="290"/>
      <c r="Z55" s="290"/>
      <c r="AA55" s="290"/>
      <c r="AB55" s="174">
        <f t="shared" si="99"/>
        <v>0</v>
      </c>
      <c r="AC55" s="174">
        <f t="shared" si="100"/>
        <v>0</v>
      </c>
      <c r="AD55" s="174">
        <f>SUMIFS('1-2 人员岗位信息'!F:F,'1-2 人员岗位信息'!$C:$C,"专业外包",'1-2 人员岗位信息'!$B:$B,$D55)</f>
        <v>0</v>
      </c>
      <c r="AE55" s="298"/>
      <c r="AF55" s="174">
        <f t="shared" si="101"/>
        <v>0</v>
      </c>
      <c r="AG55" s="174">
        <f>SUMIFS('1-2 人员岗位信息'!G:G,'1-2 人员岗位信息'!$C:$C,"专业外包",'1-2 人员岗位信息'!$B:$B,$D55)</f>
        <v>0</v>
      </c>
      <c r="AH55" s="298"/>
      <c r="AI55" s="174">
        <f t="shared" si="102"/>
        <v>0</v>
      </c>
      <c r="AJ55" s="174">
        <f>SUMIFS('1-2 人员岗位信息'!H:H,'1-2 人员岗位信息'!$C:$C,"专业外包",'1-2 人员岗位信息'!$B:$B,$D55)</f>
        <v>0</v>
      </c>
      <c r="AK55" s="298"/>
      <c r="AL55" s="174">
        <f t="shared" si="103"/>
        <v>0</v>
      </c>
      <c r="AM55" s="174">
        <f>SUMIFS('1-2 人员岗位信息'!I:I,'1-2 人员岗位信息'!$C:$C,"专业外包",'1-2 人员岗位信息'!$B:$B,$D55)</f>
        <v>0</v>
      </c>
      <c r="AN55" s="298"/>
      <c r="AO55" s="174">
        <f t="shared" si="104"/>
        <v>0</v>
      </c>
      <c r="AP55" s="174">
        <f>SUMIFS('1-2 人员岗位信息'!J:J,'1-2 人员岗位信息'!$C:$C,"专业外包",'1-2 人员岗位信息'!$B:$B,$D55)</f>
        <v>0</v>
      </c>
      <c r="AQ55" s="298"/>
      <c r="AR55" s="174">
        <f t="shared" si="105"/>
        <v>0</v>
      </c>
      <c r="AS55" s="174">
        <f>SUMIFS('1-2 人员岗位信息'!K:K,'1-2 人员岗位信息'!$C:$C,"专业外包",'1-2 人员岗位信息'!$B:$B,$D55)</f>
        <v>0</v>
      </c>
      <c r="AT55" s="298"/>
      <c r="AU55" s="174">
        <f t="shared" si="106"/>
        <v>0</v>
      </c>
      <c r="AV55" s="174">
        <f>SUMIFS('1-2 人员岗位信息'!L:L,'1-2 人员岗位信息'!$C:$C,"专业外包",'1-2 人员岗位信息'!$B:$B,$D55)</f>
        <v>0</v>
      </c>
      <c r="AW55" s="298"/>
      <c r="AX55" s="174">
        <f t="shared" si="107"/>
        <v>0</v>
      </c>
      <c r="AY55" s="174">
        <f>SUMIFS('1-2 人员岗位信息'!M:M,'1-2 人员岗位信息'!$C:$C,"专业外包",'1-2 人员岗位信息'!$B:$B,$D55)</f>
        <v>0</v>
      </c>
      <c r="AZ55" s="298"/>
      <c r="BA55" s="174">
        <f t="shared" si="108"/>
        <v>0</v>
      </c>
      <c r="BB55" s="174">
        <f>SUMIFS('1-2 人员岗位信息'!N:N,'1-2 人员岗位信息'!$C:$C,"专业外包",'1-2 人员岗位信息'!$B:$B,$D55)</f>
        <v>0</v>
      </c>
      <c r="BC55" s="298"/>
      <c r="BD55" s="174">
        <f t="shared" si="109"/>
        <v>0</v>
      </c>
      <c r="BE55" s="174">
        <f>SUMIFS('1-2 人员岗位信息'!O:O,'1-2 人员岗位信息'!$C:$C,"专业外包",'1-2 人员岗位信息'!$B:$B,$D55)</f>
        <v>0</v>
      </c>
      <c r="BF55" s="298"/>
      <c r="BG55" s="174">
        <f t="shared" si="110"/>
        <v>0</v>
      </c>
      <c r="BH55" s="174">
        <f>SUMIFS('1-2 人员岗位信息'!P:P,'1-2 人员岗位信息'!$C:$C,"专业外包",'1-2 人员岗位信息'!$B:$B,$D55)</f>
        <v>0</v>
      </c>
      <c r="BI55" s="298"/>
      <c r="BJ55" s="174">
        <f t="shared" si="111"/>
        <v>0</v>
      </c>
      <c r="BK55" s="174">
        <f>SUMIFS('1-2 人员岗位信息'!Q:Q,'1-2 人员岗位信息'!$C:$C,"专业外包",'1-2 人员岗位信息'!$B:$B,$D55)</f>
        <v>0</v>
      </c>
      <c r="BL55" s="307"/>
      <c r="BM55" s="311"/>
      <c r="BN55" s="315"/>
    </row>
    <row r="56" s="263" customFormat="1" ht="33.95" hidden="1" customHeight="1" outlineLevel="5" spans="2:66">
      <c r="B56" s="174" t="s">
        <v>799</v>
      </c>
      <c r="C56" s="283" t="s">
        <v>881</v>
      </c>
      <c r="D56" s="263" t="s">
        <v>861</v>
      </c>
      <c r="E56" s="174" t="s">
        <v>821</v>
      </c>
      <c r="F56" s="174"/>
      <c r="G56" s="174" t="s">
        <v>803</v>
      </c>
      <c r="H56" s="174">
        <f t="shared" si="95"/>
        <v>0</v>
      </c>
      <c r="I56" s="174" t="s">
        <v>804</v>
      </c>
      <c r="J56" s="174" t="e">
        <f t="shared" si="96"/>
        <v>#DIV/0!</v>
      </c>
      <c r="K56" s="174" t="s">
        <v>805</v>
      </c>
      <c r="L56" s="174" t="e">
        <f t="shared" si="97"/>
        <v>#DIV/0!</v>
      </c>
      <c r="M56" s="174" t="s">
        <v>806</v>
      </c>
      <c r="N56" s="174">
        <f t="shared" si="98"/>
        <v>0</v>
      </c>
      <c r="O56" s="174"/>
      <c r="P56" s="290"/>
      <c r="Q56" s="290"/>
      <c r="R56" s="290"/>
      <c r="S56" s="290"/>
      <c r="T56" s="290"/>
      <c r="U56" s="290"/>
      <c r="V56" s="290"/>
      <c r="W56" s="290"/>
      <c r="X56" s="290"/>
      <c r="Y56" s="290"/>
      <c r="Z56" s="290"/>
      <c r="AA56" s="290"/>
      <c r="AB56" s="174">
        <f t="shared" si="99"/>
        <v>0</v>
      </c>
      <c r="AC56" s="174">
        <f t="shared" si="100"/>
        <v>0</v>
      </c>
      <c r="AD56" s="174">
        <f>SUMIFS('1-2 人员岗位信息'!F:F,'1-2 人员岗位信息'!$C:$C,"专业外包",'1-2 人员岗位信息'!$B:$B,$D56)</f>
        <v>0</v>
      </c>
      <c r="AE56" s="298"/>
      <c r="AF56" s="174">
        <f t="shared" si="101"/>
        <v>0</v>
      </c>
      <c r="AG56" s="174">
        <f>SUMIFS('1-2 人员岗位信息'!G:G,'1-2 人员岗位信息'!$C:$C,"专业外包",'1-2 人员岗位信息'!$B:$B,$D56)</f>
        <v>0</v>
      </c>
      <c r="AH56" s="298"/>
      <c r="AI56" s="174">
        <f t="shared" si="102"/>
        <v>0</v>
      </c>
      <c r="AJ56" s="174">
        <f>SUMIFS('1-2 人员岗位信息'!H:H,'1-2 人员岗位信息'!$C:$C,"专业外包",'1-2 人员岗位信息'!$B:$B,$D56)</f>
        <v>0</v>
      </c>
      <c r="AK56" s="298"/>
      <c r="AL56" s="174">
        <f t="shared" si="103"/>
        <v>0</v>
      </c>
      <c r="AM56" s="174">
        <f>SUMIFS('1-2 人员岗位信息'!I:I,'1-2 人员岗位信息'!$C:$C,"专业外包",'1-2 人员岗位信息'!$B:$B,$D56)</f>
        <v>0</v>
      </c>
      <c r="AN56" s="298"/>
      <c r="AO56" s="174">
        <f t="shared" si="104"/>
        <v>0</v>
      </c>
      <c r="AP56" s="174">
        <f>SUMIFS('1-2 人员岗位信息'!J:J,'1-2 人员岗位信息'!$C:$C,"专业外包",'1-2 人员岗位信息'!$B:$B,$D56)</f>
        <v>0</v>
      </c>
      <c r="AQ56" s="298"/>
      <c r="AR56" s="174">
        <f t="shared" si="105"/>
        <v>0</v>
      </c>
      <c r="AS56" s="174">
        <f>SUMIFS('1-2 人员岗位信息'!K:K,'1-2 人员岗位信息'!$C:$C,"专业外包",'1-2 人员岗位信息'!$B:$B,$D56)</f>
        <v>0</v>
      </c>
      <c r="AT56" s="298"/>
      <c r="AU56" s="174">
        <f t="shared" si="106"/>
        <v>0</v>
      </c>
      <c r="AV56" s="174">
        <f>SUMIFS('1-2 人员岗位信息'!L:L,'1-2 人员岗位信息'!$C:$C,"专业外包",'1-2 人员岗位信息'!$B:$B,$D56)</f>
        <v>0</v>
      </c>
      <c r="AW56" s="298"/>
      <c r="AX56" s="174">
        <f t="shared" si="107"/>
        <v>0</v>
      </c>
      <c r="AY56" s="174">
        <f>SUMIFS('1-2 人员岗位信息'!M:M,'1-2 人员岗位信息'!$C:$C,"专业外包",'1-2 人员岗位信息'!$B:$B,$D56)</f>
        <v>0</v>
      </c>
      <c r="AZ56" s="298"/>
      <c r="BA56" s="174">
        <f t="shared" si="108"/>
        <v>0</v>
      </c>
      <c r="BB56" s="174">
        <f>SUMIFS('1-2 人员岗位信息'!N:N,'1-2 人员岗位信息'!$C:$C,"专业外包",'1-2 人员岗位信息'!$B:$B,$D56)</f>
        <v>0</v>
      </c>
      <c r="BC56" s="298"/>
      <c r="BD56" s="174">
        <f t="shared" si="109"/>
        <v>0</v>
      </c>
      <c r="BE56" s="174">
        <f>SUMIFS('1-2 人员岗位信息'!O:O,'1-2 人员岗位信息'!$C:$C,"专业外包",'1-2 人员岗位信息'!$B:$B,$D56)</f>
        <v>0</v>
      </c>
      <c r="BF56" s="298"/>
      <c r="BG56" s="174">
        <f t="shared" si="110"/>
        <v>0</v>
      </c>
      <c r="BH56" s="174">
        <f>SUMIFS('1-2 人员岗位信息'!P:P,'1-2 人员岗位信息'!$C:$C,"专业外包",'1-2 人员岗位信息'!$B:$B,$D56)</f>
        <v>0</v>
      </c>
      <c r="BI56" s="298"/>
      <c r="BJ56" s="174">
        <f t="shared" si="111"/>
        <v>0</v>
      </c>
      <c r="BK56" s="174">
        <f>SUMIFS('1-2 人员岗位信息'!Q:Q,'1-2 人员岗位信息'!$C:$C,"专业外包",'1-2 人员岗位信息'!$B:$B,$D56)</f>
        <v>0</v>
      </c>
      <c r="BL56" s="307"/>
      <c r="BM56" s="311"/>
      <c r="BN56" s="315"/>
    </row>
    <row r="57" s="48" customFormat="1" ht="33.95" hidden="1" customHeight="1" outlineLevel="3" collapsed="1" spans="2:66">
      <c r="B57" s="114" t="s">
        <v>794</v>
      </c>
      <c r="C57" s="115" t="s">
        <v>882</v>
      </c>
      <c r="D57" s="48" t="s">
        <v>883</v>
      </c>
      <c r="E57" s="114"/>
      <c r="F57" s="114"/>
      <c r="G57" s="114"/>
      <c r="H57" s="114">
        <f>H58+H69+H80+H91</f>
        <v>166415.094339623</v>
      </c>
      <c r="I57" s="114"/>
      <c r="J57" s="114"/>
      <c r="K57" s="114"/>
      <c r="L57" s="114"/>
      <c r="M57" s="114"/>
      <c r="N57" s="114"/>
      <c r="O57" s="114"/>
      <c r="P57" s="288"/>
      <c r="Q57" s="288"/>
      <c r="R57" s="288"/>
      <c r="S57" s="288"/>
      <c r="T57" s="288"/>
      <c r="U57" s="288"/>
      <c r="V57" s="288"/>
      <c r="W57" s="288"/>
      <c r="X57" s="288"/>
      <c r="Y57" s="288"/>
      <c r="Z57" s="288"/>
      <c r="AA57" s="288"/>
      <c r="AB57" s="114">
        <f t="shared" ref="AB57:AF57" si="112">AB58+AB69+AB80+AB91</f>
        <v>166415.094339623</v>
      </c>
      <c r="AC57" s="114">
        <f t="shared" si="112"/>
        <v>13867.9245283019</v>
      </c>
      <c r="AD57" s="114"/>
      <c r="AE57" s="114"/>
      <c r="AF57" s="114">
        <f t="shared" si="112"/>
        <v>13867.9245283019</v>
      </c>
      <c r="AG57" s="114"/>
      <c r="AH57" s="114"/>
      <c r="AI57" s="114">
        <f>AI58+AI69+AI80+AI91</f>
        <v>13867.9245283019</v>
      </c>
      <c r="AJ57" s="114"/>
      <c r="AK57" s="114"/>
      <c r="AL57" s="114">
        <f>AL58+AL69+AL80+AL91</f>
        <v>13867.9245283019</v>
      </c>
      <c r="AM57" s="114"/>
      <c r="AN57" s="114"/>
      <c r="AO57" s="114">
        <f>AO58+AO69+AO80+AO91</f>
        <v>13867.9245283019</v>
      </c>
      <c r="AP57" s="114"/>
      <c r="AQ57" s="114"/>
      <c r="AR57" s="114">
        <f>AR58+AR69+AR80+AR91</f>
        <v>13867.9245283019</v>
      </c>
      <c r="AS57" s="114"/>
      <c r="AT57" s="114"/>
      <c r="AU57" s="114">
        <f>AU58+AU69+AU80+AU91</f>
        <v>13867.9245283019</v>
      </c>
      <c r="AV57" s="114"/>
      <c r="AW57" s="114"/>
      <c r="AX57" s="114">
        <f>AX58+AX69+AX80+AX91</f>
        <v>13867.9245283019</v>
      </c>
      <c r="AY57" s="114"/>
      <c r="AZ57" s="114"/>
      <c r="BA57" s="114">
        <f>BA58+BA69+BA80+BA91</f>
        <v>13867.9245283019</v>
      </c>
      <c r="BB57" s="114"/>
      <c r="BC57" s="114"/>
      <c r="BD57" s="114">
        <f>BD58+BD69+BD80+BD91</f>
        <v>13867.9245283019</v>
      </c>
      <c r="BE57" s="114"/>
      <c r="BF57" s="114"/>
      <c r="BG57" s="114">
        <f>BG58+BG69+BG80+BG91</f>
        <v>13867.9245283019</v>
      </c>
      <c r="BH57" s="114"/>
      <c r="BI57" s="114"/>
      <c r="BJ57" s="114">
        <f>BJ58+BJ69+BJ80+BJ91</f>
        <v>13867.9245283019</v>
      </c>
      <c r="BK57" s="114"/>
      <c r="BL57" s="305"/>
      <c r="BM57" s="311"/>
      <c r="BN57" s="313"/>
    </row>
    <row r="58" s="117" customFormat="1" ht="33.95" hidden="1" customHeight="1" outlineLevel="4" collapsed="1" spans="2:66">
      <c r="B58" s="118" t="s">
        <v>794</v>
      </c>
      <c r="C58" s="119" t="s">
        <v>115</v>
      </c>
      <c r="D58" s="117" t="s">
        <v>109</v>
      </c>
      <c r="E58" s="118"/>
      <c r="F58" s="118"/>
      <c r="G58" s="118"/>
      <c r="H58" s="118">
        <f>SUM(H59:H68)</f>
        <v>0</v>
      </c>
      <c r="I58" s="118"/>
      <c r="J58" s="118"/>
      <c r="K58" s="118"/>
      <c r="L58" s="118"/>
      <c r="M58" s="118"/>
      <c r="N58" s="118"/>
      <c r="O58" s="118"/>
      <c r="P58" s="289"/>
      <c r="Q58" s="289"/>
      <c r="R58" s="289"/>
      <c r="S58" s="289"/>
      <c r="T58" s="289"/>
      <c r="U58" s="289"/>
      <c r="V58" s="289"/>
      <c r="W58" s="289"/>
      <c r="X58" s="289"/>
      <c r="Y58" s="289"/>
      <c r="Z58" s="289"/>
      <c r="AA58" s="289"/>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6"/>
      <c r="BM58" s="311"/>
      <c r="BN58" s="314"/>
    </row>
    <row r="59" s="263" customFormat="1" ht="33.95" hidden="1" customHeight="1" outlineLevel="5" spans="2:66">
      <c r="B59" s="174" t="s">
        <v>799</v>
      </c>
      <c r="C59" s="283" t="s">
        <v>884</v>
      </c>
      <c r="D59" s="263" t="s">
        <v>885</v>
      </c>
      <c r="E59" s="174" t="s">
        <v>886</v>
      </c>
      <c r="F59" s="174"/>
      <c r="G59" s="174" t="s">
        <v>803</v>
      </c>
      <c r="H59" s="174">
        <f t="shared" ref="H59:H68" si="114">AB59</f>
        <v>0</v>
      </c>
      <c r="I59" s="174" t="s">
        <v>804</v>
      </c>
      <c r="J59" s="174">
        <f t="shared" ref="J59:J68" si="115">SUM(AD59,AG59,AJ59,AM59,AP59,AS59,AV59,AY59,BB59,BE59,BH59,BK59)/N59</f>
        <v>1</v>
      </c>
      <c r="K59" s="174" t="s">
        <v>805</v>
      </c>
      <c r="L59" s="174">
        <f t="shared" ref="L59:L68" si="116">H59/N59/J59</f>
        <v>0</v>
      </c>
      <c r="M59" s="174" t="s">
        <v>806</v>
      </c>
      <c r="N59" s="174">
        <f t="shared" ref="N59:N68" si="117">COUNTIF(AD59,"&gt;0")+COUNTIF(AG59,"&gt;0")+COUNTIF(AJ59,"&gt;0")+COUNTIF(AM59,"&gt;0")+COUNTIF(AP59,"&gt;0")+COUNTIF(AS59,"&gt;0")+COUNTIF(AV59,"&gt;0")+COUNTIF(AY59,"&gt;0")+COUNTIF(BB59,"&gt;0")+COUNTIF(BE59,"&gt;0")+COUNTIF(BH59,"&gt;0")+COUNTIF(BK59,"&gt;0")</f>
        <v>12</v>
      </c>
      <c r="O59" s="174"/>
      <c r="P59" s="290"/>
      <c r="Q59" s="290"/>
      <c r="R59" s="290"/>
      <c r="S59" s="290"/>
      <c r="T59" s="290"/>
      <c r="U59" s="290"/>
      <c r="V59" s="290"/>
      <c r="W59" s="290"/>
      <c r="X59" s="290"/>
      <c r="Y59" s="290"/>
      <c r="Z59" s="290"/>
      <c r="AA59" s="290"/>
      <c r="AB59" s="174">
        <f t="shared" ref="AB59:AB68" si="118">SUM(AC59,AF59,AI59,AL59,AO59,AR59,AU59,AX59,BA59,BD59,BG59,BJ59)</f>
        <v>0</v>
      </c>
      <c r="AC59" s="174">
        <f t="shared" ref="AC59:AC68" si="119">AD59*AE59</f>
        <v>0</v>
      </c>
      <c r="AD59" s="174">
        <v>1</v>
      </c>
      <c r="AE59" s="298">
        <f>自有人工预算!E27/AD59</f>
        <v>0</v>
      </c>
      <c r="AF59" s="174">
        <f t="shared" ref="AF59:AF68" si="120">AG59*AH59</f>
        <v>0</v>
      </c>
      <c r="AG59" s="174">
        <v>1</v>
      </c>
      <c r="AH59" s="298">
        <f>自有人工预算!F27/AG59</f>
        <v>0</v>
      </c>
      <c r="AI59" s="174">
        <f t="shared" ref="AI59:AI68" si="121">AJ59*AK59</f>
        <v>0</v>
      </c>
      <c r="AJ59" s="174">
        <v>1</v>
      </c>
      <c r="AK59" s="298">
        <f>自有人工预算!G27/AJ59</f>
        <v>0</v>
      </c>
      <c r="AL59" s="174">
        <f t="shared" ref="AL59:AL68" si="122">AM59*AN59</f>
        <v>0</v>
      </c>
      <c r="AM59" s="174">
        <v>1</v>
      </c>
      <c r="AN59" s="298">
        <f>自有人工预算!H27/AM59</f>
        <v>0</v>
      </c>
      <c r="AO59" s="174">
        <f t="shared" ref="AO59:AO68" si="123">AP59*AQ59</f>
        <v>0</v>
      </c>
      <c r="AP59" s="174">
        <v>1</v>
      </c>
      <c r="AQ59" s="298">
        <f>自有人工预算!I27/AP59</f>
        <v>0</v>
      </c>
      <c r="AR59" s="174">
        <f t="shared" ref="AR59:AR68" si="124">AS59*AT59</f>
        <v>0</v>
      </c>
      <c r="AS59" s="174">
        <v>1</v>
      </c>
      <c r="AT59" s="298">
        <f>自有人工预算!J27/AS59</f>
        <v>0</v>
      </c>
      <c r="AU59" s="174">
        <f t="shared" ref="AU59:AU68" si="125">AV59*AW59</f>
        <v>0</v>
      </c>
      <c r="AV59" s="174">
        <v>1</v>
      </c>
      <c r="AW59" s="298">
        <f>自有人工预算!K27/AV59</f>
        <v>0</v>
      </c>
      <c r="AX59" s="174">
        <f t="shared" ref="AX59:AX68" si="126">AY59*AZ59</f>
        <v>0</v>
      </c>
      <c r="AY59" s="174">
        <v>1</v>
      </c>
      <c r="AZ59" s="298">
        <f>自有人工预算!L27/AY59</f>
        <v>0</v>
      </c>
      <c r="BA59" s="174">
        <f t="shared" ref="BA59:BA68" si="127">BB59*BC59</f>
        <v>0</v>
      </c>
      <c r="BB59" s="174">
        <v>1</v>
      </c>
      <c r="BC59" s="298">
        <f>自有人工预算!M27/BB59</f>
        <v>0</v>
      </c>
      <c r="BD59" s="174">
        <f t="shared" ref="BD59:BD68" si="128">BE59*BF59</f>
        <v>0</v>
      </c>
      <c r="BE59" s="174">
        <v>1</v>
      </c>
      <c r="BF59" s="298">
        <f>自有人工预算!N27/BE59</f>
        <v>0</v>
      </c>
      <c r="BG59" s="174">
        <f t="shared" ref="BG59:BG68" si="129">BH59*BI59</f>
        <v>0</v>
      </c>
      <c r="BH59" s="174">
        <v>1</v>
      </c>
      <c r="BI59" s="298">
        <f>自有人工预算!O27/BH59</f>
        <v>0</v>
      </c>
      <c r="BJ59" s="174">
        <f t="shared" ref="BJ59:BJ68" si="130">BK59*BL59</f>
        <v>0</v>
      </c>
      <c r="BK59" s="174">
        <v>1</v>
      </c>
      <c r="BL59" s="298">
        <f>自有人工预算!P27/BK59</f>
        <v>0</v>
      </c>
      <c r="BM59" s="311"/>
      <c r="BN59" s="315"/>
    </row>
    <row r="60" s="263" customFormat="1" ht="33.95" hidden="1" customHeight="1" outlineLevel="5" spans="2:66">
      <c r="B60" s="174" t="s">
        <v>799</v>
      </c>
      <c r="C60" s="283" t="s">
        <v>887</v>
      </c>
      <c r="D60" s="263" t="s">
        <v>888</v>
      </c>
      <c r="E60" s="174" t="s">
        <v>889</v>
      </c>
      <c r="F60" s="174"/>
      <c r="G60" s="174" t="s">
        <v>803</v>
      </c>
      <c r="H60" s="174">
        <f t="shared" si="114"/>
        <v>0</v>
      </c>
      <c r="I60" s="174" t="s">
        <v>804</v>
      </c>
      <c r="J60" s="174" t="e">
        <f t="shared" si="115"/>
        <v>#DIV/0!</v>
      </c>
      <c r="K60" s="174" t="s">
        <v>805</v>
      </c>
      <c r="L60" s="174" t="e">
        <f t="shared" si="116"/>
        <v>#DIV/0!</v>
      </c>
      <c r="M60" s="174" t="s">
        <v>806</v>
      </c>
      <c r="N60" s="174">
        <f t="shared" si="117"/>
        <v>0</v>
      </c>
      <c r="O60" s="174"/>
      <c r="P60" s="290"/>
      <c r="Q60" s="290"/>
      <c r="R60" s="290"/>
      <c r="S60" s="290"/>
      <c r="T60" s="290"/>
      <c r="U60" s="290"/>
      <c r="V60" s="290"/>
      <c r="W60" s="290"/>
      <c r="X60" s="290"/>
      <c r="Y60" s="290"/>
      <c r="Z60" s="290"/>
      <c r="AA60" s="290"/>
      <c r="AB60" s="174">
        <f t="shared" si="118"/>
        <v>0</v>
      </c>
      <c r="AC60" s="174">
        <f t="shared" si="119"/>
        <v>0</v>
      </c>
      <c r="AD60" s="174">
        <f>SUMIFS('1-2 人员岗位信息'!F:F,'1-2 人员岗位信息'!$C:$C,"自有人员",'1-2 人员岗位信息'!$B:$B,$D60)</f>
        <v>0</v>
      </c>
      <c r="AE60" s="298"/>
      <c r="AF60" s="174">
        <f t="shared" si="120"/>
        <v>0</v>
      </c>
      <c r="AG60" s="174">
        <f>SUMIFS('1-2 人员岗位信息'!G:G,'1-2 人员岗位信息'!$C:$C,"自有人员",'1-2 人员岗位信息'!$B:$B,$D60)</f>
        <v>0</v>
      </c>
      <c r="AH60" s="298"/>
      <c r="AI60" s="174">
        <f t="shared" si="121"/>
        <v>0</v>
      </c>
      <c r="AJ60" s="174">
        <f>SUMIFS('1-2 人员岗位信息'!H:H,'1-2 人员岗位信息'!$C:$C,"自有人员",'1-2 人员岗位信息'!$B:$B,$D60)</f>
        <v>0</v>
      </c>
      <c r="AK60" s="298"/>
      <c r="AL60" s="174">
        <f t="shared" si="122"/>
        <v>0</v>
      </c>
      <c r="AM60" s="174">
        <f>SUMIFS('1-2 人员岗位信息'!I:I,'1-2 人员岗位信息'!$C:$C,"自有人员",'1-2 人员岗位信息'!$B:$B,$D60)</f>
        <v>0</v>
      </c>
      <c r="AN60" s="298"/>
      <c r="AO60" s="174">
        <f t="shared" si="123"/>
        <v>0</v>
      </c>
      <c r="AP60" s="174">
        <f>SUMIFS('1-2 人员岗位信息'!J:J,'1-2 人员岗位信息'!$C:$C,"自有人员",'1-2 人员岗位信息'!$B:$B,$D60)</f>
        <v>0</v>
      </c>
      <c r="AQ60" s="298"/>
      <c r="AR60" s="174">
        <f t="shared" si="124"/>
        <v>0</v>
      </c>
      <c r="AS60" s="174">
        <f>SUMIFS('1-2 人员岗位信息'!K:K,'1-2 人员岗位信息'!$C:$C,"自有人员",'1-2 人员岗位信息'!$B:$B,$D60)</f>
        <v>0</v>
      </c>
      <c r="AT60" s="298"/>
      <c r="AU60" s="174">
        <f t="shared" si="125"/>
        <v>0</v>
      </c>
      <c r="AV60" s="174">
        <f>SUMIFS('1-2 人员岗位信息'!L:L,'1-2 人员岗位信息'!$C:$C,"自有人员",'1-2 人员岗位信息'!$B:$B,$D60)</f>
        <v>0</v>
      </c>
      <c r="AW60" s="298"/>
      <c r="AX60" s="174">
        <f t="shared" si="126"/>
        <v>0</v>
      </c>
      <c r="AY60" s="174">
        <f>SUMIFS('1-2 人员岗位信息'!M:M,'1-2 人员岗位信息'!$C:$C,"自有人员",'1-2 人员岗位信息'!$B:$B,$D60)</f>
        <v>0</v>
      </c>
      <c r="AZ60" s="298"/>
      <c r="BA60" s="174">
        <f t="shared" si="127"/>
        <v>0</v>
      </c>
      <c r="BB60" s="174">
        <f>SUMIFS('1-2 人员岗位信息'!N:N,'1-2 人员岗位信息'!$C:$C,"自有人员",'1-2 人员岗位信息'!$B:$B,$D60)</f>
        <v>0</v>
      </c>
      <c r="BC60" s="298"/>
      <c r="BD60" s="174">
        <f t="shared" si="128"/>
        <v>0</v>
      </c>
      <c r="BE60" s="174">
        <f>SUMIFS('1-2 人员岗位信息'!O:O,'1-2 人员岗位信息'!$C:$C,"自有人员",'1-2 人员岗位信息'!$B:$B,$D60)</f>
        <v>0</v>
      </c>
      <c r="BF60" s="298"/>
      <c r="BG60" s="174">
        <f t="shared" si="129"/>
        <v>0</v>
      </c>
      <c r="BH60" s="174">
        <f>SUMIFS('1-2 人员岗位信息'!P:P,'1-2 人员岗位信息'!$C:$C,"自有人员",'1-2 人员岗位信息'!$B:$B,$D60)</f>
        <v>0</v>
      </c>
      <c r="BI60" s="298"/>
      <c r="BJ60" s="174">
        <f t="shared" si="130"/>
        <v>0</v>
      </c>
      <c r="BK60" s="174">
        <f>SUMIFS('1-2 人员岗位信息'!Q:Q,'1-2 人员岗位信息'!$C:$C,"自有人员",'1-2 人员岗位信息'!$B:$B,$D60)</f>
        <v>0</v>
      </c>
      <c r="BL60" s="307"/>
      <c r="BM60" s="311"/>
      <c r="BN60" s="315"/>
    </row>
    <row r="61" s="263" customFormat="1" ht="33.95" hidden="1" customHeight="1" outlineLevel="5" spans="2:66">
      <c r="B61" s="174" t="s">
        <v>799</v>
      </c>
      <c r="C61" s="283" t="s">
        <v>890</v>
      </c>
      <c r="D61" s="263" t="s">
        <v>891</v>
      </c>
      <c r="E61" s="174" t="s">
        <v>892</v>
      </c>
      <c r="F61" s="174"/>
      <c r="G61" s="174" t="s">
        <v>803</v>
      </c>
      <c r="H61" s="174">
        <f t="shared" si="114"/>
        <v>0</v>
      </c>
      <c r="I61" s="174" t="s">
        <v>804</v>
      </c>
      <c r="J61" s="174" t="e">
        <f t="shared" si="115"/>
        <v>#DIV/0!</v>
      </c>
      <c r="K61" s="174" t="s">
        <v>805</v>
      </c>
      <c r="L61" s="174" t="e">
        <f t="shared" si="116"/>
        <v>#DIV/0!</v>
      </c>
      <c r="M61" s="174" t="s">
        <v>806</v>
      </c>
      <c r="N61" s="174">
        <f t="shared" si="117"/>
        <v>0</v>
      </c>
      <c r="O61" s="174"/>
      <c r="P61" s="290"/>
      <c r="Q61" s="290"/>
      <c r="R61" s="290"/>
      <c r="S61" s="290"/>
      <c r="T61" s="290"/>
      <c r="U61" s="290"/>
      <c r="V61" s="290"/>
      <c r="W61" s="290"/>
      <c r="X61" s="290"/>
      <c r="Y61" s="290"/>
      <c r="Z61" s="290"/>
      <c r="AA61" s="290"/>
      <c r="AB61" s="174">
        <f t="shared" si="118"/>
        <v>0</v>
      </c>
      <c r="AC61" s="174">
        <f t="shared" si="119"/>
        <v>0</v>
      </c>
      <c r="AD61" s="174">
        <f>SUMIFS('1-2 人员岗位信息'!F:F,'1-2 人员岗位信息'!$C:$C,"自有人员",'1-2 人员岗位信息'!$B:$B,$D61)</f>
        <v>0</v>
      </c>
      <c r="AE61" s="298"/>
      <c r="AF61" s="174">
        <f t="shared" si="120"/>
        <v>0</v>
      </c>
      <c r="AG61" s="174">
        <f>SUMIFS('1-2 人员岗位信息'!G:G,'1-2 人员岗位信息'!$C:$C,"自有人员",'1-2 人员岗位信息'!$B:$B,$D61)</f>
        <v>0</v>
      </c>
      <c r="AH61" s="298"/>
      <c r="AI61" s="174">
        <f t="shared" si="121"/>
        <v>0</v>
      </c>
      <c r="AJ61" s="174">
        <f>SUMIFS('1-2 人员岗位信息'!H:H,'1-2 人员岗位信息'!$C:$C,"自有人员",'1-2 人员岗位信息'!$B:$B,$D61)</f>
        <v>0</v>
      </c>
      <c r="AK61" s="298"/>
      <c r="AL61" s="174">
        <f t="shared" si="122"/>
        <v>0</v>
      </c>
      <c r="AM61" s="174">
        <f>SUMIFS('1-2 人员岗位信息'!I:I,'1-2 人员岗位信息'!$C:$C,"自有人员",'1-2 人员岗位信息'!$B:$B,$D61)</f>
        <v>0</v>
      </c>
      <c r="AN61" s="298"/>
      <c r="AO61" s="174">
        <f t="shared" si="123"/>
        <v>0</v>
      </c>
      <c r="AP61" s="174">
        <f>SUMIFS('1-2 人员岗位信息'!J:J,'1-2 人员岗位信息'!$C:$C,"自有人员",'1-2 人员岗位信息'!$B:$B,$D61)</f>
        <v>0</v>
      </c>
      <c r="AQ61" s="298"/>
      <c r="AR61" s="174">
        <f t="shared" si="124"/>
        <v>0</v>
      </c>
      <c r="AS61" s="174">
        <f>SUMIFS('1-2 人员岗位信息'!K:K,'1-2 人员岗位信息'!$C:$C,"自有人员",'1-2 人员岗位信息'!$B:$B,$D61)</f>
        <v>0</v>
      </c>
      <c r="AT61" s="298"/>
      <c r="AU61" s="174">
        <f t="shared" si="125"/>
        <v>0</v>
      </c>
      <c r="AV61" s="174">
        <f>SUMIFS('1-2 人员岗位信息'!L:L,'1-2 人员岗位信息'!$C:$C,"自有人员",'1-2 人员岗位信息'!$B:$B,$D61)</f>
        <v>0</v>
      </c>
      <c r="AW61" s="298"/>
      <c r="AX61" s="174">
        <f t="shared" si="126"/>
        <v>0</v>
      </c>
      <c r="AY61" s="174">
        <f>SUMIFS('1-2 人员岗位信息'!M:M,'1-2 人员岗位信息'!$C:$C,"自有人员",'1-2 人员岗位信息'!$B:$B,$D61)</f>
        <v>0</v>
      </c>
      <c r="AZ61" s="298"/>
      <c r="BA61" s="174">
        <f t="shared" si="127"/>
        <v>0</v>
      </c>
      <c r="BB61" s="174">
        <f>SUMIFS('1-2 人员岗位信息'!N:N,'1-2 人员岗位信息'!$C:$C,"自有人员",'1-2 人员岗位信息'!$B:$B,$D61)</f>
        <v>0</v>
      </c>
      <c r="BC61" s="298"/>
      <c r="BD61" s="174">
        <f t="shared" si="128"/>
        <v>0</v>
      </c>
      <c r="BE61" s="174">
        <f>SUMIFS('1-2 人员岗位信息'!O:O,'1-2 人员岗位信息'!$C:$C,"自有人员",'1-2 人员岗位信息'!$B:$B,$D61)</f>
        <v>0</v>
      </c>
      <c r="BF61" s="298"/>
      <c r="BG61" s="174">
        <f t="shared" si="129"/>
        <v>0</v>
      </c>
      <c r="BH61" s="174">
        <f>SUMIFS('1-2 人员岗位信息'!P:P,'1-2 人员岗位信息'!$C:$C,"自有人员",'1-2 人员岗位信息'!$B:$B,$D61)</f>
        <v>0</v>
      </c>
      <c r="BI61" s="298"/>
      <c r="BJ61" s="174">
        <f t="shared" si="130"/>
        <v>0</v>
      </c>
      <c r="BK61" s="174">
        <f>SUMIFS('1-2 人员岗位信息'!Q:Q,'1-2 人员岗位信息'!$C:$C,"自有人员",'1-2 人员岗位信息'!$B:$B,$D61)</f>
        <v>0</v>
      </c>
      <c r="BL61" s="307"/>
      <c r="BM61" s="311"/>
      <c r="BN61" s="315"/>
    </row>
    <row r="62" s="263" customFormat="1" ht="33.95" hidden="1" customHeight="1" outlineLevel="5" spans="2:66">
      <c r="B62" s="174" t="s">
        <v>799</v>
      </c>
      <c r="C62" s="283" t="s">
        <v>893</v>
      </c>
      <c r="D62" s="263" t="s">
        <v>894</v>
      </c>
      <c r="E62" s="174" t="s">
        <v>895</v>
      </c>
      <c r="F62" s="174"/>
      <c r="G62" s="174" t="s">
        <v>803</v>
      </c>
      <c r="H62" s="174">
        <f t="shared" si="114"/>
        <v>0</v>
      </c>
      <c r="I62" s="174" t="s">
        <v>804</v>
      </c>
      <c r="J62" s="174" t="e">
        <f t="shared" si="115"/>
        <v>#DIV/0!</v>
      </c>
      <c r="K62" s="174" t="s">
        <v>805</v>
      </c>
      <c r="L62" s="174" t="e">
        <f t="shared" si="116"/>
        <v>#DIV/0!</v>
      </c>
      <c r="M62" s="174" t="s">
        <v>806</v>
      </c>
      <c r="N62" s="174">
        <f t="shared" si="117"/>
        <v>0</v>
      </c>
      <c r="O62" s="174"/>
      <c r="P62" s="290"/>
      <c r="Q62" s="290"/>
      <c r="R62" s="290"/>
      <c r="S62" s="290"/>
      <c r="T62" s="290"/>
      <c r="U62" s="290"/>
      <c r="V62" s="290"/>
      <c r="W62" s="290"/>
      <c r="X62" s="290"/>
      <c r="Y62" s="290"/>
      <c r="Z62" s="290"/>
      <c r="AA62" s="290"/>
      <c r="AB62" s="174">
        <f t="shared" si="118"/>
        <v>0</v>
      </c>
      <c r="AC62" s="174">
        <f t="shared" si="119"/>
        <v>0</v>
      </c>
      <c r="AD62" s="174">
        <f>SUMIFS('1-2 人员岗位信息'!F:F,'1-2 人员岗位信息'!$C:$C,"自有人员",'1-2 人员岗位信息'!$B:$B,$D62)</f>
        <v>0</v>
      </c>
      <c r="AE62" s="298"/>
      <c r="AF62" s="174">
        <f t="shared" si="120"/>
        <v>0</v>
      </c>
      <c r="AG62" s="174">
        <f>SUMIFS('1-2 人员岗位信息'!G:G,'1-2 人员岗位信息'!$C:$C,"自有人员",'1-2 人员岗位信息'!$B:$B,$D62)</f>
        <v>0</v>
      </c>
      <c r="AH62" s="298"/>
      <c r="AI62" s="174">
        <f t="shared" si="121"/>
        <v>0</v>
      </c>
      <c r="AJ62" s="174">
        <f>SUMIFS('1-2 人员岗位信息'!H:H,'1-2 人员岗位信息'!$C:$C,"自有人员",'1-2 人员岗位信息'!$B:$B,$D62)</f>
        <v>0</v>
      </c>
      <c r="AK62" s="298"/>
      <c r="AL62" s="174">
        <f t="shared" si="122"/>
        <v>0</v>
      </c>
      <c r="AM62" s="174">
        <f>SUMIFS('1-2 人员岗位信息'!I:I,'1-2 人员岗位信息'!$C:$C,"自有人员",'1-2 人员岗位信息'!$B:$B,$D62)</f>
        <v>0</v>
      </c>
      <c r="AN62" s="298"/>
      <c r="AO62" s="174">
        <f t="shared" si="123"/>
        <v>0</v>
      </c>
      <c r="AP62" s="174">
        <f>SUMIFS('1-2 人员岗位信息'!J:J,'1-2 人员岗位信息'!$C:$C,"自有人员",'1-2 人员岗位信息'!$B:$B,$D62)</f>
        <v>0</v>
      </c>
      <c r="AQ62" s="298"/>
      <c r="AR62" s="174">
        <f t="shared" si="124"/>
        <v>0</v>
      </c>
      <c r="AS62" s="174">
        <f>SUMIFS('1-2 人员岗位信息'!K:K,'1-2 人员岗位信息'!$C:$C,"自有人员",'1-2 人员岗位信息'!$B:$B,$D62)</f>
        <v>0</v>
      </c>
      <c r="AT62" s="298"/>
      <c r="AU62" s="174">
        <f t="shared" si="125"/>
        <v>0</v>
      </c>
      <c r="AV62" s="174">
        <f>SUMIFS('1-2 人员岗位信息'!L:L,'1-2 人员岗位信息'!$C:$C,"自有人员",'1-2 人员岗位信息'!$B:$B,$D62)</f>
        <v>0</v>
      </c>
      <c r="AW62" s="298"/>
      <c r="AX62" s="174">
        <f t="shared" si="126"/>
        <v>0</v>
      </c>
      <c r="AY62" s="174">
        <f>SUMIFS('1-2 人员岗位信息'!M:M,'1-2 人员岗位信息'!$C:$C,"自有人员",'1-2 人员岗位信息'!$B:$B,$D62)</f>
        <v>0</v>
      </c>
      <c r="AZ62" s="298"/>
      <c r="BA62" s="174">
        <f t="shared" si="127"/>
        <v>0</v>
      </c>
      <c r="BB62" s="174">
        <f>SUMIFS('1-2 人员岗位信息'!N:N,'1-2 人员岗位信息'!$C:$C,"自有人员",'1-2 人员岗位信息'!$B:$B,$D62)</f>
        <v>0</v>
      </c>
      <c r="BC62" s="298"/>
      <c r="BD62" s="174">
        <f t="shared" si="128"/>
        <v>0</v>
      </c>
      <c r="BE62" s="174">
        <f>SUMIFS('1-2 人员岗位信息'!O:O,'1-2 人员岗位信息'!$C:$C,"自有人员",'1-2 人员岗位信息'!$B:$B,$D62)</f>
        <v>0</v>
      </c>
      <c r="BF62" s="298"/>
      <c r="BG62" s="174">
        <f t="shared" si="129"/>
        <v>0</v>
      </c>
      <c r="BH62" s="174">
        <f>SUMIFS('1-2 人员岗位信息'!P:P,'1-2 人员岗位信息'!$C:$C,"自有人员",'1-2 人员岗位信息'!$B:$B,$D62)</f>
        <v>0</v>
      </c>
      <c r="BI62" s="298"/>
      <c r="BJ62" s="174">
        <f t="shared" si="130"/>
        <v>0</v>
      </c>
      <c r="BK62" s="174">
        <f>SUMIFS('1-2 人员岗位信息'!Q:Q,'1-2 人员岗位信息'!$C:$C,"自有人员",'1-2 人员岗位信息'!$B:$B,$D62)</f>
        <v>0</v>
      </c>
      <c r="BL62" s="307"/>
      <c r="BM62" s="311"/>
      <c r="BN62" s="315"/>
    </row>
    <row r="63" s="263" customFormat="1" ht="33.95" hidden="1" customHeight="1" outlineLevel="5" spans="2:66">
      <c r="B63" s="174" t="s">
        <v>799</v>
      </c>
      <c r="C63" s="283" t="s">
        <v>896</v>
      </c>
      <c r="D63" s="263" t="s">
        <v>897</v>
      </c>
      <c r="E63" s="174" t="s">
        <v>898</v>
      </c>
      <c r="F63" s="174"/>
      <c r="G63" s="174" t="s">
        <v>803</v>
      </c>
      <c r="H63" s="174">
        <f t="shared" si="114"/>
        <v>0</v>
      </c>
      <c r="I63" s="174" t="s">
        <v>804</v>
      </c>
      <c r="J63" s="174" t="e">
        <f t="shared" si="115"/>
        <v>#DIV/0!</v>
      </c>
      <c r="K63" s="174" t="s">
        <v>805</v>
      </c>
      <c r="L63" s="174" t="e">
        <f t="shared" si="116"/>
        <v>#DIV/0!</v>
      </c>
      <c r="M63" s="174" t="s">
        <v>806</v>
      </c>
      <c r="N63" s="174">
        <f t="shared" si="117"/>
        <v>0</v>
      </c>
      <c r="O63" s="174"/>
      <c r="P63" s="290"/>
      <c r="Q63" s="290"/>
      <c r="R63" s="290"/>
      <c r="S63" s="290"/>
      <c r="T63" s="290"/>
      <c r="U63" s="290"/>
      <c r="V63" s="290"/>
      <c r="W63" s="290"/>
      <c r="X63" s="290"/>
      <c r="Y63" s="290"/>
      <c r="Z63" s="290"/>
      <c r="AA63" s="290"/>
      <c r="AB63" s="174">
        <f t="shared" si="118"/>
        <v>0</v>
      </c>
      <c r="AC63" s="174">
        <f t="shared" si="119"/>
        <v>0</v>
      </c>
      <c r="AD63" s="174">
        <f>SUMIFS('1-2 人员岗位信息'!F:F,'1-2 人员岗位信息'!$C:$C,"自有人员",'1-2 人员岗位信息'!$B:$B,$D63)</f>
        <v>0</v>
      </c>
      <c r="AE63" s="298"/>
      <c r="AF63" s="174">
        <f t="shared" si="120"/>
        <v>0</v>
      </c>
      <c r="AG63" s="174">
        <f>SUMIFS('1-2 人员岗位信息'!G:G,'1-2 人员岗位信息'!$C:$C,"自有人员",'1-2 人员岗位信息'!$B:$B,$D63)</f>
        <v>0</v>
      </c>
      <c r="AH63" s="298"/>
      <c r="AI63" s="174">
        <f t="shared" si="121"/>
        <v>0</v>
      </c>
      <c r="AJ63" s="174">
        <f>SUMIFS('1-2 人员岗位信息'!H:H,'1-2 人员岗位信息'!$C:$C,"自有人员",'1-2 人员岗位信息'!$B:$B,$D63)</f>
        <v>0</v>
      </c>
      <c r="AK63" s="298"/>
      <c r="AL63" s="174">
        <f t="shared" si="122"/>
        <v>0</v>
      </c>
      <c r="AM63" s="174">
        <f>SUMIFS('1-2 人员岗位信息'!I:I,'1-2 人员岗位信息'!$C:$C,"自有人员",'1-2 人员岗位信息'!$B:$B,$D63)</f>
        <v>0</v>
      </c>
      <c r="AN63" s="298"/>
      <c r="AO63" s="174">
        <f t="shared" si="123"/>
        <v>0</v>
      </c>
      <c r="AP63" s="174">
        <f>SUMIFS('1-2 人员岗位信息'!J:J,'1-2 人员岗位信息'!$C:$C,"自有人员",'1-2 人员岗位信息'!$B:$B,$D63)</f>
        <v>0</v>
      </c>
      <c r="AQ63" s="298"/>
      <c r="AR63" s="174">
        <f t="shared" si="124"/>
        <v>0</v>
      </c>
      <c r="AS63" s="174">
        <f>SUMIFS('1-2 人员岗位信息'!K:K,'1-2 人员岗位信息'!$C:$C,"自有人员",'1-2 人员岗位信息'!$B:$B,$D63)</f>
        <v>0</v>
      </c>
      <c r="AT63" s="298"/>
      <c r="AU63" s="174">
        <f t="shared" si="125"/>
        <v>0</v>
      </c>
      <c r="AV63" s="174">
        <f>SUMIFS('1-2 人员岗位信息'!L:L,'1-2 人员岗位信息'!$C:$C,"自有人员",'1-2 人员岗位信息'!$B:$B,$D63)</f>
        <v>0</v>
      </c>
      <c r="AW63" s="298"/>
      <c r="AX63" s="174">
        <f t="shared" si="126"/>
        <v>0</v>
      </c>
      <c r="AY63" s="174">
        <f>SUMIFS('1-2 人员岗位信息'!M:M,'1-2 人员岗位信息'!$C:$C,"自有人员",'1-2 人员岗位信息'!$B:$B,$D63)</f>
        <v>0</v>
      </c>
      <c r="AZ63" s="298"/>
      <c r="BA63" s="174">
        <f t="shared" si="127"/>
        <v>0</v>
      </c>
      <c r="BB63" s="174">
        <f>SUMIFS('1-2 人员岗位信息'!N:N,'1-2 人员岗位信息'!$C:$C,"自有人员",'1-2 人员岗位信息'!$B:$B,$D63)</f>
        <v>0</v>
      </c>
      <c r="BC63" s="298"/>
      <c r="BD63" s="174">
        <f t="shared" si="128"/>
        <v>0</v>
      </c>
      <c r="BE63" s="174">
        <f>SUMIFS('1-2 人员岗位信息'!O:O,'1-2 人员岗位信息'!$C:$C,"自有人员",'1-2 人员岗位信息'!$B:$B,$D63)</f>
        <v>0</v>
      </c>
      <c r="BF63" s="298"/>
      <c r="BG63" s="174">
        <f t="shared" si="129"/>
        <v>0</v>
      </c>
      <c r="BH63" s="174">
        <f>SUMIFS('1-2 人员岗位信息'!P:P,'1-2 人员岗位信息'!$C:$C,"自有人员",'1-2 人员岗位信息'!$B:$B,$D63)</f>
        <v>0</v>
      </c>
      <c r="BI63" s="298"/>
      <c r="BJ63" s="174">
        <f t="shared" si="130"/>
        <v>0</v>
      </c>
      <c r="BK63" s="174">
        <f>SUMIFS('1-2 人员岗位信息'!Q:Q,'1-2 人员岗位信息'!$C:$C,"自有人员",'1-2 人员岗位信息'!$B:$B,$D63)</f>
        <v>0</v>
      </c>
      <c r="BL63" s="307"/>
      <c r="BM63" s="311"/>
      <c r="BN63" s="315"/>
    </row>
    <row r="64" s="263" customFormat="1" ht="33.95" hidden="1" customHeight="1" outlineLevel="5" spans="2:66">
      <c r="B64" s="174" t="s">
        <v>799</v>
      </c>
      <c r="C64" s="283" t="s">
        <v>899</v>
      </c>
      <c r="D64" s="263" t="s">
        <v>900</v>
      </c>
      <c r="E64" s="174" t="s">
        <v>901</v>
      </c>
      <c r="F64" s="174"/>
      <c r="G64" s="174" t="s">
        <v>803</v>
      </c>
      <c r="H64" s="174">
        <f t="shared" si="114"/>
        <v>0</v>
      </c>
      <c r="I64" s="174" t="s">
        <v>804</v>
      </c>
      <c r="J64" s="174" t="e">
        <f t="shared" si="115"/>
        <v>#DIV/0!</v>
      </c>
      <c r="K64" s="174" t="s">
        <v>805</v>
      </c>
      <c r="L64" s="174" t="e">
        <f t="shared" si="116"/>
        <v>#DIV/0!</v>
      </c>
      <c r="M64" s="174" t="s">
        <v>806</v>
      </c>
      <c r="N64" s="174">
        <f t="shared" si="117"/>
        <v>0</v>
      </c>
      <c r="O64" s="174"/>
      <c r="P64" s="290"/>
      <c r="Q64" s="290"/>
      <c r="R64" s="290"/>
      <c r="S64" s="290"/>
      <c r="T64" s="290"/>
      <c r="U64" s="290"/>
      <c r="V64" s="290"/>
      <c r="W64" s="290"/>
      <c r="X64" s="290"/>
      <c r="Y64" s="290"/>
      <c r="Z64" s="290"/>
      <c r="AA64" s="290"/>
      <c r="AB64" s="174">
        <f t="shared" si="118"/>
        <v>0</v>
      </c>
      <c r="AC64" s="174">
        <f t="shared" si="119"/>
        <v>0</v>
      </c>
      <c r="AD64" s="174">
        <f>SUMIFS('1-2 人员岗位信息'!F:F,'1-2 人员岗位信息'!$C:$C,"自有人员",'1-2 人员岗位信息'!$B:$B,$D64)</f>
        <v>0</v>
      </c>
      <c r="AE64" s="298"/>
      <c r="AF64" s="174">
        <f t="shared" si="120"/>
        <v>0</v>
      </c>
      <c r="AG64" s="174">
        <f>SUMIFS('1-2 人员岗位信息'!G:G,'1-2 人员岗位信息'!$C:$C,"自有人员",'1-2 人员岗位信息'!$B:$B,$D64)</f>
        <v>0</v>
      </c>
      <c r="AH64" s="298"/>
      <c r="AI64" s="174">
        <f t="shared" si="121"/>
        <v>0</v>
      </c>
      <c r="AJ64" s="174">
        <f>SUMIFS('1-2 人员岗位信息'!H:H,'1-2 人员岗位信息'!$C:$C,"自有人员",'1-2 人员岗位信息'!$B:$B,$D64)</f>
        <v>0</v>
      </c>
      <c r="AK64" s="298"/>
      <c r="AL64" s="174">
        <f t="shared" si="122"/>
        <v>0</v>
      </c>
      <c r="AM64" s="174">
        <f>SUMIFS('1-2 人员岗位信息'!I:I,'1-2 人员岗位信息'!$C:$C,"自有人员",'1-2 人员岗位信息'!$B:$B,$D64)</f>
        <v>0</v>
      </c>
      <c r="AN64" s="298"/>
      <c r="AO64" s="174">
        <f t="shared" si="123"/>
        <v>0</v>
      </c>
      <c r="AP64" s="174">
        <f>SUMIFS('1-2 人员岗位信息'!J:J,'1-2 人员岗位信息'!$C:$C,"自有人员",'1-2 人员岗位信息'!$B:$B,$D64)</f>
        <v>0</v>
      </c>
      <c r="AQ64" s="298"/>
      <c r="AR64" s="174">
        <f t="shared" si="124"/>
        <v>0</v>
      </c>
      <c r="AS64" s="174">
        <f>SUMIFS('1-2 人员岗位信息'!K:K,'1-2 人员岗位信息'!$C:$C,"自有人员",'1-2 人员岗位信息'!$B:$B,$D64)</f>
        <v>0</v>
      </c>
      <c r="AT64" s="298"/>
      <c r="AU64" s="174">
        <f t="shared" si="125"/>
        <v>0</v>
      </c>
      <c r="AV64" s="174">
        <f>SUMIFS('1-2 人员岗位信息'!L:L,'1-2 人员岗位信息'!$C:$C,"自有人员",'1-2 人员岗位信息'!$B:$B,$D64)</f>
        <v>0</v>
      </c>
      <c r="AW64" s="298"/>
      <c r="AX64" s="174">
        <f t="shared" si="126"/>
        <v>0</v>
      </c>
      <c r="AY64" s="174">
        <f>SUMIFS('1-2 人员岗位信息'!M:M,'1-2 人员岗位信息'!$C:$C,"自有人员",'1-2 人员岗位信息'!$B:$B,$D64)</f>
        <v>0</v>
      </c>
      <c r="AZ64" s="298"/>
      <c r="BA64" s="174">
        <f t="shared" si="127"/>
        <v>0</v>
      </c>
      <c r="BB64" s="174">
        <f>SUMIFS('1-2 人员岗位信息'!N:N,'1-2 人员岗位信息'!$C:$C,"自有人员",'1-2 人员岗位信息'!$B:$B,$D64)</f>
        <v>0</v>
      </c>
      <c r="BC64" s="298"/>
      <c r="BD64" s="174">
        <f t="shared" si="128"/>
        <v>0</v>
      </c>
      <c r="BE64" s="174">
        <f>SUMIFS('1-2 人员岗位信息'!O:O,'1-2 人员岗位信息'!$C:$C,"自有人员",'1-2 人员岗位信息'!$B:$B,$D64)</f>
        <v>0</v>
      </c>
      <c r="BF64" s="298"/>
      <c r="BG64" s="174">
        <f t="shared" si="129"/>
        <v>0</v>
      </c>
      <c r="BH64" s="174">
        <f>SUMIFS('1-2 人员岗位信息'!P:P,'1-2 人员岗位信息'!$C:$C,"自有人员",'1-2 人员岗位信息'!$B:$B,$D64)</f>
        <v>0</v>
      </c>
      <c r="BI64" s="298"/>
      <c r="BJ64" s="174">
        <f t="shared" si="130"/>
        <v>0</v>
      </c>
      <c r="BK64" s="174">
        <f>SUMIFS('1-2 人员岗位信息'!Q:Q,'1-2 人员岗位信息'!$C:$C,"自有人员",'1-2 人员岗位信息'!$B:$B,$D64)</f>
        <v>0</v>
      </c>
      <c r="BL64" s="307"/>
      <c r="BM64" s="311"/>
      <c r="BN64" s="315"/>
    </row>
    <row r="65" s="263" customFormat="1" ht="33.95" hidden="1" customHeight="1" outlineLevel="5" spans="2:66">
      <c r="B65" s="174" t="s">
        <v>799</v>
      </c>
      <c r="C65" s="283" t="s">
        <v>902</v>
      </c>
      <c r="D65" s="263" t="s">
        <v>903</v>
      </c>
      <c r="E65" s="174" t="s">
        <v>904</v>
      </c>
      <c r="F65" s="174"/>
      <c r="G65" s="174" t="s">
        <v>803</v>
      </c>
      <c r="H65" s="174">
        <f t="shared" si="114"/>
        <v>0</v>
      </c>
      <c r="I65" s="174" t="s">
        <v>804</v>
      </c>
      <c r="J65" s="174" t="e">
        <f t="shared" si="115"/>
        <v>#DIV/0!</v>
      </c>
      <c r="K65" s="174" t="s">
        <v>805</v>
      </c>
      <c r="L65" s="174" t="e">
        <f t="shared" si="116"/>
        <v>#DIV/0!</v>
      </c>
      <c r="M65" s="174" t="s">
        <v>806</v>
      </c>
      <c r="N65" s="174">
        <f t="shared" si="117"/>
        <v>0</v>
      </c>
      <c r="O65" s="174"/>
      <c r="P65" s="290"/>
      <c r="Q65" s="290"/>
      <c r="R65" s="290"/>
      <c r="S65" s="290"/>
      <c r="T65" s="290"/>
      <c r="U65" s="290"/>
      <c r="V65" s="290"/>
      <c r="W65" s="290"/>
      <c r="X65" s="290"/>
      <c r="Y65" s="290"/>
      <c r="Z65" s="290"/>
      <c r="AA65" s="290"/>
      <c r="AB65" s="174">
        <f t="shared" si="118"/>
        <v>0</v>
      </c>
      <c r="AC65" s="174">
        <f t="shared" si="119"/>
        <v>0</v>
      </c>
      <c r="AD65" s="174">
        <f>SUMIFS('1-2 人员岗位信息'!F:F,'1-2 人员岗位信息'!$C:$C,"自有人员",'1-2 人员岗位信息'!$B:$B,$D65)</f>
        <v>0</v>
      </c>
      <c r="AE65" s="298"/>
      <c r="AF65" s="174">
        <f t="shared" si="120"/>
        <v>0</v>
      </c>
      <c r="AG65" s="174">
        <f>SUMIFS('1-2 人员岗位信息'!G:G,'1-2 人员岗位信息'!$C:$C,"自有人员",'1-2 人员岗位信息'!$B:$B,$D65)</f>
        <v>0</v>
      </c>
      <c r="AH65" s="298"/>
      <c r="AI65" s="174">
        <f t="shared" si="121"/>
        <v>0</v>
      </c>
      <c r="AJ65" s="174">
        <f>SUMIFS('1-2 人员岗位信息'!H:H,'1-2 人员岗位信息'!$C:$C,"自有人员",'1-2 人员岗位信息'!$B:$B,$D65)</f>
        <v>0</v>
      </c>
      <c r="AK65" s="298"/>
      <c r="AL65" s="174">
        <f t="shared" si="122"/>
        <v>0</v>
      </c>
      <c r="AM65" s="174">
        <f>SUMIFS('1-2 人员岗位信息'!I:I,'1-2 人员岗位信息'!$C:$C,"自有人员",'1-2 人员岗位信息'!$B:$B,$D65)</f>
        <v>0</v>
      </c>
      <c r="AN65" s="298"/>
      <c r="AO65" s="174">
        <f t="shared" si="123"/>
        <v>0</v>
      </c>
      <c r="AP65" s="174">
        <f>SUMIFS('1-2 人员岗位信息'!J:J,'1-2 人员岗位信息'!$C:$C,"自有人员",'1-2 人员岗位信息'!$B:$B,$D65)</f>
        <v>0</v>
      </c>
      <c r="AQ65" s="298"/>
      <c r="AR65" s="174">
        <f t="shared" si="124"/>
        <v>0</v>
      </c>
      <c r="AS65" s="174">
        <f>SUMIFS('1-2 人员岗位信息'!K:K,'1-2 人员岗位信息'!$C:$C,"自有人员",'1-2 人员岗位信息'!$B:$B,$D65)</f>
        <v>0</v>
      </c>
      <c r="AT65" s="298"/>
      <c r="AU65" s="174">
        <f t="shared" si="125"/>
        <v>0</v>
      </c>
      <c r="AV65" s="174">
        <f>SUMIFS('1-2 人员岗位信息'!L:L,'1-2 人员岗位信息'!$C:$C,"自有人员",'1-2 人员岗位信息'!$B:$B,$D65)</f>
        <v>0</v>
      </c>
      <c r="AW65" s="298"/>
      <c r="AX65" s="174">
        <f t="shared" si="126"/>
        <v>0</v>
      </c>
      <c r="AY65" s="174">
        <f>SUMIFS('1-2 人员岗位信息'!M:M,'1-2 人员岗位信息'!$C:$C,"自有人员",'1-2 人员岗位信息'!$B:$B,$D65)</f>
        <v>0</v>
      </c>
      <c r="AZ65" s="298"/>
      <c r="BA65" s="174">
        <f t="shared" si="127"/>
        <v>0</v>
      </c>
      <c r="BB65" s="174">
        <f>SUMIFS('1-2 人员岗位信息'!N:N,'1-2 人员岗位信息'!$C:$C,"自有人员",'1-2 人员岗位信息'!$B:$B,$D65)</f>
        <v>0</v>
      </c>
      <c r="BC65" s="298"/>
      <c r="BD65" s="174">
        <f t="shared" si="128"/>
        <v>0</v>
      </c>
      <c r="BE65" s="174">
        <f>SUMIFS('1-2 人员岗位信息'!O:O,'1-2 人员岗位信息'!$C:$C,"自有人员",'1-2 人员岗位信息'!$B:$B,$D65)</f>
        <v>0</v>
      </c>
      <c r="BF65" s="298"/>
      <c r="BG65" s="174">
        <f t="shared" si="129"/>
        <v>0</v>
      </c>
      <c r="BH65" s="174">
        <f>SUMIFS('1-2 人员岗位信息'!P:P,'1-2 人员岗位信息'!$C:$C,"自有人员",'1-2 人员岗位信息'!$B:$B,$D65)</f>
        <v>0</v>
      </c>
      <c r="BI65" s="298"/>
      <c r="BJ65" s="174">
        <f t="shared" si="130"/>
        <v>0</v>
      </c>
      <c r="BK65" s="174">
        <f>SUMIFS('1-2 人员岗位信息'!Q:Q,'1-2 人员岗位信息'!$C:$C,"自有人员",'1-2 人员岗位信息'!$B:$B,$D65)</f>
        <v>0</v>
      </c>
      <c r="BL65" s="307"/>
      <c r="BM65" s="311"/>
      <c r="BN65" s="315"/>
    </row>
    <row r="66" s="263" customFormat="1" ht="33.95" hidden="1" customHeight="1" outlineLevel="5" spans="2:66">
      <c r="B66" s="174" t="s">
        <v>799</v>
      </c>
      <c r="C66" s="283" t="s">
        <v>905</v>
      </c>
      <c r="D66" s="263" t="s">
        <v>906</v>
      </c>
      <c r="E66" s="174" t="s">
        <v>907</v>
      </c>
      <c r="F66" s="174"/>
      <c r="G66" s="174" t="s">
        <v>803</v>
      </c>
      <c r="H66" s="174">
        <f t="shared" si="114"/>
        <v>0</v>
      </c>
      <c r="I66" s="174" t="s">
        <v>804</v>
      </c>
      <c r="J66" s="174" t="e">
        <f t="shared" si="115"/>
        <v>#DIV/0!</v>
      </c>
      <c r="K66" s="174" t="s">
        <v>805</v>
      </c>
      <c r="L66" s="174" t="e">
        <f t="shared" si="116"/>
        <v>#DIV/0!</v>
      </c>
      <c r="M66" s="174" t="s">
        <v>806</v>
      </c>
      <c r="N66" s="174">
        <f t="shared" si="117"/>
        <v>0</v>
      </c>
      <c r="O66" s="174"/>
      <c r="P66" s="290"/>
      <c r="Q66" s="290"/>
      <c r="R66" s="290"/>
      <c r="S66" s="290"/>
      <c r="T66" s="290"/>
      <c r="U66" s="290"/>
      <c r="V66" s="290"/>
      <c r="W66" s="290"/>
      <c r="X66" s="290"/>
      <c r="Y66" s="290"/>
      <c r="Z66" s="290"/>
      <c r="AA66" s="290"/>
      <c r="AB66" s="174">
        <f t="shared" si="118"/>
        <v>0</v>
      </c>
      <c r="AC66" s="174">
        <f t="shared" si="119"/>
        <v>0</v>
      </c>
      <c r="AD66" s="174">
        <f>SUMIFS('1-2 人员岗位信息'!F:F,'1-2 人员岗位信息'!$C:$C,"自有人员",'1-2 人员岗位信息'!$B:$B,$D66)</f>
        <v>0</v>
      </c>
      <c r="AE66" s="298"/>
      <c r="AF66" s="174">
        <f t="shared" si="120"/>
        <v>0</v>
      </c>
      <c r="AG66" s="174">
        <f>SUMIFS('1-2 人员岗位信息'!G:G,'1-2 人员岗位信息'!$C:$C,"自有人员",'1-2 人员岗位信息'!$B:$B,$D66)</f>
        <v>0</v>
      </c>
      <c r="AH66" s="298"/>
      <c r="AI66" s="174">
        <f t="shared" si="121"/>
        <v>0</v>
      </c>
      <c r="AJ66" s="174">
        <f>SUMIFS('1-2 人员岗位信息'!H:H,'1-2 人员岗位信息'!$C:$C,"自有人员",'1-2 人员岗位信息'!$B:$B,$D66)</f>
        <v>0</v>
      </c>
      <c r="AK66" s="298"/>
      <c r="AL66" s="174">
        <f t="shared" si="122"/>
        <v>0</v>
      </c>
      <c r="AM66" s="174">
        <f>SUMIFS('1-2 人员岗位信息'!I:I,'1-2 人员岗位信息'!$C:$C,"自有人员",'1-2 人员岗位信息'!$B:$B,$D66)</f>
        <v>0</v>
      </c>
      <c r="AN66" s="298"/>
      <c r="AO66" s="174">
        <f t="shared" si="123"/>
        <v>0</v>
      </c>
      <c r="AP66" s="174">
        <f>SUMIFS('1-2 人员岗位信息'!J:J,'1-2 人员岗位信息'!$C:$C,"自有人员",'1-2 人员岗位信息'!$B:$B,$D66)</f>
        <v>0</v>
      </c>
      <c r="AQ66" s="298"/>
      <c r="AR66" s="174">
        <f t="shared" si="124"/>
        <v>0</v>
      </c>
      <c r="AS66" s="174">
        <f>SUMIFS('1-2 人员岗位信息'!K:K,'1-2 人员岗位信息'!$C:$C,"自有人员",'1-2 人员岗位信息'!$B:$B,$D66)</f>
        <v>0</v>
      </c>
      <c r="AT66" s="298"/>
      <c r="AU66" s="174">
        <f t="shared" si="125"/>
        <v>0</v>
      </c>
      <c r="AV66" s="174">
        <f>SUMIFS('1-2 人员岗位信息'!L:L,'1-2 人员岗位信息'!$C:$C,"自有人员",'1-2 人员岗位信息'!$B:$B,$D66)</f>
        <v>0</v>
      </c>
      <c r="AW66" s="298"/>
      <c r="AX66" s="174">
        <f t="shared" si="126"/>
        <v>0</v>
      </c>
      <c r="AY66" s="174">
        <f>SUMIFS('1-2 人员岗位信息'!M:M,'1-2 人员岗位信息'!$C:$C,"自有人员",'1-2 人员岗位信息'!$B:$B,$D66)</f>
        <v>0</v>
      </c>
      <c r="AZ66" s="298"/>
      <c r="BA66" s="174">
        <f t="shared" si="127"/>
        <v>0</v>
      </c>
      <c r="BB66" s="174">
        <f>SUMIFS('1-2 人员岗位信息'!N:N,'1-2 人员岗位信息'!$C:$C,"自有人员",'1-2 人员岗位信息'!$B:$B,$D66)</f>
        <v>0</v>
      </c>
      <c r="BC66" s="298"/>
      <c r="BD66" s="174">
        <f t="shared" si="128"/>
        <v>0</v>
      </c>
      <c r="BE66" s="174">
        <f>SUMIFS('1-2 人员岗位信息'!O:O,'1-2 人员岗位信息'!$C:$C,"自有人员",'1-2 人员岗位信息'!$B:$B,$D66)</f>
        <v>0</v>
      </c>
      <c r="BF66" s="298"/>
      <c r="BG66" s="174">
        <f t="shared" si="129"/>
        <v>0</v>
      </c>
      <c r="BH66" s="174">
        <f>SUMIFS('1-2 人员岗位信息'!P:P,'1-2 人员岗位信息'!$C:$C,"自有人员",'1-2 人员岗位信息'!$B:$B,$D66)</f>
        <v>0</v>
      </c>
      <c r="BI66" s="298"/>
      <c r="BJ66" s="174">
        <f t="shared" si="130"/>
        <v>0</v>
      </c>
      <c r="BK66" s="174">
        <f>SUMIFS('1-2 人员岗位信息'!Q:Q,'1-2 人员岗位信息'!$C:$C,"自有人员",'1-2 人员岗位信息'!$B:$B,$D66)</f>
        <v>0</v>
      </c>
      <c r="BL66" s="307"/>
      <c r="BM66" s="311"/>
      <c r="BN66" s="315"/>
    </row>
    <row r="67" s="263" customFormat="1" ht="33.95" hidden="1" customHeight="1" outlineLevel="5" spans="2:66">
      <c r="B67" s="174" t="s">
        <v>799</v>
      </c>
      <c r="C67" s="283" t="s">
        <v>908</v>
      </c>
      <c r="D67" s="263" t="s">
        <v>909</v>
      </c>
      <c r="E67" s="174" t="s">
        <v>910</v>
      </c>
      <c r="F67" s="174"/>
      <c r="G67" s="174" t="s">
        <v>803</v>
      </c>
      <c r="H67" s="174">
        <f t="shared" si="114"/>
        <v>0</v>
      </c>
      <c r="I67" s="174" t="s">
        <v>804</v>
      </c>
      <c r="J67" s="174" t="e">
        <f t="shared" si="115"/>
        <v>#DIV/0!</v>
      </c>
      <c r="K67" s="174" t="s">
        <v>805</v>
      </c>
      <c r="L67" s="174" t="e">
        <f t="shared" si="116"/>
        <v>#DIV/0!</v>
      </c>
      <c r="M67" s="174" t="s">
        <v>806</v>
      </c>
      <c r="N67" s="174">
        <f t="shared" si="117"/>
        <v>0</v>
      </c>
      <c r="O67" s="174"/>
      <c r="P67" s="290"/>
      <c r="Q67" s="290"/>
      <c r="R67" s="290"/>
      <c r="S67" s="290"/>
      <c r="T67" s="290"/>
      <c r="U67" s="290"/>
      <c r="V67" s="290"/>
      <c r="W67" s="290"/>
      <c r="X67" s="290"/>
      <c r="Y67" s="290"/>
      <c r="Z67" s="290"/>
      <c r="AA67" s="290"/>
      <c r="AB67" s="174">
        <f t="shared" si="118"/>
        <v>0</v>
      </c>
      <c r="AC67" s="174">
        <f t="shared" si="119"/>
        <v>0</v>
      </c>
      <c r="AD67" s="174">
        <f>SUMIFS('1-2 人员岗位信息'!F:F,'1-2 人员岗位信息'!$C:$C,"自有人员",'1-2 人员岗位信息'!$B:$B,$D67)</f>
        <v>0</v>
      </c>
      <c r="AE67" s="298"/>
      <c r="AF67" s="174">
        <f t="shared" si="120"/>
        <v>0</v>
      </c>
      <c r="AG67" s="174">
        <f>SUMIFS('1-2 人员岗位信息'!G:G,'1-2 人员岗位信息'!$C:$C,"自有人员",'1-2 人员岗位信息'!$B:$B,$D67)</f>
        <v>0</v>
      </c>
      <c r="AH67" s="298"/>
      <c r="AI67" s="174">
        <f t="shared" si="121"/>
        <v>0</v>
      </c>
      <c r="AJ67" s="174">
        <f>SUMIFS('1-2 人员岗位信息'!H:H,'1-2 人员岗位信息'!$C:$C,"自有人员",'1-2 人员岗位信息'!$B:$B,$D67)</f>
        <v>0</v>
      </c>
      <c r="AK67" s="298"/>
      <c r="AL67" s="174">
        <f t="shared" si="122"/>
        <v>0</v>
      </c>
      <c r="AM67" s="174">
        <f>SUMIFS('1-2 人员岗位信息'!I:I,'1-2 人员岗位信息'!$C:$C,"自有人员",'1-2 人员岗位信息'!$B:$B,$D67)</f>
        <v>0</v>
      </c>
      <c r="AN67" s="298"/>
      <c r="AO67" s="174">
        <f t="shared" si="123"/>
        <v>0</v>
      </c>
      <c r="AP67" s="174">
        <f>SUMIFS('1-2 人员岗位信息'!J:J,'1-2 人员岗位信息'!$C:$C,"自有人员",'1-2 人员岗位信息'!$B:$B,$D67)</f>
        <v>0</v>
      </c>
      <c r="AQ67" s="298"/>
      <c r="AR67" s="174">
        <f t="shared" si="124"/>
        <v>0</v>
      </c>
      <c r="AS67" s="174">
        <f>SUMIFS('1-2 人员岗位信息'!K:K,'1-2 人员岗位信息'!$C:$C,"自有人员",'1-2 人员岗位信息'!$B:$B,$D67)</f>
        <v>0</v>
      </c>
      <c r="AT67" s="298"/>
      <c r="AU67" s="174">
        <f t="shared" si="125"/>
        <v>0</v>
      </c>
      <c r="AV67" s="174">
        <f>SUMIFS('1-2 人员岗位信息'!L:L,'1-2 人员岗位信息'!$C:$C,"自有人员",'1-2 人员岗位信息'!$B:$B,$D67)</f>
        <v>0</v>
      </c>
      <c r="AW67" s="298"/>
      <c r="AX67" s="174">
        <f t="shared" si="126"/>
        <v>0</v>
      </c>
      <c r="AY67" s="174">
        <f>SUMIFS('1-2 人员岗位信息'!M:M,'1-2 人员岗位信息'!$C:$C,"自有人员",'1-2 人员岗位信息'!$B:$B,$D67)</f>
        <v>0</v>
      </c>
      <c r="AZ67" s="298"/>
      <c r="BA67" s="174">
        <f t="shared" si="127"/>
        <v>0</v>
      </c>
      <c r="BB67" s="174">
        <f>SUMIFS('1-2 人员岗位信息'!N:N,'1-2 人员岗位信息'!$C:$C,"自有人员",'1-2 人员岗位信息'!$B:$B,$D67)</f>
        <v>0</v>
      </c>
      <c r="BC67" s="298"/>
      <c r="BD67" s="174">
        <f t="shared" si="128"/>
        <v>0</v>
      </c>
      <c r="BE67" s="174">
        <f>SUMIFS('1-2 人员岗位信息'!O:O,'1-2 人员岗位信息'!$C:$C,"自有人员",'1-2 人员岗位信息'!$B:$B,$D67)</f>
        <v>0</v>
      </c>
      <c r="BF67" s="298"/>
      <c r="BG67" s="174">
        <f t="shared" si="129"/>
        <v>0</v>
      </c>
      <c r="BH67" s="174">
        <f>SUMIFS('1-2 人员岗位信息'!P:P,'1-2 人员岗位信息'!$C:$C,"自有人员",'1-2 人员岗位信息'!$B:$B,$D67)</f>
        <v>0</v>
      </c>
      <c r="BI67" s="298"/>
      <c r="BJ67" s="174">
        <f t="shared" si="130"/>
        <v>0</v>
      </c>
      <c r="BK67" s="174">
        <f>SUMIFS('1-2 人员岗位信息'!Q:Q,'1-2 人员岗位信息'!$C:$C,"自有人员",'1-2 人员岗位信息'!$B:$B,$D67)</f>
        <v>0</v>
      </c>
      <c r="BL67" s="307"/>
      <c r="BM67" s="311"/>
      <c r="BN67" s="315"/>
    </row>
    <row r="68" s="263" customFormat="1" ht="33.95" hidden="1" customHeight="1" outlineLevel="5" spans="2:66">
      <c r="B68" s="174" t="s">
        <v>799</v>
      </c>
      <c r="C68" s="283" t="s">
        <v>911</v>
      </c>
      <c r="D68" s="263" t="s">
        <v>912</v>
      </c>
      <c r="E68" s="174" t="s">
        <v>821</v>
      </c>
      <c r="F68" s="174"/>
      <c r="G68" s="174" t="s">
        <v>803</v>
      </c>
      <c r="H68" s="174">
        <f t="shared" si="114"/>
        <v>0</v>
      </c>
      <c r="I68" s="174" t="s">
        <v>804</v>
      </c>
      <c r="J68" s="174" t="e">
        <f t="shared" si="115"/>
        <v>#DIV/0!</v>
      </c>
      <c r="K68" s="174" t="s">
        <v>805</v>
      </c>
      <c r="L68" s="174" t="e">
        <f t="shared" si="116"/>
        <v>#DIV/0!</v>
      </c>
      <c r="M68" s="174" t="s">
        <v>806</v>
      </c>
      <c r="N68" s="174">
        <f t="shared" si="117"/>
        <v>0</v>
      </c>
      <c r="O68" s="174"/>
      <c r="P68" s="290"/>
      <c r="Q68" s="290"/>
      <c r="R68" s="290"/>
      <c r="S68" s="290"/>
      <c r="T68" s="290"/>
      <c r="U68" s="290"/>
      <c r="V68" s="290"/>
      <c r="W68" s="290"/>
      <c r="X68" s="290"/>
      <c r="Y68" s="290"/>
      <c r="Z68" s="290"/>
      <c r="AA68" s="290"/>
      <c r="AB68" s="174">
        <f t="shared" si="118"/>
        <v>0</v>
      </c>
      <c r="AC68" s="174">
        <f t="shared" si="119"/>
        <v>0</v>
      </c>
      <c r="AD68" s="174">
        <f>SUMIFS('1-2 人员岗位信息'!F:F,'1-2 人员岗位信息'!$C:$C,"自有人员",'1-2 人员岗位信息'!$B:$B,$D68)</f>
        <v>0</v>
      </c>
      <c r="AE68" s="298"/>
      <c r="AF68" s="174">
        <f t="shared" si="120"/>
        <v>0</v>
      </c>
      <c r="AG68" s="174">
        <f>SUMIFS('1-2 人员岗位信息'!G:G,'1-2 人员岗位信息'!$C:$C,"自有人员",'1-2 人员岗位信息'!$B:$B,$D68)</f>
        <v>0</v>
      </c>
      <c r="AH68" s="298"/>
      <c r="AI68" s="174">
        <f t="shared" si="121"/>
        <v>0</v>
      </c>
      <c r="AJ68" s="174">
        <f>SUMIFS('1-2 人员岗位信息'!H:H,'1-2 人员岗位信息'!$C:$C,"自有人员",'1-2 人员岗位信息'!$B:$B,$D68)</f>
        <v>0</v>
      </c>
      <c r="AK68" s="298"/>
      <c r="AL68" s="174">
        <f t="shared" si="122"/>
        <v>0</v>
      </c>
      <c r="AM68" s="174">
        <f>SUMIFS('1-2 人员岗位信息'!I:I,'1-2 人员岗位信息'!$C:$C,"自有人员",'1-2 人员岗位信息'!$B:$B,$D68)</f>
        <v>0</v>
      </c>
      <c r="AN68" s="298"/>
      <c r="AO68" s="174">
        <f t="shared" si="123"/>
        <v>0</v>
      </c>
      <c r="AP68" s="174">
        <f>SUMIFS('1-2 人员岗位信息'!J:J,'1-2 人员岗位信息'!$C:$C,"自有人员",'1-2 人员岗位信息'!$B:$B,$D68)</f>
        <v>0</v>
      </c>
      <c r="AQ68" s="298"/>
      <c r="AR68" s="174">
        <f t="shared" si="124"/>
        <v>0</v>
      </c>
      <c r="AS68" s="174">
        <f>SUMIFS('1-2 人员岗位信息'!K:K,'1-2 人员岗位信息'!$C:$C,"自有人员",'1-2 人员岗位信息'!$B:$B,$D68)</f>
        <v>0</v>
      </c>
      <c r="AT68" s="298"/>
      <c r="AU68" s="174">
        <f t="shared" si="125"/>
        <v>0</v>
      </c>
      <c r="AV68" s="174">
        <f>SUMIFS('1-2 人员岗位信息'!L:L,'1-2 人员岗位信息'!$C:$C,"自有人员",'1-2 人员岗位信息'!$B:$B,$D68)</f>
        <v>0</v>
      </c>
      <c r="AW68" s="298"/>
      <c r="AX68" s="174">
        <f t="shared" si="126"/>
        <v>0</v>
      </c>
      <c r="AY68" s="174">
        <f>SUMIFS('1-2 人员岗位信息'!M:M,'1-2 人员岗位信息'!$C:$C,"自有人员",'1-2 人员岗位信息'!$B:$B,$D68)</f>
        <v>0</v>
      </c>
      <c r="AZ68" s="298"/>
      <c r="BA68" s="174">
        <f t="shared" si="127"/>
        <v>0</v>
      </c>
      <c r="BB68" s="174">
        <f>SUMIFS('1-2 人员岗位信息'!N:N,'1-2 人员岗位信息'!$C:$C,"自有人员",'1-2 人员岗位信息'!$B:$B,$D68)</f>
        <v>0</v>
      </c>
      <c r="BC68" s="298"/>
      <c r="BD68" s="174">
        <f t="shared" si="128"/>
        <v>0</v>
      </c>
      <c r="BE68" s="174">
        <f>SUMIFS('1-2 人员岗位信息'!O:O,'1-2 人员岗位信息'!$C:$C,"自有人员",'1-2 人员岗位信息'!$B:$B,$D68)</f>
        <v>0</v>
      </c>
      <c r="BF68" s="298"/>
      <c r="BG68" s="174">
        <f t="shared" si="129"/>
        <v>0</v>
      </c>
      <c r="BH68" s="174">
        <f>SUMIFS('1-2 人员岗位信息'!P:P,'1-2 人员岗位信息'!$C:$C,"自有人员",'1-2 人员岗位信息'!$B:$B,$D68)</f>
        <v>0</v>
      </c>
      <c r="BI68" s="298"/>
      <c r="BJ68" s="174">
        <f t="shared" si="130"/>
        <v>0</v>
      </c>
      <c r="BK68" s="174">
        <f>SUMIFS('1-2 人员岗位信息'!Q:Q,'1-2 人员岗位信息'!$C:$C,"自有人员",'1-2 人员岗位信息'!$B:$B,$D68)</f>
        <v>0</v>
      </c>
      <c r="BL68" s="307"/>
      <c r="BM68" s="311"/>
      <c r="BN68" s="315"/>
    </row>
    <row r="69" s="117" customFormat="1" ht="33.95" hidden="1" customHeight="1" outlineLevel="4" collapsed="1" spans="2:66">
      <c r="B69" s="118" t="s">
        <v>794</v>
      </c>
      <c r="C69" s="119" t="s">
        <v>70</v>
      </c>
      <c r="D69" s="117" t="s">
        <v>68</v>
      </c>
      <c r="E69" s="118"/>
      <c r="F69" s="118"/>
      <c r="G69" s="118"/>
      <c r="H69" s="118">
        <f>SUM(H70:H79)</f>
        <v>0</v>
      </c>
      <c r="I69" s="118"/>
      <c r="J69" s="118"/>
      <c r="K69" s="118"/>
      <c r="L69" s="118"/>
      <c r="M69" s="118"/>
      <c r="N69" s="118"/>
      <c r="O69" s="118"/>
      <c r="P69" s="289"/>
      <c r="Q69" s="289"/>
      <c r="R69" s="289"/>
      <c r="S69" s="289"/>
      <c r="T69" s="289"/>
      <c r="U69" s="289"/>
      <c r="V69" s="289"/>
      <c r="W69" s="289"/>
      <c r="X69" s="289"/>
      <c r="Y69" s="289"/>
      <c r="Z69" s="289"/>
      <c r="AA69" s="289"/>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6"/>
      <c r="BM69" s="311"/>
      <c r="BN69" s="314"/>
    </row>
    <row r="70" s="263" customFormat="1" ht="33.95" hidden="1" customHeight="1" outlineLevel="5" spans="2:66">
      <c r="B70" s="174" t="s">
        <v>799</v>
      </c>
      <c r="C70" s="283" t="s">
        <v>913</v>
      </c>
      <c r="D70" s="263" t="s">
        <v>885</v>
      </c>
      <c r="E70" s="174" t="s">
        <v>914</v>
      </c>
      <c r="F70" s="174"/>
      <c r="G70" s="174" t="s">
        <v>803</v>
      </c>
      <c r="H70" s="174">
        <f t="shared" ref="H70:H79" si="132">AB70</f>
        <v>0</v>
      </c>
      <c r="I70" s="174" t="s">
        <v>804</v>
      </c>
      <c r="J70" s="174" t="e">
        <f t="shared" ref="J70:J79" si="133">SUM(AD70,AG70,AJ70,AM70,AP70,AS70,AV70,AY70,BB70,BE70,BH70,BK70)/N70</f>
        <v>#DIV/0!</v>
      </c>
      <c r="K70" s="174" t="s">
        <v>805</v>
      </c>
      <c r="L70" s="174" t="e">
        <f t="shared" ref="L70:L79" si="134">H70/N70/J70</f>
        <v>#DIV/0!</v>
      </c>
      <c r="M70" s="174" t="s">
        <v>806</v>
      </c>
      <c r="N70" s="174">
        <f t="shared" ref="N70:N79" si="135">COUNTIF(AD70,"&gt;0")+COUNTIF(AG70,"&gt;0")+COUNTIF(AJ70,"&gt;0")+COUNTIF(AM70,"&gt;0")+COUNTIF(AP70,"&gt;0")+COUNTIF(AS70,"&gt;0")+COUNTIF(AV70,"&gt;0")+COUNTIF(AY70,"&gt;0")+COUNTIF(BB70,"&gt;0")+COUNTIF(BE70,"&gt;0")+COUNTIF(BH70,"&gt;0")+COUNTIF(BK70,"&gt;0")</f>
        <v>0</v>
      </c>
      <c r="O70" s="174"/>
      <c r="P70" s="290"/>
      <c r="Q70" s="290"/>
      <c r="R70" s="290"/>
      <c r="S70" s="290"/>
      <c r="T70" s="290"/>
      <c r="U70" s="290"/>
      <c r="V70" s="290"/>
      <c r="W70" s="290"/>
      <c r="X70" s="290"/>
      <c r="Y70" s="290"/>
      <c r="Z70" s="290"/>
      <c r="AA70" s="290"/>
      <c r="AB70" s="174">
        <f t="shared" ref="AB70:AB79" si="136">SUM(AC70,AF70,AI70,AL70,AO70,AR70,AU70,AX70,BA70,BD70,BG70,BJ70)</f>
        <v>0</v>
      </c>
      <c r="AC70" s="174">
        <f t="shared" ref="AC70:AC79" si="137">AD70*AE70</f>
        <v>0</v>
      </c>
      <c r="AD70" s="174">
        <f>SUMIFS('1-2 人员岗位信息'!F:F,'1-2 人员岗位信息'!$C:$C,"劳务派遣",'1-2 人员岗位信息'!$B:$B,$D70)</f>
        <v>0</v>
      </c>
      <c r="AE70" s="298"/>
      <c r="AF70" s="174">
        <f t="shared" ref="AF70:AF79" si="138">AG70*AH70</f>
        <v>0</v>
      </c>
      <c r="AG70" s="174">
        <f>SUMIFS('1-2 人员岗位信息'!G:G,'1-2 人员岗位信息'!$C:$C,"劳务派遣",'1-2 人员岗位信息'!$B:$B,$D70)</f>
        <v>0</v>
      </c>
      <c r="AH70" s="298"/>
      <c r="AI70" s="174">
        <f t="shared" ref="AI70:AI79" si="139">AJ70*AK70</f>
        <v>0</v>
      </c>
      <c r="AJ70" s="174">
        <f>SUMIFS('1-2 人员岗位信息'!H:H,'1-2 人员岗位信息'!$C:$C,"劳务派遣",'1-2 人员岗位信息'!$B:$B,$D70)</f>
        <v>0</v>
      </c>
      <c r="AK70" s="298"/>
      <c r="AL70" s="174">
        <f t="shared" ref="AL70:AL79" si="140">AM70*AN70</f>
        <v>0</v>
      </c>
      <c r="AM70" s="174">
        <f>SUMIFS('1-2 人员岗位信息'!I:I,'1-2 人员岗位信息'!$C:$C,"劳务派遣",'1-2 人员岗位信息'!$B:$B,$D70)</f>
        <v>0</v>
      </c>
      <c r="AN70" s="298"/>
      <c r="AO70" s="174">
        <f t="shared" ref="AO70:AO79" si="141">AP70*AQ70</f>
        <v>0</v>
      </c>
      <c r="AP70" s="174">
        <f>SUMIFS('1-2 人员岗位信息'!J:J,'1-2 人员岗位信息'!$C:$C,"劳务派遣",'1-2 人员岗位信息'!$B:$B,$D70)</f>
        <v>0</v>
      </c>
      <c r="AQ70" s="298"/>
      <c r="AR70" s="174">
        <f t="shared" ref="AR70:AR79" si="142">AS70*AT70</f>
        <v>0</v>
      </c>
      <c r="AS70" s="174">
        <f>SUMIFS('1-2 人员岗位信息'!K:K,'1-2 人员岗位信息'!$C:$C,"劳务派遣",'1-2 人员岗位信息'!$B:$B,$D70)</f>
        <v>0</v>
      </c>
      <c r="AT70" s="298"/>
      <c r="AU70" s="174">
        <f t="shared" ref="AU70:AU79" si="143">AV70*AW70</f>
        <v>0</v>
      </c>
      <c r="AV70" s="174">
        <f>SUMIFS('1-2 人员岗位信息'!L:L,'1-2 人员岗位信息'!$C:$C,"劳务派遣",'1-2 人员岗位信息'!$B:$B,$D70)</f>
        <v>0</v>
      </c>
      <c r="AW70" s="298"/>
      <c r="AX70" s="174">
        <f t="shared" ref="AX70:AX79" si="144">AY70*AZ70</f>
        <v>0</v>
      </c>
      <c r="AY70" s="174">
        <f>SUMIFS('1-2 人员岗位信息'!M:M,'1-2 人员岗位信息'!$C:$C,"劳务派遣",'1-2 人员岗位信息'!$B:$B,$D70)</f>
        <v>0</v>
      </c>
      <c r="AZ70" s="298"/>
      <c r="BA70" s="174">
        <f t="shared" ref="BA70:BA79" si="145">BB70*BC70</f>
        <v>0</v>
      </c>
      <c r="BB70" s="174">
        <f>SUMIFS('1-2 人员岗位信息'!N:N,'1-2 人员岗位信息'!$C:$C,"劳务派遣",'1-2 人员岗位信息'!$B:$B,$D70)</f>
        <v>0</v>
      </c>
      <c r="BC70" s="298"/>
      <c r="BD70" s="174">
        <f t="shared" ref="BD70:BD79" si="146">BE70*BF70</f>
        <v>0</v>
      </c>
      <c r="BE70" s="174">
        <f>SUMIFS('1-2 人员岗位信息'!O:O,'1-2 人员岗位信息'!$C:$C,"劳务派遣",'1-2 人员岗位信息'!$B:$B,$D70)</f>
        <v>0</v>
      </c>
      <c r="BF70" s="298"/>
      <c r="BG70" s="174">
        <f t="shared" ref="BG70:BG79" si="147">BH70*BI70</f>
        <v>0</v>
      </c>
      <c r="BH70" s="174">
        <f>SUMIFS('1-2 人员岗位信息'!P:P,'1-2 人员岗位信息'!$C:$C,"劳务派遣",'1-2 人员岗位信息'!$B:$B,$D70)</f>
        <v>0</v>
      </c>
      <c r="BI70" s="298"/>
      <c r="BJ70" s="174">
        <f t="shared" ref="BJ70:BJ79" si="148">BK70*BL70</f>
        <v>0</v>
      </c>
      <c r="BK70" s="174">
        <f>SUMIFS('1-2 人员岗位信息'!Q:Q,'1-2 人员岗位信息'!$C:$C,"劳务派遣",'1-2 人员岗位信息'!$B:$B,$D70)</f>
        <v>0</v>
      </c>
      <c r="BL70" s="307"/>
      <c r="BM70" s="311"/>
      <c r="BN70" s="315"/>
    </row>
    <row r="71" s="263" customFormat="1" ht="33.95" hidden="1" customHeight="1" outlineLevel="5" spans="2:66">
      <c r="B71" s="174" t="s">
        <v>799</v>
      </c>
      <c r="C71" s="283" t="s">
        <v>915</v>
      </c>
      <c r="D71" s="263" t="s">
        <v>888</v>
      </c>
      <c r="E71" s="174" t="s">
        <v>916</v>
      </c>
      <c r="F71" s="174"/>
      <c r="G71" s="174" t="s">
        <v>803</v>
      </c>
      <c r="H71" s="174">
        <f t="shared" si="132"/>
        <v>0</v>
      </c>
      <c r="I71" s="174" t="s">
        <v>804</v>
      </c>
      <c r="J71" s="174" t="e">
        <f t="shared" si="133"/>
        <v>#DIV/0!</v>
      </c>
      <c r="K71" s="174" t="s">
        <v>805</v>
      </c>
      <c r="L71" s="174" t="e">
        <f t="shared" si="134"/>
        <v>#DIV/0!</v>
      </c>
      <c r="M71" s="174" t="s">
        <v>806</v>
      </c>
      <c r="N71" s="174">
        <f t="shared" si="135"/>
        <v>0</v>
      </c>
      <c r="O71" s="174"/>
      <c r="P71" s="290"/>
      <c r="Q71" s="290"/>
      <c r="R71" s="290"/>
      <c r="S71" s="290"/>
      <c r="T71" s="290"/>
      <c r="U71" s="290"/>
      <c r="V71" s="290"/>
      <c r="W71" s="290"/>
      <c r="X71" s="290"/>
      <c r="Y71" s="290"/>
      <c r="Z71" s="290"/>
      <c r="AA71" s="290"/>
      <c r="AB71" s="174">
        <f t="shared" si="136"/>
        <v>0</v>
      </c>
      <c r="AC71" s="174">
        <f t="shared" si="137"/>
        <v>0</v>
      </c>
      <c r="AD71" s="174">
        <f>SUMIFS('1-2 人员岗位信息'!F:F,'1-2 人员岗位信息'!$C:$C,"劳务派遣",'1-2 人员岗位信息'!$B:$B,$D71)</f>
        <v>0</v>
      </c>
      <c r="AE71" s="298"/>
      <c r="AF71" s="174">
        <f t="shared" si="138"/>
        <v>0</v>
      </c>
      <c r="AG71" s="174">
        <f>SUMIFS('1-2 人员岗位信息'!G:G,'1-2 人员岗位信息'!$C:$C,"劳务派遣",'1-2 人员岗位信息'!$B:$B,$D71)</f>
        <v>0</v>
      </c>
      <c r="AH71" s="298"/>
      <c r="AI71" s="174">
        <f t="shared" si="139"/>
        <v>0</v>
      </c>
      <c r="AJ71" s="174">
        <f>SUMIFS('1-2 人员岗位信息'!H:H,'1-2 人员岗位信息'!$C:$C,"劳务派遣",'1-2 人员岗位信息'!$B:$B,$D71)</f>
        <v>0</v>
      </c>
      <c r="AK71" s="298"/>
      <c r="AL71" s="174">
        <f t="shared" si="140"/>
        <v>0</v>
      </c>
      <c r="AM71" s="174">
        <f>SUMIFS('1-2 人员岗位信息'!I:I,'1-2 人员岗位信息'!$C:$C,"劳务派遣",'1-2 人员岗位信息'!$B:$B,$D71)</f>
        <v>0</v>
      </c>
      <c r="AN71" s="298"/>
      <c r="AO71" s="174">
        <f t="shared" si="141"/>
        <v>0</v>
      </c>
      <c r="AP71" s="174">
        <f>SUMIFS('1-2 人员岗位信息'!J:J,'1-2 人员岗位信息'!$C:$C,"劳务派遣",'1-2 人员岗位信息'!$B:$B,$D71)</f>
        <v>0</v>
      </c>
      <c r="AQ71" s="298"/>
      <c r="AR71" s="174">
        <f t="shared" si="142"/>
        <v>0</v>
      </c>
      <c r="AS71" s="174">
        <f>SUMIFS('1-2 人员岗位信息'!K:K,'1-2 人员岗位信息'!$C:$C,"劳务派遣",'1-2 人员岗位信息'!$B:$B,$D71)</f>
        <v>0</v>
      </c>
      <c r="AT71" s="298"/>
      <c r="AU71" s="174">
        <f t="shared" si="143"/>
        <v>0</v>
      </c>
      <c r="AV71" s="174">
        <f>SUMIFS('1-2 人员岗位信息'!L:L,'1-2 人员岗位信息'!$C:$C,"劳务派遣",'1-2 人员岗位信息'!$B:$B,$D71)</f>
        <v>0</v>
      </c>
      <c r="AW71" s="298"/>
      <c r="AX71" s="174">
        <f t="shared" si="144"/>
        <v>0</v>
      </c>
      <c r="AY71" s="174">
        <f>SUMIFS('1-2 人员岗位信息'!M:M,'1-2 人员岗位信息'!$C:$C,"劳务派遣",'1-2 人员岗位信息'!$B:$B,$D71)</f>
        <v>0</v>
      </c>
      <c r="AZ71" s="298"/>
      <c r="BA71" s="174">
        <f t="shared" si="145"/>
        <v>0</v>
      </c>
      <c r="BB71" s="174">
        <f>SUMIFS('1-2 人员岗位信息'!N:N,'1-2 人员岗位信息'!$C:$C,"劳务派遣",'1-2 人员岗位信息'!$B:$B,$D71)</f>
        <v>0</v>
      </c>
      <c r="BC71" s="298"/>
      <c r="BD71" s="174">
        <f t="shared" si="146"/>
        <v>0</v>
      </c>
      <c r="BE71" s="174">
        <f>SUMIFS('1-2 人员岗位信息'!O:O,'1-2 人员岗位信息'!$C:$C,"劳务派遣",'1-2 人员岗位信息'!$B:$B,$D71)</f>
        <v>0</v>
      </c>
      <c r="BF71" s="298"/>
      <c r="BG71" s="174">
        <f t="shared" si="147"/>
        <v>0</v>
      </c>
      <c r="BH71" s="174">
        <f>SUMIFS('1-2 人员岗位信息'!P:P,'1-2 人员岗位信息'!$C:$C,"劳务派遣",'1-2 人员岗位信息'!$B:$B,$D71)</f>
        <v>0</v>
      </c>
      <c r="BI71" s="298"/>
      <c r="BJ71" s="174">
        <f t="shared" si="148"/>
        <v>0</v>
      </c>
      <c r="BK71" s="174">
        <f>SUMIFS('1-2 人员岗位信息'!Q:Q,'1-2 人员岗位信息'!$C:$C,"劳务派遣",'1-2 人员岗位信息'!$B:$B,$D71)</f>
        <v>0</v>
      </c>
      <c r="BL71" s="307"/>
      <c r="BM71" s="311"/>
      <c r="BN71" s="315"/>
    </row>
    <row r="72" s="263" customFormat="1" ht="33.95" hidden="1" customHeight="1" outlineLevel="5" spans="2:66">
      <c r="B72" s="174" t="s">
        <v>799</v>
      </c>
      <c r="C72" s="283" t="s">
        <v>917</v>
      </c>
      <c r="D72" s="263" t="s">
        <v>891</v>
      </c>
      <c r="E72" s="174" t="s">
        <v>892</v>
      </c>
      <c r="F72" s="174"/>
      <c r="G72" s="174" t="s">
        <v>803</v>
      </c>
      <c r="H72" s="174">
        <f t="shared" si="132"/>
        <v>0</v>
      </c>
      <c r="I72" s="174" t="s">
        <v>804</v>
      </c>
      <c r="J72" s="174" t="e">
        <f t="shared" si="133"/>
        <v>#DIV/0!</v>
      </c>
      <c r="K72" s="174" t="s">
        <v>805</v>
      </c>
      <c r="L72" s="174" t="e">
        <f t="shared" si="134"/>
        <v>#DIV/0!</v>
      </c>
      <c r="M72" s="174" t="s">
        <v>806</v>
      </c>
      <c r="N72" s="174">
        <f t="shared" si="135"/>
        <v>0</v>
      </c>
      <c r="O72" s="174"/>
      <c r="P72" s="290"/>
      <c r="Q72" s="290"/>
      <c r="R72" s="290"/>
      <c r="S72" s="290"/>
      <c r="T72" s="290"/>
      <c r="U72" s="290"/>
      <c r="V72" s="290"/>
      <c r="W72" s="290"/>
      <c r="X72" s="290"/>
      <c r="Y72" s="290"/>
      <c r="Z72" s="290"/>
      <c r="AA72" s="290"/>
      <c r="AB72" s="174">
        <f t="shared" si="136"/>
        <v>0</v>
      </c>
      <c r="AC72" s="174">
        <f t="shared" si="137"/>
        <v>0</v>
      </c>
      <c r="AD72" s="174">
        <f>SUMIFS('1-2 人员岗位信息'!F:F,'1-2 人员岗位信息'!$C:$C,"劳务派遣",'1-2 人员岗位信息'!$B:$B,$D72)</f>
        <v>0</v>
      </c>
      <c r="AE72" s="298"/>
      <c r="AF72" s="174">
        <f t="shared" si="138"/>
        <v>0</v>
      </c>
      <c r="AG72" s="174">
        <f>SUMIFS('1-2 人员岗位信息'!G:G,'1-2 人员岗位信息'!$C:$C,"劳务派遣",'1-2 人员岗位信息'!$B:$B,$D72)</f>
        <v>0</v>
      </c>
      <c r="AH72" s="298"/>
      <c r="AI72" s="174">
        <f t="shared" si="139"/>
        <v>0</v>
      </c>
      <c r="AJ72" s="174">
        <f>SUMIFS('1-2 人员岗位信息'!H:H,'1-2 人员岗位信息'!$C:$C,"劳务派遣",'1-2 人员岗位信息'!$B:$B,$D72)</f>
        <v>0</v>
      </c>
      <c r="AK72" s="298"/>
      <c r="AL72" s="174">
        <f t="shared" si="140"/>
        <v>0</v>
      </c>
      <c r="AM72" s="174">
        <f>SUMIFS('1-2 人员岗位信息'!I:I,'1-2 人员岗位信息'!$C:$C,"劳务派遣",'1-2 人员岗位信息'!$B:$B,$D72)</f>
        <v>0</v>
      </c>
      <c r="AN72" s="298"/>
      <c r="AO72" s="174">
        <f t="shared" si="141"/>
        <v>0</v>
      </c>
      <c r="AP72" s="174">
        <f>SUMIFS('1-2 人员岗位信息'!J:J,'1-2 人员岗位信息'!$C:$C,"劳务派遣",'1-2 人员岗位信息'!$B:$B,$D72)</f>
        <v>0</v>
      </c>
      <c r="AQ72" s="298"/>
      <c r="AR72" s="174">
        <f t="shared" si="142"/>
        <v>0</v>
      </c>
      <c r="AS72" s="174">
        <f>SUMIFS('1-2 人员岗位信息'!K:K,'1-2 人员岗位信息'!$C:$C,"劳务派遣",'1-2 人员岗位信息'!$B:$B,$D72)</f>
        <v>0</v>
      </c>
      <c r="AT72" s="298"/>
      <c r="AU72" s="174">
        <f t="shared" si="143"/>
        <v>0</v>
      </c>
      <c r="AV72" s="174">
        <f>SUMIFS('1-2 人员岗位信息'!L:L,'1-2 人员岗位信息'!$C:$C,"劳务派遣",'1-2 人员岗位信息'!$B:$B,$D72)</f>
        <v>0</v>
      </c>
      <c r="AW72" s="298"/>
      <c r="AX72" s="174">
        <f t="shared" si="144"/>
        <v>0</v>
      </c>
      <c r="AY72" s="174">
        <f>SUMIFS('1-2 人员岗位信息'!M:M,'1-2 人员岗位信息'!$C:$C,"劳务派遣",'1-2 人员岗位信息'!$B:$B,$D72)</f>
        <v>0</v>
      </c>
      <c r="AZ72" s="298"/>
      <c r="BA72" s="174">
        <f t="shared" si="145"/>
        <v>0</v>
      </c>
      <c r="BB72" s="174">
        <f>SUMIFS('1-2 人员岗位信息'!N:N,'1-2 人员岗位信息'!$C:$C,"劳务派遣",'1-2 人员岗位信息'!$B:$B,$D72)</f>
        <v>0</v>
      </c>
      <c r="BC72" s="298"/>
      <c r="BD72" s="174">
        <f t="shared" si="146"/>
        <v>0</v>
      </c>
      <c r="BE72" s="174">
        <f>SUMIFS('1-2 人员岗位信息'!O:O,'1-2 人员岗位信息'!$C:$C,"劳务派遣",'1-2 人员岗位信息'!$B:$B,$D72)</f>
        <v>0</v>
      </c>
      <c r="BF72" s="298"/>
      <c r="BG72" s="174">
        <f t="shared" si="147"/>
        <v>0</v>
      </c>
      <c r="BH72" s="174">
        <f>SUMIFS('1-2 人员岗位信息'!P:P,'1-2 人员岗位信息'!$C:$C,"劳务派遣",'1-2 人员岗位信息'!$B:$B,$D72)</f>
        <v>0</v>
      </c>
      <c r="BI72" s="298"/>
      <c r="BJ72" s="174">
        <f t="shared" si="148"/>
        <v>0</v>
      </c>
      <c r="BK72" s="174">
        <f>SUMIFS('1-2 人员岗位信息'!Q:Q,'1-2 人员岗位信息'!$C:$C,"劳务派遣",'1-2 人员岗位信息'!$B:$B,$D72)</f>
        <v>0</v>
      </c>
      <c r="BL72" s="307"/>
      <c r="BM72" s="311"/>
      <c r="BN72" s="315"/>
    </row>
    <row r="73" s="263" customFormat="1" ht="33.95" hidden="1" customHeight="1" outlineLevel="5" spans="2:66">
      <c r="B73" s="174" t="s">
        <v>799</v>
      </c>
      <c r="C73" s="283" t="s">
        <v>918</v>
      </c>
      <c r="D73" s="263" t="s">
        <v>894</v>
      </c>
      <c r="E73" s="174" t="s">
        <v>895</v>
      </c>
      <c r="F73" s="174"/>
      <c r="G73" s="174" t="s">
        <v>803</v>
      </c>
      <c r="H73" s="174">
        <f t="shared" si="132"/>
        <v>0</v>
      </c>
      <c r="I73" s="174" t="s">
        <v>804</v>
      </c>
      <c r="J73" s="174" t="e">
        <f t="shared" si="133"/>
        <v>#DIV/0!</v>
      </c>
      <c r="K73" s="174" t="s">
        <v>805</v>
      </c>
      <c r="L73" s="174" t="e">
        <f t="shared" si="134"/>
        <v>#DIV/0!</v>
      </c>
      <c r="M73" s="174" t="s">
        <v>806</v>
      </c>
      <c r="N73" s="174">
        <f t="shared" si="135"/>
        <v>0</v>
      </c>
      <c r="O73" s="174"/>
      <c r="P73" s="290"/>
      <c r="Q73" s="290"/>
      <c r="R73" s="290"/>
      <c r="S73" s="290"/>
      <c r="T73" s="290"/>
      <c r="U73" s="290"/>
      <c r="V73" s="290"/>
      <c r="W73" s="290"/>
      <c r="X73" s="290"/>
      <c r="Y73" s="290"/>
      <c r="Z73" s="290"/>
      <c r="AA73" s="290"/>
      <c r="AB73" s="174">
        <f t="shared" si="136"/>
        <v>0</v>
      </c>
      <c r="AC73" s="174">
        <f t="shared" si="137"/>
        <v>0</v>
      </c>
      <c r="AD73" s="174">
        <f>SUMIFS('1-2 人员岗位信息'!F:F,'1-2 人员岗位信息'!$C:$C,"劳务派遣",'1-2 人员岗位信息'!$B:$B,$D73)</f>
        <v>0</v>
      </c>
      <c r="AE73" s="298"/>
      <c r="AF73" s="174">
        <f t="shared" si="138"/>
        <v>0</v>
      </c>
      <c r="AG73" s="174">
        <f>SUMIFS('1-2 人员岗位信息'!G:G,'1-2 人员岗位信息'!$C:$C,"劳务派遣",'1-2 人员岗位信息'!$B:$B,$D73)</f>
        <v>0</v>
      </c>
      <c r="AH73" s="298"/>
      <c r="AI73" s="174">
        <f t="shared" si="139"/>
        <v>0</v>
      </c>
      <c r="AJ73" s="174">
        <f>SUMIFS('1-2 人员岗位信息'!H:H,'1-2 人员岗位信息'!$C:$C,"劳务派遣",'1-2 人员岗位信息'!$B:$B,$D73)</f>
        <v>0</v>
      </c>
      <c r="AK73" s="298"/>
      <c r="AL73" s="174">
        <f t="shared" si="140"/>
        <v>0</v>
      </c>
      <c r="AM73" s="174">
        <f>SUMIFS('1-2 人员岗位信息'!I:I,'1-2 人员岗位信息'!$C:$C,"劳务派遣",'1-2 人员岗位信息'!$B:$B,$D73)</f>
        <v>0</v>
      </c>
      <c r="AN73" s="298"/>
      <c r="AO73" s="174">
        <f t="shared" si="141"/>
        <v>0</v>
      </c>
      <c r="AP73" s="174">
        <f>SUMIFS('1-2 人员岗位信息'!J:J,'1-2 人员岗位信息'!$C:$C,"劳务派遣",'1-2 人员岗位信息'!$B:$B,$D73)</f>
        <v>0</v>
      </c>
      <c r="AQ73" s="298"/>
      <c r="AR73" s="174">
        <f t="shared" si="142"/>
        <v>0</v>
      </c>
      <c r="AS73" s="174">
        <f>SUMIFS('1-2 人员岗位信息'!K:K,'1-2 人员岗位信息'!$C:$C,"劳务派遣",'1-2 人员岗位信息'!$B:$B,$D73)</f>
        <v>0</v>
      </c>
      <c r="AT73" s="298"/>
      <c r="AU73" s="174">
        <f t="shared" si="143"/>
        <v>0</v>
      </c>
      <c r="AV73" s="174">
        <f>SUMIFS('1-2 人员岗位信息'!L:L,'1-2 人员岗位信息'!$C:$C,"劳务派遣",'1-2 人员岗位信息'!$B:$B,$D73)</f>
        <v>0</v>
      </c>
      <c r="AW73" s="298"/>
      <c r="AX73" s="174">
        <f t="shared" si="144"/>
        <v>0</v>
      </c>
      <c r="AY73" s="174">
        <f>SUMIFS('1-2 人员岗位信息'!M:M,'1-2 人员岗位信息'!$C:$C,"劳务派遣",'1-2 人员岗位信息'!$B:$B,$D73)</f>
        <v>0</v>
      </c>
      <c r="AZ73" s="298"/>
      <c r="BA73" s="174">
        <f t="shared" si="145"/>
        <v>0</v>
      </c>
      <c r="BB73" s="174">
        <f>SUMIFS('1-2 人员岗位信息'!N:N,'1-2 人员岗位信息'!$C:$C,"劳务派遣",'1-2 人员岗位信息'!$B:$B,$D73)</f>
        <v>0</v>
      </c>
      <c r="BC73" s="298"/>
      <c r="BD73" s="174">
        <f t="shared" si="146"/>
        <v>0</v>
      </c>
      <c r="BE73" s="174">
        <f>SUMIFS('1-2 人员岗位信息'!O:O,'1-2 人员岗位信息'!$C:$C,"劳务派遣",'1-2 人员岗位信息'!$B:$B,$D73)</f>
        <v>0</v>
      </c>
      <c r="BF73" s="298"/>
      <c r="BG73" s="174">
        <f t="shared" si="147"/>
        <v>0</v>
      </c>
      <c r="BH73" s="174">
        <f>SUMIFS('1-2 人员岗位信息'!P:P,'1-2 人员岗位信息'!$C:$C,"劳务派遣",'1-2 人员岗位信息'!$B:$B,$D73)</f>
        <v>0</v>
      </c>
      <c r="BI73" s="298"/>
      <c r="BJ73" s="174">
        <f t="shared" si="148"/>
        <v>0</v>
      </c>
      <c r="BK73" s="174">
        <f>SUMIFS('1-2 人员岗位信息'!Q:Q,'1-2 人员岗位信息'!$C:$C,"劳务派遣",'1-2 人员岗位信息'!$B:$B,$D73)</f>
        <v>0</v>
      </c>
      <c r="BL73" s="307"/>
      <c r="BM73" s="311"/>
      <c r="BN73" s="315"/>
    </row>
    <row r="74" s="263" customFormat="1" ht="33.95" hidden="1" customHeight="1" outlineLevel="5" spans="2:66">
      <c r="B74" s="174" t="s">
        <v>799</v>
      </c>
      <c r="C74" s="283" t="s">
        <v>919</v>
      </c>
      <c r="D74" s="263" t="s">
        <v>897</v>
      </c>
      <c r="E74" s="174" t="s">
        <v>898</v>
      </c>
      <c r="F74" s="174"/>
      <c r="G74" s="174" t="s">
        <v>803</v>
      </c>
      <c r="H74" s="174">
        <f t="shared" si="132"/>
        <v>0</v>
      </c>
      <c r="I74" s="174" t="s">
        <v>804</v>
      </c>
      <c r="J74" s="174" t="e">
        <f t="shared" si="133"/>
        <v>#DIV/0!</v>
      </c>
      <c r="K74" s="174" t="s">
        <v>805</v>
      </c>
      <c r="L74" s="174" t="e">
        <f t="shared" si="134"/>
        <v>#DIV/0!</v>
      </c>
      <c r="M74" s="174" t="s">
        <v>806</v>
      </c>
      <c r="N74" s="174">
        <f t="shared" si="135"/>
        <v>0</v>
      </c>
      <c r="O74" s="174"/>
      <c r="P74" s="290"/>
      <c r="Q74" s="290"/>
      <c r="R74" s="290"/>
      <c r="S74" s="290"/>
      <c r="T74" s="290"/>
      <c r="U74" s="290"/>
      <c r="V74" s="290"/>
      <c r="W74" s="290"/>
      <c r="X74" s="290"/>
      <c r="Y74" s="290"/>
      <c r="Z74" s="290"/>
      <c r="AA74" s="290"/>
      <c r="AB74" s="174">
        <f t="shared" si="136"/>
        <v>0</v>
      </c>
      <c r="AC74" s="174">
        <f t="shared" si="137"/>
        <v>0</v>
      </c>
      <c r="AD74" s="174">
        <f>SUMIFS('1-2 人员岗位信息'!F:F,'1-2 人员岗位信息'!$C:$C,"劳务派遣",'1-2 人员岗位信息'!$B:$B,$D74)</f>
        <v>0</v>
      </c>
      <c r="AE74" s="298"/>
      <c r="AF74" s="174">
        <f t="shared" si="138"/>
        <v>0</v>
      </c>
      <c r="AG74" s="174">
        <f>SUMIFS('1-2 人员岗位信息'!G:G,'1-2 人员岗位信息'!$C:$C,"劳务派遣",'1-2 人员岗位信息'!$B:$B,$D74)</f>
        <v>0</v>
      </c>
      <c r="AH74" s="298"/>
      <c r="AI74" s="174">
        <f t="shared" si="139"/>
        <v>0</v>
      </c>
      <c r="AJ74" s="174">
        <f>SUMIFS('1-2 人员岗位信息'!H:H,'1-2 人员岗位信息'!$C:$C,"劳务派遣",'1-2 人员岗位信息'!$B:$B,$D74)</f>
        <v>0</v>
      </c>
      <c r="AK74" s="298"/>
      <c r="AL74" s="174">
        <f t="shared" si="140"/>
        <v>0</v>
      </c>
      <c r="AM74" s="174">
        <f>SUMIFS('1-2 人员岗位信息'!I:I,'1-2 人员岗位信息'!$C:$C,"劳务派遣",'1-2 人员岗位信息'!$B:$B,$D74)</f>
        <v>0</v>
      </c>
      <c r="AN74" s="298"/>
      <c r="AO74" s="174">
        <f t="shared" si="141"/>
        <v>0</v>
      </c>
      <c r="AP74" s="174">
        <f>SUMIFS('1-2 人员岗位信息'!J:J,'1-2 人员岗位信息'!$C:$C,"劳务派遣",'1-2 人员岗位信息'!$B:$B,$D74)</f>
        <v>0</v>
      </c>
      <c r="AQ74" s="298"/>
      <c r="AR74" s="174">
        <f t="shared" si="142"/>
        <v>0</v>
      </c>
      <c r="AS74" s="174">
        <f>SUMIFS('1-2 人员岗位信息'!K:K,'1-2 人员岗位信息'!$C:$C,"劳务派遣",'1-2 人员岗位信息'!$B:$B,$D74)</f>
        <v>0</v>
      </c>
      <c r="AT74" s="298"/>
      <c r="AU74" s="174">
        <f t="shared" si="143"/>
        <v>0</v>
      </c>
      <c r="AV74" s="174">
        <f>SUMIFS('1-2 人员岗位信息'!L:L,'1-2 人员岗位信息'!$C:$C,"劳务派遣",'1-2 人员岗位信息'!$B:$B,$D74)</f>
        <v>0</v>
      </c>
      <c r="AW74" s="298"/>
      <c r="AX74" s="174">
        <f t="shared" si="144"/>
        <v>0</v>
      </c>
      <c r="AY74" s="174">
        <f>SUMIFS('1-2 人员岗位信息'!M:M,'1-2 人员岗位信息'!$C:$C,"劳务派遣",'1-2 人员岗位信息'!$B:$B,$D74)</f>
        <v>0</v>
      </c>
      <c r="AZ74" s="298"/>
      <c r="BA74" s="174">
        <f t="shared" si="145"/>
        <v>0</v>
      </c>
      <c r="BB74" s="174">
        <f>SUMIFS('1-2 人员岗位信息'!N:N,'1-2 人员岗位信息'!$C:$C,"劳务派遣",'1-2 人员岗位信息'!$B:$B,$D74)</f>
        <v>0</v>
      </c>
      <c r="BC74" s="298"/>
      <c r="BD74" s="174">
        <f t="shared" si="146"/>
        <v>0</v>
      </c>
      <c r="BE74" s="174">
        <f>SUMIFS('1-2 人员岗位信息'!O:O,'1-2 人员岗位信息'!$C:$C,"劳务派遣",'1-2 人员岗位信息'!$B:$B,$D74)</f>
        <v>0</v>
      </c>
      <c r="BF74" s="298"/>
      <c r="BG74" s="174">
        <f t="shared" si="147"/>
        <v>0</v>
      </c>
      <c r="BH74" s="174">
        <f>SUMIFS('1-2 人员岗位信息'!P:P,'1-2 人员岗位信息'!$C:$C,"劳务派遣",'1-2 人员岗位信息'!$B:$B,$D74)</f>
        <v>0</v>
      </c>
      <c r="BI74" s="298"/>
      <c r="BJ74" s="174">
        <f t="shared" si="148"/>
        <v>0</v>
      </c>
      <c r="BK74" s="174">
        <f>SUMIFS('1-2 人员岗位信息'!Q:Q,'1-2 人员岗位信息'!$C:$C,"劳务派遣",'1-2 人员岗位信息'!$B:$B,$D74)</f>
        <v>0</v>
      </c>
      <c r="BL74" s="307"/>
      <c r="BM74" s="311"/>
      <c r="BN74" s="315"/>
    </row>
    <row r="75" s="263" customFormat="1" ht="33.95" hidden="1" customHeight="1" outlineLevel="5" spans="2:66">
      <c r="B75" s="174" t="s">
        <v>799</v>
      </c>
      <c r="C75" s="283" t="s">
        <v>920</v>
      </c>
      <c r="D75" s="263" t="s">
        <v>900</v>
      </c>
      <c r="E75" s="174" t="s">
        <v>901</v>
      </c>
      <c r="F75" s="174"/>
      <c r="G75" s="174" t="s">
        <v>803</v>
      </c>
      <c r="H75" s="174">
        <f t="shared" si="132"/>
        <v>0</v>
      </c>
      <c r="I75" s="174" t="s">
        <v>804</v>
      </c>
      <c r="J75" s="174" t="e">
        <f t="shared" si="133"/>
        <v>#DIV/0!</v>
      </c>
      <c r="K75" s="174" t="s">
        <v>805</v>
      </c>
      <c r="L75" s="174" t="e">
        <f t="shared" si="134"/>
        <v>#DIV/0!</v>
      </c>
      <c r="M75" s="174" t="s">
        <v>806</v>
      </c>
      <c r="N75" s="174">
        <f t="shared" si="135"/>
        <v>0</v>
      </c>
      <c r="O75" s="174"/>
      <c r="P75" s="290"/>
      <c r="Q75" s="290"/>
      <c r="R75" s="290"/>
      <c r="S75" s="290"/>
      <c r="T75" s="290"/>
      <c r="U75" s="290"/>
      <c r="V75" s="290"/>
      <c r="W75" s="290"/>
      <c r="X75" s="290"/>
      <c r="Y75" s="290"/>
      <c r="Z75" s="290"/>
      <c r="AA75" s="290"/>
      <c r="AB75" s="174">
        <f t="shared" si="136"/>
        <v>0</v>
      </c>
      <c r="AC75" s="174">
        <f t="shared" si="137"/>
        <v>0</v>
      </c>
      <c r="AD75" s="174">
        <f>SUMIFS('1-2 人员岗位信息'!F:F,'1-2 人员岗位信息'!$C:$C,"劳务派遣",'1-2 人员岗位信息'!$B:$B,$D75)</f>
        <v>0</v>
      </c>
      <c r="AE75" s="298"/>
      <c r="AF75" s="174">
        <f t="shared" si="138"/>
        <v>0</v>
      </c>
      <c r="AG75" s="174">
        <f>SUMIFS('1-2 人员岗位信息'!G:G,'1-2 人员岗位信息'!$C:$C,"劳务派遣",'1-2 人员岗位信息'!$B:$B,$D75)</f>
        <v>0</v>
      </c>
      <c r="AH75" s="298"/>
      <c r="AI75" s="174">
        <f t="shared" si="139"/>
        <v>0</v>
      </c>
      <c r="AJ75" s="174">
        <f>SUMIFS('1-2 人员岗位信息'!H:H,'1-2 人员岗位信息'!$C:$C,"劳务派遣",'1-2 人员岗位信息'!$B:$B,$D75)</f>
        <v>0</v>
      </c>
      <c r="AK75" s="298"/>
      <c r="AL75" s="174">
        <f t="shared" si="140"/>
        <v>0</v>
      </c>
      <c r="AM75" s="174">
        <f>SUMIFS('1-2 人员岗位信息'!I:I,'1-2 人员岗位信息'!$C:$C,"劳务派遣",'1-2 人员岗位信息'!$B:$B,$D75)</f>
        <v>0</v>
      </c>
      <c r="AN75" s="298"/>
      <c r="AO75" s="174">
        <f t="shared" si="141"/>
        <v>0</v>
      </c>
      <c r="AP75" s="174">
        <f>SUMIFS('1-2 人员岗位信息'!J:J,'1-2 人员岗位信息'!$C:$C,"劳务派遣",'1-2 人员岗位信息'!$B:$B,$D75)</f>
        <v>0</v>
      </c>
      <c r="AQ75" s="298"/>
      <c r="AR75" s="174">
        <f t="shared" si="142"/>
        <v>0</v>
      </c>
      <c r="AS75" s="174">
        <f>SUMIFS('1-2 人员岗位信息'!K:K,'1-2 人员岗位信息'!$C:$C,"劳务派遣",'1-2 人员岗位信息'!$B:$B,$D75)</f>
        <v>0</v>
      </c>
      <c r="AT75" s="298"/>
      <c r="AU75" s="174">
        <f t="shared" si="143"/>
        <v>0</v>
      </c>
      <c r="AV75" s="174">
        <f>SUMIFS('1-2 人员岗位信息'!L:L,'1-2 人员岗位信息'!$C:$C,"劳务派遣",'1-2 人员岗位信息'!$B:$B,$D75)</f>
        <v>0</v>
      </c>
      <c r="AW75" s="298"/>
      <c r="AX75" s="174">
        <f t="shared" si="144"/>
        <v>0</v>
      </c>
      <c r="AY75" s="174">
        <f>SUMIFS('1-2 人员岗位信息'!M:M,'1-2 人员岗位信息'!$C:$C,"劳务派遣",'1-2 人员岗位信息'!$B:$B,$D75)</f>
        <v>0</v>
      </c>
      <c r="AZ75" s="298"/>
      <c r="BA75" s="174">
        <f t="shared" si="145"/>
        <v>0</v>
      </c>
      <c r="BB75" s="174">
        <f>SUMIFS('1-2 人员岗位信息'!N:N,'1-2 人员岗位信息'!$C:$C,"劳务派遣",'1-2 人员岗位信息'!$B:$B,$D75)</f>
        <v>0</v>
      </c>
      <c r="BC75" s="298"/>
      <c r="BD75" s="174">
        <f t="shared" si="146"/>
        <v>0</v>
      </c>
      <c r="BE75" s="174">
        <f>SUMIFS('1-2 人员岗位信息'!O:O,'1-2 人员岗位信息'!$C:$C,"劳务派遣",'1-2 人员岗位信息'!$B:$B,$D75)</f>
        <v>0</v>
      </c>
      <c r="BF75" s="298"/>
      <c r="BG75" s="174">
        <f t="shared" si="147"/>
        <v>0</v>
      </c>
      <c r="BH75" s="174">
        <f>SUMIFS('1-2 人员岗位信息'!P:P,'1-2 人员岗位信息'!$C:$C,"劳务派遣",'1-2 人员岗位信息'!$B:$B,$D75)</f>
        <v>0</v>
      </c>
      <c r="BI75" s="298"/>
      <c r="BJ75" s="174">
        <f t="shared" si="148"/>
        <v>0</v>
      </c>
      <c r="BK75" s="174">
        <f>SUMIFS('1-2 人员岗位信息'!Q:Q,'1-2 人员岗位信息'!$C:$C,"劳务派遣",'1-2 人员岗位信息'!$B:$B,$D75)</f>
        <v>0</v>
      </c>
      <c r="BL75" s="307"/>
      <c r="BM75" s="311"/>
      <c r="BN75" s="315"/>
    </row>
    <row r="76" s="263" customFormat="1" ht="33.95" hidden="1" customHeight="1" outlineLevel="5" spans="2:66">
      <c r="B76" s="174" t="s">
        <v>799</v>
      </c>
      <c r="C76" s="283" t="s">
        <v>921</v>
      </c>
      <c r="D76" s="263" t="s">
        <v>903</v>
      </c>
      <c r="E76" s="174" t="s">
        <v>904</v>
      </c>
      <c r="F76" s="174"/>
      <c r="G76" s="174" t="s">
        <v>803</v>
      </c>
      <c r="H76" s="174">
        <f t="shared" si="132"/>
        <v>0</v>
      </c>
      <c r="I76" s="174" t="s">
        <v>804</v>
      </c>
      <c r="J76" s="174" t="e">
        <f t="shared" si="133"/>
        <v>#DIV/0!</v>
      </c>
      <c r="K76" s="174" t="s">
        <v>805</v>
      </c>
      <c r="L76" s="174" t="e">
        <f t="shared" si="134"/>
        <v>#DIV/0!</v>
      </c>
      <c r="M76" s="174" t="s">
        <v>806</v>
      </c>
      <c r="N76" s="174">
        <f t="shared" si="135"/>
        <v>0</v>
      </c>
      <c r="O76" s="174"/>
      <c r="P76" s="290"/>
      <c r="Q76" s="290"/>
      <c r="R76" s="290"/>
      <c r="S76" s="290"/>
      <c r="T76" s="290"/>
      <c r="U76" s="290"/>
      <c r="V76" s="290"/>
      <c r="W76" s="290"/>
      <c r="X76" s="290"/>
      <c r="Y76" s="290"/>
      <c r="Z76" s="290"/>
      <c r="AA76" s="290"/>
      <c r="AB76" s="174">
        <f t="shared" si="136"/>
        <v>0</v>
      </c>
      <c r="AC76" s="174">
        <f t="shared" si="137"/>
        <v>0</v>
      </c>
      <c r="AD76" s="174">
        <f>SUMIFS('1-2 人员岗位信息'!F:F,'1-2 人员岗位信息'!$C:$C,"劳务派遣",'1-2 人员岗位信息'!$B:$B,$D76)</f>
        <v>0</v>
      </c>
      <c r="AE76" s="298"/>
      <c r="AF76" s="174">
        <f t="shared" si="138"/>
        <v>0</v>
      </c>
      <c r="AG76" s="174">
        <f>SUMIFS('1-2 人员岗位信息'!G:G,'1-2 人员岗位信息'!$C:$C,"劳务派遣",'1-2 人员岗位信息'!$B:$B,$D76)</f>
        <v>0</v>
      </c>
      <c r="AH76" s="298"/>
      <c r="AI76" s="174">
        <f t="shared" si="139"/>
        <v>0</v>
      </c>
      <c r="AJ76" s="174">
        <f>SUMIFS('1-2 人员岗位信息'!H:H,'1-2 人员岗位信息'!$C:$C,"劳务派遣",'1-2 人员岗位信息'!$B:$B,$D76)</f>
        <v>0</v>
      </c>
      <c r="AK76" s="298"/>
      <c r="AL76" s="174">
        <f t="shared" si="140"/>
        <v>0</v>
      </c>
      <c r="AM76" s="174">
        <f>SUMIFS('1-2 人员岗位信息'!I:I,'1-2 人员岗位信息'!$C:$C,"劳务派遣",'1-2 人员岗位信息'!$B:$B,$D76)</f>
        <v>0</v>
      </c>
      <c r="AN76" s="298"/>
      <c r="AO76" s="174">
        <f t="shared" si="141"/>
        <v>0</v>
      </c>
      <c r="AP76" s="174">
        <f>SUMIFS('1-2 人员岗位信息'!J:J,'1-2 人员岗位信息'!$C:$C,"劳务派遣",'1-2 人员岗位信息'!$B:$B,$D76)</f>
        <v>0</v>
      </c>
      <c r="AQ76" s="298"/>
      <c r="AR76" s="174">
        <f t="shared" si="142"/>
        <v>0</v>
      </c>
      <c r="AS76" s="174">
        <f>SUMIFS('1-2 人员岗位信息'!K:K,'1-2 人员岗位信息'!$C:$C,"劳务派遣",'1-2 人员岗位信息'!$B:$B,$D76)</f>
        <v>0</v>
      </c>
      <c r="AT76" s="298"/>
      <c r="AU76" s="174">
        <f t="shared" si="143"/>
        <v>0</v>
      </c>
      <c r="AV76" s="174">
        <f>SUMIFS('1-2 人员岗位信息'!L:L,'1-2 人员岗位信息'!$C:$C,"劳务派遣",'1-2 人员岗位信息'!$B:$B,$D76)</f>
        <v>0</v>
      </c>
      <c r="AW76" s="298"/>
      <c r="AX76" s="174">
        <f t="shared" si="144"/>
        <v>0</v>
      </c>
      <c r="AY76" s="174">
        <f>SUMIFS('1-2 人员岗位信息'!M:M,'1-2 人员岗位信息'!$C:$C,"劳务派遣",'1-2 人员岗位信息'!$B:$B,$D76)</f>
        <v>0</v>
      </c>
      <c r="AZ76" s="298"/>
      <c r="BA76" s="174">
        <f t="shared" si="145"/>
        <v>0</v>
      </c>
      <c r="BB76" s="174">
        <f>SUMIFS('1-2 人员岗位信息'!N:N,'1-2 人员岗位信息'!$C:$C,"劳务派遣",'1-2 人员岗位信息'!$B:$B,$D76)</f>
        <v>0</v>
      </c>
      <c r="BC76" s="298"/>
      <c r="BD76" s="174">
        <f t="shared" si="146"/>
        <v>0</v>
      </c>
      <c r="BE76" s="174">
        <f>SUMIFS('1-2 人员岗位信息'!O:O,'1-2 人员岗位信息'!$C:$C,"劳务派遣",'1-2 人员岗位信息'!$B:$B,$D76)</f>
        <v>0</v>
      </c>
      <c r="BF76" s="298"/>
      <c r="BG76" s="174">
        <f t="shared" si="147"/>
        <v>0</v>
      </c>
      <c r="BH76" s="174">
        <f>SUMIFS('1-2 人员岗位信息'!P:P,'1-2 人员岗位信息'!$C:$C,"劳务派遣",'1-2 人员岗位信息'!$B:$B,$D76)</f>
        <v>0</v>
      </c>
      <c r="BI76" s="298"/>
      <c r="BJ76" s="174">
        <f t="shared" si="148"/>
        <v>0</v>
      </c>
      <c r="BK76" s="174">
        <f>SUMIFS('1-2 人员岗位信息'!Q:Q,'1-2 人员岗位信息'!$C:$C,"劳务派遣",'1-2 人员岗位信息'!$B:$B,$D76)</f>
        <v>0</v>
      </c>
      <c r="BL76" s="307"/>
      <c r="BM76" s="311"/>
      <c r="BN76" s="315"/>
    </row>
    <row r="77" s="263" customFormat="1" ht="33.95" hidden="1" customHeight="1" outlineLevel="5" spans="2:66">
      <c r="B77" s="174" t="s">
        <v>799</v>
      </c>
      <c r="C77" s="283" t="s">
        <v>922</v>
      </c>
      <c r="D77" s="263" t="s">
        <v>906</v>
      </c>
      <c r="E77" s="174" t="s">
        <v>907</v>
      </c>
      <c r="F77" s="174"/>
      <c r="G77" s="174" t="s">
        <v>803</v>
      </c>
      <c r="H77" s="174">
        <f t="shared" si="132"/>
        <v>0</v>
      </c>
      <c r="I77" s="174" t="s">
        <v>804</v>
      </c>
      <c r="J77" s="174" t="e">
        <f t="shared" si="133"/>
        <v>#DIV/0!</v>
      </c>
      <c r="K77" s="174" t="s">
        <v>805</v>
      </c>
      <c r="L77" s="174" t="e">
        <f t="shared" si="134"/>
        <v>#DIV/0!</v>
      </c>
      <c r="M77" s="174" t="s">
        <v>806</v>
      </c>
      <c r="N77" s="174">
        <f t="shared" si="135"/>
        <v>0</v>
      </c>
      <c r="O77" s="174"/>
      <c r="P77" s="290"/>
      <c r="Q77" s="290"/>
      <c r="R77" s="290"/>
      <c r="S77" s="290"/>
      <c r="T77" s="290"/>
      <c r="U77" s="290"/>
      <c r="V77" s="290"/>
      <c r="W77" s="290"/>
      <c r="X77" s="290"/>
      <c r="Y77" s="290"/>
      <c r="Z77" s="290"/>
      <c r="AA77" s="290"/>
      <c r="AB77" s="174">
        <f t="shared" si="136"/>
        <v>0</v>
      </c>
      <c r="AC77" s="174">
        <f t="shared" si="137"/>
        <v>0</v>
      </c>
      <c r="AD77" s="174">
        <f>SUMIFS('1-2 人员岗位信息'!F:F,'1-2 人员岗位信息'!$C:$C,"劳务派遣",'1-2 人员岗位信息'!$B:$B,$D77)</f>
        <v>0</v>
      </c>
      <c r="AE77" s="298"/>
      <c r="AF77" s="174">
        <f t="shared" si="138"/>
        <v>0</v>
      </c>
      <c r="AG77" s="174">
        <f>SUMIFS('1-2 人员岗位信息'!G:G,'1-2 人员岗位信息'!$C:$C,"劳务派遣",'1-2 人员岗位信息'!$B:$B,$D77)</f>
        <v>0</v>
      </c>
      <c r="AH77" s="298"/>
      <c r="AI77" s="174">
        <f t="shared" si="139"/>
        <v>0</v>
      </c>
      <c r="AJ77" s="174">
        <f>SUMIFS('1-2 人员岗位信息'!H:H,'1-2 人员岗位信息'!$C:$C,"劳务派遣",'1-2 人员岗位信息'!$B:$B,$D77)</f>
        <v>0</v>
      </c>
      <c r="AK77" s="298"/>
      <c r="AL77" s="174">
        <f t="shared" si="140"/>
        <v>0</v>
      </c>
      <c r="AM77" s="174">
        <f>SUMIFS('1-2 人员岗位信息'!I:I,'1-2 人员岗位信息'!$C:$C,"劳务派遣",'1-2 人员岗位信息'!$B:$B,$D77)</f>
        <v>0</v>
      </c>
      <c r="AN77" s="298"/>
      <c r="AO77" s="174">
        <f t="shared" si="141"/>
        <v>0</v>
      </c>
      <c r="AP77" s="174">
        <f>SUMIFS('1-2 人员岗位信息'!J:J,'1-2 人员岗位信息'!$C:$C,"劳务派遣",'1-2 人员岗位信息'!$B:$B,$D77)</f>
        <v>0</v>
      </c>
      <c r="AQ77" s="298"/>
      <c r="AR77" s="174">
        <f t="shared" si="142"/>
        <v>0</v>
      </c>
      <c r="AS77" s="174">
        <f>SUMIFS('1-2 人员岗位信息'!K:K,'1-2 人员岗位信息'!$C:$C,"劳务派遣",'1-2 人员岗位信息'!$B:$B,$D77)</f>
        <v>0</v>
      </c>
      <c r="AT77" s="298"/>
      <c r="AU77" s="174">
        <f t="shared" si="143"/>
        <v>0</v>
      </c>
      <c r="AV77" s="174">
        <f>SUMIFS('1-2 人员岗位信息'!L:L,'1-2 人员岗位信息'!$C:$C,"劳务派遣",'1-2 人员岗位信息'!$B:$B,$D77)</f>
        <v>0</v>
      </c>
      <c r="AW77" s="298"/>
      <c r="AX77" s="174">
        <f t="shared" si="144"/>
        <v>0</v>
      </c>
      <c r="AY77" s="174">
        <f>SUMIFS('1-2 人员岗位信息'!M:M,'1-2 人员岗位信息'!$C:$C,"劳务派遣",'1-2 人员岗位信息'!$B:$B,$D77)</f>
        <v>0</v>
      </c>
      <c r="AZ77" s="298"/>
      <c r="BA77" s="174">
        <f t="shared" si="145"/>
        <v>0</v>
      </c>
      <c r="BB77" s="174">
        <f>SUMIFS('1-2 人员岗位信息'!N:N,'1-2 人员岗位信息'!$C:$C,"劳务派遣",'1-2 人员岗位信息'!$B:$B,$D77)</f>
        <v>0</v>
      </c>
      <c r="BC77" s="298"/>
      <c r="BD77" s="174">
        <f t="shared" si="146"/>
        <v>0</v>
      </c>
      <c r="BE77" s="174">
        <f>SUMIFS('1-2 人员岗位信息'!O:O,'1-2 人员岗位信息'!$C:$C,"劳务派遣",'1-2 人员岗位信息'!$B:$B,$D77)</f>
        <v>0</v>
      </c>
      <c r="BF77" s="298"/>
      <c r="BG77" s="174">
        <f t="shared" si="147"/>
        <v>0</v>
      </c>
      <c r="BH77" s="174">
        <f>SUMIFS('1-2 人员岗位信息'!P:P,'1-2 人员岗位信息'!$C:$C,"劳务派遣",'1-2 人员岗位信息'!$B:$B,$D77)</f>
        <v>0</v>
      </c>
      <c r="BI77" s="298"/>
      <c r="BJ77" s="174">
        <f t="shared" si="148"/>
        <v>0</v>
      </c>
      <c r="BK77" s="174">
        <f>SUMIFS('1-2 人员岗位信息'!Q:Q,'1-2 人员岗位信息'!$C:$C,"劳务派遣",'1-2 人员岗位信息'!$B:$B,$D77)</f>
        <v>0</v>
      </c>
      <c r="BL77" s="307"/>
      <c r="BM77" s="311"/>
      <c r="BN77" s="315"/>
    </row>
    <row r="78" s="263" customFormat="1" ht="33.95" hidden="1" customHeight="1" outlineLevel="5" spans="2:66">
      <c r="B78" s="174" t="s">
        <v>799</v>
      </c>
      <c r="C78" s="283" t="s">
        <v>923</v>
      </c>
      <c r="D78" s="263" t="s">
        <v>909</v>
      </c>
      <c r="E78" s="174" t="s">
        <v>910</v>
      </c>
      <c r="F78" s="174"/>
      <c r="G78" s="174" t="s">
        <v>803</v>
      </c>
      <c r="H78" s="174">
        <f t="shared" si="132"/>
        <v>0</v>
      </c>
      <c r="I78" s="174" t="s">
        <v>804</v>
      </c>
      <c r="J78" s="174" t="e">
        <f t="shared" si="133"/>
        <v>#DIV/0!</v>
      </c>
      <c r="K78" s="174" t="s">
        <v>805</v>
      </c>
      <c r="L78" s="174" t="e">
        <f t="shared" si="134"/>
        <v>#DIV/0!</v>
      </c>
      <c r="M78" s="174" t="s">
        <v>806</v>
      </c>
      <c r="N78" s="174">
        <f t="shared" si="135"/>
        <v>0</v>
      </c>
      <c r="O78" s="174"/>
      <c r="P78" s="290"/>
      <c r="Q78" s="290"/>
      <c r="R78" s="290"/>
      <c r="S78" s="290"/>
      <c r="T78" s="290"/>
      <c r="U78" s="290"/>
      <c r="V78" s="290"/>
      <c r="W78" s="290"/>
      <c r="X78" s="290"/>
      <c r="Y78" s="290"/>
      <c r="Z78" s="290"/>
      <c r="AA78" s="290"/>
      <c r="AB78" s="174">
        <f t="shared" si="136"/>
        <v>0</v>
      </c>
      <c r="AC78" s="174">
        <f t="shared" si="137"/>
        <v>0</v>
      </c>
      <c r="AD78" s="174">
        <f>SUMIFS('1-2 人员岗位信息'!F:F,'1-2 人员岗位信息'!$C:$C,"劳务派遣",'1-2 人员岗位信息'!$B:$B,$D78)</f>
        <v>0</v>
      </c>
      <c r="AE78" s="298"/>
      <c r="AF78" s="174">
        <f t="shared" si="138"/>
        <v>0</v>
      </c>
      <c r="AG78" s="174">
        <f>SUMIFS('1-2 人员岗位信息'!G:G,'1-2 人员岗位信息'!$C:$C,"劳务派遣",'1-2 人员岗位信息'!$B:$B,$D78)</f>
        <v>0</v>
      </c>
      <c r="AH78" s="298"/>
      <c r="AI78" s="174">
        <f t="shared" si="139"/>
        <v>0</v>
      </c>
      <c r="AJ78" s="174">
        <f>SUMIFS('1-2 人员岗位信息'!H:H,'1-2 人员岗位信息'!$C:$C,"劳务派遣",'1-2 人员岗位信息'!$B:$B,$D78)</f>
        <v>0</v>
      </c>
      <c r="AK78" s="298"/>
      <c r="AL78" s="174">
        <f t="shared" si="140"/>
        <v>0</v>
      </c>
      <c r="AM78" s="174">
        <f>SUMIFS('1-2 人员岗位信息'!I:I,'1-2 人员岗位信息'!$C:$C,"劳务派遣",'1-2 人员岗位信息'!$B:$B,$D78)</f>
        <v>0</v>
      </c>
      <c r="AN78" s="298"/>
      <c r="AO78" s="174">
        <f t="shared" si="141"/>
        <v>0</v>
      </c>
      <c r="AP78" s="174">
        <f>SUMIFS('1-2 人员岗位信息'!J:J,'1-2 人员岗位信息'!$C:$C,"劳务派遣",'1-2 人员岗位信息'!$B:$B,$D78)</f>
        <v>0</v>
      </c>
      <c r="AQ78" s="298"/>
      <c r="AR78" s="174">
        <f t="shared" si="142"/>
        <v>0</v>
      </c>
      <c r="AS78" s="174">
        <f>SUMIFS('1-2 人员岗位信息'!K:K,'1-2 人员岗位信息'!$C:$C,"劳务派遣",'1-2 人员岗位信息'!$B:$B,$D78)</f>
        <v>0</v>
      </c>
      <c r="AT78" s="298"/>
      <c r="AU78" s="174">
        <f t="shared" si="143"/>
        <v>0</v>
      </c>
      <c r="AV78" s="174">
        <f>SUMIFS('1-2 人员岗位信息'!L:L,'1-2 人员岗位信息'!$C:$C,"劳务派遣",'1-2 人员岗位信息'!$B:$B,$D78)</f>
        <v>0</v>
      </c>
      <c r="AW78" s="298"/>
      <c r="AX78" s="174">
        <f t="shared" si="144"/>
        <v>0</v>
      </c>
      <c r="AY78" s="174">
        <f>SUMIFS('1-2 人员岗位信息'!M:M,'1-2 人员岗位信息'!$C:$C,"劳务派遣",'1-2 人员岗位信息'!$B:$B,$D78)</f>
        <v>0</v>
      </c>
      <c r="AZ78" s="298"/>
      <c r="BA78" s="174">
        <f t="shared" si="145"/>
        <v>0</v>
      </c>
      <c r="BB78" s="174">
        <f>SUMIFS('1-2 人员岗位信息'!N:N,'1-2 人员岗位信息'!$C:$C,"劳务派遣",'1-2 人员岗位信息'!$B:$B,$D78)</f>
        <v>0</v>
      </c>
      <c r="BC78" s="298"/>
      <c r="BD78" s="174">
        <f t="shared" si="146"/>
        <v>0</v>
      </c>
      <c r="BE78" s="174">
        <f>SUMIFS('1-2 人员岗位信息'!O:O,'1-2 人员岗位信息'!$C:$C,"劳务派遣",'1-2 人员岗位信息'!$B:$B,$D78)</f>
        <v>0</v>
      </c>
      <c r="BF78" s="298"/>
      <c r="BG78" s="174">
        <f t="shared" si="147"/>
        <v>0</v>
      </c>
      <c r="BH78" s="174">
        <f>SUMIFS('1-2 人员岗位信息'!P:P,'1-2 人员岗位信息'!$C:$C,"劳务派遣",'1-2 人员岗位信息'!$B:$B,$D78)</f>
        <v>0</v>
      </c>
      <c r="BI78" s="298"/>
      <c r="BJ78" s="174">
        <f t="shared" si="148"/>
        <v>0</v>
      </c>
      <c r="BK78" s="174">
        <f>SUMIFS('1-2 人员岗位信息'!Q:Q,'1-2 人员岗位信息'!$C:$C,"劳务派遣",'1-2 人员岗位信息'!$B:$B,$D78)</f>
        <v>0</v>
      </c>
      <c r="BL78" s="307"/>
      <c r="BM78" s="311"/>
      <c r="BN78" s="315"/>
    </row>
    <row r="79" s="263" customFormat="1" ht="33.95" hidden="1" customHeight="1" outlineLevel="5" spans="2:66">
      <c r="B79" s="174" t="s">
        <v>799</v>
      </c>
      <c r="C79" s="283" t="s">
        <v>924</v>
      </c>
      <c r="D79" s="263" t="s">
        <v>912</v>
      </c>
      <c r="E79" s="174" t="s">
        <v>925</v>
      </c>
      <c r="F79" s="174"/>
      <c r="G79" s="174" t="s">
        <v>803</v>
      </c>
      <c r="H79" s="174">
        <f t="shared" si="132"/>
        <v>0</v>
      </c>
      <c r="I79" s="174" t="s">
        <v>804</v>
      </c>
      <c r="J79" s="174" t="e">
        <f t="shared" si="133"/>
        <v>#DIV/0!</v>
      </c>
      <c r="K79" s="174" t="s">
        <v>805</v>
      </c>
      <c r="L79" s="174" t="e">
        <f t="shared" si="134"/>
        <v>#DIV/0!</v>
      </c>
      <c r="M79" s="174" t="s">
        <v>806</v>
      </c>
      <c r="N79" s="174">
        <f t="shared" si="135"/>
        <v>0</v>
      </c>
      <c r="O79" s="174"/>
      <c r="P79" s="290"/>
      <c r="Q79" s="290"/>
      <c r="R79" s="290"/>
      <c r="S79" s="290"/>
      <c r="T79" s="290"/>
      <c r="U79" s="290"/>
      <c r="V79" s="290"/>
      <c r="W79" s="290"/>
      <c r="X79" s="290"/>
      <c r="Y79" s="290"/>
      <c r="Z79" s="290"/>
      <c r="AA79" s="290"/>
      <c r="AB79" s="174">
        <f t="shared" si="136"/>
        <v>0</v>
      </c>
      <c r="AC79" s="174">
        <f t="shared" si="137"/>
        <v>0</v>
      </c>
      <c r="AD79" s="174">
        <f>SUMIFS('1-2 人员岗位信息'!F:F,'1-2 人员岗位信息'!$C:$C,"劳务派遣",'1-2 人员岗位信息'!$B:$B,$D79)</f>
        <v>0</v>
      </c>
      <c r="AE79" s="298"/>
      <c r="AF79" s="174">
        <f t="shared" si="138"/>
        <v>0</v>
      </c>
      <c r="AG79" s="174">
        <f>SUMIFS('1-2 人员岗位信息'!G:G,'1-2 人员岗位信息'!$C:$C,"劳务派遣",'1-2 人员岗位信息'!$B:$B,$D79)</f>
        <v>0</v>
      </c>
      <c r="AH79" s="298"/>
      <c r="AI79" s="174">
        <f t="shared" si="139"/>
        <v>0</v>
      </c>
      <c r="AJ79" s="174">
        <f>SUMIFS('1-2 人员岗位信息'!H:H,'1-2 人员岗位信息'!$C:$C,"劳务派遣",'1-2 人员岗位信息'!$B:$B,$D79)</f>
        <v>0</v>
      </c>
      <c r="AK79" s="298"/>
      <c r="AL79" s="174">
        <f t="shared" si="140"/>
        <v>0</v>
      </c>
      <c r="AM79" s="174">
        <f>SUMIFS('1-2 人员岗位信息'!I:I,'1-2 人员岗位信息'!$C:$C,"劳务派遣",'1-2 人员岗位信息'!$B:$B,$D79)</f>
        <v>0</v>
      </c>
      <c r="AN79" s="298"/>
      <c r="AO79" s="174">
        <f t="shared" si="141"/>
        <v>0</v>
      </c>
      <c r="AP79" s="174">
        <f>SUMIFS('1-2 人员岗位信息'!J:J,'1-2 人员岗位信息'!$C:$C,"劳务派遣",'1-2 人员岗位信息'!$B:$B,$D79)</f>
        <v>0</v>
      </c>
      <c r="AQ79" s="298"/>
      <c r="AR79" s="174">
        <f t="shared" si="142"/>
        <v>0</v>
      </c>
      <c r="AS79" s="174">
        <f>SUMIFS('1-2 人员岗位信息'!K:K,'1-2 人员岗位信息'!$C:$C,"劳务派遣",'1-2 人员岗位信息'!$B:$B,$D79)</f>
        <v>0</v>
      </c>
      <c r="AT79" s="298"/>
      <c r="AU79" s="174">
        <f t="shared" si="143"/>
        <v>0</v>
      </c>
      <c r="AV79" s="174">
        <f>SUMIFS('1-2 人员岗位信息'!L:L,'1-2 人员岗位信息'!$C:$C,"劳务派遣",'1-2 人员岗位信息'!$B:$B,$D79)</f>
        <v>0</v>
      </c>
      <c r="AW79" s="298"/>
      <c r="AX79" s="174">
        <f t="shared" si="144"/>
        <v>0</v>
      </c>
      <c r="AY79" s="174">
        <f>SUMIFS('1-2 人员岗位信息'!M:M,'1-2 人员岗位信息'!$C:$C,"劳务派遣",'1-2 人员岗位信息'!$B:$B,$D79)</f>
        <v>0</v>
      </c>
      <c r="AZ79" s="298"/>
      <c r="BA79" s="174">
        <f t="shared" si="145"/>
        <v>0</v>
      </c>
      <c r="BB79" s="174">
        <f>SUMIFS('1-2 人员岗位信息'!N:N,'1-2 人员岗位信息'!$C:$C,"劳务派遣",'1-2 人员岗位信息'!$B:$B,$D79)</f>
        <v>0</v>
      </c>
      <c r="BC79" s="298"/>
      <c r="BD79" s="174">
        <f t="shared" si="146"/>
        <v>0</v>
      </c>
      <c r="BE79" s="174">
        <f>SUMIFS('1-2 人员岗位信息'!O:O,'1-2 人员岗位信息'!$C:$C,"劳务派遣",'1-2 人员岗位信息'!$B:$B,$D79)</f>
        <v>0</v>
      </c>
      <c r="BF79" s="298"/>
      <c r="BG79" s="174">
        <f t="shared" si="147"/>
        <v>0</v>
      </c>
      <c r="BH79" s="174">
        <f>SUMIFS('1-2 人员岗位信息'!P:P,'1-2 人员岗位信息'!$C:$C,"劳务派遣",'1-2 人员岗位信息'!$B:$B,$D79)</f>
        <v>0</v>
      </c>
      <c r="BI79" s="298"/>
      <c r="BJ79" s="174">
        <f t="shared" si="148"/>
        <v>0</v>
      </c>
      <c r="BK79" s="174">
        <f>SUMIFS('1-2 人员岗位信息'!Q:Q,'1-2 人员岗位信息'!$C:$C,"劳务派遣",'1-2 人员岗位信息'!$B:$B,$D79)</f>
        <v>0</v>
      </c>
      <c r="BL79" s="307"/>
      <c r="BM79" s="311"/>
      <c r="BN79" s="315"/>
    </row>
    <row r="80" s="117" customFormat="1" ht="33.95" hidden="1" customHeight="1" outlineLevel="4" collapsed="1" spans="2:66">
      <c r="B80" s="118" t="s">
        <v>794</v>
      </c>
      <c r="C80" s="119" t="s">
        <v>14</v>
      </c>
      <c r="D80" s="117" t="s">
        <v>15</v>
      </c>
      <c r="E80" s="118"/>
      <c r="F80" s="118"/>
      <c r="G80" s="118"/>
      <c r="H80" s="118">
        <f>SUM(H81:H90)</f>
        <v>166415.094339623</v>
      </c>
      <c r="I80" s="118"/>
      <c r="J80" s="118"/>
      <c r="K80" s="118"/>
      <c r="L80" s="118"/>
      <c r="M80" s="118"/>
      <c r="N80" s="118"/>
      <c r="O80" s="118"/>
      <c r="P80" s="289"/>
      <c r="Q80" s="289"/>
      <c r="R80" s="289"/>
      <c r="S80" s="289"/>
      <c r="T80" s="289"/>
      <c r="U80" s="289"/>
      <c r="V80" s="289"/>
      <c r="W80" s="289"/>
      <c r="X80" s="289"/>
      <c r="Y80" s="289"/>
      <c r="Z80" s="289"/>
      <c r="AA80" s="289"/>
      <c r="AB80" s="118">
        <f t="shared" ref="AB80:AF80" si="149">SUM(AB81:AB90)</f>
        <v>166415.094339623</v>
      </c>
      <c r="AC80" s="118">
        <f t="shared" si="149"/>
        <v>13867.9245283019</v>
      </c>
      <c r="AD80" s="118"/>
      <c r="AE80" s="118"/>
      <c r="AF80" s="118">
        <f t="shared" si="149"/>
        <v>13867.9245283019</v>
      </c>
      <c r="AG80" s="118"/>
      <c r="AH80" s="118"/>
      <c r="AI80" s="118">
        <f>SUM(AI81:AI90)</f>
        <v>13867.9245283019</v>
      </c>
      <c r="AJ80" s="118"/>
      <c r="AK80" s="118"/>
      <c r="AL80" s="118">
        <f>SUM(AL81:AL90)</f>
        <v>13867.9245283019</v>
      </c>
      <c r="AM80" s="118"/>
      <c r="AN80" s="118"/>
      <c r="AO80" s="118">
        <f>SUM(AO81:AO90)</f>
        <v>13867.9245283019</v>
      </c>
      <c r="AP80" s="118"/>
      <c r="AQ80" s="118"/>
      <c r="AR80" s="118">
        <f>SUM(AR81:AR90)</f>
        <v>13867.9245283019</v>
      </c>
      <c r="AS80" s="118"/>
      <c r="AT80" s="118"/>
      <c r="AU80" s="118">
        <f>SUM(AU81:AU90)</f>
        <v>13867.9245283019</v>
      </c>
      <c r="AV80" s="118"/>
      <c r="AW80" s="118"/>
      <c r="AX80" s="118">
        <f>SUM(AX81:AX90)</f>
        <v>13867.9245283019</v>
      </c>
      <c r="AY80" s="118"/>
      <c r="AZ80" s="118"/>
      <c r="BA80" s="118">
        <f>SUM(BA81:BA90)</f>
        <v>13867.9245283019</v>
      </c>
      <c r="BB80" s="118"/>
      <c r="BC80" s="118"/>
      <c r="BD80" s="118">
        <f>SUM(BD81:BD90)</f>
        <v>13867.9245283019</v>
      </c>
      <c r="BE80" s="118"/>
      <c r="BF80" s="118"/>
      <c r="BG80" s="118">
        <f>SUM(BG81:BG90)</f>
        <v>13867.9245283019</v>
      </c>
      <c r="BH80" s="118"/>
      <c r="BI80" s="118"/>
      <c r="BJ80" s="118">
        <f>SUM(BJ81:BJ90)</f>
        <v>13867.9245283019</v>
      </c>
      <c r="BK80" s="118"/>
      <c r="BL80" s="306"/>
      <c r="BM80" s="311"/>
      <c r="BN80" s="314"/>
    </row>
    <row r="81" s="263" customFormat="1" ht="33.95" hidden="1" customHeight="1" outlineLevel="5" spans="2:66">
      <c r="B81" s="174" t="s">
        <v>799</v>
      </c>
      <c r="C81" s="283" t="s">
        <v>926</v>
      </c>
      <c r="D81" s="263" t="s">
        <v>885</v>
      </c>
      <c r="E81" s="174" t="s">
        <v>927</v>
      </c>
      <c r="F81" s="174"/>
      <c r="G81" s="174" t="s">
        <v>803</v>
      </c>
      <c r="H81" s="174">
        <f t="shared" ref="H81:H90" si="150">AB81</f>
        <v>166415.094339623</v>
      </c>
      <c r="I81" s="174" t="s">
        <v>804</v>
      </c>
      <c r="J81" s="174">
        <f t="shared" ref="J81:J90" si="151">SUM(AD81,AG81,AJ81,AM81,AP81,AS81,AV81,AY81,BB81,BE81,BH81,BK81)/N81</f>
        <v>3</v>
      </c>
      <c r="K81" s="174" t="s">
        <v>805</v>
      </c>
      <c r="L81" s="174">
        <f t="shared" ref="L81:L90" si="152">H81/N81/J81</f>
        <v>4622.64150943396</v>
      </c>
      <c r="M81" s="174" t="s">
        <v>806</v>
      </c>
      <c r="N81" s="174">
        <f t="shared" ref="N81:N90" si="153">COUNTIF(AD81,"&gt;0")+COUNTIF(AG81,"&gt;0")+COUNTIF(AJ81,"&gt;0")+COUNTIF(AM81,"&gt;0")+COUNTIF(AP81,"&gt;0")+COUNTIF(AS81,"&gt;0")+COUNTIF(AV81,"&gt;0")+COUNTIF(AY81,"&gt;0")+COUNTIF(BB81,"&gt;0")+COUNTIF(BE81,"&gt;0")+COUNTIF(BH81,"&gt;0")+COUNTIF(BK81,"&gt;0")</f>
        <v>12</v>
      </c>
      <c r="O81" s="174"/>
      <c r="P81" s="290"/>
      <c r="Q81" s="290"/>
      <c r="R81" s="290"/>
      <c r="S81" s="290"/>
      <c r="T81" s="290"/>
      <c r="U81" s="290"/>
      <c r="V81" s="290"/>
      <c r="W81" s="290"/>
      <c r="X81" s="290"/>
      <c r="Y81" s="290"/>
      <c r="Z81" s="290"/>
      <c r="AA81" s="290"/>
      <c r="AB81" s="174">
        <f>SUM(AC81,AF81,AI81,AL81,AO81,AR81,AU81,AX81,BA81,BD81,BG81,BJ81)</f>
        <v>166415.094339623</v>
      </c>
      <c r="AC81" s="174">
        <f t="shared" ref="AC81:AC90" si="154">AD81*AE81</f>
        <v>13867.9245283019</v>
      </c>
      <c r="AD81" s="174">
        <f>SUMIFS('1-2 人员岗位信息'!J:J,'1-2 人员岗位信息'!$C:$C,"专业外包",'1-2 人员岗位信息'!$B:$B,$D81)</f>
        <v>3</v>
      </c>
      <c r="AE81" s="298">
        <f>IFERROR(预算主表!P79/(12*AD81),0)</f>
        <v>4622.64150943396</v>
      </c>
      <c r="AF81" s="174">
        <f t="shared" ref="AF81:AF90" si="155">AG81*AH81</f>
        <v>13867.9245283019</v>
      </c>
      <c r="AG81" s="174">
        <f>SUMIFS('1-2 人员岗位信息'!J:J,'1-2 人员岗位信息'!$C:$C,"专业外包",'1-2 人员岗位信息'!$B:$B,$D81)</f>
        <v>3</v>
      </c>
      <c r="AH81" s="298">
        <f>AE81</f>
        <v>4622.64150943396</v>
      </c>
      <c r="AI81" s="174">
        <f t="shared" ref="AI81:AI90" si="156">AJ81*AK81</f>
        <v>13867.9245283019</v>
      </c>
      <c r="AJ81" s="174">
        <f>SUMIFS('1-2 人员岗位信息'!J:J,'1-2 人员岗位信息'!$C:$C,"专业外包",'1-2 人员岗位信息'!$B:$B,$D81)</f>
        <v>3</v>
      </c>
      <c r="AK81" s="298">
        <f>AE81</f>
        <v>4622.64150943396</v>
      </c>
      <c r="AL81" s="174">
        <f t="shared" ref="AL81:AL90" si="157">AM81*AN81</f>
        <v>13867.9245283019</v>
      </c>
      <c r="AM81" s="174">
        <f>SUMIFS('1-2 人员岗位信息'!I:I,'1-2 人员岗位信息'!$C:$C,"专业外包",'1-2 人员岗位信息'!$B:$B,$D81)</f>
        <v>3</v>
      </c>
      <c r="AN81" s="298">
        <f>AE81</f>
        <v>4622.64150943396</v>
      </c>
      <c r="AO81" s="174">
        <f t="shared" ref="AO81:AO90" si="158">AP81*AQ81</f>
        <v>13867.9245283019</v>
      </c>
      <c r="AP81" s="174">
        <f>SUMIFS('1-2 人员岗位信息'!J:J,'1-2 人员岗位信息'!$C:$C,"专业外包",'1-2 人员岗位信息'!$B:$B,$D81)</f>
        <v>3</v>
      </c>
      <c r="AQ81" s="298">
        <f>AE81</f>
        <v>4622.64150943396</v>
      </c>
      <c r="AR81" s="174">
        <f t="shared" ref="AR81:AR90" si="159">AS81*AT81</f>
        <v>13867.9245283019</v>
      </c>
      <c r="AS81" s="174">
        <f>SUMIFS('1-2 人员岗位信息'!K:K,'1-2 人员岗位信息'!$C:$C,"专业外包",'1-2 人员岗位信息'!$B:$B,$D81)</f>
        <v>3</v>
      </c>
      <c r="AT81" s="298">
        <f>AE81</f>
        <v>4622.64150943396</v>
      </c>
      <c r="AU81" s="174">
        <f t="shared" ref="AU81:AU90" si="160">AV81*AW81</f>
        <v>13867.9245283019</v>
      </c>
      <c r="AV81" s="174">
        <f>SUMIFS('1-2 人员岗位信息'!L:L,'1-2 人员岗位信息'!$C:$C,"专业外包",'1-2 人员岗位信息'!$B:$B,$D81)</f>
        <v>3</v>
      </c>
      <c r="AW81" s="298">
        <f>AE81</f>
        <v>4622.64150943396</v>
      </c>
      <c r="AX81" s="174">
        <f t="shared" ref="AX81:AX90" si="161">AY81*AZ81</f>
        <v>13867.9245283019</v>
      </c>
      <c r="AY81" s="174">
        <f>SUMIFS('1-2 人员岗位信息'!M:M,'1-2 人员岗位信息'!$C:$C,"专业外包",'1-2 人员岗位信息'!$B:$B,$D81)</f>
        <v>3</v>
      </c>
      <c r="AZ81" s="298">
        <f>AE81</f>
        <v>4622.64150943396</v>
      </c>
      <c r="BA81" s="174">
        <f t="shared" ref="BA81:BA90" si="162">BB81*BC81</f>
        <v>13867.9245283019</v>
      </c>
      <c r="BB81" s="174">
        <f>SUMIFS('1-2 人员岗位信息'!N:N,'1-2 人员岗位信息'!$C:$C,"专业外包",'1-2 人员岗位信息'!$B:$B,$D81)</f>
        <v>3</v>
      </c>
      <c r="BC81" s="298">
        <f>AE81</f>
        <v>4622.64150943396</v>
      </c>
      <c r="BD81" s="174">
        <f t="shared" ref="BD81:BD90" si="163">BE81*BF81</f>
        <v>13867.9245283019</v>
      </c>
      <c r="BE81" s="174">
        <f>SUMIFS('1-2 人员岗位信息'!O:O,'1-2 人员岗位信息'!$C:$C,"专业外包",'1-2 人员岗位信息'!$B:$B,$D81)</f>
        <v>3</v>
      </c>
      <c r="BF81" s="298">
        <f>AE81</f>
        <v>4622.64150943396</v>
      </c>
      <c r="BG81" s="174">
        <f t="shared" ref="BG81:BG90" si="164">BH81*BI81</f>
        <v>13867.9245283019</v>
      </c>
      <c r="BH81" s="174">
        <f>SUMIFS('1-2 人员岗位信息'!P:P,'1-2 人员岗位信息'!$C:$C,"专业外包",'1-2 人员岗位信息'!$B:$B,$D81)</f>
        <v>3</v>
      </c>
      <c r="BI81" s="298">
        <f>AE81</f>
        <v>4622.64150943396</v>
      </c>
      <c r="BJ81" s="174">
        <f t="shared" ref="BJ81:BJ90" si="165">BK81*BL81</f>
        <v>13867.9245283019</v>
      </c>
      <c r="BK81" s="174">
        <f>SUMIFS('1-2 人员岗位信息'!Q:Q,'1-2 人员岗位信息'!$C:$C,"专业外包",'1-2 人员岗位信息'!$B:$B,$D81)</f>
        <v>3</v>
      </c>
      <c r="BL81" s="298">
        <f>AE81</f>
        <v>4622.64150943396</v>
      </c>
      <c r="BM81" s="311"/>
      <c r="BN81" s="315"/>
    </row>
    <row r="82" s="263" customFormat="1" ht="33.95" hidden="1" customHeight="1" outlineLevel="5" spans="2:66">
      <c r="B82" s="174" t="s">
        <v>799</v>
      </c>
      <c r="C82" s="283" t="s">
        <v>928</v>
      </c>
      <c r="D82" s="263" t="s">
        <v>888</v>
      </c>
      <c r="E82" s="174" t="s">
        <v>929</v>
      </c>
      <c r="F82" s="174"/>
      <c r="G82" s="174" t="s">
        <v>803</v>
      </c>
      <c r="H82" s="174">
        <f t="shared" si="150"/>
        <v>0</v>
      </c>
      <c r="I82" s="174" t="s">
        <v>804</v>
      </c>
      <c r="J82" s="174" t="e">
        <f t="shared" si="151"/>
        <v>#DIV/0!</v>
      </c>
      <c r="K82" s="174" t="s">
        <v>805</v>
      </c>
      <c r="L82" s="174" t="e">
        <f t="shared" si="152"/>
        <v>#DIV/0!</v>
      </c>
      <c r="M82" s="174" t="s">
        <v>806</v>
      </c>
      <c r="N82" s="174">
        <f t="shared" si="153"/>
        <v>0</v>
      </c>
      <c r="O82" s="174"/>
      <c r="P82" s="290"/>
      <c r="Q82" s="290"/>
      <c r="R82" s="290"/>
      <c r="S82" s="290"/>
      <c r="T82" s="290"/>
      <c r="U82" s="290"/>
      <c r="V82" s="290"/>
      <c r="W82" s="290"/>
      <c r="X82" s="290"/>
      <c r="Y82" s="290"/>
      <c r="Z82" s="290"/>
      <c r="AA82" s="290"/>
      <c r="AB82" s="174">
        <f t="shared" ref="AB82:AB90" si="166">SUM(AC82,AF82,AI82,AL82,AO82,AR82,AU82,AX82,BA82,BD82,BG82,BJ82)</f>
        <v>0</v>
      </c>
      <c r="AC82" s="174">
        <f t="shared" si="154"/>
        <v>0</v>
      </c>
      <c r="AD82" s="174">
        <f>SUMIFS('1-2 人员岗位信息'!F:F,'1-2 人员岗位信息'!$C:$C,"专业外包",'1-2 人员岗位信息'!$B:$B,$D82)</f>
        <v>0</v>
      </c>
      <c r="AE82" s="298"/>
      <c r="AF82" s="174">
        <f t="shared" si="155"/>
        <v>0</v>
      </c>
      <c r="AG82" s="174">
        <f>SUMIFS('1-2 人员岗位信息'!G:G,'1-2 人员岗位信息'!$C:$C,"专业外包",'1-2 人员岗位信息'!$B:$B,$D82)</f>
        <v>0</v>
      </c>
      <c r="AH82" s="298"/>
      <c r="AI82" s="174">
        <f t="shared" si="156"/>
        <v>0</v>
      </c>
      <c r="AJ82" s="174">
        <f>SUMIFS('1-2 人员岗位信息'!H:H,'1-2 人员岗位信息'!$C:$C,"专业外包",'1-2 人员岗位信息'!$B:$B,$D82)</f>
        <v>0</v>
      </c>
      <c r="AK82" s="298"/>
      <c r="AL82" s="174">
        <f t="shared" si="157"/>
        <v>0</v>
      </c>
      <c r="AM82" s="174">
        <f>SUMIFS('1-2 人员岗位信息'!I:I,'1-2 人员岗位信息'!$C:$C,"专业外包",'1-2 人员岗位信息'!$B:$B,$D82)</f>
        <v>0</v>
      </c>
      <c r="AN82" s="298"/>
      <c r="AO82" s="174">
        <f t="shared" si="158"/>
        <v>0</v>
      </c>
      <c r="AP82" s="174">
        <f>SUMIFS('1-2 人员岗位信息'!J:J,'1-2 人员岗位信息'!$C:$C,"专业外包",'1-2 人员岗位信息'!$B:$B,$D82)</f>
        <v>0</v>
      </c>
      <c r="AQ82" s="298"/>
      <c r="AR82" s="174">
        <f t="shared" si="159"/>
        <v>0</v>
      </c>
      <c r="AS82" s="174">
        <f>SUMIFS('1-2 人员岗位信息'!K:K,'1-2 人员岗位信息'!$C:$C,"专业外包",'1-2 人员岗位信息'!$B:$B,$D82)</f>
        <v>0</v>
      </c>
      <c r="AT82" s="298"/>
      <c r="AU82" s="174">
        <f t="shared" si="160"/>
        <v>0</v>
      </c>
      <c r="AV82" s="174">
        <f>SUMIFS('1-2 人员岗位信息'!L:L,'1-2 人员岗位信息'!$C:$C,"专业外包",'1-2 人员岗位信息'!$B:$B,$D82)</f>
        <v>0</v>
      </c>
      <c r="AW82" s="298"/>
      <c r="AX82" s="174">
        <f t="shared" si="161"/>
        <v>0</v>
      </c>
      <c r="AY82" s="174">
        <f>SUMIFS('1-2 人员岗位信息'!M:M,'1-2 人员岗位信息'!$C:$C,"专业外包",'1-2 人员岗位信息'!$B:$B,$D82)</f>
        <v>0</v>
      </c>
      <c r="AZ82" s="298"/>
      <c r="BA82" s="174">
        <f t="shared" si="162"/>
        <v>0</v>
      </c>
      <c r="BB82" s="174">
        <f>SUMIFS('1-2 人员岗位信息'!N:N,'1-2 人员岗位信息'!$C:$C,"专业外包",'1-2 人员岗位信息'!$B:$B,$D82)</f>
        <v>0</v>
      </c>
      <c r="BC82" s="298"/>
      <c r="BD82" s="174">
        <f t="shared" si="163"/>
        <v>0</v>
      </c>
      <c r="BE82" s="174">
        <f>SUMIFS('1-2 人员岗位信息'!O:O,'1-2 人员岗位信息'!$C:$C,"专业外包",'1-2 人员岗位信息'!$B:$B,$D82)</f>
        <v>0</v>
      </c>
      <c r="BF82" s="298"/>
      <c r="BG82" s="174">
        <f t="shared" si="164"/>
        <v>0</v>
      </c>
      <c r="BH82" s="174">
        <f>SUMIFS('1-2 人员岗位信息'!P:P,'1-2 人员岗位信息'!$C:$C,"专业外包",'1-2 人员岗位信息'!$B:$B,$D82)</f>
        <v>0</v>
      </c>
      <c r="BI82" s="298"/>
      <c r="BJ82" s="174">
        <f t="shared" si="165"/>
        <v>0</v>
      </c>
      <c r="BK82" s="174">
        <f>SUMIFS('1-2 人员岗位信息'!Q:Q,'1-2 人员岗位信息'!$C:$C,"专业外包",'1-2 人员岗位信息'!$B:$B,$D82)</f>
        <v>0</v>
      </c>
      <c r="BL82" s="307"/>
      <c r="BM82" s="311"/>
      <c r="BN82" s="315"/>
    </row>
    <row r="83" s="263" customFormat="1" ht="33.95" hidden="1" customHeight="1" outlineLevel="5" spans="2:66">
      <c r="B83" s="174" t="s">
        <v>799</v>
      </c>
      <c r="C83" s="283" t="s">
        <v>930</v>
      </c>
      <c r="D83" s="263" t="s">
        <v>891</v>
      </c>
      <c r="E83" s="174" t="s">
        <v>892</v>
      </c>
      <c r="F83" s="174"/>
      <c r="G83" s="174" t="s">
        <v>803</v>
      </c>
      <c r="H83" s="174">
        <f t="shared" si="150"/>
        <v>0</v>
      </c>
      <c r="I83" s="174" t="s">
        <v>804</v>
      </c>
      <c r="J83" s="174" t="e">
        <f t="shared" si="151"/>
        <v>#DIV/0!</v>
      </c>
      <c r="K83" s="174" t="s">
        <v>805</v>
      </c>
      <c r="L83" s="174" t="e">
        <f t="shared" si="152"/>
        <v>#DIV/0!</v>
      </c>
      <c r="M83" s="174" t="s">
        <v>806</v>
      </c>
      <c r="N83" s="174">
        <f t="shared" si="153"/>
        <v>0</v>
      </c>
      <c r="O83" s="174"/>
      <c r="P83" s="290"/>
      <c r="Q83" s="290"/>
      <c r="R83" s="290"/>
      <c r="S83" s="290"/>
      <c r="T83" s="290"/>
      <c r="U83" s="290"/>
      <c r="V83" s="290"/>
      <c r="W83" s="290"/>
      <c r="X83" s="290"/>
      <c r="Y83" s="290"/>
      <c r="Z83" s="290"/>
      <c r="AA83" s="290"/>
      <c r="AB83" s="174">
        <f t="shared" si="166"/>
        <v>0</v>
      </c>
      <c r="AC83" s="174">
        <f t="shared" si="154"/>
        <v>0</v>
      </c>
      <c r="AD83" s="174">
        <f>SUMIFS('1-2 人员岗位信息'!F:F,'1-2 人员岗位信息'!$C:$C,"专业外包",'1-2 人员岗位信息'!$B:$B,$D83)</f>
        <v>0</v>
      </c>
      <c r="AE83" s="298"/>
      <c r="AF83" s="174">
        <f t="shared" si="155"/>
        <v>0</v>
      </c>
      <c r="AG83" s="174">
        <f>SUMIFS('1-2 人员岗位信息'!G:G,'1-2 人员岗位信息'!$C:$C,"专业外包",'1-2 人员岗位信息'!$B:$B,$D83)</f>
        <v>0</v>
      </c>
      <c r="AH83" s="298"/>
      <c r="AI83" s="174">
        <f t="shared" si="156"/>
        <v>0</v>
      </c>
      <c r="AJ83" s="174">
        <f>SUMIFS('1-2 人员岗位信息'!H:H,'1-2 人员岗位信息'!$C:$C,"专业外包",'1-2 人员岗位信息'!$B:$B,$D83)</f>
        <v>0</v>
      </c>
      <c r="AK83" s="298"/>
      <c r="AL83" s="174">
        <f t="shared" si="157"/>
        <v>0</v>
      </c>
      <c r="AM83" s="174">
        <f>SUMIFS('1-2 人员岗位信息'!I:I,'1-2 人员岗位信息'!$C:$C,"专业外包",'1-2 人员岗位信息'!$B:$B,$D83)</f>
        <v>0</v>
      </c>
      <c r="AN83" s="298"/>
      <c r="AO83" s="174">
        <f t="shared" si="158"/>
        <v>0</v>
      </c>
      <c r="AP83" s="174">
        <f>SUMIFS('1-2 人员岗位信息'!J:J,'1-2 人员岗位信息'!$C:$C,"专业外包",'1-2 人员岗位信息'!$B:$B,$D83)</f>
        <v>0</v>
      </c>
      <c r="AQ83" s="298"/>
      <c r="AR83" s="174">
        <f t="shared" si="159"/>
        <v>0</v>
      </c>
      <c r="AS83" s="174">
        <f>SUMIFS('1-2 人员岗位信息'!K:K,'1-2 人员岗位信息'!$C:$C,"专业外包",'1-2 人员岗位信息'!$B:$B,$D83)</f>
        <v>0</v>
      </c>
      <c r="AT83" s="298"/>
      <c r="AU83" s="174">
        <f t="shared" si="160"/>
        <v>0</v>
      </c>
      <c r="AV83" s="174">
        <f>SUMIFS('1-2 人员岗位信息'!L:L,'1-2 人员岗位信息'!$C:$C,"专业外包",'1-2 人员岗位信息'!$B:$B,$D83)</f>
        <v>0</v>
      </c>
      <c r="AW83" s="298"/>
      <c r="AX83" s="174">
        <f t="shared" si="161"/>
        <v>0</v>
      </c>
      <c r="AY83" s="174">
        <f>SUMIFS('1-2 人员岗位信息'!M:M,'1-2 人员岗位信息'!$C:$C,"专业外包",'1-2 人员岗位信息'!$B:$B,$D83)</f>
        <v>0</v>
      </c>
      <c r="AZ83" s="298"/>
      <c r="BA83" s="174">
        <f t="shared" si="162"/>
        <v>0</v>
      </c>
      <c r="BB83" s="174">
        <f>SUMIFS('1-2 人员岗位信息'!N:N,'1-2 人员岗位信息'!$C:$C,"专业外包",'1-2 人员岗位信息'!$B:$B,$D83)</f>
        <v>0</v>
      </c>
      <c r="BC83" s="298"/>
      <c r="BD83" s="174">
        <f t="shared" si="163"/>
        <v>0</v>
      </c>
      <c r="BE83" s="174">
        <f>SUMIFS('1-2 人员岗位信息'!O:O,'1-2 人员岗位信息'!$C:$C,"专业外包",'1-2 人员岗位信息'!$B:$B,$D83)</f>
        <v>0</v>
      </c>
      <c r="BF83" s="298"/>
      <c r="BG83" s="174">
        <f t="shared" si="164"/>
        <v>0</v>
      </c>
      <c r="BH83" s="174">
        <f>SUMIFS('1-2 人员岗位信息'!P:P,'1-2 人员岗位信息'!$C:$C,"专业外包",'1-2 人员岗位信息'!$B:$B,$D83)</f>
        <v>0</v>
      </c>
      <c r="BI83" s="298"/>
      <c r="BJ83" s="174">
        <f t="shared" si="165"/>
        <v>0</v>
      </c>
      <c r="BK83" s="174">
        <f>SUMIFS('1-2 人员岗位信息'!Q:Q,'1-2 人员岗位信息'!$C:$C,"专业外包",'1-2 人员岗位信息'!$B:$B,$D83)</f>
        <v>0</v>
      </c>
      <c r="BL83" s="307"/>
      <c r="BM83" s="311"/>
      <c r="BN83" s="315"/>
    </row>
    <row r="84" s="263" customFormat="1" ht="33.95" hidden="1" customHeight="1" outlineLevel="5" spans="2:66">
      <c r="B84" s="174" t="s">
        <v>799</v>
      </c>
      <c r="C84" s="283" t="s">
        <v>931</v>
      </c>
      <c r="D84" s="263" t="s">
        <v>894</v>
      </c>
      <c r="E84" s="174" t="s">
        <v>895</v>
      </c>
      <c r="F84" s="174"/>
      <c r="G84" s="174" t="s">
        <v>803</v>
      </c>
      <c r="H84" s="174">
        <f t="shared" si="150"/>
        <v>0</v>
      </c>
      <c r="I84" s="174" t="s">
        <v>804</v>
      </c>
      <c r="J84" s="174" t="e">
        <f t="shared" si="151"/>
        <v>#DIV/0!</v>
      </c>
      <c r="K84" s="174" t="s">
        <v>805</v>
      </c>
      <c r="L84" s="174" t="e">
        <f t="shared" si="152"/>
        <v>#DIV/0!</v>
      </c>
      <c r="M84" s="174" t="s">
        <v>806</v>
      </c>
      <c r="N84" s="174">
        <f t="shared" si="153"/>
        <v>0</v>
      </c>
      <c r="O84" s="174"/>
      <c r="P84" s="290"/>
      <c r="Q84" s="290"/>
      <c r="R84" s="290"/>
      <c r="S84" s="290"/>
      <c r="T84" s="290"/>
      <c r="U84" s="290"/>
      <c r="V84" s="290"/>
      <c r="W84" s="290"/>
      <c r="X84" s="290"/>
      <c r="Y84" s="290"/>
      <c r="Z84" s="290"/>
      <c r="AA84" s="290"/>
      <c r="AB84" s="174">
        <f t="shared" si="166"/>
        <v>0</v>
      </c>
      <c r="AC84" s="174">
        <f t="shared" si="154"/>
        <v>0</v>
      </c>
      <c r="AD84" s="174">
        <f>SUMIFS('1-2 人员岗位信息'!F:F,'1-2 人员岗位信息'!$C:$C,"专业外包",'1-2 人员岗位信息'!$B:$B,$D84)</f>
        <v>0</v>
      </c>
      <c r="AE84" s="298"/>
      <c r="AF84" s="174">
        <f t="shared" si="155"/>
        <v>0</v>
      </c>
      <c r="AG84" s="174">
        <f>SUMIFS('1-2 人员岗位信息'!G:G,'1-2 人员岗位信息'!$C:$C,"专业外包",'1-2 人员岗位信息'!$B:$B,$D84)</f>
        <v>0</v>
      </c>
      <c r="AH84" s="298"/>
      <c r="AI84" s="174">
        <f t="shared" si="156"/>
        <v>0</v>
      </c>
      <c r="AJ84" s="174">
        <f>SUMIFS('1-2 人员岗位信息'!H:H,'1-2 人员岗位信息'!$C:$C,"专业外包",'1-2 人员岗位信息'!$B:$B,$D84)</f>
        <v>0</v>
      </c>
      <c r="AK84" s="298"/>
      <c r="AL84" s="174">
        <f t="shared" si="157"/>
        <v>0</v>
      </c>
      <c r="AM84" s="174">
        <f>SUMIFS('1-2 人员岗位信息'!I:I,'1-2 人员岗位信息'!$C:$C,"专业外包",'1-2 人员岗位信息'!$B:$B,$D84)</f>
        <v>0</v>
      </c>
      <c r="AN84" s="298"/>
      <c r="AO84" s="174">
        <f t="shared" si="158"/>
        <v>0</v>
      </c>
      <c r="AP84" s="174">
        <f>SUMIFS('1-2 人员岗位信息'!J:J,'1-2 人员岗位信息'!$C:$C,"专业外包",'1-2 人员岗位信息'!$B:$B,$D84)</f>
        <v>0</v>
      </c>
      <c r="AQ84" s="298"/>
      <c r="AR84" s="174">
        <f t="shared" si="159"/>
        <v>0</v>
      </c>
      <c r="AS84" s="174">
        <f>SUMIFS('1-2 人员岗位信息'!K:K,'1-2 人员岗位信息'!$C:$C,"专业外包",'1-2 人员岗位信息'!$B:$B,$D84)</f>
        <v>0</v>
      </c>
      <c r="AT84" s="298"/>
      <c r="AU84" s="174">
        <f t="shared" si="160"/>
        <v>0</v>
      </c>
      <c r="AV84" s="174">
        <f>SUMIFS('1-2 人员岗位信息'!L:L,'1-2 人员岗位信息'!$C:$C,"专业外包",'1-2 人员岗位信息'!$B:$B,$D84)</f>
        <v>0</v>
      </c>
      <c r="AW84" s="298"/>
      <c r="AX84" s="174">
        <f t="shared" si="161"/>
        <v>0</v>
      </c>
      <c r="AY84" s="174">
        <f>SUMIFS('1-2 人员岗位信息'!M:M,'1-2 人员岗位信息'!$C:$C,"专业外包",'1-2 人员岗位信息'!$B:$B,$D84)</f>
        <v>0</v>
      </c>
      <c r="AZ84" s="298"/>
      <c r="BA84" s="174">
        <f t="shared" si="162"/>
        <v>0</v>
      </c>
      <c r="BB84" s="174">
        <f>SUMIFS('1-2 人员岗位信息'!N:N,'1-2 人员岗位信息'!$C:$C,"专业外包",'1-2 人员岗位信息'!$B:$B,$D84)</f>
        <v>0</v>
      </c>
      <c r="BC84" s="298"/>
      <c r="BD84" s="174">
        <f t="shared" si="163"/>
        <v>0</v>
      </c>
      <c r="BE84" s="174">
        <f>SUMIFS('1-2 人员岗位信息'!O:O,'1-2 人员岗位信息'!$C:$C,"专业外包",'1-2 人员岗位信息'!$B:$B,$D84)</f>
        <v>0</v>
      </c>
      <c r="BF84" s="298"/>
      <c r="BG84" s="174">
        <f t="shared" si="164"/>
        <v>0</v>
      </c>
      <c r="BH84" s="174">
        <f>SUMIFS('1-2 人员岗位信息'!P:P,'1-2 人员岗位信息'!$C:$C,"专业外包",'1-2 人员岗位信息'!$B:$B,$D84)</f>
        <v>0</v>
      </c>
      <c r="BI84" s="298"/>
      <c r="BJ84" s="174">
        <f t="shared" si="165"/>
        <v>0</v>
      </c>
      <c r="BK84" s="174">
        <f>SUMIFS('1-2 人员岗位信息'!Q:Q,'1-2 人员岗位信息'!$C:$C,"专业外包",'1-2 人员岗位信息'!$B:$B,$D84)</f>
        <v>0</v>
      </c>
      <c r="BL84" s="307"/>
      <c r="BM84" s="311"/>
      <c r="BN84" s="315"/>
    </row>
    <row r="85" s="263" customFormat="1" ht="33.95" hidden="1" customHeight="1" outlineLevel="5" spans="2:66">
      <c r="B85" s="174" t="s">
        <v>799</v>
      </c>
      <c r="C85" s="283" t="s">
        <v>932</v>
      </c>
      <c r="D85" s="263" t="s">
        <v>897</v>
      </c>
      <c r="E85" s="174" t="s">
        <v>898</v>
      </c>
      <c r="F85" s="174"/>
      <c r="G85" s="174" t="s">
        <v>803</v>
      </c>
      <c r="H85" s="174">
        <f t="shared" si="150"/>
        <v>0</v>
      </c>
      <c r="I85" s="174" t="s">
        <v>804</v>
      </c>
      <c r="J85" s="174" t="e">
        <f t="shared" si="151"/>
        <v>#DIV/0!</v>
      </c>
      <c r="K85" s="174" t="s">
        <v>805</v>
      </c>
      <c r="L85" s="174" t="e">
        <f t="shared" si="152"/>
        <v>#DIV/0!</v>
      </c>
      <c r="M85" s="174" t="s">
        <v>806</v>
      </c>
      <c r="N85" s="174">
        <f t="shared" si="153"/>
        <v>0</v>
      </c>
      <c r="O85" s="174"/>
      <c r="P85" s="290"/>
      <c r="Q85" s="290"/>
      <c r="R85" s="290"/>
      <c r="S85" s="290"/>
      <c r="T85" s="290"/>
      <c r="U85" s="290"/>
      <c r="V85" s="290"/>
      <c r="W85" s="290"/>
      <c r="X85" s="290"/>
      <c r="Y85" s="290"/>
      <c r="Z85" s="290"/>
      <c r="AA85" s="290"/>
      <c r="AB85" s="174">
        <f t="shared" si="166"/>
        <v>0</v>
      </c>
      <c r="AC85" s="174">
        <f t="shared" si="154"/>
        <v>0</v>
      </c>
      <c r="AD85" s="174">
        <f>SUMIFS('1-2 人员岗位信息'!F:F,'1-2 人员岗位信息'!$C:$C,"专业外包",'1-2 人员岗位信息'!$B:$B,$D85)</f>
        <v>0</v>
      </c>
      <c r="AE85" s="298"/>
      <c r="AF85" s="174">
        <f t="shared" si="155"/>
        <v>0</v>
      </c>
      <c r="AG85" s="174">
        <f>SUMIFS('1-2 人员岗位信息'!G:G,'1-2 人员岗位信息'!$C:$C,"专业外包",'1-2 人员岗位信息'!$B:$B,$D85)</f>
        <v>0</v>
      </c>
      <c r="AH85" s="298"/>
      <c r="AI85" s="174">
        <f t="shared" si="156"/>
        <v>0</v>
      </c>
      <c r="AJ85" s="174">
        <f>SUMIFS('1-2 人员岗位信息'!H:H,'1-2 人员岗位信息'!$C:$C,"专业外包",'1-2 人员岗位信息'!$B:$B,$D85)</f>
        <v>0</v>
      </c>
      <c r="AK85" s="298"/>
      <c r="AL85" s="174">
        <f t="shared" si="157"/>
        <v>0</v>
      </c>
      <c r="AM85" s="174">
        <f>SUMIFS('1-2 人员岗位信息'!I:I,'1-2 人员岗位信息'!$C:$C,"专业外包",'1-2 人员岗位信息'!$B:$B,$D85)</f>
        <v>0</v>
      </c>
      <c r="AN85" s="298"/>
      <c r="AO85" s="174">
        <f t="shared" si="158"/>
        <v>0</v>
      </c>
      <c r="AP85" s="174">
        <f>SUMIFS('1-2 人员岗位信息'!J:J,'1-2 人员岗位信息'!$C:$C,"专业外包",'1-2 人员岗位信息'!$B:$B,$D85)</f>
        <v>0</v>
      </c>
      <c r="AQ85" s="298"/>
      <c r="AR85" s="174">
        <f t="shared" si="159"/>
        <v>0</v>
      </c>
      <c r="AS85" s="174">
        <f>SUMIFS('1-2 人员岗位信息'!K:K,'1-2 人员岗位信息'!$C:$C,"专业外包",'1-2 人员岗位信息'!$B:$B,$D85)</f>
        <v>0</v>
      </c>
      <c r="AT85" s="298"/>
      <c r="AU85" s="174">
        <f t="shared" si="160"/>
        <v>0</v>
      </c>
      <c r="AV85" s="174">
        <f>SUMIFS('1-2 人员岗位信息'!L:L,'1-2 人员岗位信息'!$C:$C,"专业外包",'1-2 人员岗位信息'!$B:$B,$D85)</f>
        <v>0</v>
      </c>
      <c r="AW85" s="298"/>
      <c r="AX85" s="174">
        <f t="shared" si="161"/>
        <v>0</v>
      </c>
      <c r="AY85" s="174">
        <f>SUMIFS('1-2 人员岗位信息'!M:M,'1-2 人员岗位信息'!$C:$C,"专业外包",'1-2 人员岗位信息'!$B:$B,$D85)</f>
        <v>0</v>
      </c>
      <c r="AZ85" s="298"/>
      <c r="BA85" s="174">
        <f t="shared" si="162"/>
        <v>0</v>
      </c>
      <c r="BB85" s="174">
        <f>SUMIFS('1-2 人员岗位信息'!N:N,'1-2 人员岗位信息'!$C:$C,"专业外包",'1-2 人员岗位信息'!$B:$B,$D85)</f>
        <v>0</v>
      </c>
      <c r="BC85" s="298"/>
      <c r="BD85" s="174">
        <f t="shared" si="163"/>
        <v>0</v>
      </c>
      <c r="BE85" s="174">
        <f>SUMIFS('1-2 人员岗位信息'!O:O,'1-2 人员岗位信息'!$C:$C,"专业外包",'1-2 人员岗位信息'!$B:$B,$D85)</f>
        <v>0</v>
      </c>
      <c r="BF85" s="298"/>
      <c r="BG85" s="174">
        <f t="shared" si="164"/>
        <v>0</v>
      </c>
      <c r="BH85" s="174">
        <f>SUMIFS('1-2 人员岗位信息'!P:P,'1-2 人员岗位信息'!$C:$C,"专业外包",'1-2 人员岗位信息'!$B:$B,$D85)</f>
        <v>0</v>
      </c>
      <c r="BI85" s="298"/>
      <c r="BJ85" s="174">
        <f t="shared" si="165"/>
        <v>0</v>
      </c>
      <c r="BK85" s="174">
        <f>SUMIFS('1-2 人员岗位信息'!Q:Q,'1-2 人员岗位信息'!$C:$C,"专业外包",'1-2 人员岗位信息'!$B:$B,$D85)</f>
        <v>0</v>
      </c>
      <c r="BL85" s="307"/>
      <c r="BM85" s="311"/>
      <c r="BN85" s="315"/>
    </row>
    <row r="86" s="263" customFormat="1" ht="33.95" hidden="1" customHeight="1" outlineLevel="5" spans="2:66">
      <c r="B86" s="174" t="s">
        <v>799</v>
      </c>
      <c r="C86" s="283" t="s">
        <v>933</v>
      </c>
      <c r="D86" s="263" t="s">
        <v>900</v>
      </c>
      <c r="E86" s="174" t="s">
        <v>901</v>
      </c>
      <c r="F86" s="174"/>
      <c r="G86" s="174" t="s">
        <v>803</v>
      </c>
      <c r="H86" s="174">
        <f t="shared" si="150"/>
        <v>0</v>
      </c>
      <c r="I86" s="174" t="s">
        <v>804</v>
      </c>
      <c r="J86" s="174" t="e">
        <f t="shared" si="151"/>
        <v>#DIV/0!</v>
      </c>
      <c r="K86" s="174" t="s">
        <v>805</v>
      </c>
      <c r="L86" s="174" t="e">
        <f t="shared" si="152"/>
        <v>#DIV/0!</v>
      </c>
      <c r="M86" s="174" t="s">
        <v>806</v>
      </c>
      <c r="N86" s="174">
        <f t="shared" si="153"/>
        <v>0</v>
      </c>
      <c r="O86" s="174"/>
      <c r="P86" s="290"/>
      <c r="Q86" s="290"/>
      <c r="R86" s="290"/>
      <c r="S86" s="290"/>
      <c r="T86" s="290"/>
      <c r="U86" s="290"/>
      <c r="V86" s="290"/>
      <c r="W86" s="290"/>
      <c r="X86" s="290"/>
      <c r="Y86" s="290"/>
      <c r="Z86" s="290"/>
      <c r="AA86" s="290"/>
      <c r="AB86" s="174">
        <f t="shared" si="166"/>
        <v>0</v>
      </c>
      <c r="AC86" s="174">
        <f t="shared" si="154"/>
        <v>0</v>
      </c>
      <c r="AD86" s="174">
        <f>SUMIFS('1-2 人员岗位信息'!F:F,'1-2 人员岗位信息'!$C:$C,"专业外包",'1-2 人员岗位信息'!$B:$B,$D86)</f>
        <v>0</v>
      </c>
      <c r="AE86" s="298"/>
      <c r="AF86" s="174">
        <f t="shared" si="155"/>
        <v>0</v>
      </c>
      <c r="AG86" s="174">
        <f>SUMIFS('1-2 人员岗位信息'!G:G,'1-2 人员岗位信息'!$C:$C,"专业外包",'1-2 人员岗位信息'!$B:$B,$D86)</f>
        <v>0</v>
      </c>
      <c r="AH86" s="298"/>
      <c r="AI86" s="174">
        <f t="shared" si="156"/>
        <v>0</v>
      </c>
      <c r="AJ86" s="174">
        <f>SUMIFS('1-2 人员岗位信息'!H:H,'1-2 人员岗位信息'!$C:$C,"专业外包",'1-2 人员岗位信息'!$B:$B,$D86)</f>
        <v>0</v>
      </c>
      <c r="AK86" s="298"/>
      <c r="AL86" s="174">
        <f t="shared" si="157"/>
        <v>0</v>
      </c>
      <c r="AM86" s="174">
        <f>SUMIFS('1-2 人员岗位信息'!I:I,'1-2 人员岗位信息'!$C:$C,"专业外包",'1-2 人员岗位信息'!$B:$B,$D86)</f>
        <v>0</v>
      </c>
      <c r="AN86" s="298"/>
      <c r="AO86" s="174">
        <f t="shared" si="158"/>
        <v>0</v>
      </c>
      <c r="AP86" s="174">
        <f>SUMIFS('1-2 人员岗位信息'!J:J,'1-2 人员岗位信息'!$C:$C,"专业外包",'1-2 人员岗位信息'!$B:$B,$D86)</f>
        <v>0</v>
      </c>
      <c r="AQ86" s="298"/>
      <c r="AR86" s="174">
        <f t="shared" si="159"/>
        <v>0</v>
      </c>
      <c r="AS86" s="174">
        <f>SUMIFS('1-2 人员岗位信息'!K:K,'1-2 人员岗位信息'!$C:$C,"专业外包",'1-2 人员岗位信息'!$B:$B,$D86)</f>
        <v>0</v>
      </c>
      <c r="AT86" s="298"/>
      <c r="AU86" s="174">
        <f t="shared" si="160"/>
        <v>0</v>
      </c>
      <c r="AV86" s="174">
        <f>SUMIFS('1-2 人员岗位信息'!L:L,'1-2 人员岗位信息'!$C:$C,"专业外包",'1-2 人员岗位信息'!$B:$B,$D86)</f>
        <v>0</v>
      </c>
      <c r="AW86" s="298"/>
      <c r="AX86" s="174">
        <f t="shared" si="161"/>
        <v>0</v>
      </c>
      <c r="AY86" s="174">
        <f>SUMIFS('1-2 人员岗位信息'!M:M,'1-2 人员岗位信息'!$C:$C,"专业外包",'1-2 人员岗位信息'!$B:$B,$D86)</f>
        <v>0</v>
      </c>
      <c r="AZ86" s="298"/>
      <c r="BA86" s="174">
        <f t="shared" si="162"/>
        <v>0</v>
      </c>
      <c r="BB86" s="174">
        <f>SUMIFS('1-2 人员岗位信息'!N:N,'1-2 人员岗位信息'!$C:$C,"专业外包",'1-2 人员岗位信息'!$B:$B,$D86)</f>
        <v>0</v>
      </c>
      <c r="BC86" s="298"/>
      <c r="BD86" s="174">
        <f t="shared" si="163"/>
        <v>0</v>
      </c>
      <c r="BE86" s="174">
        <f>SUMIFS('1-2 人员岗位信息'!O:O,'1-2 人员岗位信息'!$C:$C,"专业外包",'1-2 人员岗位信息'!$B:$B,$D86)</f>
        <v>0</v>
      </c>
      <c r="BF86" s="298"/>
      <c r="BG86" s="174">
        <f t="shared" si="164"/>
        <v>0</v>
      </c>
      <c r="BH86" s="174">
        <f>SUMIFS('1-2 人员岗位信息'!P:P,'1-2 人员岗位信息'!$C:$C,"专业外包",'1-2 人员岗位信息'!$B:$B,$D86)</f>
        <v>0</v>
      </c>
      <c r="BI86" s="298"/>
      <c r="BJ86" s="174">
        <f t="shared" si="165"/>
        <v>0</v>
      </c>
      <c r="BK86" s="174">
        <f>SUMIFS('1-2 人员岗位信息'!Q:Q,'1-2 人员岗位信息'!$C:$C,"专业外包",'1-2 人员岗位信息'!$B:$B,$D86)</f>
        <v>0</v>
      </c>
      <c r="BL86" s="307"/>
      <c r="BM86" s="311"/>
      <c r="BN86" s="315"/>
    </row>
    <row r="87" s="263" customFormat="1" ht="33.95" hidden="1" customHeight="1" outlineLevel="5" spans="2:66">
      <c r="B87" s="174" t="s">
        <v>799</v>
      </c>
      <c r="C87" s="283" t="s">
        <v>934</v>
      </c>
      <c r="D87" s="263" t="s">
        <v>903</v>
      </c>
      <c r="E87" s="174" t="s">
        <v>904</v>
      </c>
      <c r="F87" s="174"/>
      <c r="G87" s="174" t="s">
        <v>803</v>
      </c>
      <c r="H87" s="174">
        <f t="shared" si="150"/>
        <v>0</v>
      </c>
      <c r="I87" s="174" t="s">
        <v>804</v>
      </c>
      <c r="J87" s="174" t="e">
        <f t="shared" si="151"/>
        <v>#DIV/0!</v>
      </c>
      <c r="K87" s="174" t="s">
        <v>805</v>
      </c>
      <c r="L87" s="174" t="e">
        <f t="shared" si="152"/>
        <v>#DIV/0!</v>
      </c>
      <c r="M87" s="174" t="s">
        <v>806</v>
      </c>
      <c r="N87" s="174">
        <f t="shared" si="153"/>
        <v>0</v>
      </c>
      <c r="O87" s="174"/>
      <c r="P87" s="290"/>
      <c r="Q87" s="290"/>
      <c r="R87" s="290"/>
      <c r="S87" s="290"/>
      <c r="T87" s="290"/>
      <c r="U87" s="290"/>
      <c r="V87" s="290"/>
      <c r="W87" s="290"/>
      <c r="X87" s="290"/>
      <c r="Y87" s="290"/>
      <c r="Z87" s="290"/>
      <c r="AA87" s="290"/>
      <c r="AB87" s="174">
        <f t="shared" si="166"/>
        <v>0</v>
      </c>
      <c r="AC87" s="174">
        <f t="shared" si="154"/>
        <v>0</v>
      </c>
      <c r="AD87" s="174">
        <f>SUMIFS('1-2 人员岗位信息'!F:F,'1-2 人员岗位信息'!$C:$C,"专业外包",'1-2 人员岗位信息'!$B:$B,$D87)</f>
        <v>0</v>
      </c>
      <c r="AE87" s="298"/>
      <c r="AF87" s="174">
        <f t="shared" si="155"/>
        <v>0</v>
      </c>
      <c r="AG87" s="174">
        <f>SUMIFS('1-2 人员岗位信息'!G:G,'1-2 人员岗位信息'!$C:$C,"专业外包",'1-2 人员岗位信息'!$B:$B,$D87)</f>
        <v>0</v>
      </c>
      <c r="AH87" s="298"/>
      <c r="AI87" s="174">
        <f t="shared" si="156"/>
        <v>0</v>
      </c>
      <c r="AJ87" s="174">
        <f>SUMIFS('1-2 人员岗位信息'!H:H,'1-2 人员岗位信息'!$C:$C,"专业外包",'1-2 人员岗位信息'!$B:$B,$D87)</f>
        <v>0</v>
      </c>
      <c r="AK87" s="298"/>
      <c r="AL87" s="174">
        <f t="shared" si="157"/>
        <v>0</v>
      </c>
      <c r="AM87" s="174">
        <f>SUMIFS('1-2 人员岗位信息'!I:I,'1-2 人员岗位信息'!$C:$C,"专业外包",'1-2 人员岗位信息'!$B:$B,$D87)</f>
        <v>0</v>
      </c>
      <c r="AN87" s="298"/>
      <c r="AO87" s="174">
        <f t="shared" si="158"/>
        <v>0</v>
      </c>
      <c r="AP87" s="174">
        <f>SUMIFS('1-2 人员岗位信息'!J:J,'1-2 人员岗位信息'!$C:$C,"专业外包",'1-2 人员岗位信息'!$B:$B,$D87)</f>
        <v>0</v>
      </c>
      <c r="AQ87" s="298"/>
      <c r="AR87" s="174">
        <f t="shared" si="159"/>
        <v>0</v>
      </c>
      <c r="AS87" s="174">
        <f>SUMIFS('1-2 人员岗位信息'!K:K,'1-2 人员岗位信息'!$C:$C,"专业外包",'1-2 人员岗位信息'!$B:$B,$D87)</f>
        <v>0</v>
      </c>
      <c r="AT87" s="298"/>
      <c r="AU87" s="174">
        <f t="shared" si="160"/>
        <v>0</v>
      </c>
      <c r="AV87" s="174">
        <f>SUMIFS('1-2 人员岗位信息'!L:L,'1-2 人员岗位信息'!$C:$C,"专业外包",'1-2 人员岗位信息'!$B:$B,$D87)</f>
        <v>0</v>
      </c>
      <c r="AW87" s="298"/>
      <c r="AX87" s="174">
        <f t="shared" si="161"/>
        <v>0</v>
      </c>
      <c r="AY87" s="174">
        <f>SUMIFS('1-2 人员岗位信息'!M:M,'1-2 人员岗位信息'!$C:$C,"专业外包",'1-2 人员岗位信息'!$B:$B,$D87)</f>
        <v>0</v>
      </c>
      <c r="AZ87" s="298"/>
      <c r="BA87" s="174">
        <f t="shared" si="162"/>
        <v>0</v>
      </c>
      <c r="BB87" s="174">
        <f>SUMIFS('1-2 人员岗位信息'!N:N,'1-2 人员岗位信息'!$C:$C,"专业外包",'1-2 人员岗位信息'!$B:$B,$D87)</f>
        <v>0</v>
      </c>
      <c r="BC87" s="298"/>
      <c r="BD87" s="174">
        <f t="shared" si="163"/>
        <v>0</v>
      </c>
      <c r="BE87" s="174">
        <f>SUMIFS('1-2 人员岗位信息'!O:O,'1-2 人员岗位信息'!$C:$C,"专业外包",'1-2 人员岗位信息'!$B:$B,$D87)</f>
        <v>0</v>
      </c>
      <c r="BF87" s="298"/>
      <c r="BG87" s="174">
        <f t="shared" si="164"/>
        <v>0</v>
      </c>
      <c r="BH87" s="174">
        <f>SUMIFS('1-2 人员岗位信息'!P:P,'1-2 人员岗位信息'!$C:$C,"专业外包",'1-2 人员岗位信息'!$B:$B,$D87)</f>
        <v>0</v>
      </c>
      <c r="BI87" s="298"/>
      <c r="BJ87" s="174">
        <f t="shared" si="165"/>
        <v>0</v>
      </c>
      <c r="BK87" s="174">
        <f>SUMIFS('1-2 人员岗位信息'!Q:Q,'1-2 人员岗位信息'!$C:$C,"专业外包",'1-2 人员岗位信息'!$B:$B,$D87)</f>
        <v>0</v>
      </c>
      <c r="BL87" s="307"/>
      <c r="BM87" s="311"/>
      <c r="BN87" s="315"/>
    </row>
    <row r="88" s="263" customFormat="1" ht="33.95" hidden="1" customHeight="1" outlineLevel="5" spans="2:66">
      <c r="B88" s="174" t="s">
        <v>799</v>
      </c>
      <c r="C88" s="283" t="s">
        <v>935</v>
      </c>
      <c r="D88" s="263" t="s">
        <v>906</v>
      </c>
      <c r="E88" s="174" t="s">
        <v>907</v>
      </c>
      <c r="F88" s="174"/>
      <c r="G88" s="174" t="s">
        <v>803</v>
      </c>
      <c r="H88" s="174">
        <f t="shared" si="150"/>
        <v>0</v>
      </c>
      <c r="I88" s="174" t="s">
        <v>804</v>
      </c>
      <c r="J88" s="174" t="e">
        <f t="shared" si="151"/>
        <v>#DIV/0!</v>
      </c>
      <c r="K88" s="174" t="s">
        <v>805</v>
      </c>
      <c r="L88" s="174" t="e">
        <f t="shared" si="152"/>
        <v>#DIV/0!</v>
      </c>
      <c r="M88" s="174" t="s">
        <v>806</v>
      </c>
      <c r="N88" s="174">
        <f t="shared" si="153"/>
        <v>0</v>
      </c>
      <c r="O88" s="174"/>
      <c r="P88" s="290"/>
      <c r="Q88" s="290"/>
      <c r="R88" s="290"/>
      <c r="S88" s="290"/>
      <c r="T88" s="290"/>
      <c r="U88" s="290"/>
      <c r="V88" s="290"/>
      <c r="W88" s="290"/>
      <c r="X88" s="290"/>
      <c r="Y88" s="290"/>
      <c r="Z88" s="290"/>
      <c r="AA88" s="290"/>
      <c r="AB88" s="174">
        <f t="shared" si="166"/>
        <v>0</v>
      </c>
      <c r="AC88" s="174">
        <f t="shared" si="154"/>
        <v>0</v>
      </c>
      <c r="AD88" s="174">
        <f>SUMIFS('1-2 人员岗位信息'!F:F,'1-2 人员岗位信息'!$C:$C,"专业外包",'1-2 人员岗位信息'!$B:$B,$D88)</f>
        <v>0</v>
      </c>
      <c r="AE88" s="298"/>
      <c r="AF88" s="174">
        <f t="shared" si="155"/>
        <v>0</v>
      </c>
      <c r="AG88" s="174">
        <f>SUMIFS('1-2 人员岗位信息'!G:G,'1-2 人员岗位信息'!$C:$C,"专业外包",'1-2 人员岗位信息'!$B:$B,$D88)</f>
        <v>0</v>
      </c>
      <c r="AH88" s="298"/>
      <c r="AI88" s="174">
        <f t="shared" si="156"/>
        <v>0</v>
      </c>
      <c r="AJ88" s="174">
        <f>SUMIFS('1-2 人员岗位信息'!H:H,'1-2 人员岗位信息'!$C:$C,"专业外包",'1-2 人员岗位信息'!$B:$B,$D88)</f>
        <v>0</v>
      </c>
      <c r="AK88" s="298"/>
      <c r="AL88" s="174">
        <f t="shared" si="157"/>
        <v>0</v>
      </c>
      <c r="AM88" s="174">
        <f>SUMIFS('1-2 人员岗位信息'!I:I,'1-2 人员岗位信息'!$C:$C,"专业外包",'1-2 人员岗位信息'!$B:$B,$D88)</f>
        <v>0</v>
      </c>
      <c r="AN88" s="298"/>
      <c r="AO88" s="174">
        <f t="shared" si="158"/>
        <v>0</v>
      </c>
      <c r="AP88" s="174">
        <f>SUMIFS('1-2 人员岗位信息'!J:J,'1-2 人员岗位信息'!$C:$C,"专业外包",'1-2 人员岗位信息'!$B:$B,$D88)</f>
        <v>0</v>
      </c>
      <c r="AQ88" s="298"/>
      <c r="AR88" s="174">
        <f t="shared" si="159"/>
        <v>0</v>
      </c>
      <c r="AS88" s="174">
        <f>SUMIFS('1-2 人员岗位信息'!K:K,'1-2 人员岗位信息'!$C:$C,"专业外包",'1-2 人员岗位信息'!$B:$B,$D88)</f>
        <v>0</v>
      </c>
      <c r="AT88" s="298"/>
      <c r="AU88" s="174">
        <f t="shared" si="160"/>
        <v>0</v>
      </c>
      <c r="AV88" s="174">
        <f>SUMIFS('1-2 人员岗位信息'!L:L,'1-2 人员岗位信息'!$C:$C,"专业外包",'1-2 人员岗位信息'!$B:$B,$D88)</f>
        <v>0</v>
      </c>
      <c r="AW88" s="298"/>
      <c r="AX88" s="174">
        <f t="shared" si="161"/>
        <v>0</v>
      </c>
      <c r="AY88" s="174">
        <f>SUMIFS('1-2 人员岗位信息'!M:M,'1-2 人员岗位信息'!$C:$C,"专业外包",'1-2 人员岗位信息'!$B:$B,$D88)</f>
        <v>0</v>
      </c>
      <c r="AZ88" s="298"/>
      <c r="BA88" s="174">
        <f t="shared" si="162"/>
        <v>0</v>
      </c>
      <c r="BB88" s="174">
        <f>SUMIFS('1-2 人员岗位信息'!N:N,'1-2 人员岗位信息'!$C:$C,"专业外包",'1-2 人员岗位信息'!$B:$B,$D88)</f>
        <v>0</v>
      </c>
      <c r="BC88" s="298"/>
      <c r="BD88" s="174">
        <f t="shared" si="163"/>
        <v>0</v>
      </c>
      <c r="BE88" s="174">
        <f>SUMIFS('1-2 人员岗位信息'!O:O,'1-2 人员岗位信息'!$C:$C,"专业外包",'1-2 人员岗位信息'!$B:$B,$D88)</f>
        <v>0</v>
      </c>
      <c r="BF88" s="298"/>
      <c r="BG88" s="174">
        <f t="shared" si="164"/>
        <v>0</v>
      </c>
      <c r="BH88" s="174">
        <f>SUMIFS('1-2 人员岗位信息'!P:P,'1-2 人员岗位信息'!$C:$C,"专业外包",'1-2 人员岗位信息'!$B:$B,$D88)</f>
        <v>0</v>
      </c>
      <c r="BI88" s="298"/>
      <c r="BJ88" s="174">
        <f t="shared" si="165"/>
        <v>0</v>
      </c>
      <c r="BK88" s="174">
        <f>SUMIFS('1-2 人员岗位信息'!Q:Q,'1-2 人员岗位信息'!$C:$C,"专业外包",'1-2 人员岗位信息'!$B:$B,$D88)</f>
        <v>0</v>
      </c>
      <c r="BL88" s="307"/>
      <c r="BM88" s="311"/>
      <c r="BN88" s="315"/>
    </row>
    <row r="89" s="263" customFormat="1" ht="33.95" hidden="1" customHeight="1" outlineLevel="5" spans="2:66">
      <c r="B89" s="174" t="s">
        <v>799</v>
      </c>
      <c r="C89" s="283" t="s">
        <v>936</v>
      </c>
      <c r="D89" s="263" t="s">
        <v>909</v>
      </c>
      <c r="E89" s="174" t="s">
        <v>910</v>
      </c>
      <c r="F89" s="174"/>
      <c r="G89" s="174" t="s">
        <v>803</v>
      </c>
      <c r="H89" s="174">
        <f t="shared" si="150"/>
        <v>0</v>
      </c>
      <c r="I89" s="174" t="s">
        <v>804</v>
      </c>
      <c r="J89" s="174" t="e">
        <f t="shared" si="151"/>
        <v>#DIV/0!</v>
      </c>
      <c r="K89" s="174" t="s">
        <v>805</v>
      </c>
      <c r="L89" s="174" t="e">
        <f t="shared" si="152"/>
        <v>#DIV/0!</v>
      </c>
      <c r="M89" s="174" t="s">
        <v>806</v>
      </c>
      <c r="N89" s="174">
        <f t="shared" si="153"/>
        <v>0</v>
      </c>
      <c r="O89" s="174"/>
      <c r="P89" s="290"/>
      <c r="Q89" s="290"/>
      <c r="R89" s="290"/>
      <c r="S89" s="290"/>
      <c r="T89" s="290"/>
      <c r="U89" s="290"/>
      <c r="V89" s="290"/>
      <c r="W89" s="290"/>
      <c r="X89" s="290"/>
      <c r="Y89" s="290"/>
      <c r="Z89" s="290"/>
      <c r="AA89" s="290"/>
      <c r="AB89" s="174">
        <f t="shared" si="166"/>
        <v>0</v>
      </c>
      <c r="AC89" s="174">
        <f t="shared" si="154"/>
        <v>0</v>
      </c>
      <c r="AD89" s="174">
        <f>SUMIFS('1-2 人员岗位信息'!F:F,'1-2 人员岗位信息'!$C:$C,"专业外包",'1-2 人员岗位信息'!$B:$B,$D89)</f>
        <v>0</v>
      </c>
      <c r="AE89" s="298"/>
      <c r="AF89" s="174">
        <f t="shared" si="155"/>
        <v>0</v>
      </c>
      <c r="AG89" s="174">
        <f>SUMIFS('1-2 人员岗位信息'!G:G,'1-2 人员岗位信息'!$C:$C,"专业外包",'1-2 人员岗位信息'!$B:$B,$D89)</f>
        <v>0</v>
      </c>
      <c r="AH89" s="298"/>
      <c r="AI89" s="174">
        <f t="shared" si="156"/>
        <v>0</v>
      </c>
      <c r="AJ89" s="174">
        <f>SUMIFS('1-2 人员岗位信息'!H:H,'1-2 人员岗位信息'!$C:$C,"专业外包",'1-2 人员岗位信息'!$B:$B,$D89)</f>
        <v>0</v>
      </c>
      <c r="AK89" s="298"/>
      <c r="AL89" s="174">
        <f t="shared" si="157"/>
        <v>0</v>
      </c>
      <c r="AM89" s="174">
        <f>SUMIFS('1-2 人员岗位信息'!I:I,'1-2 人员岗位信息'!$C:$C,"专业外包",'1-2 人员岗位信息'!$B:$B,$D89)</f>
        <v>0</v>
      </c>
      <c r="AN89" s="298"/>
      <c r="AO89" s="174">
        <f t="shared" si="158"/>
        <v>0</v>
      </c>
      <c r="AP89" s="174">
        <f>SUMIFS('1-2 人员岗位信息'!J:J,'1-2 人员岗位信息'!$C:$C,"专业外包",'1-2 人员岗位信息'!$B:$B,$D89)</f>
        <v>0</v>
      </c>
      <c r="AQ89" s="298"/>
      <c r="AR89" s="174">
        <f t="shared" si="159"/>
        <v>0</v>
      </c>
      <c r="AS89" s="174">
        <f>SUMIFS('1-2 人员岗位信息'!K:K,'1-2 人员岗位信息'!$C:$C,"专业外包",'1-2 人员岗位信息'!$B:$B,$D89)</f>
        <v>0</v>
      </c>
      <c r="AT89" s="298"/>
      <c r="AU89" s="174">
        <f t="shared" si="160"/>
        <v>0</v>
      </c>
      <c r="AV89" s="174">
        <f>SUMIFS('1-2 人员岗位信息'!L:L,'1-2 人员岗位信息'!$C:$C,"专业外包",'1-2 人员岗位信息'!$B:$B,$D89)</f>
        <v>0</v>
      </c>
      <c r="AW89" s="298"/>
      <c r="AX89" s="174">
        <f t="shared" si="161"/>
        <v>0</v>
      </c>
      <c r="AY89" s="174">
        <f>SUMIFS('1-2 人员岗位信息'!M:M,'1-2 人员岗位信息'!$C:$C,"专业外包",'1-2 人员岗位信息'!$B:$B,$D89)</f>
        <v>0</v>
      </c>
      <c r="AZ89" s="298"/>
      <c r="BA89" s="174">
        <f t="shared" si="162"/>
        <v>0</v>
      </c>
      <c r="BB89" s="174">
        <f>SUMIFS('1-2 人员岗位信息'!N:N,'1-2 人员岗位信息'!$C:$C,"专业外包",'1-2 人员岗位信息'!$B:$B,$D89)</f>
        <v>0</v>
      </c>
      <c r="BC89" s="298"/>
      <c r="BD89" s="174">
        <f t="shared" si="163"/>
        <v>0</v>
      </c>
      <c r="BE89" s="174">
        <f>SUMIFS('1-2 人员岗位信息'!O:O,'1-2 人员岗位信息'!$C:$C,"专业外包",'1-2 人员岗位信息'!$B:$B,$D89)</f>
        <v>0</v>
      </c>
      <c r="BF89" s="298"/>
      <c r="BG89" s="174">
        <f t="shared" si="164"/>
        <v>0</v>
      </c>
      <c r="BH89" s="174">
        <f>SUMIFS('1-2 人员岗位信息'!P:P,'1-2 人员岗位信息'!$C:$C,"专业外包",'1-2 人员岗位信息'!$B:$B,$D89)</f>
        <v>0</v>
      </c>
      <c r="BI89" s="298"/>
      <c r="BJ89" s="174">
        <f t="shared" si="165"/>
        <v>0</v>
      </c>
      <c r="BK89" s="174">
        <f>SUMIFS('1-2 人员岗位信息'!Q:Q,'1-2 人员岗位信息'!$C:$C,"专业外包",'1-2 人员岗位信息'!$B:$B,$D89)</f>
        <v>0</v>
      </c>
      <c r="BL89" s="307"/>
      <c r="BM89" s="311"/>
      <c r="BN89" s="315"/>
    </row>
    <row r="90" s="263" customFormat="1" ht="33.95" hidden="1" customHeight="1" outlineLevel="5" spans="2:66">
      <c r="B90" s="174" t="s">
        <v>799</v>
      </c>
      <c r="C90" s="283" t="s">
        <v>937</v>
      </c>
      <c r="D90" s="263" t="s">
        <v>912</v>
      </c>
      <c r="E90" s="174" t="s">
        <v>925</v>
      </c>
      <c r="F90" s="174"/>
      <c r="G90" s="174" t="s">
        <v>803</v>
      </c>
      <c r="H90" s="174">
        <f t="shared" si="150"/>
        <v>0</v>
      </c>
      <c r="I90" s="174" t="s">
        <v>804</v>
      </c>
      <c r="J90" s="174" t="e">
        <f t="shared" si="151"/>
        <v>#DIV/0!</v>
      </c>
      <c r="K90" s="174" t="s">
        <v>805</v>
      </c>
      <c r="L90" s="174" t="e">
        <f t="shared" si="152"/>
        <v>#DIV/0!</v>
      </c>
      <c r="M90" s="174" t="s">
        <v>806</v>
      </c>
      <c r="N90" s="174">
        <f t="shared" si="153"/>
        <v>0</v>
      </c>
      <c r="O90" s="174"/>
      <c r="P90" s="290"/>
      <c r="Q90" s="290"/>
      <c r="R90" s="290"/>
      <c r="S90" s="290"/>
      <c r="T90" s="290"/>
      <c r="U90" s="290"/>
      <c r="V90" s="290"/>
      <c r="W90" s="290"/>
      <c r="X90" s="290"/>
      <c r="Y90" s="290"/>
      <c r="Z90" s="290"/>
      <c r="AA90" s="290"/>
      <c r="AB90" s="174">
        <f t="shared" si="166"/>
        <v>0</v>
      </c>
      <c r="AC90" s="174">
        <f t="shared" si="154"/>
        <v>0</v>
      </c>
      <c r="AD90" s="174">
        <f>SUMIFS('1-2 人员岗位信息'!F:F,'1-2 人员岗位信息'!$C:$C,"专业外包",'1-2 人员岗位信息'!$B:$B,$D90)</f>
        <v>0</v>
      </c>
      <c r="AE90" s="298"/>
      <c r="AF90" s="174">
        <f t="shared" si="155"/>
        <v>0</v>
      </c>
      <c r="AG90" s="174">
        <f>SUMIFS('1-2 人员岗位信息'!G:G,'1-2 人员岗位信息'!$C:$C,"专业外包",'1-2 人员岗位信息'!$B:$B,$D90)</f>
        <v>0</v>
      </c>
      <c r="AH90" s="298"/>
      <c r="AI90" s="174">
        <f t="shared" si="156"/>
        <v>0</v>
      </c>
      <c r="AJ90" s="174">
        <f>SUMIFS('1-2 人员岗位信息'!H:H,'1-2 人员岗位信息'!$C:$C,"专业外包",'1-2 人员岗位信息'!$B:$B,$D90)</f>
        <v>0</v>
      </c>
      <c r="AK90" s="298"/>
      <c r="AL90" s="174">
        <f t="shared" si="157"/>
        <v>0</v>
      </c>
      <c r="AM90" s="174">
        <f>SUMIFS('1-2 人员岗位信息'!I:I,'1-2 人员岗位信息'!$C:$C,"专业外包",'1-2 人员岗位信息'!$B:$B,$D90)</f>
        <v>0</v>
      </c>
      <c r="AN90" s="298"/>
      <c r="AO90" s="174">
        <f t="shared" si="158"/>
        <v>0</v>
      </c>
      <c r="AP90" s="174">
        <f>SUMIFS('1-2 人员岗位信息'!J:J,'1-2 人员岗位信息'!$C:$C,"专业外包",'1-2 人员岗位信息'!$B:$B,$D90)</f>
        <v>0</v>
      </c>
      <c r="AQ90" s="298"/>
      <c r="AR90" s="174">
        <f t="shared" si="159"/>
        <v>0</v>
      </c>
      <c r="AS90" s="174">
        <f>SUMIFS('1-2 人员岗位信息'!K:K,'1-2 人员岗位信息'!$C:$C,"专业外包",'1-2 人员岗位信息'!$B:$B,$D90)</f>
        <v>0</v>
      </c>
      <c r="AT90" s="298"/>
      <c r="AU90" s="174">
        <f t="shared" si="160"/>
        <v>0</v>
      </c>
      <c r="AV90" s="174">
        <f>SUMIFS('1-2 人员岗位信息'!L:L,'1-2 人员岗位信息'!$C:$C,"专业外包",'1-2 人员岗位信息'!$B:$B,$D90)</f>
        <v>0</v>
      </c>
      <c r="AW90" s="298"/>
      <c r="AX90" s="174">
        <f t="shared" si="161"/>
        <v>0</v>
      </c>
      <c r="AY90" s="174">
        <f>SUMIFS('1-2 人员岗位信息'!M:M,'1-2 人员岗位信息'!$C:$C,"专业外包",'1-2 人员岗位信息'!$B:$B,$D90)</f>
        <v>0</v>
      </c>
      <c r="AZ90" s="298"/>
      <c r="BA90" s="174">
        <f t="shared" si="162"/>
        <v>0</v>
      </c>
      <c r="BB90" s="174">
        <f>SUMIFS('1-2 人员岗位信息'!N:N,'1-2 人员岗位信息'!$C:$C,"专业外包",'1-2 人员岗位信息'!$B:$B,$D90)</f>
        <v>0</v>
      </c>
      <c r="BC90" s="298"/>
      <c r="BD90" s="174">
        <f t="shared" si="163"/>
        <v>0</v>
      </c>
      <c r="BE90" s="174">
        <f>SUMIFS('1-2 人员岗位信息'!O:O,'1-2 人员岗位信息'!$C:$C,"专业外包",'1-2 人员岗位信息'!$B:$B,$D90)</f>
        <v>0</v>
      </c>
      <c r="BF90" s="298"/>
      <c r="BG90" s="174">
        <f t="shared" si="164"/>
        <v>0</v>
      </c>
      <c r="BH90" s="174">
        <f>SUMIFS('1-2 人员岗位信息'!P:P,'1-2 人员岗位信息'!$C:$C,"专业外包",'1-2 人员岗位信息'!$B:$B,$D90)</f>
        <v>0</v>
      </c>
      <c r="BI90" s="298"/>
      <c r="BJ90" s="174">
        <f t="shared" si="165"/>
        <v>0</v>
      </c>
      <c r="BK90" s="174">
        <f>SUMIFS('1-2 人员岗位信息'!Q:Q,'1-2 人员岗位信息'!$C:$C,"专业外包",'1-2 人员岗位信息'!$B:$B,$D90)</f>
        <v>0</v>
      </c>
      <c r="BL90" s="307"/>
      <c r="BM90" s="311"/>
      <c r="BN90" s="315"/>
    </row>
    <row r="91" s="117" customFormat="1" ht="33.95" hidden="1" customHeight="1" outlineLevel="4" collapsed="1" spans="2:66">
      <c r="B91" s="118" t="s">
        <v>794</v>
      </c>
      <c r="C91" s="119" t="s">
        <v>938</v>
      </c>
      <c r="D91" s="117" t="s">
        <v>939</v>
      </c>
      <c r="E91" s="118"/>
      <c r="F91" s="118"/>
      <c r="G91" s="118"/>
      <c r="H91" s="118">
        <f>SUM(H92:H110)</f>
        <v>0</v>
      </c>
      <c r="I91" s="118"/>
      <c r="J91" s="118"/>
      <c r="K91" s="118"/>
      <c r="L91" s="118"/>
      <c r="M91" s="118"/>
      <c r="N91" s="118"/>
      <c r="O91" s="118"/>
      <c r="P91" s="289"/>
      <c r="Q91" s="289"/>
      <c r="R91" s="289"/>
      <c r="S91" s="289"/>
      <c r="T91" s="289"/>
      <c r="U91" s="289"/>
      <c r="V91" s="289"/>
      <c r="W91" s="289"/>
      <c r="X91" s="289"/>
      <c r="Y91" s="289"/>
      <c r="Z91" s="289"/>
      <c r="AA91" s="289"/>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6"/>
      <c r="BM91" s="311"/>
      <c r="BN91" s="314"/>
    </row>
    <row r="92" s="263" customFormat="1" ht="33.95" hidden="1" customHeight="1" outlineLevel="5" spans="2:66">
      <c r="B92" s="174" t="s">
        <v>799</v>
      </c>
      <c r="C92" s="283" t="s">
        <v>940</v>
      </c>
      <c r="D92" s="263" t="s">
        <v>941</v>
      </c>
      <c r="E92" s="174" t="s">
        <v>942</v>
      </c>
      <c r="F92" s="174"/>
      <c r="G92" s="174" t="s">
        <v>943</v>
      </c>
      <c r="H92" s="174">
        <f t="shared" ref="H92:H110" si="168">AB92</f>
        <v>0</v>
      </c>
      <c r="I92" s="174" t="s">
        <v>804</v>
      </c>
      <c r="J92" s="174" t="e">
        <f t="shared" ref="J92:J110" si="169">SUM(AD92,AG92,AJ92,AM92,AP92,AS92,AV92,AY92,BB92,BE92,BH92,BK92)/N92</f>
        <v>#DIV/0!</v>
      </c>
      <c r="K92" s="174" t="s">
        <v>805</v>
      </c>
      <c r="L92" s="174" t="e">
        <f t="shared" ref="L92:L110" si="170">H92/N92/J92</f>
        <v>#DIV/0!</v>
      </c>
      <c r="M92" s="174" t="s">
        <v>806</v>
      </c>
      <c r="N92" s="174">
        <f t="shared" ref="N92:N110" si="171">COUNTIF(AD92,"&gt;0")+COUNTIF(AG92,"&gt;0")+COUNTIF(AJ92,"&gt;0")+COUNTIF(AM92,"&gt;0")+COUNTIF(AP92,"&gt;0")+COUNTIF(AS92,"&gt;0")+COUNTIF(AV92,"&gt;0")+COUNTIF(AY92,"&gt;0")+COUNTIF(BB92,"&gt;0")+COUNTIF(BE92,"&gt;0")+COUNTIF(BH92,"&gt;0")+COUNTIF(BK92,"&gt;0")</f>
        <v>0</v>
      </c>
      <c r="O92" s="174"/>
      <c r="P92" s="290"/>
      <c r="Q92" s="290"/>
      <c r="R92" s="290"/>
      <c r="S92" s="290"/>
      <c r="T92" s="290"/>
      <c r="U92" s="290"/>
      <c r="V92" s="290"/>
      <c r="W92" s="290"/>
      <c r="X92" s="290"/>
      <c r="Y92" s="290"/>
      <c r="Z92" s="290"/>
      <c r="AA92" s="290"/>
      <c r="AB92" s="174">
        <f t="shared" ref="AB92:AB110" si="172">SUM(AC92,AF92,AI92,AL92,AO92,AR92,AU92,AX92,BA92,BD92,BG92,BJ92)</f>
        <v>0</v>
      </c>
      <c r="AC92" s="174">
        <f t="shared" ref="AC92:AC110" si="173">AD92*AE92</f>
        <v>0</v>
      </c>
      <c r="AD92" s="298"/>
      <c r="AE92" s="298"/>
      <c r="AF92" s="174">
        <f t="shared" ref="AF92:AF110" si="174">AG92*AH92</f>
        <v>0</v>
      </c>
      <c r="AG92" s="298"/>
      <c r="AH92" s="298"/>
      <c r="AI92" s="174">
        <f t="shared" ref="AI92:AI110" si="175">AJ92*AK92</f>
        <v>0</v>
      </c>
      <c r="AJ92" s="298"/>
      <c r="AK92" s="298"/>
      <c r="AL92" s="174">
        <f t="shared" ref="AL92:AL110" si="176">AM92*AN92</f>
        <v>0</v>
      </c>
      <c r="AM92" s="298"/>
      <c r="AN92" s="298"/>
      <c r="AO92" s="174">
        <f t="shared" ref="AO92:AO110" si="177">AP92*AQ92</f>
        <v>0</v>
      </c>
      <c r="AP92" s="298"/>
      <c r="AQ92" s="298"/>
      <c r="AR92" s="174">
        <f t="shared" ref="AR92:AR110" si="178">AS92*AT92</f>
        <v>0</v>
      </c>
      <c r="AS92" s="298"/>
      <c r="AT92" s="298"/>
      <c r="AU92" s="174">
        <f t="shared" ref="AU92:AU110" si="179">AV92*AW92</f>
        <v>0</v>
      </c>
      <c r="AV92" s="298"/>
      <c r="AW92" s="298"/>
      <c r="AX92" s="174">
        <f t="shared" ref="AX92:AX110" si="180">AY92*AZ92</f>
        <v>0</v>
      </c>
      <c r="AY92" s="298"/>
      <c r="AZ92" s="298"/>
      <c r="BA92" s="174">
        <f t="shared" ref="BA92:BA110" si="181">BB92*BC92</f>
        <v>0</v>
      </c>
      <c r="BB92" s="298"/>
      <c r="BC92" s="298"/>
      <c r="BD92" s="174">
        <f t="shared" ref="BD92:BD110" si="182">BE92*BF92</f>
        <v>0</v>
      </c>
      <c r="BE92" s="298"/>
      <c r="BF92" s="298"/>
      <c r="BG92" s="174">
        <f t="shared" ref="BG92:BG110" si="183">BH92*BI92</f>
        <v>0</v>
      </c>
      <c r="BH92" s="298"/>
      <c r="BI92" s="298"/>
      <c r="BJ92" s="174">
        <f t="shared" ref="BJ92:BJ110" si="184">BK92*BL92</f>
        <v>0</v>
      </c>
      <c r="BK92" s="298"/>
      <c r="BL92" s="307"/>
      <c r="BM92" s="311"/>
      <c r="BN92" s="315"/>
    </row>
    <row r="93" s="263" customFormat="1" ht="33.95" hidden="1" customHeight="1" outlineLevel="5" spans="2:66">
      <c r="B93" s="174" t="s">
        <v>799</v>
      </c>
      <c r="C93" s="283" t="s">
        <v>944</v>
      </c>
      <c r="D93" s="263" t="s">
        <v>945</v>
      </c>
      <c r="E93" s="174" t="s">
        <v>942</v>
      </c>
      <c r="F93" s="174"/>
      <c r="G93" s="174" t="s">
        <v>943</v>
      </c>
      <c r="H93" s="174">
        <f t="shared" si="168"/>
        <v>0</v>
      </c>
      <c r="I93" s="174" t="s">
        <v>804</v>
      </c>
      <c r="J93" s="174" t="e">
        <f t="shared" si="169"/>
        <v>#DIV/0!</v>
      </c>
      <c r="K93" s="174" t="s">
        <v>805</v>
      </c>
      <c r="L93" s="174" t="e">
        <f t="shared" si="170"/>
        <v>#DIV/0!</v>
      </c>
      <c r="M93" s="174" t="s">
        <v>806</v>
      </c>
      <c r="N93" s="174">
        <f t="shared" si="171"/>
        <v>0</v>
      </c>
      <c r="O93" s="174"/>
      <c r="P93" s="290"/>
      <c r="Q93" s="290"/>
      <c r="R93" s="290"/>
      <c r="S93" s="290"/>
      <c r="T93" s="290"/>
      <c r="U93" s="290"/>
      <c r="V93" s="290"/>
      <c r="W93" s="290"/>
      <c r="X93" s="290"/>
      <c r="Y93" s="290"/>
      <c r="Z93" s="290"/>
      <c r="AA93" s="290"/>
      <c r="AB93" s="174">
        <f t="shared" si="172"/>
        <v>0</v>
      </c>
      <c r="AC93" s="174">
        <f t="shared" si="173"/>
        <v>0</v>
      </c>
      <c r="AD93" s="298"/>
      <c r="AE93" s="298"/>
      <c r="AF93" s="174">
        <f t="shared" si="174"/>
        <v>0</v>
      </c>
      <c r="AG93" s="298"/>
      <c r="AH93" s="298"/>
      <c r="AI93" s="174">
        <f t="shared" si="175"/>
        <v>0</v>
      </c>
      <c r="AJ93" s="298"/>
      <c r="AK93" s="298"/>
      <c r="AL93" s="174">
        <f t="shared" si="176"/>
        <v>0</v>
      </c>
      <c r="AM93" s="298"/>
      <c r="AN93" s="298"/>
      <c r="AO93" s="174">
        <f t="shared" si="177"/>
        <v>0</v>
      </c>
      <c r="AP93" s="298"/>
      <c r="AQ93" s="298"/>
      <c r="AR93" s="174">
        <f t="shared" si="178"/>
        <v>0</v>
      </c>
      <c r="AS93" s="298"/>
      <c r="AT93" s="298"/>
      <c r="AU93" s="174">
        <f t="shared" si="179"/>
        <v>0</v>
      </c>
      <c r="AV93" s="298"/>
      <c r="AW93" s="298"/>
      <c r="AX93" s="174">
        <f t="shared" si="180"/>
        <v>0</v>
      </c>
      <c r="AY93" s="298"/>
      <c r="AZ93" s="298"/>
      <c r="BA93" s="174">
        <f t="shared" si="181"/>
        <v>0</v>
      </c>
      <c r="BB93" s="298"/>
      <c r="BC93" s="298"/>
      <c r="BD93" s="174">
        <f t="shared" si="182"/>
        <v>0</v>
      </c>
      <c r="BE93" s="298"/>
      <c r="BF93" s="298"/>
      <c r="BG93" s="174">
        <f t="shared" si="183"/>
        <v>0</v>
      </c>
      <c r="BH93" s="298"/>
      <c r="BI93" s="298"/>
      <c r="BJ93" s="174">
        <f t="shared" si="184"/>
        <v>0</v>
      </c>
      <c r="BK93" s="298"/>
      <c r="BL93" s="307"/>
      <c r="BM93" s="311"/>
      <c r="BN93" s="315"/>
    </row>
    <row r="94" s="263" customFormat="1" ht="33.95" hidden="1" customHeight="1" outlineLevel="5" spans="2:66">
      <c r="B94" s="174" t="s">
        <v>799</v>
      </c>
      <c r="C94" s="283" t="s">
        <v>946</v>
      </c>
      <c r="D94" s="263" t="s">
        <v>947</v>
      </c>
      <c r="E94" s="174" t="s">
        <v>942</v>
      </c>
      <c r="F94" s="174"/>
      <c r="G94" s="174" t="s">
        <v>943</v>
      </c>
      <c r="H94" s="174">
        <f t="shared" si="168"/>
        <v>0</v>
      </c>
      <c r="I94" s="174" t="s">
        <v>804</v>
      </c>
      <c r="J94" s="174" t="e">
        <f t="shared" si="169"/>
        <v>#DIV/0!</v>
      </c>
      <c r="K94" s="174" t="s">
        <v>805</v>
      </c>
      <c r="L94" s="174" t="e">
        <f t="shared" si="170"/>
        <v>#DIV/0!</v>
      </c>
      <c r="M94" s="174" t="s">
        <v>806</v>
      </c>
      <c r="N94" s="174">
        <f t="shared" si="171"/>
        <v>0</v>
      </c>
      <c r="O94" s="174"/>
      <c r="P94" s="290"/>
      <c r="Q94" s="290"/>
      <c r="R94" s="290"/>
      <c r="S94" s="290"/>
      <c r="T94" s="290"/>
      <c r="U94" s="290"/>
      <c r="V94" s="290"/>
      <c r="W94" s="290"/>
      <c r="X94" s="290"/>
      <c r="Y94" s="290"/>
      <c r="Z94" s="290"/>
      <c r="AA94" s="290"/>
      <c r="AB94" s="174">
        <f t="shared" si="172"/>
        <v>0</v>
      </c>
      <c r="AC94" s="174">
        <f t="shared" si="173"/>
        <v>0</v>
      </c>
      <c r="AD94" s="298"/>
      <c r="AE94" s="298"/>
      <c r="AF94" s="174">
        <f t="shared" si="174"/>
        <v>0</v>
      </c>
      <c r="AG94" s="298"/>
      <c r="AH94" s="298"/>
      <c r="AI94" s="174">
        <f t="shared" si="175"/>
        <v>0</v>
      </c>
      <c r="AJ94" s="298"/>
      <c r="AK94" s="298"/>
      <c r="AL94" s="174">
        <f t="shared" si="176"/>
        <v>0</v>
      </c>
      <c r="AM94" s="298"/>
      <c r="AN94" s="298"/>
      <c r="AO94" s="174">
        <f t="shared" si="177"/>
        <v>0</v>
      </c>
      <c r="AP94" s="298"/>
      <c r="AQ94" s="298"/>
      <c r="AR94" s="174">
        <f t="shared" si="178"/>
        <v>0</v>
      </c>
      <c r="AS94" s="298"/>
      <c r="AT94" s="298"/>
      <c r="AU94" s="174">
        <f t="shared" si="179"/>
        <v>0</v>
      </c>
      <c r="AV94" s="298"/>
      <c r="AW94" s="298"/>
      <c r="AX94" s="174">
        <f t="shared" si="180"/>
        <v>0</v>
      </c>
      <c r="AY94" s="298"/>
      <c r="AZ94" s="298"/>
      <c r="BA94" s="174">
        <f t="shared" si="181"/>
        <v>0</v>
      </c>
      <c r="BB94" s="298"/>
      <c r="BC94" s="298"/>
      <c r="BD94" s="174">
        <f t="shared" si="182"/>
        <v>0</v>
      </c>
      <c r="BE94" s="298"/>
      <c r="BF94" s="298"/>
      <c r="BG94" s="174">
        <f t="shared" si="183"/>
        <v>0</v>
      </c>
      <c r="BH94" s="298"/>
      <c r="BI94" s="298"/>
      <c r="BJ94" s="174">
        <f t="shared" si="184"/>
        <v>0</v>
      </c>
      <c r="BK94" s="298"/>
      <c r="BL94" s="307"/>
      <c r="BM94" s="311"/>
      <c r="BN94" s="315"/>
    </row>
    <row r="95" s="263" customFormat="1" ht="33.95" hidden="1" customHeight="1" outlineLevel="5" spans="2:66">
      <c r="B95" s="174" t="s">
        <v>799</v>
      </c>
      <c r="C95" s="283" t="s">
        <v>948</v>
      </c>
      <c r="D95" s="263" t="s">
        <v>949</v>
      </c>
      <c r="E95" s="174" t="s">
        <v>942</v>
      </c>
      <c r="F95" s="174"/>
      <c r="G95" s="174" t="s">
        <v>943</v>
      </c>
      <c r="H95" s="174">
        <f t="shared" si="168"/>
        <v>0</v>
      </c>
      <c r="I95" s="174" t="s">
        <v>804</v>
      </c>
      <c r="J95" s="174" t="e">
        <f t="shared" si="169"/>
        <v>#DIV/0!</v>
      </c>
      <c r="K95" s="174" t="s">
        <v>805</v>
      </c>
      <c r="L95" s="174" t="e">
        <f t="shared" si="170"/>
        <v>#DIV/0!</v>
      </c>
      <c r="M95" s="174" t="s">
        <v>806</v>
      </c>
      <c r="N95" s="174">
        <f t="shared" si="171"/>
        <v>0</v>
      </c>
      <c r="O95" s="174"/>
      <c r="P95" s="290"/>
      <c r="Q95" s="290"/>
      <c r="R95" s="290"/>
      <c r="S95" s="290"/>
      <c r="T95" s="290"/>
      <c r="U95" s="290"/>
      <c r="V95" s="290"/>
      <c r="W95" s="290"/>
      <c r="X95" s="290"/>
      <c r="Y95" s="290"/>
      <c r="Z95" s="290"/>
      <c r="AA95" s="290"/>
      <c r="AB95" s="174">
        <f t="shared" si="172"/>
        <v>0</v>
      </c>
      <c r="AC95" s="174">
        <f t="shared" si="173"/>
        <v>0</v>
      </c>
      <c r="AD95" s="298"/>
      <c r="AE95" s="298"/>
      <c r="AF95" s="174">
        <f t="shared" si="174"/>
        <v>0</v>
      </c>
      <c r="AG95" s="298"/>
      <c r="AH95" s="298"/>
      <c r="AI95" s="174">
        <f t="shared" si="175"/>
        <v>0</v>
      </c>
      <c r="AJ95" s="298"/>
      <c r="AK95" s="298"/>
      <c r="AL95" s="174">
        <f t="shared" si="176"/>
        <v>0</v>
      </c>
      <c r="AM95" s="298"/>
      <c r="AN95" s="298"/>
      <c r="AO95" s="174">
        <f t="shared" si="177"/>
        <v>0</v>
      </c>
      <c r="AP95" s="298"/>
      <c r="AQ95" s="298"/>
      <c r="AR95" s="174">
        <f t="shared" si="178"/>
        <v>0</v>
      </c>
      <c r="AS95" s="298"/>
      <c r="AT95" s="298"/>
      <c r="AU95" s="174">
        <f t="shared" si="179"/>
        <v>0</v>
      </c>
      <c r="AV95" s="298"/>
      <c r="AW95" s="298"/>
      <c r="AX95" s="174">
        <f t="shared" si="180"/>
        <v>0</v>
      </c>
      <c r="AY95" s="298"/>
      <c r="AZ95" s="298"/>
      <c r="BA95" s="174">
        <f t="shared" si="181"/>
        <v>0</v>
      </c>
      <c r="BB95" s="298"/>
      <c r="BC95" s="298"/>
      <c r="BD95" s="174">
        <f t="shared" si="182"/>
        <v>0</v>
      </c>
      <c r="BE95" s="298"/>
      <c r="BF95" s="298"/>
      <c r="BG95" s="174">
        <f t="shared" si="183"/>
        <v>0</v>
      </c>
      <c r="BH95" s="298"/>
      <c r="BI95" s="298"/>
      <c r="BJ95" s="174">
        <f t="shared" si="184"/>
        <v>0</v>
      </c>
      <c r="BK95" s="298"/>
      <c r="BL95" s="307"/>
      <c r="BM95" s="311"/>
      <c r="BN95" s="315"/>
    </row>
    <row r="96" s="263" customFormat="1" ht="33.95" hidden="1" customHeight="1" outlineLevel="5" spans="2:66">
      <c r="B96" s="174" t="s">
        <v>799</v>
      </c>
      <c r="C96" s="283" t="s">
        <v>950</v>
      </c>
      <c r="D96" s="263" t="s">
        <v>951</v>
      </c>
      <c r="E96" s="174" t="s">
        <v>942</v>
      </c>
      <c r="F96" s="174"/>
      <c r="G96" s="174" t="s">
        <v>943</v>
      </c>
      <c r="H96" s="174">
        <f t="shared" si="168"/>
        <v>0</v>
      </c>
      <c r="I96" s="174" t="s">
        <v>804</v>
      </c>
      <c r="J96" s="174" t="e">
        <f t="shared" si="169"/>
        <v>#DIV/0!</v>
      </c>
      <c r="K96" s="174" t="s">
        <v>805</v>
      </c>
      <c r="L96" s="174" t="e">
        <f t="shared" si="170"/>
        <v>#DIV/0!</v>
      </c>
      <c r="M96" s="174" t="s">
        <v>806</v>
      </c>
      <c r="N96" s="174">
        <f t="shared" si="171"/>
        <v>0</v>
      </c>
      <c r="O96" s="174"/>
      <c r="P96" s="290"/>
      <c r="Q96" s="290"/>
      <c r="R96" s="290"/>
      <c r="S96" s="290"/>
      <c r="T96" s="290"/>
      <c r="U96" s="290"/>
      <c r="V96" s="290"/>
      <c r="W96" s="290"/>
      <c r="X96" s="290"/>
      <c r="Y96" s="290"/>
      <c r="Z96" s="290"/>
      <c r="AA96" s="290"/>
      <c r="AB96" s="174">
        <f t="shared" si="172"/>
        <v>0</v>
      </c>
      <c r="AC96" s="174">
        <f t="shared" si="173"/>
        <v>0</v>
      </c>
      <c r="AD96" s="298"/>
      <c r="AE96" s="298"/>
      <c r="AF96" s="174">
        <f t="shared" si="174"/>
        <v>0</v>
      </c>
      <c r="AG96" s="298"/>
      <c r="AH96" s="298"/>
      <c r="AI96" s="174">
        <f t="shared" si="175"/>
        <v>0</v>
      </c>
      <c r="AJ96" s="298"/>
      <c r="AK96" s="298"/>
      <c r="AL96" s="174">
        <f t="shared" si="176"/>
        <v>0</v>
      </c>
      <c r="AM96" s="298"/>
      <c r="AN96" s="298"/>
      <c r="AO96" s="174">
        <f t="shared" si="177"/>
        <v>0</v>
      </c>
      <c r="AP96" s="298"/>
      <c r="AQ96" s="298"/>
      <c r="AR96" s="174">
        <f t="shared" si="178"/>
        <v>0</v>
      </c>
      <c r="AS96" s="298"/>
      <c r="AT96" s="298"/>
      <c r="AU96" s="174">
        <f t="shared" si="179"/>
        <v>0</v>
      </c>
      <c r="AV96" s="298"/>
      <c r="AW96" s="298"/>
      <c r="AX96" s="174">
        <f t="shared" si="180"/>
        <v>0</v>
      </c>
      <c r="AY96" s="298"/>
      <c r="AZ96" s="298"/>
      <c r="BA96" s="174">
        <f t="shared" si="181"/>
        <v>0</v>
      </c>
      <c r="BB96" s="298"/>
      <c r="BC96" s="298"/>
      <c r="BD96" s="174">
        <f t="shared" si="182"/>
        <v>0</v>
      </c>
      <c r="BE96" s="298"/>
      <c r="BF96" s="298"/>
      <c r="BG96" s="174">
        <f t="shared" si="183"/>
        <v>0</v>
      </c>
      <c r="BH96" s="298"/>
      <c r="BI96" s="298"/>
      <c r="BJ96" s="174">
        <f t="shared" si="184"/>
        <v>0</v>
      </c>
      <c r="BK96" s="298"/>
      <c r="BL96" s="307"/>
      <c r="BM96" s="311"/>
      <c r="BN96" s="315"/>
    </row>
    <row r="97" s="263" customFormat="1" ht="33.95" hidden="1" customHeight="1" outlineLevel="5" spans="2:66">
      <c r="B97" s="174" t="s">
        <v>799</v>
      </c>
      <c r="C97" s="283" t="s">
        <v>952</v>
      </c>
      <c r="D97" s="263" t="s">
        <v>953</v>
      </c>
      <c r="E97" s="174" t="s">
        <v>954</v>
      </c>
      <c r="F97" s="174"/>
      <c r="G97" s="174" t="s">
        <v>943</v>
      </c>
      <c r="H97" s="174">
        <f t="shared" si="168"/>
        <v>0</v>
      </c>
      <c r="I97" s="174" t="s">
        <v>804</v>
      </c>
      <c r="J97" s="174" t="e">
        <f t="shared" si="169"/>
        <v>#DIV/0!</v>
      </c>
      <c r="K97" s="174" t="s">
        <v>805</v>
      </c>
      <c r="L97" s="174" t="e">
        <f t="shared" si="170"/>
        <v>#DIV/0!</v>
      </c>
      <c r="M97" s="174" t="s">
        <v>806</v>
      </c>
      <c r="N97" s="174">
        <f t="shared" si="171"/>
        <v>0</v>
      </c>
      <c r="O97" s="174"/>
      <c r="P97" s="290"/>
      <c r="Q97" s="290"/>
      <c r="R97" s="290"/>
      <c r="S97" s="290"/>
      <c r="T97" s="290"/>
      <c r="U97" s="290"/>
      <c r="V97" s="290"/>
      <c r="W97" s="290"/>
      <c r="X97" s="290"/>
      <c r="Y97" s="290"/>
      <c r="Z97" s="290"/>
      <c r="AA97" s="290"/>
      <c r="AB97" s="174">
        <f t="shared" si="172"/>
        <v>0</v>
      </c>
      <c r="AC97" s="174">
        <f t="shared" si="173"/>
        <v>0</v>
      </c>
      <c r="AD97" s="298"/>
      <c r="AE97" s="298"/>
      <c r="AF97" s="174">
        <f t="shared" si="174"/>
        <v>0</v>
      </c>
      <c r="AG97" s="298"/>
      <c r="AH97" s="298"/>
      <c r="AI97" s="174">
        <f t="shared" si="175"/>
        <v>0</v>
      </c>
      <c r="AJ97" s="298"/>
      <c r="AK97" s="298"/>
      <c r="AL97" s="174">
        <f t="shared" si="176"/>
        <v>0</v>
      </c>
      <c r="AM97" s="298"/>
      <c r="AN97" s="298"/>
      <c r="AO97" s="174">
        <f t="shared" si="177"/>
        <v>0</v>
      </c>
      <c r="AP97" s="298"/>
      <c r="AQ97" s="298"/>
      <c r="AR97" s="174">
        <f t="shared" si="178"/>
        <v>0</v>
      </c>
      <c r="AS97" s="298"/>
      <c r="AT97" s="298"/>
      <c r="AU97" s="174">
        <f t="shared" si="179"/>
        <v>0</v>
      </c>
      <c r="AV97" s="298"/>
      <c r="AW97" s="298"/>
      <c r="AX97" s="174">
        <f t="shared" si="180"/>
        <v>0</v>
      </c>
      <c r="AY97" s="298"/>
      <c r="AZ97" s="298"/>
      <c r="BA97" s="174">
        <f t="shared" si="181"/>
        <v>0</v>
      </c>
      <c r="BB97" s="298"/>
      <c r="BC97" s="298"/>
      <c r="BD97" s="174">
        <f t="shared" si="182"/>
        <v>0</v>
      </c>
      <c r="BE97" s="298"/>
      <c r="BF97" s="298"/>
      <c r="BG97" s="174">
        <f t="shared" si="183"/>
        <v>0</v>
      </c>
      <c r="BH97" s="298"/>
      <c r="BI97" s="298"/>
      <c r="BJ97" s="174">
        <f t="shared" si="184"/>
        <v>0</v>
      </c>
      <c r="BK97" s="298"/>
      <c r="BL97" s="307"/>
      <c r="BM97" s="311"/>
      <c r="BN97" s="315"/>
    </row>
    <row r="98" s="263" customFormat="1" ht="33.95" hidden="1" customHeight="1" outlineLevel="5" spans="2:66">
      <c r="B98" s="174" t="s">
        <v>799</v>
      </c>
      <c r="C98" s="283" t="s">
        <v>955</v>
      </c>
      <c r="D98" s="263" t="s">
        <v>956</v>
      </c>
      <c r="E98" s="174" t="s">
        <v>954</v>
      </c>
      <c r="F98" s="174"/>
      <c r="G98" s="174" t="s">
        <v>943</v>
      </c>
      <c r="H98" s="174">
        <f t="shared" si="168"/>
        <v>0</v>
      </c>
      <c r="I98" s="174" t="s">
        <v>804</v>
      </c>
      <c r="J98" s="174" t="e">
        <f t="shared" si="169"/>
        <v>#DIV/0!</v>
      </c>
      <c r="K98" s="174" t="s">
        <v>805</v>
      </c>
      <c r="L98" s="174" t="e">
        <f t="shared" si="170"/>
        <v>#DIV/0!</v>
      </c>
      <c r="M98" s="174" t="s">
        <v>806</v>
      </c>
      <c r="N98" s="174">
        <f t="shared" si="171"/>
        <v>0</v>
      </c>
      <c r="O98" s="174"/>
      <c r="P98" s="290"/>
      <c r="Q98" s="290"/>
      <c r="R98" s="290"/>
      <c r="S98" s="290"/>
      <c r="T98" s="290"/>
      <c r="U98" s="290"/>
      <c r="V98" s="290"/>
      <c r="W98" s="290"/>
      <c r="X98" s="290"/>
      <c r="Y98" s="290"/>
      <c r="Z98" s="290"/>
      <c r="AA98" s="290"/>
      <c r="AB98" s="174">
        <f t="shared" si="172"/>
        <v>0</v>
      </c>
      <c r="AC98" s="174">
        <f t="shared" si="173"/>
        <v>0</v>
      </c>
      <c r="AD98" s="298"/>
      <c r="AE98" s="298"/>
      <c r="AF98" s="174">
        <f t="shared" si="174"/>
        <v>0</v>
      </c>
      <c r="AG98" s="298"/>
      <c r="AH98" s="298"/>
      <c r="AI98" s="174">
        <f t="shared" si="175"/>
        <v>0</v>
      </c>
      <c r="AJ98" s="298"/>
      <c r="AK98" s="298"/>
      <c r="AL98" s="174">
        <f t="shared" si="176"/>
        <v>0</v>
      </c>
      <c r="AM98" s="298"/>
      <c r="AN98" s="298"/>
      <c r="AO98" s="174">
        <f t="shared" si="177"/>
        <v>0</v>
      </c>
      <c r="AP98" s="298"/>
      <c r="AQ98" s="298"/>
      <c r="AR98" s="174">
        <f t="shared" si="178"/>
        <v>0</v>
      </c>
      <c r="AS98" s="298"/>
      <c r="AT98" s="298"/>
      <c r="AU98" s="174">
        <f t="shared" si="179"/>
        <v>0</v>
      </c>
      <c r="AV98" s="298"/>
      <c r="AW98" s="298"/>
      <c r="AX98" s="174">
        <f t="shared" si="180"/>
        <v>0</v>
      </c>
      <c r="AY98" s="298"/>
      <c r="AZ98" s="298"/>
      <c r="BA98" s="174">
        <f t="shared" si="181"/>
        <v>0</v>
      </c>
      <c r="BB98" s="298"/>
      <c r="BC98" s="298"/>
      <c r="BD98" s="174">
        <f t="shared" si="182"/>
        <v>0</v>
      </c>
      <c r="BE98" s="298"/>
      <c r="BF98" s="298"/>
      <c r="BG98" s="174">
        <f t="shared" si="183"/>
        <v>0</v>
      </c>
      <c r="BH98" s="298"/>
      <c r="BI98" s="298"/>
      <c r="BJ98" s="174">
        <f t="shared" si="184"/>
        <v>0</v>
      </c>
      <c r="BK98" s="298"/>
      <c r="BL98" s="307"/>
      <c r="BM98" s="311"/>
      <c r="BN98" s="315"/>
    </row>
    <row r="99" s="263" customFormat="1" ht="33.95" hidden="1" customHeight="1" outlineLevel="5" spans="2:66">
      <c r="B99" s="174" t="s">
        <v>799</v>
      </c>
      <c r="C99" s="283" t="s">
        <v>957</v>
      </c>
      <c r="D99" s="263" t="s">
        <v>958</v>
      </c>
      <c r="E99" s="174" t="s">
        <v>959</v>
      </c>
      <c r="F99" s="174"/>
      <c r="G99" s="174" t="s">
        <v>943</v>
      </c>
      <c r="H99" s="174">
        <f t="shared" si="168"/>
        <v>0</v>
      </c>
      <c r="I99" s="174" t="s">
        <v>804</v>
      </c>
      <c r="J99" s="174" t="e">
        <f t="shared" si="169"/>
        <v>#DIV/0!</v>
      </c>
      <c r="K99" s="174" t="s">
        <v>805</v>
      </c>
      <c r="L99" s="174" t="e">
        <f t="shared" si="170"/>
        <v>#DIV/0!</v>
      </c>
      <c r="M99" s="174" t="s">
        <v>806</v>
      </c>
      <c r="N99" s="174">
        <f t="shared" si="171"/>
        <v>0</v>
      </c>
      <c r="O99" s="174"/>
      <c r="P99" s="290"/>
      <c r="Q99" s="290"/>
      <c r="R99" s="290"/>
      <c r="S99" s="290"/>
      <c r="T99" s="290"/>
      <c r="U99" s="290"/>
      <c r="V99" s="290"/>
      <c r="W99" s="290"/>
      <c r="X99" s="290"/>
      <c r="Y99" s="290"/>
      <c r="Z99" s="290"/>
      <c r="AA99" s="290"/>
      <c r="AB99" s="174">
        <f t="shared" si="172"/>
        <v>0</v>
      </c>
      <c r="AC99" s="174">
        <f t="shared" si="173"/>
        <v>0</v>
      </c>
      <c r="AD99" s="298"/>
      <c r="AE99" s="298"/>
      <c r="AF99" s="174">
        <f t="shared" si="174"/>
        <v>0</v>
      </c>
      <c r="AG99" s="298"/>
      <c r="AH99" s="298"/>
      <c r="AI99" s="174">
        <f t="shared" si="175"/>
        <v>0</v>
      </c>
      <c r="AJ99" s="298"/>
      <c r="AK99" s="298"/>
      <c r="AL99" s="174">
        <f t="shared" si="176"/>
        <v>0</v>
      </c>
      <c r="AM99" s="298"/>
      <c r="AN99" s="298"/>
      <c r="AO99" s="174">
        <f t="shared" si="177"/>
        <v>0</v>
      </c>
      <c r="AP99" s="298"/>
      <c r="AQ99" s="298"/>
      <c r="AR99" s="174">
        <f t="shared" si="178"/>
        <v>0</v>
      </c>
      <c r="AS99" s="298"/>
      <c r="AT99" s="298"/>
      <c r="AU99" s="174">
        <f t="shared" si="179"/>
        <v>0</v>
      </c>
      <c r="AV99" s="298"/>
      <c r="AW99" s="298"/>
      <c r="AX99" s="174">
        <f t="shared" si="180"/>
        <v>0</v>
      </c>
      <c r="AY99" s="298"/>
      <c r="AZ99" s="298"/>
      <c r="BA99" s="174">
        <f t="shared" si="181"/>
        <v>0</v>
      </c>
      <c r="BB99" s="298"/>
      <c r="BC99" s="298"/>
      <c r="BD99" s="174">
        <f t="shared" si="182"/>
        <v>0</v>
      </c>
      <c r="BE99" s="298"/>
      <c r="BF99" s="298"/>
      <c r="BG99" s="174">
        <f t="shared" si="183"/>
        <v>0</v>
      </c>
      <c r="BH99" s="298"/>
      <c r="BI99" s="298"/>
      <c r="BJ99" s="174">
        <f t="shared" si="184"/>
        <v>0</v>
      </c>
      <c r="BK99" s="298"/>
      <c r="BL99" s="307"/>
      <c r="BM99" s="311"/>
      <c r="BN99" s="315"/>
    </row>
    <row r="100" s="263" customFormat="1" ht="33.95" hidden="1" customHeight="1" outlineLevel="5" spans="2:66">
      <c r="B100" s="174" t="s">
        <v>799</v>
      </c>
      <c r="C100" s="283" t="s">
        <v>960</v>
      </c>
      <c r="D100" s="263" t="s">
        <v>961</v>
      </c>
      <c r="E100" s="174" t="s">
        <v>959</v>
      </c>
      <c r="F100" s="174"/>
      <c r="G100" s="174" t="s">
        <v>943</v>
      </c>
      <c r="H100" s="174">
        <f t="shared" si="168"/>
        <v>0</v>
      </c>
      <c r="I100" s="174" t="s">
        <v>804</v>
      </c>
      <c r="J100" s="174" t="e">
        <f t="shared" si="169"/>
        <v>#DIV/0!</v>
      </c>
      <c r="K100" s="174" t="s">
        <v>805</v>
      </c>
      <c r="L100" s="174" t="e">
        <f t="shared" si="170"/>
        <v>#DIV/0!</v>
      </c>
      <c r="M100" s="174" t="s">
        <v>806</v>
      </c>
      <c r="N100" s="174">
        <f t="shared" si="171"/>
        <v>0</v>
      </c>
      <c r="O100" s="174"/>
      <c r="P100" s="290"/>
      <c r="Q100" s="290"/>
      <c r="R100" s="290"/>
      <c r="S100" s="290"/>
      <c r="T100" s="290"/>
      <c r="U100" s="290"/>
      <c r="V100" s="290"/>
      <c r="W100" s="290"/>
      <c r="X100" s="290"/>
      <c r="Y100" s="290"/>
      <c r="Z100" s="290"/>
      <c r="AA100" s="290"/>
      <c r="AB100" s="174">
        <f t="shared" si="172"/>
        <v>0</v>
      </c>
      <c r="AC100" s="174">
        <f t="shared" si="173"/>
        <v>0</v>
      </c>
      <c r="AD100" s="298"/>
      <c r="AE100" s="298"/>
      <c r="AF100" s="174">
        <f t="shared" si="174"/>
        <v>0</v>
      </c>
      <c r="AG100" s="298"/>
      <c r="AH100" s="298"/>
      <c r="AI100" s="174">
        <f t="shared" si="175"/>
        <v>0</v>
      </c>
      <c r="AJ100" s="298"/>
      <c r="AK100" s="298"/>
      <c r="AL100" s="174">
        <f t="shared" si="176"/>
        <v>0</v>
      </c>
      <c r="AM100" s="298"/>
      <c r="AN100" s="298"/>
      <c r="AO100" s="174">
        <f t="shared" si="177"/>
        <v>0</v>
      </c>
      <c r="AP100" s="298"/>
      <c r="AQ100" s="298"/>
      <c r="AR100" s="174">
        <f t="shared" si="178"/>
        <v>0</v>
      </c>
      <c r="AS100" s="298"/>
      <c r="AT100" s="298"/>
      <c r="AU100" s="174">
        <f t="shared" si="179"/>
        <v>0</v>
      </c>
      <c r="AV100" s="298"/>
      <c r="AW100" s="298"/>
      <c r="AX100" s="174">
        <f t="shared" si="180"/>
        <v>0</v>
      </c>
      <c r="AY100" s="298"/>
      <c r="AZ100" s="298"/>
      <c r="BA100" s="174">
        <f t="shared" si="181"/>
        <v>0</v>
      </c>
      <c r="BB100" s="298"/>
      <c r="BC100" s="298"/>
      <c r="BD100" s="174">
        <f t="shared" si="182"/>
        <v>0</v>
      </c>
      <c r="BE100" s="298"/>
      <c r="BF100" s="298"/>
      <c r="BG100" s="174">
        <f t="shared" si="183"/>
        <v>0</v>
      </c>
      <c r="BH100" s="298"/>
      <c r="BI100" s="298"/>
      <c r="BJ100" s="174">
        <f t="shared" si="184"/>
        <v>0</v>
      </c>
      <c r="BK100" s="298"/>
      <c r="BL100" s="307"/>
      <c r="BM100" s="311"/>
      <c r="BN100" s="315"/>
    </row>
    <row r="101" s="263" customFormat="1" ht="33.95" hidden="1" customHeight="1" outlineLevel="5" spans="2:66">
      <c r="B101" s="174" t="s">
        <v>799</v>
      </c>
      <c r="C101" s="283" t="s">
        <v>962</v>
      </c>
      <c r="D101" s="263" t="s">
        <v>963</v>
      </c>
      <c r="E101" s="174" t="s">
        <v>959</v>
      </c>
      <c r="F101" s="174"/>
      <c r="G101" s="174" t="s">
        <v>943</v>
      </c>
      <c r="H101" s="174">
        <f t="shared" si="168"/>
        <v>0</v>
      </c>
      <c r="I101" s="174" t="s">
        <v>804</v>
      </c>
      <c r="J101" s="174" t="e">
        <f t="shared" si="169"/>
        <v>#DIV/0!</v>
      </c>
      <c r="K101" s="174" t="s">
        <v>805</v>
      </c>
      <c r="L101" s="174" t="e">
        <f t="shared" si="170"/>
        <v>#DIV/0!</v>
      </c>
      <c r="M101" s="174" t="s">
        <v>806</v>
      </c>
      <c r="N101" s="174">
        <f t="shared" si="171"/>
        <v>0</v>
      </c>
      <c r="O101" s="174"/>
      <c r="P101" s="290"/>
      <c r="Q101" s="290"/>
      <c r="R101" s="290"/>
      <c r="S101" s="290"/>
      <c r="T101" s="290"/>
      <c r="U101" s="290"/>
      <c r="V101" s="290"/>
      <c r="W101" s="290"/>
      <c r="X101" s="290"/>
      <c r="Y101" s="290"/>
      <c r="Z101" s="290"/>
      <c r="AA101" s="290"/>
      <c r="AB101" s="174">
        <f t="shared" si="172"/>
        <v>0</v>
      </c>
      <c r="AC101" s="174">
        <f t="shared" si="173"/>
        <v>0</v>
      </c>
      <c r="AD101" s="298"/>
      <c r="AE101" s="298"/>
      <c r="AF101" s="174">
        <f t="shared" si="174"/>
        <v>0</v>
      </c>
      <c r="AG101" s="298"/>
      <c r="AH101" s="298"/>
      <c r="AI101" s="174">
        <f t="shared" si="175"/>
        <v>0</v>
      </c>
      <c r="AJ101" s="298"/>
      <c r="AK101" s="298"/>
      <c r="AL101" s="174">
        <f t="shared" si="176"/>
        <v>0</v>
      </c>
      <c r="AM101" s="298"/>
      <c r="AN101" s="298"/>
      <c r="AO101" s="174">
        <f t="shared" si="177"/>
        <v>0</v>
      </c>
      <c r="AP101" s="298"/>
      <c r="AQ101" s="298"/>
      <c r="AR101" s="174">
        <f t="shared" si="178"/>
        <v>0</v>
      </c>
      <c r="AS101" s="298"/>
      <c r="AT101" s="298"/>
      <c r="AU101" s="174">
        <f t="shared" si="179"/>
        <v>0</v>
      </c>
      <c r="AV101" s="298"/>
      <c r="AW101" s="298"/>
      <c r="AX101" s="174">
        <f t="shared" si="180"/>
        <v>0</v>
      </c>
      <c r="AY101" s="298"/>
      <c r="AZ101" s="298"/>
      <c r="BA101" s="174">
        <f t="shared" si="181"/>
        <v>0</v>
      </c>
      <c r="BB101" s="298"/>
      <c r="BC101" s="298"/>
      <c r="BD101" s="174">
        <f t="shared" si="182"/>
        <v>0</v>
      </c>
      <c r="BE101" s="298"/>
      <c r="BF101" s="298"/>
      <c r="BG101" s="174">
        <f t="shared" si="183"/>
        <v>0</v>
      </c>
      <c r="BH101" s="298"/>
      <c r="BI101" s="298"/>
      <c r="BJ101" s="174">
        <f t="shared" si="184"/>
        <v>0</v>
      </c>
      <c r="BK101" s="298"/>
      <c r="BL101" s="307"/>
      <c r="BM101" s="311"/>
      <c r="BN101" s="315"/>
    </row>
    <row r="102" s="263" customFormat="1" ht="33.95" hidden="1" customHeight="1" outlineLevel="5" spans="2:66">
      <c r="B102" s="174" t="s">
        <v>799</v>
      </c>
      <c r="C102" s="283" t="s">
        <v>964</v>
      </c>
      <c r="D102" s="263" t="s">
        <v>965</v>
      </c>
      <c r="E102" s="174" t="s">
        <v>959</v>
      </c>
      <c r="F102" s="174"/>
      <c r="G102" s="174" t="s">
        <v>943</v>
      </c>
      <c r="H102" s="174">
        <f t="shared" si="168"/>
        <v>0</v>
      </c>
      <c r="I102" s="174" t="s">
        <v>804</v>
      </c>
      <c r="J102" s="174" t="e">
        <f t="shared" si="169"/>
        <v>#DIV/0!</v>
      </c>
      <c r="K102" s="174" t="s">
        <v>805</v>
      </c>
      <c r="L102" s="174" t="e">
        <f t="shared" si="170"/>
        <v>#DIV/0!</v>
      </c>
      <c r="M102" s="174" t="s">
        <v>806</v>
      </c>
      <c r="N102" s="174">
        <f t="shared" si="171"/>
        <v>0</v>
      </c>
      <c r="O102" s="174"/>
      <c r="P102" s="290"/>
      <c r="Q102" s="290"/>
      <c r="R102" s="290"/>
      <c r="S102" s="290"/>
      <c r="T102" s="290"/>
      <c r="U102" s="290"/>
      <c r="V102" s="290"/>
      <c r="W102" s="290"/>
      <c r="X102" s="290"/>
      <c r="Y102" s="290"/>
      <c r="Z102" s="290"/>
      <c r="AA102" s="290"/>
      <c r="AB102" s="174">
        <f t="shared" si="172"/>
        <v>0</v>
      </c>
      <c r="AC102" s="174">
        <f t="shared" si="173"/>
        <v>0</v>
      </c>
      <c r="AD102" s="298"/>
      <c r="AE102" s="298"/>
      <c r="AF102" s="174">
        <f t="shared" si="174"/>
        <v>0</v>
      </c>
      <c r="AG102" s="298"/>
      <c r="AH102" s="298"/>
      <c r="AI102" s="174">
        <f t="shared" si="175"/>
        <v>0</v>
      </c>
      <c r="AJ102" s="298"/>
      <c r="AK102" s="298"/>
      <c r="AL102" s="174">
        <f t="shared" si="176"/>
        <v>0</v>
      </c>
      <c r="AM102" s="298"/>
      <c r="AN102" s="298"/>
      <c r="AO102" s="174">
        <f t="shared" si="177"/>
        <v>0</v>
      </c>
      <c r="AP102" s="298"/>
      <c r="AQ102" s="298"/>
      <c r="AR102" s="174">
        <f t="shared" si="178"/>
        <v>0</v>
      </c>
      <c r="AS102" s="298"/>
      <c r="AT102" s="298"/>
      <c r="AU102" s="174">
        <f t="shared" si="179"/>
        <v>0</v>
      </c>
      <c r="AV102" s="298"/>
      <c r="AW102" s="298"/>
      <c r="AX102" s="174">
        <f t="shared" si="180"/>
        <v>0</v>
      </c>
      <c r="AY102" s="298"/>
      <c r="AZ102" s="298"/>
      <c r="BA102" s="174">
        <f t="shared" si="181"/>
        <v>0</v>
      </c>
      <c r="BB102" s="298"/>
      <c r="BC102" s="298"/>
      <c r="BD102" s="174">
        <f t="shared" si="182"/>
        <v>0</v>
      </c>
      <c r="BE102" s="298"/>
      <c r="BF102" s="298"/>
      <c r="BG102" s="174">
        <f t="shared" si="183"/>
        <v>0</v>
      </c>
      <c r="BH102" s="298"/>
      <c r="BI102" s="298"/>
      <c r="BJ102" s="174">
        <f t="shared" si="184"/>
        <v>0</v>
      </c>
      <c r="BK102" s="298"/>
      <c r="BL102" s="307"/>
      <c r="BM102" s="311"/>
      <c r="BN102" s="315"/>
    </row>
    <row r="103" s="263" customFormat="1" ht="33.95" hidden="1" customHeight="1" outlineLevel="5" spans="2:66">
      <c r="B103" s="174" t="s">
        <v>799</v>
      </c>
      <c r="C103" s="283" t="s">
        <v>966</v>
      </c>
      <c r="D103" s="263" t="s">
        <v>967</v>
      </c>
      <c r="E103" s="174" t="s">
        <v>959</v>
      </c>
      <c r="F103" s="174"/>
      <c r="G103" s="174" t="s">
        <v>943</v>
      </c>
      <c r="H103" s="174">
        <f t="shared" si="168"/>
        <v>0</v>
      </c>
      <c r="I103" s="174" t="s">
        <v>804</v>
      </c>
      <c r="J103" s="174" t="e">
        <f t="shared" si="169"/>
        <v>#DIV/0!</v>
      </c>
      <c r="K103" s="174" t="s">
        <v>805</v>
      </c>
      <c r="L103" s="174" t="e">
        <f t="shared" si="170"/>
        <v>#DIV/0!</v>
      </c>
      <c r="M103" s="174" t="s">
        <v>806</v>
      </c>
      <c r="N103" s="174">
        <f t="shared" si="171"/>
        <v>0</v>
      </c>
      <c r="O103" s="174"/>
      <c r="P103" s="290"/>
      <c r="Q103" s="290"/>
      <c r="R103" s="290"/>
      <c r="S103" s="290"/>
      <c r="T103" s="290"/>
      <c r="U103" s="290"/>
      <c r="V103" s="290"/>
      <c r="W103" s="290"/>
      <c r="X103" s="290"/>
      <c r="Y103" s="290"/>
      <c r="Z103" s="290"/>
      <c r="AA103" s="290"/>
      <c r="AB103" s="174">
        <f t="shared" si="172"/>
        <v>0</v>
      </c>
      <c r="AC103" s="174">
        <f t="shared" si="173"/>
        <v>0</v>
      </c>
      <c r="AD103" s="298"/>
      <c r="AE103" s="298"/>
      <c r="AF103" s="174">
        <f t="shared" si="174"/>
        <v>0</v>
      </c>
      <c r="AG103" s="298"/>
      <c r="AH103" s="298"/>
      <c r="AI103" s="174">
        <f t="shared" si="175"/>
        <v>0</v>
      </c>
      <c r="AJ103" s="298"/>
      <c r="AK103" s="298"/>
      <c r="AL103" s="174">
        <f t="shared" si="176"/>
        <v>0</v>
      </c>
      <c r="AM103" s="298"/>
      <c r="AN103" s="298"/>
      <c r="AO103" s="174">
        <f t="shared" si="177"/>
        <v>0</v>
      </c>
      <c r="AP103" s="298"/>
      <c r="AQ103" s="298"/>
      <c r="AR103" s="174">
        <f t="shared" si="178"/>
        <v>0</v>
      </c>
      <c r="AS103" s="298"/>
      <c r="AT103" s="298"/>
      <c r="AU103" s="174">
        <f t="shared" si="179"/>
        <v>0</v>
      </c>
      <c r="AV103" s="298"/>
      <c r="AW103" s="298"/>
      <c r="AX103" s="174">
        <f t="shared" si="180"/>
        <v>0</v>
      </c>
      <c r="AY103" s="298"/>
      <c r="AZ103" s="298"/>
      <c r="BA103" s="174">
        <f t="shared" si="181"/>
        <v>0</v>
      </c>
      <c r="BB103" s="298"/>
      <c r="BC103" s="298"/>
      <c r="BD103" s="174">
        <f t="shared" si="182"/>
        <v>0</v>
      </c>
      <c r="BE103" s="298"/>
      <c r="BF103" s="298"/>
      <c r="BG103" s="174">
        <f t="shared" si="183"/>
        <v>0</v>
      </c>
      <c r="BH103" s="298"/>
      <c r="BI103" s="298"/>
      <c r="BJ103" s="174">
        <f t="shared" si="184"/>
        <v>0</v>
      </c>
      <c r="BK103" s="298"/>
      <c r="BL103" s="307"/>
      <c r="BM103" s="311"/>
      <c r="BN103" s="315"/>
    </row>
    <row r="104" s="263" customFormat="1" ht="33.95" hidden="1" customHeight="1" outlineLevel="5" spans="2:66">
      <c r="B104" s="174" t="s">
        <v>799</v>
      </c>
      <c r="C104" s="283" t="s">
        <v>968</v>
      </c>
      <c r="D104" s="263" t="s">
        <v>969</v>
      </c>
      <c r="E104" s="174" t="s">
        <v>959</v>
      </c>
      <c r="F104" s="174"/>
      <c r="G104" s="174" t="s">
        <v>943</v>
      </c>
      <c r="H104" s="174">
        <f t="shared" si="168"/>
        <v>0</v>
      </c>
      <c r="I104" s="174" t="s">
        <v>804</v>
      </c>
      <c r="J104" s="174" t="e">
        <f t="shared" si="169"/>
        <v>#DIV/0!</v>
      </c>
      <c r="K104" s="174" t="s">
        <v>805</v>
      </c>
      <c r="L104" s="174" t="e">
        <f t="shared" si="170"/>
        <v>#DIV/0!</v>
      </c>
      <c r="M104" s="174" t="s">
        <v>806</v>
      </c>
      <c r="N104" s="174">
        <f t="shared" si="171"/>
        <v>0</v>
      </c>
      <c r="O104" s="174"/>
      <c r="P104" s="290"/>
      <c r="Q104" s="290"/>
      <c r="R104" s="290"/>
      <c r="S104" s="290"/>
      <c r="T104" s="290"/>
      <c r="U104" s="290"/>
      <c r="V104" s="290"/>
      <c r="W104" s="290"/>
      <c r="X104" s="290"/>
      <c r="Y104" s="290"/>
      <c r="Z104" s="290"/>
      <c r="AA104" s="290"/>
      <c r="AB104" s="174">
        <f t="shared" si="172"/>
        <v>0</v>
      </c>
      <c r="AC104" s="174">
        <f t="shared" si="173"/>
        <v>0</v>
      </c>
      <c r="AD104" s="298"/>
      <c r="AE104" s="298"/>
      <c r="AF104" s="174">
        <f t="shared" si="174"/>
        <v>0</v>
      </c>
      <c r="AG104" s="298"/>
      <c r="AH104" s="298"/>
      <c r="AI104" s="174">
        <f t="shared" si="175"/>
        <v>0</v>
      </c>
      <c r="AJ104" s="298"/>
      <c r="AK104" s="298"/>
      <c r="AL104" s="174">
        <f t="shared" si="176"/>
        <v>0</v>
      </c>
      <c r="AM104" s="298"/>
      <c r="AN104" s="298"/>
      <c r="AO104" s="174">
        <f t="shared" si="177"/>
        <v>0</v>
      </c>
      <c r="AP104" s="298"/>
      <c r="AQ104" s="298"/>
      <c r="AR104" s="174">
        <f t="shared" si="178"/>
        <v>0</v>
      </c>
      <c r="AS104" s="298"/>
      <c r="AT104" s="298"/>
      <c r="AU104" s="174">
        <f t="shared" si="179"/>
        <v>0</v>
      </c>
      <c r="AV104" s="298"/>
      <c r="AW104" s="298"/>
      <c r="AX104" s="174">
        <f t="shared" si="180"/>
        <v>0</v>
      </c>
      <c r="AY104" s="298"/>
      <c r="AZ104" s="298"/>
      <c r="BA104" s="174">
        <f t="shared" si="181"/>
        <v>0</v>
      </c>
      <c r="BB104" s="298"/>
      <c r="BC104" s="298"/>
      <c r="BD104" s="174">
        <f t="shared" si="182"/>
        <v>0</v>
      </c>
      <c r="BE104" s="298"/>
      <c r="BF104" s="298"/>
      <c r="BG104" s="174">
        <f t="shared" si="183"/>
        <v>0</v>
      </c>
      <c r="BH104" s="298"/>
      <c r="BI104" s="298"/>
      <c r="BJ104" s="174">
        <f t="shared" si="184"/>
        <v>0</v>
      </c>
      <c r="BK104" s="298"/>
      <c r="BL104" s="307"/>
      <c r="BM104" s="311"/>
      <c r="BN104" s="315"/>
    </row>
    <row r="105" s="263" customFormat="1" ht="33.95" hidden="1" customHeight="1" outlineLevel="5" spans="2:66">
      <c r="B105" s="174" t="s">
        <v>799</v>
      </c>
      <c r="C105" s="283" t="s">
        <v>970</v>
      </c>
      <c r="D105" s="263" t="s">
        <v>971</v>
      </c>
      <c r="E105" s="174" t="s">
        <v>959</v>
      </c>
      <c r="F105" s="174"/>
      <c r="G105" s="174" t="s">
        <v>943</v>
      </c>
      <c r="H105" s="174">
        <f t="shared" si="168"/>
        <v>0</v>
      </c>
      <c r="I105" s="174" t="s">
        <v>804</v>
      </c>
      <c r="J105" s="174" t="e">
        <f t="shared" si="169"/>
        <v>#DIV/0!</v>
      </c>
      <c r="K105" s="174" t="s">
        <v>805</v>
      </c>
      <c r="L105" s="174" t="e">
        <f t="shared" si="170"/>
        <v>#DIV/0!</v>
      </c>
      <c r="M105" s="174" t="s">
        <v>806</v>
      </c>
      <c r="N105" s="174">
        <f t="shared" si="171"/>
        <v>0</v>
      </c>
      <c r="O105" s="174"/>
      <c r="P105" s="290"/>
      <c r="Q105" s="290"/>
      <c r="R105" s="290"/>
      <c r="S105" s="290"/>
      <c r="T105" s="290"/>
      <c r="U105" s="290"/>
      <c r="V105" s="290"/>
      <c r="W105" s="290"/>
      <c r="X105" s="290"/>
      <c r="Y105" s="290"/>
      <c r="Z105" s="290"/>
      <c r="AA105" s="290"/>
      <c r="AB105" s="174">
        <f t="shared" si="172"/>
        <v>0</v>
      </c>
      <c r="AC105" s="174">
        <f t="shared" si="173"/>
        <v>0</v>
      </c>
      <c r="AD105" s="298"/>
      <c r="AE105" s="298"/>
      <c r="AF105" s="174">
        <f t="shared" si="174"/>
        <v>0</v>
      </c>
      <c r="AG105" s="298"/>
      <c r="AH105" s="298"/>
      <c r="AI105" s="174">
        <f t="shared" si="175"/>
        <v>0</v>
      </c>
      <c r="AJ105" s="298"/>
      <c r="AK105" s="298"/>
      <c r="AL105" s="174">
        <f t="shared" si="176"/>
        <v>0</v>
      </c>
      <c r="AM105" s="298"/>
      <c r="AN105" s="298"/>
      <c r="AO105" s="174">
        <f t="shared" si="177"/>
        <v>0</v>
      </c>
      <c r="AP105" s="298"/>
      <c r="AQ105" s="298"/>
      <c r="AR105" s="174">
        <f t="shared" si="178"/>
        <v>0</v>
      </c>
      <c r="AS105" s="298"/>
      <c r="AT105" s="298"/>
      <c r="AU105" s="174">
        <f t="shared" si="179"/>
        <v>0</v>
      </c>
      <c r="AV105" s="298"/>
      <c r="AW105" s="298"/>
      <c r="AX105" s="174">
        <f t="shared" si="180"/>
        <v>0</v>
      </c>
      <c r="AY105" s="298"/>
      <c r="AZ105" s="298"/>
      <c r="BA105" s="174">
        <f t="shared" si="181"/>
        <v>0</v>
      </c>
      <c r="BB105" s="298"/>
      <c r="BC105" s="298"/>
      <c r="BD105" s="174">
        <f t="shared" si="182"/>
        <v>0</v>
      </c>
      <c r="BE105" s="298"/>
      <c r="BF105" s="298"/>
      <c r="BG105" s="174">
        <f t="shared" si="183"/>
        <v>0</v>
      </c>
      <c r="BH105" s="298"/>
      <c r="BI105" s="298"/>
      <c r="BJ105" s="174">
        <f t="shared" si="184"/>
        <v>0</v>
      </c>
      <c r="BK105" s="298"/>
      <c r="BL105" s="307"/>
      <c r="BM105" s="311"/>
      <c r="BN105" s="315"/>
    </row>
    <row r="106" s="263" customFormat="1" ht="33.95" hidden="1" customHeight="1" outlineLevel="5" spans="2:66">
      <c r="B106" s="174" t="s">
        <v>799</v>
      </c>
      <c r="C106" s="283" t="s">
        <v>972</v>
      </c>
      <c r="D106" s="263" t="s">
        <v>973</v>
      </c>
      <c r="E106" s="174" t="s">
        <v>959</v>
      </c>
      <c r="F106" s="174"/>
      <c r="G106" s="174" t="s">
        <v>943</v>
      </c>
      <c r="H106" s="174">
        <f t="shared" si="168"/>
        <v>0</v>
      </c>
      <c r="I106" s="174" t="s">
        <v>804</v>
      </c>
      <c r="J106" s="174" t="e">
        <f t="shared" si="169"/>
        <v>#DIV/0!</v>
      </c>
      <c r="K106" s="174" t="s">
        <v>805</v>
      </c>
      <c r="L106" s="174" t="e">
        <f t="shared" si="170"/>
        <v>#DIV/0!</v>
      </c>
      <c r="M106" s="174" t="s">
        <v>806</v>
      </c>
      <c r="N106" s="174">
        <f t="shared" si="171"/>
        <v>0</v>
      </c>
      <c r="O106" s="174"/>
      <c r="P106" s="290"/>
      <c r="Q106" s="290"/>
      <c r="R106" s="290"/>
      <c r="S106" s="290"/>
      <c r="T106" s="290"/>
      <c r="U106" s="290"/>
      <c r="V106" s="290"/>
      <c r="W106" s="290"/>
      <c r="X106" s="290"/>
      <c r="Y106" s="290"/>
      <c r="Z106" s="290"/>
      <c r="AA106" s="290"/>
      <c r="AB106" s="174">
        <f t="shared" si="172"/>
        <v>0</v>
      </c>
      <c r="AC106" s="174">
        <f t="shared" si="173"/>
        <v>0</v>
      </c>
      <c r="AD106" s="298"/>
      <c r="AE106" s="298"/>
      <c r="AF106" s="174">
        <f t="shared" si="174"/>
        <v>0</v>
      </c>
      <c r="AG106" s="298"/>
      <c r="AH106" s="298"/>
      <c r="AI106" s="174">
        <f t="shared" si="175"/>
        <v>0</v>
      </c>
      <c r="AJ106" s="298"/>
      <c r="AK106" s="298"/>
      <c r="AL106" s="174">
        <f t="shared" si="176"/>
        <v>0</v>
      </c>
      <c r="AM106" s="298"/>
      <c r="AN106" s="298"/>
      <c r="AO106" s="174">
        <f t="shared" si="177"/>
        <v>0</v>
      </c>
      <c r="AP106" s="298"/>
      <c r="AQ106" s="298"/>
      <c r="AR106" s="174">
        <f t="shared" si="178"/>
        <v>0</v>
      </c>
      <c r="AS106" s="298"/>
      <c r="AT106" s="298"/>
      <c r="AU106" s="174">
        <f t="shared" si="179"/>
        <v>0</v>
      </c>
      <c r="AV106" s="298"/>
      <c r="AW106" s="298"/>
      <c r="AX106" s="174">
        <f t="shared" si="180"/>
        <v>0</v>
      </c>
      <c r="AY106" s="298"/>
      <c r="AZ106" s="298"/>
      <c r="BA106" s="174">
        <f t="shared" si="181"/>
        <v>0</v>
      </c>
      <c r="BB106" s="298"/>
      <c r="BC106" s="298"/>
      <c r="BD106" s="174">
        <f t="shared" si="182"/>
        <v>0</v>
      </c>
      <c r="BE106" s="298"/>
      <c r="BF106" s="298"/>
      <c r="BG106" s="174">
        <f t="shared" si="183"/>
        <v>0</v>
      </c>
      <c r="BH106" s="298"/>
      <c r="BI106" s="298"/>
      <c r="BJ106" s="174">
        <f t="shared" si="184"/>
        <v>0</v>
      </c>
      <c r="BK106" s="298"/>
      <c r="BL106" s="307"/>
      <c r="BM106" s="311"/>
      <c r="BN106" s="315"/>
    </row>
    <row r="107" s="263" customFormat="1" ht="33.95" hidden="1" customHeight="1" outlineLevel="5" spans="2:66">
      <c r="B107" s="174" t="s">
        <v>799</v>
      </c>
      <c r="C107" s="283" t="s">
        <v>974</v>
      </c>
      <c r="D107" s="263" t="s">
        <v>975</v>
      </c>
      <c r="E107" s="174" t="s">
        <v>959</v>
      </c>
      <c r="F107" s="174"/>
      <c r="G107" s="174" t="s">
        <v>943</v>
      </c>
      <c r="H107" s="174">
        <f t="shared" si="168"/>
        <v>0</v>
      </c>
      <c r="I107" s="174" t="s">
        <v>804</v>
      </c>
      <c r="J107" s="174" t="e">
        <f t="shared" si="169"/>
        <v>#DIV/0!</v>
      </c>
      <c r="K107" s="174" t="s">
        <v>805</v>
      </c>
      <c r="L107" s="174" t="e">
        <f t="shared" si="170"/>
        <v>#DIV/0!</v>
      </c>
      <c r="M107" s="174" t="s">
        <v>806</v>
      </c>
      <c r="N107" s="174">
        <f t="shared" si="171"/>
        <v>0</v>
      </c>
      <c r="O107" s="174"/>
      <c r="P107" s="290"/>
      <c r="Q107" s="290"/>
      <c r="R107" s="290"/>
      <c r="S107" s="290"/>
      <c r="T107" s="290"/>
      <c r="U107" s="290"/>
      <c r="V107" s="290"/>
      <c r="W107" s="290"/>
      <c r="X107" s="290"/>
      <c r="Y107" s="290"/>
      <c r="Z107" s="290"/>
      <c r="AA107" s="290"/>
      <c r="AB107" s="174">
        <f t="shared" si="172"/>
        <v>0</v>
      </c>
      <c r="AC107" s="174">
        <f t="shared" si="173"/>
        <v>0</v>
      </c>
      <c r="AD107" s="298"/>
      <c r="AE107" s="298"/>
      <c r="AF107" s="174">
        <f t="shared" si="174"/>
        <v>0</v>
      </c>
      <c r="AG107" s="298"/>
      <c r="AH107" s="298"/>
      <c r="AI107" s="174">
        <f t="shared" si="175"/>
        <v>0</v>
      </c>
      <c r="AJ107" s="298"/>
      <c r="AK107" s="298"/>
      <c r="AL107" s="174">
        <f t="shared" si="176"/>
        <v>0</v>
      </c>
      <c r="AM107" s="298"/>
      <c r="AN107" s="298"/>
      <c r="AO107" s="174">
        <f t="shared" si="177"/>
        <v>0</v>
      </c>
      <c r="AP107" s="298"/>
      <c r="AQ107" s="298"/>
      <c r="AR107" s="174">
        <f t="shared" si="178"/>
        <v>0</v>
      </c>
      <c r="AS107" s="298"/>
      <c r="AT107" s="298"/>
      <c r="AU107" s="174">
        <f t="shared" si="179"/>
        <v>0</v>
      </c>
      <c r="AV107" s="298"/>
      <c r="AW107" s="298"/>
      <c r="AX107" s="174">
        <f t="shared" si="180"/>
        <v>0</v>
      </c>
      <c r="AY107" s="298"/>
      <c r="AZ107" s="298"/>
      <c r="BA107" s="174">
        <f t="shared" si="181"/>
        <v>0</v>
      </c>
      <c r="BB107" s="298"/>
      <c r="BC107" s="298"/>
      <c r="BD107" s="174">
        <f t="shared" si="182"/>
        <v>0</v>
      </c>
      <c r="BE107" s="298"/>
      <c r="BF107" s="298"/>
      <c r="BG107" s="174">
        <f t="shared" si="183"/>
        <v>0</v>
      </c>
      <c r="BH107" s="298"/>
      <c r="BI107" s="298"/>
      <c r="BJ107" s="174">
        <f t="shared" si="184"/>
        <v>0</v>
      </c>
      <c r="BK107" s="298"/>
      <c r="BL107" s="307"/>
      <c r="BM107" s="311"/>
      <c r="BN107" s="315"/>
    </row>
    <row r="108" s="263" customFormat="1" ht="33.95" hidden="1" customHeight="1" outlineLevel="5" spans="2:66">
      <c r="B108" s="174" t="s">
        <v>799</v>
      </c>
      <c r="C108" s="283" t="s">
        <v>976</v>
      </c>
      <c r="D108" s="263" t="s">
        <v>977</v>
      </c>
      <c r="E108" s="174" t="s">
        <v>959</v>
      </c>
      <c r="F108" s="174"/>
      <c r="G108" s="174" t="s">
        <v>943</v>
      </c>
      <c r="H108" s="174">
        <f t="shared" si="168"/>
        <v>0</v>
      </c>
      <c r="I108" s="174" t="s">
        <v>804</v>
      </c>
      <c r="J108" s="174" t="e">
        <f t="shared" si="169"/>
        <v>#DIV/0!</v>
      </c>
      <c r="K108" s="174" t="s">
        <v>805</v>
      </c>
      <c r="L108" s="174" t="e">
        <f t="shared" si="170"/>
        <v>#DIV/0!</v>
      </c>
      <c r="M108" s="174" t="s">
        <v>806</v>
      </c>
      <c r="N108" s="174">
        <f t="shared" si="171"/>
        <v>0</v>
      </c>
      <c r="O108" s="174"/>
      <c r="P108" s="290"/>
      <c r="Q108" s="290"/>
      <c r="R108" s="290"/>
      <c r="S108" s="290"/>
      <c r="T108" s="290"/>
      <c r="U108" s="290"/>
      <c r="V108" s="290"/>
      <c r="W108" s="290"/>
      <c r="X108" s="290"/>
      <c r="Y108" s="290"/>
      <c r="Z108" s="290"/>
      <c r="AA108" s="290"/>
      <c r="AB108" s="174">
        <f t="shared" si="172"/>
        <v>0</v>
      </c>
      <c r="AC108" s="174">
        <f t="shared" si="173"/>
        <v>0</v>
      </c>
      <c r="AD108" s="298"/>
      <c r="AE108" s="298"/>
      <c r="AF108" s="174">
        <f t="shared" si="174"/>
        <v>0</v>
      </c>
      <c r="AG108" s="298"/>
      <c r="AH108" s="298"/>
      <c r="AI108" s="174">
        <f t="shared" si="175"/>
        <v>0</v>
      </c>
      <c r="AJ108" s="298"/>
      <c r="AK108" s="298"/>
      <c r="AL108" s="174">
        <f t="shared" si="176"/>
        <v>0</v>
      </c>
      <c r="AM108" s="298"/>
      <c r="AN108" s="298"/>
      <c r="AO108" s="174">
        <f t="shared" si="177"/>
        <v>0</v>
      </c>
      <c r="AP108" s="298"/>
      <c r="AQ108" s="298"/>
      <c r="AR108" s="174">
        <f t="shared" si="178"/>
        <v>0</v>
      </c>
      <c r="AS108" s="298"/>
      <c r="AT108" s="298"/>
      <c r="AU108" s="174">
        <f t="shared" si="179"/>
        <v>0</v>
      </c>
      <c r="AV108" s="298"/>
      <c r="AW108" s="298"/>
      <c r="AX108" s="174">
        <f t="shared" si="180"/>
        <v>0</v>
      </c>
      <c r="AY108" s="298"/>
      <c r="AZ108" s="298"/>
      <c r="BA108" s="174">
        <f t="shared" si="181"/>
        <v>0</v>
      </c>
      <c r="BB108" s="298"/>
      <c r="BC108" s="298"/>
      <c r="BD108" s="174">
        <f t="shared" si="182"/>
        <v>0</v>
      </c>
      <c r="BE108" s="298"/>
      <c r="BF108" s="298"/>
      <c r="BG108" s="174">
        <f t="shared" si="183"/>
        <v>0</v>
      </c>
      <c r="BH108" s="298"/>
      <c r="BI108" s="298"/>
      <c r="BJ108" s="174">
        <f t="shared" si="184"/>
        <v>0</v>
      </c>
      <c r="BK108" s="298"/>
      <c r="BL108" s="307"/>
      <c r="BM108" s="311"/>
      <c r="BN108" s="315"/>
    </row>
    <row r="109" s="263" customFormat="1" ht="33.95" hidden="1" customHeight="1" outlineLevel="5" spans="2:66">
      <c r="B109" s="174" t="s">
        <v>799</v>
      </c>
      <c r="C109" s="283" t="s">
        <v>978</v>
      </c>
      <c r="D109" s="263" t="s">
        <v>979</v>
      </c>
      <c r="E109" s="174" t="s">
        <v>959</v>
      </c>
      <c r="F109" s="174"/>
      <c r="G109" s="174" t="s">
        <v>943</v>
      </c>
      <c r="H109" s="174">
        <f t="shared" si="168"/>
        <v>0</v>
      </c>
      <c r="I109" s="174" t="s">
        <v>804</v>
      </c>
      <c r="J109" s="174" t="e">
        <f t="shared" si="169"/>
        <v>#DIV/0!</v>
      </c>
      <c r="K109" s="174" t="s">
        <v>805</v>
      </c>
      <c r="L109" s="174" t="e">
        <f t="shared" si="170"/>
        <v>#DIV/0!</v>
      </c>
      <c r="M109" s="174" t="s">
        <v>806</v>
      </c>
      <c r="N109" s="174">
        <f t="shared" si="171"/>
        <v>0</v>
      </c>
      <c r="O109" s="174"/>
      <c r="P109" s="290"/>
      <c r="Q109" s="290"/>
      <c r="R109" s="290"/>
      <c r="S109" s="290"/>
      <c r="T109" s="290"/>
      <c r="U109" s="290"/>
      <c r="V109" s="290"/>
      <c r="W109" s="290"/>
      <c r="X109" s="290"/>
      <c r="Y109" s="290"/>
      <c r="Z109" s="290"/>
      <c r="AA109" s="290"/>
      <c r="AB109" s="174">
        <f t="shared" si="172"/>
        <v>0</v>
      </c>
      <c r="AC109" s="174">
        <f t="shared" si="173"/>
        <v>0</v>
      </c>
      <c r="AD109" s="298"/>
      <c r="AE109" s="298"/>
      <c r="AF109" s="174">
        <f t="shared" si="174"/>
        <v>0</v>
      </c>
      <c r="AG109" s="298"/>
      <c r="AH109" s="298"/>
      <c r="AI109" s="174">
        <f t="shared" si="175"/>
        <v>0</v>
      </c>
      <c r="AJ109" s="298"/>
      <c r="AK109" s="298"/>
      <c r="AL109" s="174">
        <f t="shared" si="176"/>
        <v>0</v>
      </c>
      <c r="AM109" s="298"/>
      <c r="AN109" s="298"/>
      <c r="AO109" s="174">
        <f t="shared" si="177"/>
        <v>0</v>
      </c>
      <c r="AP109" s="298"/>
      <c r="AQ109" s="298"/>
      <c r="AR109" s="174">
        <f t="shared" si="178"/>
        <v>0</v>
      </c>
      <c r="AS109" s="298"/>
      <c r="AT109" s="298"/>
      <c r="AU109" s="174">
        <f t="shared" si="179"/>
        <v>0</v>
      </c>
      <c r="AV109" s="298"/>
      <c r="AW109" s="298"/>
      <c r="AX109" s="174">
        <f t="shared" si="180"/>
        <v>0</v>
      </c>
      <c r="AY109" s="298"/>
      <c r="AZ109" s="298"/>
      <c r="BA109" s="174">
        <f t="shared" si="181"/>
        <v>0</v>
      </c>
      <c r="BB109" s="298"/>
      <c r="BC109" s="298"/>
      <c r="BD109" s="174">
        <f t="shared" si="182"/>
        <v>0</v>
      </c>
      <c r="BE109" s="298"/>
      <c r="BF109" s="298"/>
      <c r="BG109" s="174">
        <f t="shared" si="183"/>
        <v>0</v>
      </c>
      <c r="BH109" s="298"/>
      <c r="BI109" s="298"/>
      <c r="BJ109" s="174">
        <f t="shared" si="184"/>
        <v>0</v>
      </c>
      <c r="BK109" s="298"/>
      <c r="BL109" s="307"/>
      <c r="BM109" s="311"/>
      <c r="BN109" s="315"/>
    </row>
    <row r="110" s="263" customFormat="1" ht="33.95" hidden="1" customHeight="1" outlineLevel="5" spans="2:66">
      <c r="B110" s="174" t="s">
        <v>799</v>
      </c>
      <c r="C110" s="283" t="s">
        <v>980</v>
      </c>
      <c r="D110" s="263" t="s">
        <v>981</v>
      </c>
      <c r="E110" s="174" t="s">
        <v>982</v>
      </c>
      <c r="F110" s="174"/>
      <c r="G110" s="174" t="s">
        <v>943</v>
      </c>
      <c r="H110" s="174">
        <f t="shared" si="168"/>
        <v>0</v>
      </c>
      <c r="I110" s="174" t="s">
        <v>804</v>
      </c>
      <c r="J110" s="174" t="e">
        <f t="shared" si="169"/>
        <v>#DIV/0!</v>
      </c>
      <c r="K110" s="174" t="s">
        <v>805</v>
      </c>
      <c r="L110" s="174" t="e">
        <f t="shared" si="170"/>
        <v>#DIV/0!</v>
      </c>
      <c r="M110" s="174" t="s">
        <v>806</v>
      </c>
      <c r="N110" s="174">
        <f t="shared" si="171"/>
        <v>0</v>
      </c>
      <c r="O110" s="174"/>
      <c r="P110" s="290"/>
      <c r="Q110" s="290"/>
      <c r="R110" s="290"/>
      <c r="S110" s="290"/>
      <c r="T110" s="290"/>
      <c r="U110" s="290"/>
      <c r="V110" s="290"/>
      <c r="W110" s="290"/>
      <c r="X110" s="290"/>
      <c r="Y110" s="290"/>
      <c r="Z110" s="290"/>
      <c r="AA110" s="290"/>
      <c r="AB110" s="174">
        <f t="shared" si="172"/>
        <v>0</v>
      </c>
      <c r="AC110" s="174">
        <f t="shared" si="173"/>
        <v>0</v>
      </c>
      <c r="AD110" s="298"/>
      <c r="AE110" s="298"/>
      <c r="AF110" s="174">
        <f t="shared" si="174"/>
        <v>0</v>
      </c>
      <c r="AG110" s="298"/>
      <c r="AH110" s="298"/>
      <c r="AI110" s="174">
        <f t="shared" si="175"/>
        <v>0</v>
      </c>
      <c r="AJ110" s="298"/>
      <c r="AK110" s="298"/>
      <c r="AL110" s="174">
        <f t="shared" si="176"/>
        <v>0</v>
      </c>
      <c r="AM110" s="298"/>
      <c r="AN110" s="298"/>
      <c r="AO110" s="174">
        <f t="shared" si="177"/>
        <v>0</v>
      </c>
      <c r="AP110" s="298"/>
      <c r="AQ110" s="298"/>
      <c r="AR110" s="174">
        <f t="shared" si="178"/>
        <v>0</v>
      </c>
      <c r="AS110" s="298"/>
      <c r="AT110" s="298"/>
      <c r="AU110" s="174">
        <f t="shared" si="179"/>
        <v>0</v>
      </c>
      <c r="AV110" s="298"/>
      <c r="AW110" s="298"/>
      <c r="AX110" s="174">
        <f t="shared" si="180"/>
        <v>0</v>
      </c>
      <c r="AY110" s="298"/>
      <c r="AZ110" s="298"/>
      <c r="BA110" s="174">
        <f t="shared" si="181"/>
        <v>0</v>
      </c>
      <c r="BB110" s="298"/>
      <c r="BC110" s="298"/>
      <c r="BD110" s="174">
        <f t="shared" si="182"/>
        <v>0</v>
      </c>
      <c r="BE110" s="298"/>
      <c r="BF110" s="298"/>
      <c r="BG110" s="174">
        <f t="shared" si="183"/>
        <v>0</v>
      </c>
      <c r="BH110" s="298"/>
      <c r="BI110" s="298"/>
      <c r="BJ110" s="174">
        <f t="shared" si="184"/>
        <v>0</v>
      </c>
      <c r="BK110" s="298"/>
      <c r="BL110" s="307"/>
      <c r="BM110" s="311"/>
      <c r="BN110" s="315"/>
    </row>
    <row r="111" s="48" customFormat="1" ht="33.95" hidden="1" customHeight="1" outlineLevel="3" collapsed="1" spans="2:66">
      <c r="B111" s="114" t="s">
        <v>794</v>
      </c>
      <c r="C111" s="115" t="s">
        <v>983</v>
      </c>
      <c r="D111" s="48" t="s">
        <v>984</v>
      </c>
      <c r="E111" s="114"/>
      <c r="F111" s="114"/>
      <c r="G111" s="114"/>
      <c r="H111" s="114">
        <f>H112+H122+H132+H142</f>
        <v>104807.3</v>
      </c>
      <c r="I111" s="114"/>
      <c r="J111" s="114"/>
      <c r="K111" s="114"/>
      <c r="L111" s="114"/>
      <c r="M111" s="114"/>
      <c r="N111" s="114"/>
      <c r="O111" s="114"/>
      <c r="P111" s="288"/>
      <c r="Q111" s="288"/>
      <c r="R111" s="288"/>
      <c r="S111" s="288"/>
      <c r="T111" s="288"/>
      <c r="U111" s="288"/>
      <c r="V111" s="288"/>
      <c r="W111" s="288"/>
      <c r="X111" s="288"/>
      <c r="Y111" s="288"/>
      <c r="Z111" s="288"/>
      <c r="AA111" s="288"/>
      <c r="AB111" s="114">
        <f t="shared" ref="AB111:AF111" si="185">AB112+AB122+AB132+AB142</f>
        <v>104807.3</v>
      </c>
      <c r="AC111" s="114">
        <f t="shared" si="185"/>
        <v>9942.64</v>
      </c>
      <c r="AD111" s="114"/>
      <c r="AE111" s="114"/>
      <c r="AF111" s="114">
        <f t="shared" si="185"/>
        <v>8624.06</v>
      </c>
      <c r="AG111" s="114"/>
      <c r="AH111" s="114"/>
      <c r="AI111" s="114">
        <f>AI112+AI122+AI132+AI142</f>
        <v>8624.06</v>
      </c>
      <c r="AJ111" s="114"/>
      <c r="AK111" s="114"/>
      <c r="AL111" s="114">
        <f>AL112+AL122+AL132+AL142</f>
        <v>8624.06</v>
      </c>
      <c r="AM111" s="114"/>
      <c r="AN111" s="114"/>
      <c r="AO111" s="114">
        <f>AO112+AO122+AO132+AO142</f>
        <v>8624.06</v>
      </c>
      <c r="AP111" s="114"/>
      <c r="AQ111" s="114"/>
      <c r="AR111" s="114">
        <f>AR112+AR122+AR132+AR142</f>
        <v>8624.06</v>
      </c>
      <c r="AS111" s="114"/>
      <c r="AT111" s="114"/>
      <c r="AU111" s="114">
        <f>AU112+AU122+AU132+AU142</f>
        <v>8624.06</v>
      </c>
      <c r="AV111" s="114"/>
      <c r="AW111" s="114"/>
      <c r="AX111" s="114">
        <f>AX112+AX122+AX132+AX142</f>
        <v>8624.06</v>
      </c>
      <c r="AY111" s="114"/>
      <c r="AZ111" s="114"/>
      <c r="BA111" s="114">
        <f>BA112+BA122+BA132+BA142</f>
        <v>8624.06</v>
      </c>
      <c r="BB111" s="114"/>
      <c r="BC111" s="114"/>
      <c r="BD111" s="114">
        <f>BD112+BD122+BD132+BD142</f>
        <v>8624.06</v>
      </c>
      <c r="BE111" s="114"/>
      <c r="BF111" s="114"/>
      <c r="BG111" s="114">
        <f>BG112+BG122+BG132+BG142</f>
        <v>8624.06</v>
      </c>
      <c r="BH111" s="114"/>
      <c r="BI111" s="114"/>
      <c r="BJ111" s="114">
        <f>BJ112+BJ122+BJ132+BJ142</f>
        <v>8624.06</v>
      </c>
      <c r="BK111" s="114"/>
      <c r="BL111" s="305"/>
      <c r="BM111" s="311"/>
      <c r="BN111" s="313"/>
    </row>
    <row r="112" s="117" customFormat="1" ht="33.95" hidden="1" customHeight="1" outlineLevel="4" collapsed="1" spans="2:66">
      <c r="B112" s="118" t="s">
        <v>794</v>
      </c>
      <c r="C112" s="119" t="s">
        <v>118</v>
      </c>
      <c r="D112" s="117" t="s">
        <v>109</v>
      </c>
      <c r="E112" s="118"/>
      <c r="F112" s="118"/>
      <c r="G112" s="118"/>
      <c r="H112" s="118">
        <f>SUM(H113:H121)</f>
        <v>104807.3</v>
      </c>
      <c r="I112" s="118"/>
      <c r="J112" s="118"/>
      <c r="K112" s="118"/>
      <c r="L112" s="118"/>
      <c r="M112" s="118"/>
      <c r="N112" s="118"/>
      <c r="O112" s="118"/>
      <c r="P112" s="289"/>
      <c r="Q112" s="289"/>
      <c r="R112" s="289"/>
      <c r="S112" s="289"/>
      <c r="T112" s="289"/>
      <c r="U112" s="289"/>
      <c r="V112" s="289"/>
      <c r="W112" s="289"/>
      <c r="X112" s="289"/>
      <c r="Y112" s="289"/>
      <c r="Z112" s="289"/>
      <c r="AA112" s="289"/>
      <c r="AB112" s="118">
        <f t="shared" ref="AB112:AF112" si="186">SUM(AB113:AB121)</f>
        <v>104807.3</v>
      </c>
      <c r="AC112" s="118">
        <f t="shared" si="186"/>
        <v>9942.64</v>
      </c>
      <c r="AD112" s="118"/>
      <c r="AE112" s="118"/>
      <c r="AF112" s="118">
        <f t="shared" si="186"/>
        <v>8624.06</v>
      </c>
      <c r="AG112" s="118"/>
      <c r="AH112" s="118"/>
      <c r="AI112" s="118">
        <f>SUM(AI113:AI121)</f>
        <v>8624.06</v>
      </c>
      <c r="AJ112" s="118"/>
      <c r="AK112" s="118"/>
      <c r="AL112" s="118">
        <f>SUM(AL113:AL121)</f>
        <v>8624.06</v>
      </c>
      <c r="AM112" s="118"/>
      <c r="AN112" s="118"/>
      <c r="AO112" s="118">
        <f>SUM(AO113:AO121)</f>
        <v>8624.06</v>
      </c>
      <c r="AP112" s="118"/>
      <c r="AQ112" s="118"/>
      <c r="AR112" s="118">
        <f>SUM(AR113:AR121)</f>
        <v>8624.06</v>
      </c>
      <c r="AS112" s="118"/>
      <c r="AT112" s="118"/>
      <c r="AU112" s="118">
        <f>SUM(AU113:AU121)</f>
        <v>8624.06</v>
      </c>
      <c r="AV112" s="118"/>
      <c r="AW112" s="118"/>
      <c r="AX112" s="118">
        <f>SUM(AX113:AX121)</f>
        <v>8624.06</v>
      </c>
      <c r="AY112" s="118"/>
      <c r="AZ112" s="118"/>
      <c r="BA112" s="118">
        <f>SUM(BA113:BA121)</f>
        <v>8624.06</v>
      </c>
      <c r="BB112" s="118"/>
      <c r="BC112" s="118"/>
      <c r="BD112" s="118">
        <f>SUM(BD113:BD121)</f>
        <v>8624.06</v>
      </c>
      <c r="BE112" s="118"/>
      <c r="BF112" s="118"/>
      <c r="BG112" s="118">
        <f>SUM(BG113:BG121)</f>
        <v>8624.06</v>
      </c>
      <c r="BH112" s="118"/>
      <c r="BI112" s="118"/>
      <c r="BJ112" s="118">
        <f>SUM(BJ113:BJ121)</f>
        <v>8624.06</v>
      </c>
      <c r="BK112" s="118"/>
      <c r="BL112" s="306"/>
      <c r="BM112" s="311"/>
      <c r="BN112" s="314"/>
    </row>
    <row r="113" s="263" customFormat="1" ht="33.95" hidden="1" customHeight="1" outlineLevel="5" spans="2:66">
      <c r="B113" s="174" t="s">
        <v>799</v>
      </c>
      <c r="C113" s="283" t="s">
        <v>985</v>
      </c>
      <c r="D113" s="263" t="s">
        <v>986</v>
      </c>
      <c r="E113" s="174" t="s">
        <v>987</v>
      </c>
      <c r="F113" s="174"/>
      <c r="G113" s="174" t="s">
        <v>803</v>
      </c>
      <c r="H113" s="174">
        <f t="shared" ref="H113:H121" si="187">AB113</f>
        <v>104807.3</v>
      </c>
      <c r="I113" s="174" t="s">
        <v>804</v>
      </c>
      <c r="J113" s="174">
        <f t="shared" ref="J113:J121" si="188">SUM(AD113,AG113,AJ113,AM113,AP113,AS113,AV113,AY113,BB113,BE113,BH113,BK113)/N113</f>
        <v>1</v>
      </c>
      <c r="K113" s="174" t="s">
        <v>805</v>
      </c>
      <c r="L113" s="174">
        <f t="shared" ref="L113:L121" si="189">H113/N113/J113</f>
        <v>8733.94166666666</v>
      </c>
      <c r="M113" s="174" t="s">
        <v>806</v>
      </c>
      <c r="N113" s="174">
        <f t="shared" ref="N113:N121" si="190">COUNTIF(AD113,"&gt;0")+COUNTIF(AG113,"&gt;0")+COUNTIF(AJ113,"&gt;0")+COUNTIF(AM113,"&gt;0")+COUNTIF(AP113,"&gt;0")+COUNTIF(AS113,"&gt;0")+COUNTIF(AV113,"&gt;0")+COUNTIF(AY113,"&gt;0")+COUNTIF(BB113,"&gt;0")+COUNTIF(BE113,"&gt;0")+COUNTIF(BH113,"&gt;0")+COUNTIF(BK113,"&gt;0")</f>
        <v>12</v>
      </c>
      <c r="O113" s="174"/>
      <c r="P113" s="290"/>
      <c r="Q113" s="290"/>
      <c r="R113" s="290"/>
      <c r="S113" s="290"/>
      <c r="T113" s="290"/>
      <c r="U113" s="290"/>
      <c r="V113" s="290"/>
      <c r="W113" s="290"/>
      <c r="X113" s="290"/>
      <c r="Y113" s="290"/>
      <c r="Z113" s="290"/>
      <c r="AA113" s="290"/>
      <c r="AB113" s="174">
        <f t="shared" ref="AB113:AB121" si="191">SUM(AC113,AF113,AI113,AL113,AO113,AR113,AU113,AX113,BA113,BD113,BG113,BJ113)</f>
        <v>104807.3</v>
      </c>
      <c r="AC113" s="174">
        <f t="shared" ref="AC113:AC121" si="192">AD113*AE113</f>
        <v>9942.64</v>
      </c>
      <c r="AD113" s="174">
        <f>SUMIFS('1-2 人员岗位信息'!F:F,'1-2 人员岗位信息'!$C:$C,"自有人员",'1-2 人员岗位信息'!$B:$B,$D113)</f>
        <v>1</v>
      </c>
      <c r="AE113" s="298">
        <f>自有人工预算!E25/AD113</f>
        <v>9942.64</v>
      </c>
      <c r="AF113" s="174">
        <f t="shared" ref="AF113:AF121" si="193">AG113*AH113</f>
        <v>8624.06</v>
      </c>
      <c r="AG113" s="174">
        <f>SUMIFS('1-2 人员岗位信息'!G:G,'1-2 人员岗位信息'!$C:$C,"自有人员",'1-2 人员岗位信息'!$B:$B,$D113)</f>
        <v>1</v>
      </c>
      <c r="AH113" s="298">
        <f>自有人工预算!F25/AG113</f>
        <v>8624.06</v>
      </c>
      <c r="AI113" s="174">
        <f t="shared" ref="AI113:AI121" si="194">AJ113*AK113</f>
        <v>8624.06</v>
      </c>
      <c r="AJ113" s="174">
        <f>SUMIFS('1-2 人员岗位信息'!H:H,'1-2 人员岗位信息'!$C:$C,"自有人员",'1-2 人员岗位信息'!$B:$B,$D113)</f>
        <v>1</v>
      </c>
      <c r="AK113" s="298">
        <f>自有人工预算!G25/AJ113</f>
        <v>8624.06</v>
      </c>
      <c r="AL113" s="174">
        <f t="shared" ref="AL113:AL121" si="195">AM113*AN113</f>
        <v>8624.06</v>
      </c>
      <c r="AM113" s="174">
        <f>SUMIFS('1-2 人员岗位信息'!I:I,'1-2 人员岗位信息'!$C:$C,"自有人员",'1-2 人员岗位信息'!$B:$B,$D113)</f>
        <v>1</v>
      </c>
      <c r="AN113" s="298">
        <f>自有人工预算!H25/AM113</f>
        <v>8624.06</v>
      </c>
      <c r="AO113" s="174">
        <f t="shared" ref="AO113:AO121" si="196">AP113*AQ113</f>
        <v>8624.06</v>
      </c>
      <c r="AP113" s="174">
        <f>SUMIFS('1-2 人员岗位信息'!J:J,'1-2 人员岗位信息'!$C:$C,"自有人员",'1-2 人员岗位信息'!$B:$B,$D113)</f>
        <v>1</v>
      </c>
      <c r="AQ113" s="298">
        <f>自有人工预算!I25/AP113</f>
        <v>8624.06</v>
      </c>
      <c r="AR113" s="174">
        <f t="shared" ref="AR113:AR121" si="197">AS113*AT113</f>
        <v>8624.06</v>
      </c>
      <c r="AS113" s="174">
        <f>SUMIFS('1-2 人员岗位信息'!K:K,'1-2 人员岗位信息'!$C:$C,"自有人员",'1-2 人员岗位信息'!$B:$B,$D113)</f>
        <v>1</v>
      </c>
      <c r="AT113" s="298">
        <f>自有人工预算!J25/AS113</f>
        <v>8624.06</v>
      </c>
      <c r="AU113" s="174">
        <f t="shared" ref="AU113:AU121" si="198">AV113*AW113</f>
        <v>8624.06</v>
      </c>
      <c r="AV113" s="174">
        <f>SUMIFS('1-2 人员岗位信息'!L:L,'1-2 人员岗位信息'!$C:$C,"自有人员",'1-2 人员岗位信息'!$B:$B,$D113)</f>
        <v>1</v>
      </c>
      <c r="AW113" s="298">
        <f>自有人工预算!K25/AV113</f>
        <v>8624.06</v>
      </c>
      <c r="AX113" s="174">
        <f t="shared" ref="AX113:AX121" si="199">AY113*AZ113</f>
        <v>8624.06</v>
      </c>
      <c r="AY113" s="174">
        <f>SUMIFS('1-2 人员岗位信息'!M:M,'1-2 人员岗位信息'!$C:$C,"自有人员",'1-2 人员岗位信息'!$B:$B,$D113)</f>
        <v>1</v>
      </c>
      <c r="AZ113" s="298">
        <f>自有人工预算!L25/AY113</f>
        <v>8624.06</v>
      </c>
      <c r="BA113" s="174">
        <f t="shared" ref="BA113:BA121" si="200">BB113*BC113</f>
        <v>8624.06</v>
      </c>
      <c r="BB113" s="174">
        <f>SUMIFS('1-2 人员岗位信息'!N:N,'1-2 人员岗位信息'!$C:$C,"自有人员",'1-2 人员岗位信息'!$B:$B,$D113)</f>
        <v>1</v>
      </c>
      <c r="BC113" s="298">
        <f>自有人工预算!M25/BB113</f>
        <v>8624.06</v>
      </c>
      <c r="BD113" s="174">
        <f t="shared" ref="BD113:BD121" si="201">BE113*BF113</f>
        <v>8624.06</v>
      </c>
      <c r="BE113" s="174">
        <f>SUMIFS('1-2 人员岗位信息'!O:O,'1-2 人员岗位信息'!$C:$C,"自有人员",'1-2 人员岗位信息'!$B:$B,$D113)</f>
        <v>1</v>
      </c>
      <c r="BF113" s="298">
        <f>自有人工预算!N25/BE113</f>
        <v>8624.06</v>
      </c>
      <c r="BG113" s="174">
        <f t="shared" ref="BG113:BG121" si="202">BH113*BI113</f>
        <v>8624.06</v>
      </c>
      <c r="BH113" s="174">
        <f>SUMIFS('1-2 人员岗位信息'!P:P,'1-2 人员岗位信息'!$C:$C,"自有人员",'1-2 人员岗位信息'!$B:$B,$D113)</f>
        <v>1</v>
      </c>
      <c r="BI113" s="298">
        <f>自有人工预算!O25/BH113</f>
        <v>8624.06</v>
      </c>
      <c r="BJ113" s="174">
        <f t="shared" ref="BJ113:BJ121" si="203">BK113*BL113</f>
        <v>8624.06</v>
      </c>
      <c r="BK113" s="174">
        <f>SUMIFS('1-2 人员岗位信息'!Q:Q,'1-2 人员岗位信息'!$C:$C,"自有人员",'1-2 人员岗位信息'!$B:$B,$D113)</f>
        <v>1</v>
      </c>
      <c r="BL113" s="298">
        <f>自有人工预算!P25/BK113</f>
        <v>8624.06</v>
      </c>
      <c r="BM113" s="311"/>
      <c r="BN113" s="315"/>
    </row>
    <row r="114" s="263" customFormat="1" ht="33.95" hidden="1" customHeight="1" outlineLevel="5" spans="2:66">
      <c r="B114" s="174" t="s">
        <v>799</v>
      </c>
      <c r="C114" s="283" t="s">
        <v>988</v>
      </c>
      <c r="D114" s="263" t="s">
        <v>989</v>
      </c>
      <c r="E114" s="174" t="s">
        <v>990</v>
      </c>
      <c r="F114" s="174"/>
      <c r="G114" s="174" t="s">
        <v>803</v>
      </c>
      <c r="H114" s="174">
        <f t="shared" si="187"/>
        <v>0</v>
      </c>
      <c r="I114" s="174" t="s">
        <v>804</v>
      </c>
      <c r="J114" s="174" t="e">
        <f t="shared" si="188"/>
        <v>#DIV/0!</v>
      </c>
      <c r="K114" s="174" t="s">
        <v>805</v>
      </c>
      <c r="L114" s="174" t="e">
        <f t="shared" si="189"/>
        <v>#DIV/0!</v>
      </c>
      <c r="M114" s="174" t="s">
        <v>806</v>
      </c>
      <c r="N114" s="174">
        <f t="shared" si="190"/>
        <v>0</v>
      </c>
      <c r="O114" s="174"/>
      <c r="P114" s="290"/>
      <c r="Q114" s="290"/>
      <c r="R114" s="290"/>
      <c r="S114" s="290"/>
      <c r="T114" s="290"/>
      <c r="U114" s="290"/>
      <c r="V114" s="290"/>
      <c r="W114" s="290"/>
      <c r="X114" s="290"/>
      <c r="Y114" s="290"/>
      <c r="Z114" s="290"/>
      <c r="AA114" s="290"/>
      <c r="AB114" s="174">
        <f t="shared" si="191"/>
        <v>0</v>
      </c>
      <c r="AC114" s="174">
        <f t="shared" si="192"/>
        <v>0</v>
      </c>
      <c r="AD114" s="174">
        <f>SUMIFS('1-2 人员岗位信息'!F:F,'1-2 人员岗位信息'!$C:$C,"自有人员",'1-2 人员岗位信息'!$B:$B,$D114)</f>
        <v>0</v>
      </c>
      <c r="AE114" s="298"/>
      <c r="AF114" s="174">
        <f t="shared" si="193"/>
        <v>0</v>
      </c>
      <c r="AG114" s="174">
        <f>SUMIFS('1-2 人员岗位信息'!G:G,'1-2 人员岗位信息'!$C:$C,"自有人员",'1-2 人员岗位信息'!$B:$B,$D114)</f>
        <v>0</v>
      </c>
      <c r="AH114" s="298"/>
      <c r="AI114" s="174">
        <f t="shared" si="194"/>
        <v>0</v>
      </c>
      <c r="AJ114" s="174">
        <f>SUMIFS('1-2 人员岗位信息'!H:H,'1-2 人员岗位信息'!$C:$C,"自有人员",'1-2 人员岗位信息'!$B:$B,$D114)</f>
        <v>0</v>
      </c>
      <c r="AK114" s="298"/>
      <c r="AL114" s="174">
        <f t="shared" si="195"/>
        <v>0</v>
      </c>
      <c r="AM114" s="174">
        <f>SUMIFS('1-2 人员岗位信息'!I:I,'1-2 人员岗位信息'!$C:$C,"自有人员",'1-2 人员岗位信息'!$B:$B,$D114)</f>
        <v>0</v>
      </c>
      <c r="AN114" s="298"/>
      <c r="AO114" s="174">
        <f t="shared" si="196"/>
        <v>0</v>
      </c>
      <c r="AP114" s="174">
        <f>SUMIFS('1-2 人员岗位信息'!J:J,'1-2 人员岗位信息'!$C:$C,"自有人员",'1-2 人员岗位信息'!$B:$B,$D114)</f>
        <v>0</v>
      </c>
      <c r="AQ114" s="298"/>
      <c r="AR114" s="174">
        <f t="shared" si="197"/>
        <v>0</v>
      </c>
      <c r="AS114" s="174">
        <f>SUMIFS('1-2 人员岗位信息'!K:K,'1-2 人员岗位信息'!$C:$C,"自有人员",'1-2 人员岗位信息'!$B:$B,$D114)</f>
        <v>0</v>
      </c>
      <c r="AT114" s="298"/>
      <c r="AU114" s="174">
        <f t="shared" si="198"/>
        <v>0</v>
      </c>
      <c r="AV114" s="174">
        <f>SUMIFS('1-2 人员岗位信息'!L:L,'1-2 人员岗位信息'!$C:$C,"自有人员",'1-2 人员岗位信息'!$B:$B,$D114)</f>
        <v>0</v>
      </c>
      <c r="AW114" s="298"/>
      <c r="AX114" s="174">
        <f t="shared" si="199"/>
        <v>0</v>
      </c>
      <c r="AY114" s="174">
        <f>SUMIFS('1-2 人员岗位信息'!M:M,'1-2 人员岗位信息'!$C:$C,"自有人员",'1-2 人员岗位信息'!$B:$B,$D114)</f>
        <v>0</v>
      </c>
      <c r="AZ114" s="298"/>
      <c r="BA114" s="174">
        <f t="shared" si="200"/>
        <v>0</v>
      </c>
      <c r="BB114" s="174">
        <f>SUMIFS('1-2 人员岗位信息'!N:N,'1-2 人员岗位信息'!$C:$C,"自有人员",'1-2 人员岗位信息'!$B:$B,$D114)</f>
        <v>0</v>
      </c>
      <c r="BC114" s="298"/>
      <c r="BD114" s="174">
        <f t="shared" si="201"/>
        <v>0</v>
      </c>
      <c r="BE114" s="174">
        <f>SUMIFS('1-2 人员岗位信息'!O:O,'1-2 人员岗位信息'!$C:$C,"自有人员",'1-2 人员岗位信息'!$B:$B,$D114)</f>
        <v>0</v>
      </c>
      <c r="BF114" s="298"/>
      <c r="BG114" s="174">
        <f t="shared" si="202"/>
        <v>0</v>
      </c>
      <c r="BH114" s="174">
        <f>SUMIFS('1-2 人员岗位信息'!P:P,'1-2 人员岗位信息'!$C:$C,"自有人员",'1-2 人员岗位信息'!$B:$B,$D114)</f>
        <v>0</v>
      </c>
      <c r="BI114" s="298"/>
      <c r="BJ114" s="174">
        <f t="shared" si="203"/>
        <v>0</v>
      </c>
      <c r="BK114" s="174">
        <f>SUMIFS('1-2 人员岗位信息'!Q:Q,'1-2 人员岗位信息'!$C:$C,"自有人员",'1-2 人员岗位信息'!$B:$B,$D114)</f>
        <v>0</v>
      </c>
      <c r="BL114" s="307"/>
      <c r="BM114" s="311"/>
      <c r="BN114" s="315"/>
    </row>
    <row r="115" s="263" customFormat="1" ht="33.95" hidden="1" customHeight="1" outlineLevel="5" spans="2:66">
      <c r="B115" s="174" t="s">
        <v>799</v>
      </c>
      <c r="C115" s="283" t="s">
        <v>991</v>
      </c>
      <c r="D115" s="263" t="s">
        <v>992</v>
      </c>
      <c r="E115" s="174" t="s">
        <v>993</v>
      </c>
      <c r="F115" s="174"/>
      <c r="G115" s="174" t="s">
        <v>803</v>
      </c>
      <c r="H115" s="174">
        <f t="shared" si="187"/>
        <v>0</v>
      </c>
      <c r="I115" s="174" t="s">
        <v>804</v>
      </c>
      <c r="J115" s="174" t="e">
        <f t="shared" si="188"/>
        <v>#DIV/0!</v>
      </c>
      <c r="K115" s="174" t="s">
        <v>805</v>
      </c>
      <c r="L115" s="174" t="e">
        <f t="shared" si="189"/>
        <v>#DIV/0!</v>
      </c>
      <c r="M115" s="174" t="s">
        <v>806</v>
      </c>
      <c r="N115" s="174">
        <f t="shared" si="190"/>
        <v>0</v>
      </c>
      <c r="O115" s="174"/>
      <c r="P115" s="290"/>
      <c r="Q115" s="290"/>
      <c r="R115" s="290"/>
      <c r="S115" s="290"/>
      <c r="T115" s="290"/>
      <c r="U115" s="290"/>
      <c r="V115" s="290"/>
      <c r="W115" s="290"/>
      <c r="X115" s="290"/>
      <c r="Y115" s="290"/>
      <c r="Z115" s="290"/>
      <c r="AA115" s="290"/>
      <c r="AB115" s="174">
        <f t="shared" si="191"/>
        <v>0</v>
      </c>
      <c r="AC115" s="174">
        <f t="shared" si="192"/>
        <v>0</v>
      </c>
      <c r="AD115" s="174">
        <f>SUMIFS('1-2 人员岗位信息'!F:F,'1-2 人员岗位信息'!$C:$C,"自有人员",'1-2 人员岗位信息'!$B:$B,$D115)</f>
        <v>0</v>
      </c>
      <c r="AE115" s="298"/>
      <c r="AF115" s="174">
        <f t="shared" si="193"/>
        <v>0</v>
      </c>
      <c r="AG115" s="174">
        <f>SUMIFS('1-2 人员岗位信息'!G:G,'1-2 人员岗位信息'!$C:$C,"自有人员",'1-2 人员岗位信息'!$B:$B,$D115)</f>
        <v>0</v>
      </c>
      <c r="AH115" s="298"/>
      <c r="AI115" s="174">
        <f t="shared" si="194"/>
        <v>0</v>
      </c>
      <c r="AJ115" s="174">
        <f>SUMIFS('1-2 人员岗位信息'!H:H,'1-2 人员岗位信息'!$C:$C,"自有人员",'1-2 人员岗位信息'!$B:$B,$D115)</f>
        <v>0</v>
      </c>
      <c r="AK115" s="298"/>
      <c r="AL115" s="174">
        <f t="shared" si="195"/>
        <v>0</v>
      </c>
      <c r="AM115" s="174">
        <f>SUMIFS('1-2 人员岗位信息'!I:I,'1-2 人员岗位信息'!$C:$C,"自有人员",'1-2 人员岗位信息'!$B:$B,$D115)</f>
        <v>0</v>
      </c>
      <c r="AN115" s="298"/>
      <c r="AO115" s="174">
        <f t="shared" si="196"/>
        <v>0</v>
      </c>
      <c r="AP115" s="174">
        <f>SUMIFS('1-2 人员岗位信息'!J:J,'1-2 人员岗位信息'!$C:$C,"自有人员",'1-2 人员岗位信息'!$B:$B,$D115)</f>
        <v>0</v>
      </c>
      <c r="AQ115" s="298"/>
      <c r="AR115" s="174">
        <f t="shared" si="197"/>
        <v>0</v>
      </c>
      <c r="AS115" s="174">
        <f>SUMIFS('1-2 人员岗位信息'!K:K,'1-2 人员岗位信息'!$C:$C,"自有人员",'1-2 人员岗位信息'!$B:$B,$D115)</f>
        <v>0</v>
      </c>
      <c r="AT115" s="298"/>
      <c r="AU115" s="174">
        <f t="shared" si="198"/>
        <v>0</v>
      </c>
      <c r="AV115" s="174">
        <f>SUMIFS('1-2 人员岗位信息'!L:L,'1-2 人员岗位信息'!$C:$C,"自有人员",'1-2 人员岗位信息'!$B:$B,$D115)</f>
        <v>0</v>
      </c>
      <c r="AW115" s="298"/>
      <c r="AX115" s="174">
        <f t="shared" si="199"/>
        <v>0</v>
      </c>
      <c r="AY115" s="174">
        <f>SUMIFS('1-2 人员岗位信息'!M:M,'1-2 人员岗位信息'!$C:$C,"自有人员",'1-2 人员岗位信息'!$B:$B,$D115)</f>
        <v>0</v>
      </c>
      <c r="AZ115" s="298"/>
      <c r="BA115" s="174">
        <f t="shared" si="200"/>
        <v>0</v>
      </c>
      <c r="BB115" s="174">
        <f>SUMIFS('1-2 人员岗位信息'!N:N,'1-2 人员岗位信息'!$C:$C,"自有人员",'1-2 人员岗位信息'!$B:$B,$D115)</f>
        <v>0</v>
      </c>
      <c r="BC115" s="298"/>
      <c r="BD115" s="174">
        <f t="shared" si="201"/>
        <v>0</v>
      </c>
      <c r="BE115" s="174">
        <f>SUMIFS('1-2 人员岗位信息'!O:O,'1-2 人员岗位信息'!$C:$C,"自有人员",'1-2 人员岗位信息'!$B:$B,$D115)</f>
        <v>0</v>
      </c>
      <c r="BF115" s="298"/>
      <c r="BG115" s="174">
        <f t="shared" si="202"/>
        <v>0</v>
      </c>
      <c r="BH115" s="174">
        <f>SUMIFS('1-2 人员岗位信息'!P:P,'1-2 人员岗位信息'!$C:$C,"自有人员",'1-2 人员岗位信息'!$B:$B,$D115)</f>
        <v>0</v>
      </c>
      <c r="BI115" s="298"/>
      <c r="BJ115" s="174">
        <f t="shared" si="203"/>
        <v>0</v>
      </c>
      <c r="BK115" s="174">
        <f>SUMIFS('1-2 人员岗位信息'!Q:Q,'1-2 人员岗位信息'!$C:$C,"自有人员",'1-2 人员岗位信息'!$B:$B,$D115)</f>
        <v>0</v>
      </c>
      <c r="BL115" s="307"/>
      <c r="BM115" s="311"/>
      <c r="BN115" s="315"/>
    </row>
    <row r="116" s="263" customFormat="1" ht="33.95" hidden="1" customHeight="1" outlineLevel="5" spans="2:66">
      <c r="B116" s="174" t="s">
        <v>799</v>
      </c>
      <c r="C116" s="283" t="s">
        <v>994</v>
      </c>
      <c r="D116" s="263" t="s">
        <v>995</v>
      </c>
      <c r="E116" s="174" t="s">
        <v>996</v>
      </c>
      <c r="F116" s="174"/>
      <c r="G116" s="174" t="s">
        <v>803</v>
      </c>
      <c r="H116" s="174">
        <f t="shared" si="187"/>
        <v>0</v>
      </c>
      <c r="I116" s="174" t="s">
        <v>804</v>
      </c>
      <c r="J116" s="174" t="e">
        <f t="shared" si="188"/>
        <v>#DIV/0!</v>
      </c>
      <c r="K116" s="174" t="s">
        <v>805</v>
      </c>
      <c r="L116" s="174" t="e">
        <f t="shared" si="189"/>
        <v>#DIV/0!</v>
      </c>
      <c r="M116" s="174" t="s">
        <v>806</v>
      </c>
      <c r="N116" s="174">
        <f t="shared" si="190"/>
        <v>0</v>
      </c>
      <c r="O116" s="174"/>
      <c r="P116" s="290"/>
      <c r="Q116" s="290"/>
      <c r="R116" s="290"/>
      <c r="S116" s="290"/>
      <c r="T116" s="290"/>
      <c r="U116" s="290"/>
      <c r="V116" s="290"/>
      <c r="W116" s="290"/>
      <c r="X116" s="290"/>
      <c r="Y116" s="290"/>
      <c r="Z116" s="290"/>
      <c r="AA116" s="290"/>
      <c r="AB116" s="174">
        <f t="shared" si="191"/>
        <v>0</v>
      </c>
      <c r="AC116" s="174">
        <f t="shared" si="192"/>
        <v>0</v>
      </c>
      <c r="AD116" s="174">
        <f>SUMIFS('1-2 人员岗位信息'!F:F,'1-2 人员岗位信息'!$C:$C,"自有人员",'1-2 人员岗位信息'!$B:$B,$D116)</f>
        <v>0</v>
      </c>
      <c r="AE116" s="298"/>
      <c r="AF116" s="174">
        <f t="shared" si="193"/>
        <v>0</v>
      </c>
      <c r="AG116" s="174">
        <f>SUMIFS('1-2 人员岗位信息'!G:G,'1-2 人员岗位信息'!$C:$C,"自有人员",'1-2 人员岗位信息'!$B:$B,$D116)</f>
        <v>0</v>
      </c>
      <c r="AH116" s="298"/>
      <c r="AI116" s="174">
        <f t="shared" si="194"/>
        <v>0</v>
      </c>
      <c r="AJ116" s="174">
        <f>SUMIFS('1-2 人员岗位信息'!H:H,'1-2 人员岗位信息'!$C:$C,"自有人员",'1-2 人员岗位信息'!$B:$B,$D116)</f>
        <v>0</v>
      </c>
      <c r="AK116" s="298"/>
      <c r="AL116" s="174">
        <f t="shared" si="195"/>
        <v>0</v>
      </c>
      <c r="AM116" s="174">
        <f>SUMIFS('1-2 人员岗位信息'!I:I,'1-2 人员岗位信息'!$C:$C,"自有人员",'1-2 人员岗位信息'!$B:$B,$D116)</f>
        <v>0</v>
      </c>
      <c r="AN116" s="298"/>
      <c r="AO116" s="174">
        <f t="shared" si="196"/>
        <v>0</v>
      </c>
      <c r="AP116" s="174">
        <f>SUMIFS('1-2 人员岗位信息'!J:J,'1-2 人员岗位信息'!$C:$C,"自有人员",'1-2 人员岗位信息'!$B:$B,$D116)</f>
        <v>0</v>
      </c>
      <c r="AQ116" s="298"/>
      <c r="AR116" s="174">
        <f t="shared" si="197"/>
        <v>0</v>
      </c>
      <c r="AS116" s="174">
        <f>SUMIFS('1-2 人员岗位信息'!K:K,'1-2 人员岗位信息'!$C:$C,"自有人员",'1-2 人员岗位信息'!$B:$B,$D116)</f>
        <v>0</v>
      </c>
      <c r="AT116" s="298"/>
      <c r="AU116" s="174">
        <f t="shared" si="198"/>
        <v>0</v>
      </c>
      <c r="AV116" s="174">
        <f>SUMIFS('1-2 人员岗位信息'!L:L,'1-2 人员岗位信息'!$C:$C,"自有人员",'1-2 人员岗位信息'!$B:$B,$D116)</f>
        <v>0</v>
      </c>
      <c r="AW116" s="298"/>
      <c r="AX116" s="174">
        <f t="shared" si="199"/>
        <v>0</v>
      </c>
      <c r="AY116" s="174">
        <f>SUMIFS('1-2 人员岗位信息'!M:M,'1-2 人员岗位信息'!$C:$C,"自有人员",'1-2 人员岗位信息'!$B:$B,$D116)</f>
        <v>0</v>
      </c>
      <c r="AZ116" s="298"/>
      <c r="BA116" s="174">
        <f t="shared" si="200"/>
        <v>0</v>
      </c>
      <c r="BB116" s="174">
        <f>SUMIFS('1-2 人员岗位信息'!N:N,'1-2 人员岗位信息'!$C:$C,"自有人员",'1-2 人员岗位信息'!$B:$B,$D116)</f>
        <v>0</v>
      </c>
      <c r="BC116" s="298"/>
      <c r="BD116" s="174">
        <f t="shared" si="201"/>
        <v>0</v>
      </c>
      <c r="BE116" s="174">
        <f>SUMIFS('1-2 人员岗位信息'!O:O,'1-2 人员岗位信息'!$C:$C,"自有人员",'1-2 人员岗位信息'!$B:$B,$D116)</f>
        <v>0</v>
      </c>
      <c r="BF116" s="298"/>
      <c r="BG116" s="174">
        <f t="shared" si="202"/>
        <v>0</v>
      </c>
      <c r="BH116" s="174">
        <f>SUMIFS('1-2 人员岗位信息'!P:P,'1-2 人员岗位信息'!$C:$C,"自有人员",'1-2 人员岗位信息'!$B:$B,$D116)</f>
        <v>0</v>
      </c>
      <c r="BI116" s="298"/>
      <c r="BJ116" s="174">
        <f t="shared" si="203"/>
        <v>0</v>
      </c>
      <c r="BK116" s="174">
        <f>SUMIFS('1-2 人员岗位信息'!Q:Q,'1-2 人员岗位信息'!$C:$C,"自有人员",'1-2 人员岗位信息'!$B:$B,$D116)</f>
        <v>0</v>
      </c>
      <c r="BL116" s="307"/>
      <c r="BM116" s="311"/>
      <c r="BN116" s="315"/>
    </row>
    <row r="117" s="263" customFormat="1" ht="33.95" hidden="1" customHeight="1" outlineLevel="5" spans="2:66">
      <c r="B117" s="174" t="s">
        <v>799</v>
      </c>
      <c r="C117" s="283" t="s">
        <v>997</v>
      </c>
      <c r="D117" s="263" t="s">
        <v>998</v>
      </c>
      <c r="E117" s="174" t="s">
        <v>996</v>
      </c>
      <c r="F117" s="174"/>
      <c r="G117" s="174" t="s">
        <v>803</v>
      </c>
      <c r="H117" s="174">
        <f t="shared" si="187"/>
        <v>0</v>
      </c>
      <c r="I117" s="174" t="s">
        <v>804</v>
      </c>
      <c r="J117" s="174" t="e">
        <f t="shared" si="188"/>
        <v>#DIV/0!</v>
      </c>
      <c r="K117" s="174" t="s">
        <v>805</v>
      </c>
      <c r="L117" s="174" t="e">
        <f t="shared" si="189"/>
        <v>#DIV/0!</v>
      </c>
      <c r="M117" s="174" t="s">
        <v>806</v>
      </c>
      <c r="N117" s="174">
        <f t="shared" si="190"/>
        <v>0</v>
      </c>
      <c r="O117" s="174"/>
      <c r="P117" s="290"/>
      <c r="Q117" s="290"/>
      <c r="R117" s="290"/>
      <c r="S117" s="290"/>
      <c r="T117" s="290"/>
      <c r="U117" s="290"/>
      <c r="V117" s="290"/>
      <c r="W117" s="290"/>
      <c r="X117" s="290"/>
      <c r="Y117" s="290"/>
      <c r="Z117" s="290"/>
      <c r="AA117" s="290"/>
      <c r="AB117" s="174">
        <f t="shared" si="191"/>
        <v>0</v>
      </c>
      <c r="AC117" s="174">
        <f t="shared" si="192"/>
        <v>0</v>
      </c>
      <c r="AD117" s="174">
        <f>SUMIFS('1-2 人员岗位信息'!F:F,'1-2 人员岗位信息'!$C:$C,"自有人员",'1-2 人员岗位信息'!$B:$B,$D117)</f>
        <v>0</v>
      </c>
      <c r="AE117" s="298"/>
      <c r="AF117" s="174">
        <f t="shared" si="193"/>
        <v>0</v>
      </c>
      <c r="AG117" s="174">
        <f>SUMIFS('1-2 人员岗位信息'!G:G,'1-2 人员岗位信息'!$C:$C,"自有人员",'1-2 人员岗位信息'!$B:$B,$D117)</f>
        <v>0</v>
      </c>
      <c r="AH117" s="298"/>
      <c r="AI117" s="174">
        <f t="shared" si="194"/>
        <v>0</v>
      </c>
      <c r="AJ117" s="174">
        <f>SUMIFS('1-2 人员岗位信息'!H:H,'1-2 人员岗位信息'!$C:$C,"自有人员",'1-2 人员岗位信息'!$B:$B,$D117)</f>
        <v>0</v>
      </c>
      <c r="AK117" s="298"/>
      <c r="AL117" s="174">
        <f t="shared" si="195"/>
        <v>0</v>
      </c>
      <c r="AM117" s="174">
        <f>SUMIFS('1-2 人员岗位信息'!I:I,'1-2 人员岗位信息'!$C:$C,"自有人员",'1-2 人员岗位信息'!$B:$B,$D117)</f>
        <v>0</v>
      </c>
      <c r="AN117" s="298"/>
      <c r="AO117" s="174">
        <f t="shared" si="196"/>
        <v>0</v>
      </c>
      <c r="AP117" s="174">
        <f>SUMIFS('1-2 人员岗位信息'!J:J,'1-2 人员岗位信息'!$C:$C,"自有人员",'1-2 人员岗位信息'!$B:$B,$D117)</f>
        <v>0</v>
      </c>
      <c r="AQ117" s="298"/>
      <c r="AR117" s="174">
        <f t="shared" si="197"/>
        <v>0</v>
      </c>
      <c r="AS117" s="174">
        <f>SUMIFS('1-2 人员岗位信息'!K:K,'1-2 人员岗位信息'!$C:$C,"自有人员",'1-2 人员岗位信息'!$B:$B,$D117)</f>
        <v>0</v>
      </c>
      <c r="AT117" s="298"/>
      <c r="AU117" s="174">
        <f t="shared" si="198"/>
        <v>0</v>
      </c>
      <c r="AV117" s="174">
        <f>SUMIFS('1-2 人员岗位信息'!L:L,'1-2 人员岗位信息'!$C:$C,"自有人员",'1-2 人员岗位信息'!$B:$B,$D117)</f>
        <v>0</v>
      </c>
      <c r="AW117" s="298"/>
      <c r="AX117" s="174">
        <f t="shared" si="199"/>
        <v>0</v>
      </c>
      <c r="AY117" s="174">
        <f>SUMIFS('1-2 人员岗位信息'!M:M,'1-2 人员岗位信息'!$C:$C,"自有人员",'1-2 人员岗位信息'!$B:$B,$D117)</f>
        <v>0</v>
      </c>
      <c r="AZ117" s="298"/>
      <c r="BA117" s="174">
        <f t="shared" si="200"/>
        <v>0</v>
      </c>
      <c r="BB117" s="174">
        <f>SUMIFS('1-2 人员岗位信息'!N:N,'1-2 人员岗位信息'!$C:$C,"自有人员",'1-2 人员岗位信息'!$B:$B,$D117)</f>
        <v>0</v>
      </c>
      <c r="BC117" s="298"/>
      <c r="BD117" s="174">
        <f t="shared" si="201"/>
        <v>0</v>
      </c>
      <c r="BE117" s="174">
        <f>SUMIFS('1-2 人员岗位信息'!O:O,'1-2 人员岗位信息'!$C:$C,"自有人员",'1-2 人员岗位信息'!$B:$B,$D117)</f>
        <v>0</v>
      </c>
      <c r="BF117" s="298"/>
      <c r="BG117" s="174">
        <f t="shared" si="202"/>
        <v>0</v>
      </c>
      <c r="BH117" s="174">
        <f>SUMIFS('1-2 人员岗位信息'!P:P,'1-2 人员岗位信息'!$C:$C,"自有人员",'1-2 人员岗位信息'!$B:$B,$D117)</f>
        <v>0</v>
      </c>
      <c r="BI117" s="298"/>
      <c r="BJ117" s="174">
        <f t="shared" si="203"/>
        <v>0</v>
      </c>
      <c r="BK117" s="174">
        <f>SUMIFS('1-2 人员岗位信息'!Q:Q,'1-2 人员岗位信息'!$C:$C,"自有人员",'1-2 人员岗位信息'!$B:$B,$D117)</f>
        <v>0</v>
      </c>
      <c r="BL117" s="307"/>
      <c r="BM117" s="311"/>
      <c r="BN117" s="315"/>
    </row>
    <row r="118" s="263" customFormat="1" ht="33.95" hidden="1" customHeight="1" outlineLevel="5" spans="2:66">
      <c r="B118" s="174" t="s">
        <v>799</v>
      </c>
      <c r="C118" s="283" t="s">
        <v>999</v>
      </c>
      <c r="D118" s="263" t="s">
        <v>1000</v>
      </c>
      <c r="E118" s="174" t="s">
        <v>996</v>
      </c>
      <c r="F118" s="174"/>
      <c r="G118" s="174" t="s">
        <v>803</v>
      </c>
      <c r="H118" s="174">
        <f t="shared" si="187"/>
        <v>0</v>
      </c>
      <c r="I118" s="174" t="s">
        <v>804</v>
      </c>
      <c r="J118" s="174" t="e">
        <f t="shared" si="188"/>
        <v>#DIV/0!</v>
      </c>
      <c r="K118" s="174" t="s">
        <v>805</v>
      </c>
      <c r="L118" s="174" t="e">
        <f t="shared" si="189"/>
        <v>#DIV/0!</v>
      </c>
      <c r="M118" s="174" t="s">
        <v>806</v>
      </c>
      <c r="N118" s="174">
        <f t="shared" si="190"/>
        <v>0</v>
      </c>
      <c r="O118" s="174"/>
      <c r="P118" s="290"/>
      <c r="Q118" s="290"/>
      <c r="R118" s="290"/>
      <c r="S118" s="290"/>
      <c r="T118" s="290"/>
      <c r="U118" s="290"/>
      <c r="V118" s="290"/>
      <c r="W118" s="290"/>
      <c r="X118" s="290"/>
      <c r="Y118" s="290"/>
      <c r="Z118" s="290"/>
      <c r="AA118" s="290"/>
      <c r="AB118" s="174">
        <f t="shared" si="191"/>
        <v>0</v>
      </c>
      <c r="AC118" s="174">
        <f t="shared" si="192"/>
        <v>0</v>
      </c>
      <c r="AD118" s="174">
        <f>SUMIFS('1-2 人员岗位信息'!F:F,'1-2 人员岗位信息'!$C:$C,"自有人员",'1-2 人员岗位信息'!$B:$B,$D118)</f>
        <v>0</v>
      </c>
      <c r="AE118" s="298"/>
      <c r="AF118" s="174">
        <f t="shared" si="193"/>
        <v>0</v>
      </c>
      <c r="AG118" s="174">
        <f>SUMIFS('1-2 人员岗位信息'!G:G,'1-2 人员岗位信息'!$C:$C,"自有人员",'1-2 人员岗位信息'!$B:$B,$D118)</f>
        <v>0</v>
      </c>
      <c r="AH118" s="298"/>
      <c r="AI118" s="174">
        <f t="shared" si="194"/>
        <v>0</v>
      </c>
      <c r="AJ118" s="174">
        <f>SUMIFS('1-2 人员岗位信息'!H:H,'1-2 人员岗位信息'!$C:$C,"自有人员",'1-2 人员岗位信息'!$B:$B,$D118)</f>
        <v>0</v>
      </c>
      <c r="AK118" s="298"/>
      <c r="AL118" s="174">
        <f t="shared" si="195"/>
        <v>0</v>
      </c>
      <c r="AM118" s="174">
        <f>SUMIFS('1-2 人员岗位信息'!I:I,'1-2 人员岗位信息'!$C:$C,"自有人员",'1-2 人员岗位信息'!$B:$B,$D118)</f>
        <v>0</v>
      </c>
      <c r="AN118" s="298"/>
      <c r="AO118" s="174">
        <f t="shared" si="196"/>
        <v>0</v>
      </c>
      <c r="AP118" s="174">
        <f>SUMIFS('1-2 人员岗位信息'!J:J,'1-2 人员岗位信息'!$C:$C,"自有人员",'1-2 人员岗位信息'!$B:$B,$D118)</f>
        <v>0</v>
      </c>
      <c r="AQ118" s="298"/>
      <c r="AR118" s="174">
        <f t="shared" si="197"/>
        <v>0</v>
      </c>
      <c r="AS118" s="174">
        <f>SUMIFS('1-2 人员岗位信息'!K:K,'1-2 人员岗位信息'!$C:$C,"自有人员",'1-2 人员岗位信息'!$B:$B,$D118)</f>
        <v>0</v>
      </c>
      <c r="AT118" s="298"/>
      <c r="AU118" s="174">
        <f t="shared" si="198"/>
        <v>0</v>
      </c>
      <c r="AV118" s="174">
        <f>SUMIFS('1-2 人员岗位信息'!L:L,'1-2 人员岗位信息'!$C:$C,"自有人员",'1-2 人员岗位信息'!$B:$B,$D118)</f>
        <v>0</v>
      </c>
      <c r="AW118" s="298"/>
      <c r="AX118" s="174">
        <f t="shared" si="199"/>
        <v>0</v>
      </c>
      <c r="AY118" s="174">
        <f>SUMIFS('1-2 人员岗位信息'!M:M,'1-2 人员岗位信息'!$C:$C,"自有人员",'1-2 人员岗位信息'!$B:$B,$D118)</f>
        <v>0</v>
      </c>
      <c r="AZ118" s="298"/>
      <c r="BA118" s="174">
        <f t="shared" si="200"/>
        <v>0</v>
      </c>
      <c r="BB118" s="174">
        <f>SUMIFS('1-2 人员岗位信息'!N:N,'1-2 人员岗位信息'!$C:$C,"自有人员",'1-2 人员岗位信息'!$B:$B,$D118)</f>
        <v>0</v>
      </c>
      <c r="BC118" s="298"/>
      <c r="BD118" s="174">
        <f t="shared" si="201"/>
        <v>0</v>
      </c>
      <c r="BE118" s="174">
        <f>SUMIFS('1-2 人员岗位信息'!O:O,'1-2 人员岗位信息'!$C:$C,"自有人员",'1-2 人员岗位信息'!$B:$B,$D118)</f>
        <v>0</v>
      </c>
      <c r="BF118" s="298"/>
      <c r="BG118" s="174">
        <f t="shared" si="202"/>
        <v>0</v>
      </c>
      <c r="BH118" s="174">
        <f>SUMIFS('1-2 人员岗位信息'!P:P,'1-2 人员岗位信息'!$C:$C,"自有人员",'1-2 人员岗位信息'!$B:$B,$D118)</f>
        <v>0</v>
      </c>
      <c r="BI118" s="298"/>
      <c r="BJ118" s="174">
        <f t="shared" si="203"/>
        <v>0</v>
      </c>
      <c r="BK118" s="174">
        <f>SUMIFS('1-2 人员岗位信息'!Q:Q,'1-2 人员岗位信息'!$C:$C,"自有人员",'1-2 人员岗位信息'!$B:$B,$D118)</f>
        <v>0</v>
      </c>
      <c r="BL118" s="307"/>
      <c r="BM118" s="311"/>
      <c r="BN118" s="315"/>
    </row>
    <row r="119" s="263" customFormat="1" ht="33.95" hidden="1" customHeight="1" outlineLevel="5" spans="2:66">
      <c r="B119" s="174" t="s">
        <v>799</v>
      </c>
      <c r="C119" s="283" t="s">
        <v>1001</v>
      </c>
      <c r="D119" s="263" t="s">
        <v>1002</v>
      </c>
      <c r="E119" s="174" t="s">
        <v>996</v>
      </c>
      <c r="F119" s="174"/>
      <c r="G119" s="174" t="s">
        <v>803</v>
      </c>
      <c r="H119" s="174">
        <f t="shared" si="187"/>
        <v>0</v>
      </c>
      <c r="I119" s="174" t="s">
        <v>804</v>
      </c>
      <c r="J119" s="174" t="e">
        <f t="shared" si="188"/>
        <v>#DIV/0!</v>
      </c>
      <c r="K119" s="174" t="s">
        <v>805</v>
      </c>
      <c r="L119" s="174" t="e">
        <f t="shared" si="189"/>
        <v>#DIV/0!</v>
      </c>
      <c r="M119" s="174" t="s">
        <v>806</v>
      </c>
      <c r="N119" s="174">
        <f t="shared" si="190"/>
        <v>0</v>
      </c>
      <c r="O119" s="174"/>
      <c r="P119" s="290"/>
      <c r="Q119" s="290"/>
      <c r="R119" s="290"/>
      <c r="S119" s="290"/>
      <c r="T119" s="290"/>
      <c r="U119" s="290"/>
      <c r="V119" s="290"/>
      <c r="W119" s="290"/>
      <c r="X119" s="290"/>
      <c r="Y119" s="290"/>
      <c r="Z119" s="290"/>
      <c r="AA119" s="290"/>
      <c r="AB119" s="174">
        <f t="shared" si="191"/>
        <v>0</v>
      </c>
      <c r="AC119" s="174">
        <f t="shared" si="192"/>
        <v>0</v>
      </c>
      <c r="AD119" s="174">
        <f>SUMIFS('1-2 人员岗位信息'!F:F,'1-2 人员岗位信息'!$C:$C,"自有人员",'1-2 人员岗位信息'!$B:$B,$D119)</f>
        <v>0</v>
      </c>
      <c r="AE119" s="298"/>
      <c r="AF119" s="174">
        <f t="shared" si="193"/>
        <v>0</v>
      </c>
      <c r="AG119" s="174">
        <f>SUMIFS('1-2 人员岗位信息'!G:G,'1-2 人员岗位信息'!$C:$C,"自有人员",'1-2 人员岗位信息'!$B:$B,$D119)</f>
        <v>0</v>
      </c>
      <c r="AH119" s="298"/>
      <c r="AI119" s="174">
        <f t="shared" si="194"/>
        <v>0</v>
      </c>
      <c r="AJ119" s="174">
        <f>SUMIFS('1-2 人员岗位信息'!H:H,'1-2 人员岗位信息'!$C:$C,"自有人员",'1-2 人员岗位信息'!$B:$B,$D119)</f>
        <v>0</v>
      </c>
      <c r="AK119" s="298"/>
      <c r="AL119" s="174">
        <f t="shared" si="195"/>
        <v>0</v>
      </c>
      <c r="AM119" s="174">
        <f>SUMIFS('1-2 人员岗位信息'!I:I,'1-2 人员岗位信息'!$C:$C,"自有人员",'1-2 人员岗位信息'!$B:$B,$D119)</f>
        <v>0</v>
      </c>
      <c r="AN119" s="298"/>
      <c r="AO119" s="174">
        <f t="shared" si="196"/>
        <v>0</v>
      </c>
      <c r="AP119" s="174">
        <f>SUMIFS('1-2 人员岗位信息'!J:J,'1-2 人员岗位信息'!$C:$C,"自有人员",'1-2 人员岗位信息'!$B:$B,$D119)</f>
        <v>0</v>
      </c>
      <c r="AQ119" s="298"/>
      <c r="AR119" s="174">
        <f t="shared" si="197"/>
        <v>0</v>
      </c>
      <c r="AS119" s="174">
        <f>SUMIFS('1-2 人员岗位信息'!K:K,'1-2 人员岗位信息'!$C:$C,"自有人员",'1-2 人员岗位信息'!$B:$B,$D119)</f>
        <v>0</v>
      </c>
      <c r="AT119" s="298"/>
      <c r="AU119" s="174">
        <f t="shared" si="198"/>
        <v>0</v>
      </c>
      <c r="AV119" s="174">
        <f>SUMIFS('1-2 人员岗位信息'!L:L,'1-2 人员岗位信息'!$C:$C,"自有人员",'1-2 人员岗位信息'!$B:$B,$D119)</f>
        <v>0</v>
      </c>
      <c r="AW119" s="298"/>
      <c r="AX119" s="174">
        <f t="shared" si="199"/>
        <v>0</v>
      </c>
      <c r="AY119" s="174">
        <f>SUMIFS('1-2 人员岗位信息'!M:M,'1-2 人员岗位信息'!$C:$C,"自有人员",'1-2 人员岗位信息'!$B:$B,$D119)</f>
        <v>0</v>
      </c>
      <c r="AZ119" s="298"/>
      <c r="BA119" s="174">
        <f t="shared" si="200"/>
        <v>0</v>
      </c>
      <c r="BB119" s="174">
        <f>SUMIFS('1-2 人员岗位信息'!N:N,'1-2 人员岗位信息'!$C:$C,"自有人员",'1-2 人员岗位信息'!$B:$B,$D119)</f>
        <v>0</v>
      </c>
      <c r="BC119" s="298"/>
      <c r="BD119" s="174">
        <f t="shared" si="201"/>
        <v>0</v>
      </c>
      <c r="BE119" s="174">
        <f>SUMIFS('1-2 人员岗位信息'!O:O,'1-2 人员岗位信息'!$C:$C,"自有人员",'1-2 人员岗位信息'!$B:$B,$D119)</f>
        <v>0</v>
      </c>
      <c r="BF119" s="298"/>
      <c r="BG119" s="174">
        <f t="shared" si="202"/>
        <v>0</v>
      </c>
      <c r="BH119" s="174">
        <f>SUMIFS('1-2 人员岗位信息'!P:P,'1-2 人员岗位信息'!$C:$C,"自有人员",'1-2 人员岗位信息'!$B:$B,$D119)</f>
        <v>0</v>
      </c>
      <c r="BI119" s="298"/>
      <c r="BJ119" s="174">
        <f t="shared" si="203"/>
        <v>0</v>
      </c>
      <c r="BK119" s="174">
        <f>SUMIFS('1-2 人员岗位信息'!Q:Q,'1-2 人员岗位信息'!$C:$C,"自有人员",'1-2 人员岗位信息'!$B:$B,$D119)</f>
        <v>0</v>
      </c>
      <c r="BL119" s="307"/>
      <c r="BM119" s="311"/>
      <c r="BN119" s="315"/>
    </row>
    <row r="120" s="263" customFormat="1" ht="33.95" hidden="1" customHeight="1" outlineLevel="5" spans="2:66">
      <c r="B120" s="174" t="s">
        <v>799</v>
      </c>
      <c r="C120" s="283" t="s">
        <v>1003</v>
      </c>
      <c r="D120" s="263" t="s">
        <v>1004</v>
      </c>
      <c r="E120" s="174" t="s">
        <v>1005</v>
      </c>
      <c r="F120" s="174"/>
      <c r="G120" s="174" t="s">
        <v>803</v>
      </c>
      <c r="H120" s="174">
        <f t="shared" si="187"/>
        <v>0</v>
      </c>
      <c r="I120" s="174" t="s">
        <v>804</v>
      </c>
      <c r="J120" s="174" t="e">
        <f t="shared" si="188"/>
        <v>#DIV/0!</v>
      </c>
      <c r="K120" s="174" t="s">
        <v>805</v>
      </c>
      <c r="L120" s="174" t="e">
        <f t="shared" si="189"/>
        <v>#DIV/0!</v>
      </c>
      <c r="M120" s="174" t="s">
        <v>806</v>
      </c>
      <c r="N120" s="174">
        <f t="shared" si="190"/>
        <v>0</v>
      </c>
      <c r="O120" s="174"/>
      <c r="P120" s="290"/>
      <c r="Q120" s="290"/>
      <c r="R120" s="290"/>
      <c r="S120" s="290"/>
      <c r="T120" s="290"/>
      <c r="U120" s="290"/>
      <c r="V120" s="290"/>
      <c r="W120" s="290"/>
      <c r="X120" s="290"/>
      <c r="Y120" s="290"/>
      <c r="Z120" s="290"/>
      <c r="AA120" s="290"/>
      <c r="AB120" s="174">
        <f t="shared" si="191"/>
        <v>0</v>
      </c>
      <c r="AC120" s="174">
        <f t="shared" si="192"/>
        <v>0</v>
      </c>
      <c r="AD120" s="174">
        <f>SUMIFS('1-2 人员岗位信息'!F:F,'1-2 人员岗位信息'!$C:$C,"自有人员",'1-2 人员岗位信息'!$B:$B,$D120)</f>
        <v>0</v>
      </c>
      <c r="AE120" s="298"/>
      <c r="AF120" s="174">
        <f t="shared" si="193"/>
        <v>0</v>
      </c>
      <c r="AG120" s="174">
        <f>SUMIFS('1-2 人员岗位信息'!G:G,'1-2 人员岗位信息'!$C:$C,"自有人员",'1-2 人员岗位信息'!$B:$B,$D120)</f>
        <v>0</v>
      </c>
      <c r="AH120" s="298"/>
      <c r="AI120" s="174">
        <f t="shared" si="194"/>
        <v>0</v>
      </c>
      <c r="AJ120" s="174">
        <f>SUMIFS('1-2 人员岗位信息'!H:H,'1-2 人员岗位信息'!$C:$C,"自有人员",'1-2 人员岗位信息'!$B:$B,$D120)</f>
        <v>0</v>
      </c>
      <c r="AK120" s="298"/>
      <c r="AL120" s="174">
        <f t="shared" si="195"/>
        <v>0</v>
      </c>
      <c r="AM120" s="174">
        <f>SUMIFS('1-2 人员岗位信息'!I:I,'1-2 人员岗位信息'!$C:$C,"自有人员",'1-2 人员岗位信息'!$B:$B,$D120)</f>
        <v>0</v>
      </c>
      <c r="AN120" s="298"/>
      <c r="AO120" s="174">
        <f t="shared" si="196"/>
        <v>0</v>
      </c>
      <c r="AP120" s="174">
        <f>SUMIFS('1-2 人员岗位信息'!J:J,'1-2 人员岗位信息'!$C:$C,"自有人员",'1-2 人员岗位信息'!$B:$B,$D120)</f>
        <v>0</v>
      </c>
      <c r="AQ120" s="298"/>
      <c r="AR120" s="174">
        <f t="shared" si="197"/>
        <v>0</v>
      </c>
      <c r="AS120" s="174">
        <f>SUMIFS('1-2 人员岗位信息'!K:K,'1-2 人员岗位信息'!$C:$C,"自有人员",'1-2 人员岗位信息'!$B:$B,$D120)</f>
        <v>0</v>
      </c>
      <c r="AT120" s="298"/>
      <c r="AU120" s="174">
        <f t="shared" si="198"/>
        <v>0</v>
      </c>
      <c r="AV120" s="174">
        <f>SUMIFS('1-2 人员岗位信息'!L:L,'1-2 人员岗位信息'!$C:$C,"自有人员",'1-2 人员岗位信息'!$B:$B,$D120)</f>
        <v>0</v>
      </c>
      <c r="AW120" s="298"/>
      <c r="AX120" s="174">
        <f t="shared" si="199"/>
        <v>0</v>
      </c>
      <c r="AY120" s="174">
        <f>SUMIFS('1-2 人员岗位信息'!M:M,'1-2 人员岗位信息'!$C:$C,"自有人员",'1-2 人员岗位信息'!$B:$B,$D120)</f>
        <v>0</v>
      </c>
      <c r="AZ120" s="298"/>
      <c r="BA120" s="174">
        <f t="shared" si="200"/>
        <v>0</v>
      </c>
      <c r="BB120" s="174">
        <f>SUMIFS('1-2 人员岗位信息'!N:N,'1-2 人员岗位信息'!$C:$C,"自有人员",'1-2 人员岗位信息'!$B:$B,$D120)</f>
        <v>0</v>
      </c>
      <c r="BC120" s="298"/>
      <c r="BD120" s="174">
        <f t="shared" si="201"/>
        <v>0</v>
      </c>
      <c r="BE120" s="174">
        <f>SUMIFS('1-2 人员岗位信息'!O:O,'1-2 人员岗位信息'!$C:$C,"自有人员",'1-2 人员岗位信息'!$B:$B,$D120)</f>
        <v>0</v>
      </c>
      <c r="BF120" s="298"/>
      <c r="BG120" s="174">
        <f t="shared" si="202"/>
        <v>0</v>
      </c>
      <c r="BH120" s="174">
        <f>SUMIFS('1-2 人员岗位信息'!P:P,'1-2 人员岗位信息'!$C:$C,"自有人员",'1-2 人员岗位信息'!$B:$B,$D120)</f>
        <v>0</v>
      </c>
      <c r="BI120" s="298"/>
      <c r="BJ120" s="174">
        <f t="shared" si="203"/>
        <v>0</v>
      </c>
      <c r="BK120" s="174">
        <f>SUMIFS('1-2 人员岗位信息'!Q:Q,'1-2 人员岗位信息'!$C:$C,"自有人员",'1-2 人员岗位信息'!$B:$B,$D120)</f>
        <v>0</v>
      </c>
      <c r="BL120" s="307"/>
      <c r="BM120" s="311"/>
      <c r="BN120" s="315"/>
    </row>
    <row r="121" s="263" customFormat="1" ht="33.95" hidden="1" customHeight="1" outlineLevel="5" spans="2:66">
      <c r="B121" s="174" t="s">
        <v>799</v>
      </c>
      <c r="C121" s="283" t="s">
        <v>1006</v>
      </c>
      <c r="D121" s="263" t="s">
        <v>1007</v>
      </c>
      <c r="E121" s="174" t="s">
        <v>821</v>
      </c>
      <c r="F121" s="174"/>
      <c r="G121" s="174" t="s">
        <v>803</v>
      </c>
      <c r="H121" s="174">
        <f t="shared" si="187"/>
        <v>0</v>
      </c>
      <c r="I121" s="174" t="s">
        <v>804</v>
      </c>
      <c r="J121" s="174" t="e">
        <f t="shared" si="188"/>
        <v>#DIV/0!</v>
      </c>
      <c r="K121" s="174" t="s">
        <v>805</v>
      </c>
      <c r="L121" s="174" t="e">
        <f t="shared" si="189"/>
        <v>#DIV/0!</v>
      </c>
      <c r="M121" s="174" t="s">
        <v>806</v>
      </c>
      <c r="N121" s="174">
        <f t="shared" si="190"/>
        <v>0</v>
      </c>
      <c r="O121" s="174"/>
      <c r="P121" s="290"/>
      <c r="Q121" s="290"/>
      <c r="R121" s="290"/>
      <c r="S121" s="290"/>
      <c r="T121" s="290"/>
      <c r="U121" s="290"/>
      <c r="V121" s="290"/>
      <c r="W121" s="290"/>
      <c r="X121" s="290"/>
      <c r="Y121" s="290"/>
      <c r="Z121" s="290"/>
      <c r="AA121" s="290"/>
      <c r="AB121" s="174">
        <f t="shared" si="191"/>
        <v>0</v>
      </c>
      <c r="AC121" s="174">
        <f t="shared" si="192"/>
        <v>0</v>
      </c>
      <c r="AD121" s="174">
        <f>SUMIFS('1-2 人员岗位信息'!F:F,'1-2 人员岗位信息'!$C:$C,"自有人员",'1-2 人员岗位信息'!$B:$B,$D121)</f>
        <v>0</v>
      </c>
      <c r="AE121" s="298"/>
      <c r="AF121" s="174">
        <f t="shared" si="193"/>
        <v>0</v>
      </c>
      <c r="AG121" s="174">
        <f>SUMIFS('1-2 人员岗位信息'!G:G,'1-2 人员岗位信息'!$C:$C,"自有人员",'1-2 人员岗位信息'!$B:$B,$D121)</f>
        <v>0</v>
      </c>
      <c r="AH121" s="298"/>
      <c r="AI121" s="174">
        <f t="shared" si="194"/>
        <v>0</v>
      </c>
      <c r="AJ121" s="174">
        <f>SUMIFS('1-2 人员岗位信息'!H:H,'1-2 人员岗位信息'!$C:$C,"自有人员",'1-2 人员岗位信息'!$B:$B,$D121)</f>
        <v>0</v>
      </c>
      <c r="AK121" s="298"/>
      <c r="AL121" s="174">
        <f t="shared" si="195"/>
        <v>0</v>
      </c>
      <c r="AM121" s="174">
        <f>SUMIFS('1-2 人员岗位信息'!I:I,'1-2 人员岗位信息'!$C:$C,"自有人员",'1-2 人员岗位信息'!$B:$B,$D121)</f>
        <v>0</v>
      </c>
      <c r="AN121" s="298"/>
      <c r="AO121" s="174">
        <f t="shared" si="196"/>
        <v>0</v>
      </c>
      <c r="AP121" s="174">
        <f>SUMIFS('1-2 人员岗位信息'!J:J,'1-2 人员岗位信息'!$C:$C,"自有人员",'1-2 人员岗位信息'!$B:$B,$D121)</f>
        <v>0</v>
      </c>
      <c r="AQ121" s="298"/>
      <c r="AR121" s="174">
        <f t="shared" si="197"/>
        <v>0</v>
      </c>
      <c r="AS121" s="174">
        <f>SUMIFS('1-2 人员岗位信息'!K:K,'1-2 人员岗位信息'!$C:$C,"自有人员",'1-2 人员岗位信息'!$B:$B,$D121)</f>
        <v>0</v>
      </c>
      <c r="AT121" s="298"/>
      <c r="AU121" s="174">
        <f t="shared" si="198"/>
        <v>0</v>
      </c>
      <c r="AV121" s="174">
        <f>SUMIFS('1-2 人员岗位信息'!L:L,'1-2 人员岗位信息'!$C:$C,"自有人员",'1-2 人员岗位信息'!$B:$B,$D121)</f>
        <v>0</v>
      </c>
      <c r="AW121" s="298"/>
      <c r="AX121" s="174">
        <f t="shared" si="199"/>
        <v>0</v>
      </c>
      <c r="AY121" s="174">
        <f>SUMIFS('1-2 人员岗位信息'!M:M,'1-2 人员岗位信息'!$C:$C,"自有人员",'1-2 人员岗位信息'!$B:$B,$D121)</f>
        <v>0</v>
      </c>
      <c r="AZ121" s="298"/>
      <c r="BA121" s="174">
        <f t="shared" si="200"/>
        <v>0</v>
      </c>
      <c r="BB121" s="174">
        <f>SUMIFS('1-2 人员岗位信息'!N:N,'1-2 人员岗位信息'!$C:$C,"自有人员",'1-2 人员岗位信息'!$B:$B,$D121)</f>
        <v>0</v>
      </c>
      <c r="BC121" s="298"/>
      <c r="BD121" s="174">
        <f t="shared" si="201"/>
        <v>0</v>
      </c>
      <c r="BE121" s="174">
        <f>SUMIFS('1-2 人员岗位信息'!O:O,'1-2 人员岗位信息'!$C:$C,"自有人员",'1-2 人员岗位信息'!$B:$B,$D121)</f>
        <v>0</v>
      </c>
      <c r="BF121" s="298"/>
      <c r="BG121" s="174">
        <f t="shared" si="202"/>
        <v>0</v>
      </c>
      <c r="BH121" s="174">
        <f>SUMIFS('1-2 人员岗位信息'!P:P,'1-2 人员岗位信息'!$C:$C,"自有人员",'1-2 人员岗位信息'!$B:$B,$D121)</f>
        <v>0</v>
      </c>
      <c r="BI121" s="298"/>
      <c r="BJ121" s="174">
        <f t="shared" si="203"/>
        <v>0</v>
      </c>
      <c r="BK121" s="174">
        <f>SUMIFS('1-2 人员岗位信息'!Q:Q,'1-2 人员岗位信息'!$C:$C,"自有人员",'1-2 人员岗位信息'!$B:$B,$D121)</f>
        <v>0</v>
      </c>
      <c r="BL121" s="307"/>
      <c r="BM121" s="311"/>
      <c r="BN121" s="315"/>
    </row>
    <row r="122" s="117" customFormat="1" ht="33.95" hidden="1" customHeight="1" outlineLevel="4" collapsed="1" spans="2:66">
      <c r="B122" s="118" t="s">
        <v>794</v>
      </c>
      <c r="C122" s="119" t="s">
        <v>71</v>
      </c>
      <c r="D122" s="117" t="s">
        <v>68</v>
      </c>
      <c r="E122" s="118"/>
      <c r="F122" s="118"/>
      <c r="G122" s="118"/>
      <c r="H122" s="118">
        <f>SUM(H123:H131)</f>
        <v>0</v>
      </c>
      <c r="I122" s="118"/>
      <c r="J122" s="118"/>
      <c r="K122" s="118"/>
      <c r="L122" s="118"/>
      <c r="M122" s="118"/>
      <c r="N122" s="118"/>
      <c r="O122" s="118"/>
      <c r="P122" s="289"/>
      <c r="Q122" s="289"/>
      <c r="R122" s="289"/>
      <c r="S122" s="289"/>
      <c r="T122" s="289"/>
      <c r="U122" s="289"/>
      <c r="V122" s="289"/>
      <c r="W122" s="289"/>
      <c r="X122" s="289"/>
      <c r="Y122" s="289"/>
      <c r="Z122" s="289"/>
      <c r="AA122" s="289"/>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6"/>
      <c r="BM122" s="311"/>
      <c r="BN122" s="314"/>
    </row>
    <row r="123" s="263" customFormat="1" ht="33.95" hidden="1" customHeight="1" outlineLevel="5" spans="2:66">
      <c r="B123" s="174" t="s">
        <v>799</v>
      </c>
      <c r="C123" s="283" t="s">
        <v>1008</v>
      </c>
      <c r="D123" s="263" t="s">
        <v>986</v>
      </c>
      <c r="E123" s="174" t="s">
        <v>1009</v>
      </c>
      <c r="F123" s="174"/>
      <c r="G123" s="174" t="s">
        <v>803</v>
      </c>
      <c r="H123" s="174">
        <f t="shared" ref="H123:H131" si="205">AB123</f>
        <v>0</v>
      </c>
      <c r="I123" s="174" t="s">
        <v>804</v>
      </c>
      <c r="J123" s="174" t="e">
        <f t="shared" ref="J123:J131" si="206">SUM(AD123,AG123,AJ123,AM123,AP123,AS123,AV123,AY123,BB123,BE123,BH123,BK123)/N123</f>
        <v>#DIV/0!</v>
      </c>
      <c r="K123" s="174" t="s">
        <v>805</v>
      </c>
      <c r="L123" s="174" t="e">
        <f t="shared" ref="L123:L131" si="207">H123/N123/J123</f>
        <v>#DIV/0!</v>
      </c>
      <c r="M123" s="174" t="s">
        <v>806</v>
      </c>
      <c r="N123" s="174">
        <f t="shared" ref="N123:N131" si="208">COUNTIF(AD123,"&gt;0")+COUNTIF(AG123,"&gt;0")+COUNTIF(AJ123,"&gt;0")+COUNTIF(AM123,"&gt;0")+COUNTIF(AP123,"&gt;0")+COUNTIF(AS123,"&gt;0")+COUNTIF(AV123,"&gt;0")+COUNTIF(AY123,"&gt;0")+COUNTIF(BB123,"&gt;0")+COUNTIF(BE123,"&gt;0")+COUNTIF(BH123,"&gt;0")+COUNTIF(BK123,"&gt;0")</f>
        <v>0</v>
      </c>
      <c r="O123" s="174"/>
      <c r="P123" s="290"/>
      <c r="Q123" s="290"/>
      <c r="R123" s="290"/>
      <c r="S123" s="290"/>
      <c r="T123" s="290"/>
      <c r="U123" s="290"/>
      <c r="V123" s="290"/>
      <c r="W123" s="290"/>
      <c r="X123" s="290"/>
      <c r="Y123" s="290"/>
      <c r="Z123" s="290"/>
      <c r="AA123" s="290"/>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8"/>
      <c r="AF123" s="174">
        <f t="shared" ref="AF123:AF131" si="211">AG123*AH123</f>
        <v>0</v>
      </c>
      <c r="AG123" s="174">
        <f>SUMIFS('1-2 人员岗位信息'!G:G,'1-2 人员岗位信息'!$C:$C,"劳务派遣",'1-2 人员岗位信息'!$B:$B,$D123)</f>
        <v>0</v>
      </c>
      <c r="AH123" s="298"/>
      <c r="AI123" s="174">
        <f t="shared" ref="AI123:AI131" si="212">AJ123*AK123</f>
        <v>0</v>
      </c>
      <c r="AJ123" s="174">
        <f>SUMIFS('1-2 人员岗位信息'!H:H,'1-2 人员岗位信息'!$C:$C,"劳务派遣",'1-2 人员岗位信息'!$B:$B,$D123)</f>
        <v>0</v>
      </c>
      <c r="AK123" s="298"/>
      <c r="AL123" s="174">
        <f t="shared" ref="AL123:AL131" si="213">AM123*AN123</f>
        <v>0</v>
      </c>
      <c r="AM123" s="174">
        <f>SUMIFS('1-2 人员岗位信息'!I:I,'1-2 人员岗位信息'!$C:$C,"劳务派遣",'1-2 人员岗位信息'!$B:$B,$D123)</f>
        <v>0</v>
      </c>
      <c r="AN123" s="298"/>
      <c r="AO123" s="174">
        <f t="shared" ref="AO123:AO131" si="214">AP123*AQ123</f>
        <v>0</v>
      </c>
      <c r="AP123" s="174">
        <f>SUMIFS('1-2 人员岗位信息'!J:J,'1-2 人员岗位信息'!$C:$C,"劳务派遣",'1-2 人员岗位信息'!$B:$B,$D123)</f>
        <v>0</v>
      </c>
      <c r="AQ123" s="298"/>
      <c r="AR123" s="174">
        <f t="shared" ref="AR123:AR131" si="215">AS123*AT123</f>
        <v>0</v>
      </c>
      <c r="AS123" s="174">
        <f>SUMIFS('1-2 人员岗位信息'!K:K,'1-2 人员岗位信息'!$C:$C,"劳务派遣",'1-2 人员岗位信息'!$B:$B,$D123)</f>
        <v>0</v>
      </c>
      <c r="AT123" s="298"/>
      <c r="AU123" s="174">
        <f t="shared" ref="AU123:AU131" si="216">AV123*AW123</f>
        <v>0</v>
      </c>
      <c r="AV123" s="174">
        <f>SUMIFS('1-2 人员岗位信息'!L:L,'1-2 人员岗位信息'!$C:$C,"劳务派遣",'1-2 人员岗位信息'!$B:$B,$D123)</f>
        <v>0</v>
      </c>
      <c r="AW123" s="298"/>
      <c r="AX123" s="174">
        <f t="shared" ref="AX123:AX131" si="217">AY123*AZ123</f>
        <v>0</v>
      </c>
      <c r="AY123" s="174">
        <f>SUMIFS('1-2 人员岗位信息'!M:M,'1-2 人员岗位信息'!$C:$C,"劳务派遣",'1-2 人员岗位信息'!$B:$B,$D123)</f>
        <v>0</v>
      </c>
      <c r="AZ123" s="298"/>
      <c r="BA123" s="174">
        <f t="shared" ref="BA123:BA131" si="218">BB123*BC123</f>
        <v>0</v>
      </c>
      <c r="BB123" s="174">
        <f>SUMIFS('1-2 人员岗位信息'!N:N,'1-2 人员岗位信息'!$C:$C,"劳务派遣",'1-2 人员岗位信息'!$B:$B,$D123)</f>
        <v>0</v>
      </c>
      <c r="BC123" s="298"/>
      <c r="BD123" s="174">
        <f t="shared" ref="BD123:BD131" si="219">BE123*BF123</f>
        <v>0</v>
      </c>
      <c r="BE123" s="174">
        <f>SUMIFS('1-2 人员岗位信息'!O:O,'1-2 人员岗位信息'!$C:$C,"劳务派遣",'1-2 人员岗位信息'!$B:$B,$D123)</f>
        <v>0</v>
      </c>
      <c r="BF123" s="298"/>
      <c r="BG123" s="174">
        <f t="shared" ref="BG123:BG131" si="220">BH123*BI123</f>
        <v>0</v>
      </c>
      <c r="BH123" s="174">
        <f>SUMIFS('1-2 人员岗位信息'!P:P,'1-2 人员岗位信息'!$C:$C,"劳务派遣",'1-2 人员岗位信息'!$B:$B,$D123)</f>
        <v>0</v>
      </c>
      <c r="BI123" s="298"/>
      <c r="BJ123" s="174">
        <f t="shared" ref="BJ123:BJ131" si="221">BK123*BL123</f>
        <v>0</v>
      </c>
      <c r="BK123" s="174">
        <f>SUMIFS('1-2 人员岗位信息'!Q:Q,'1-2 人员岗位信息'!$C:$C,"劳务派遣",'1-2 人员岗位信息'!$B:$B,$D123)</f>
        <v>0</v>
      </c>
      <c r="BL123" s="307"/>
      <c r="BM123" s="311"/>
      <c r="BN123" s="315"/>
    </row>
    <row r="124" s="263" customFormat="1" ht="33.95" hidden="1" customHeight="1" outlineLevel="5" spans="2:66">
      <c r="B124" s="174" t="s">
        <v>799</v>
      </c>
      <c r="C124" s="283" t="s">
        <v>1010</v>
      </c>
      <c r="D124" s="263" t="s">
        <v>989</v>
      </c>
      <c r="E124" s="174" t="s">
        <v>1011</v>
      </c>
      <c r="F124" s="174"/>
      <c r="G124" s="174" t="s">
        <v>803</v>
      </c>
      <c r="H124" s="174">
        <f t="shared" si="205"/>
        <v>0</v>
      </c>
      <c r="I124" s="174" t="s">
        <v>804</v>
      </c>
      <c r="J124" s="174" t="e">
        <f t="shared" si="206"/>
        <v>#DIV/0!</v>
      </c>
      <c r="K124" s="174" t="s">
        <v>805</v>
      </c>
      <c r="L124" s="174" t="e">
        <f t="shared" si="207"/>
        <v>#DIV/0!</v>
      </c>
      <c r="M124" s="174" t="s">
        <v>806</v>
      </c>
      <c r="N124" s="174">
        <f t="shared" si="208"/>
        <v>0</v>
      </c>
      <c r="O124" s="174"/>
      <c r="P124" s="290"/>
      <c r="Q124" s="290"/>
      <c r="R124" s="290"/>
      <c r="S124" s="290"/>
      <c r="T124" s="290"/>
      <c r="U124" s="290"/>
      <c r="V124" s="290"/>
      <c r="W124" s="290"/>
      <c r="X124" s="290"/>
      <c r="Y124" s="290"/>
      <c r="Z124" s="290"/>
      <c r="AA124" s="290"/>
      <c r="AB124" s="174">
        <f t="shared" si="209"/>
        <v>0</v>
      </c>
      <c r="AC124" s="174">
        <f t="shared" si="210"/>
        <v>0</v>
      </c>
      <c r="AD124" s="174">
        <f>SUMIFS('1-2 人员岗位信息'!F:F,'1-2 人员岗位信息'!$C:$C,"劳务派遣",'1-2 人员岗位信息'!$B:$B,$D124)</f>
        <v>0</v>
      </c>
      <c r="AE124" s="298"/>
      <c r="AF124" s="174">
        <f t="shared" si="211"/>
        <v>0</v>
      </c>
      <c r="AG124" s="174">
        <f>SUMIFS('1-2 人员岗位信息'!G:G,'1-2 人员岗位信息'!$C:$C,"劳务派遣",'1-2 人员岗位信息'!$B:$B,$D124)</f>
        <v>0</v>
      </c>
      <c r="AH124" s="298"/>
      <c r="AI124" s="174">
        <f t="shared" si="212"/>
        <v>0</v>
      </c>
      <c r="AJ124" s="174">
        <f>SUMIFS('1-2 人员岗位信息'!H:H,'1-2 人员岗位信息'!$C:$C,"劳务派遣",'1-2 人员岗位信息'!$B:$B,$D124)</f>
        <v>0</v>
      </c>
      <c r="AK124" s="298"/>
      <c r="AL124" s="174">
        <f t="shared" si="213"/>
        <v>0</v>
      </c>
      <c r="AM124" s="174">
        <f>SUMIFS('1-2 人员岗位信息'!I:I,'1-2 人员岗位信息'!$C:$C,"劳务派遣",'1-2 人员岗位信息'!$B:$B,$D124)</f>
        <v>0</v>
      </c>
      <c r="AN124" s="298"/>
      <c r="AO124" s="174">
        <f t="shared" si="214"/>
        <v>0</v>
      </c>
      <c r="AP124" s="174">
        <f>SUMIFS('1-2 人员岗位信息'!J:J,'1-2 人员岗位信息'!$C:$C,"劳务派遣",'1-2 人员岗位信息'!$B:$B,$D124)</f>
        <v>0</v>
      </c>
      <c r="AQ124" s="298"/>
      <c r="AR124" s="174">
        <f t="shared" si="215"/>
        <v>0</v>
      </c>
      <c r="AS124" s="174">
        <f>SUMIFS('1-2 人员岗位信息'!K:K,'1-2 人员岗位信息'!$C:$C,"劳务派遣",'1-2 人员岗位信息'!$B:$B,$D124)</f>
        <v>0</v>
      </c>
      <c r="AT124" s="298"/>
      <c r="AU124" s="174">
        <f t="shared" si="216"/>
        <v>0</v>
      </c>
      <c r="AV124" s="174">
        <f>SUMIFS('1-2 人员岗位信息'!L:L,'1-2 人员岗位信息'!$C:$C,"劳务派遣",'1-2 人员岗位信息'!$B:$B,$D124)</f>
        <v>0</v>
      </c>
      <c r="AW124" s="298"/>
      <c r="AX124" s="174">
        <f t="shared" si="217"/>
        <v>0</v>
      </c>
      <c r="AY124" s="174">
        <f>SUMIFS('1-2 人员岗位信息'!M:M,'1-2 人员岗位信息'!$C:$C,"劳务派遣",'1-2 人员岗位信息'!$B:$B,$D124)</f>
        <v>0</v>
      </c>
      <c r="AZ124" s="298"/>
      <c r="BA124" s="174">
        <f t="shared" si="218"/>
        <v>0</v>
      </c>
      <c r="BB124" s="174">
        <f>SUMIFS('1-2 人员岗位信息'!N:N,'1-2 人员岗位信息'!$C:$C,"劳务派遣",'1-2 人员岗位信息'!$B:$B,$D124)</f>
        <v>0</v>
      </c>
      <c r="BC124" s="298"/>
      <c r="BD124" s="174">
        <f t="shared" si="219"/>
        <v>0</v>
      </c>
      <c r="BE124" s="174">
        <f>SUMIFS('1-2 人员岗位信息'!O:O,'1-2 人员岗位信息'!$C:$C,"劳务派遣",'1-2 人员岗位信息'!$B:$B,$D124)</f>
        <v>0</v>
      </c>
      <c r="BF124" s="298"/>
      <c r="BG124" s="174">
        <f t="shared" si="220"/>
        <v>0</v>
      </c>
      <c r="BH124" s="174">
        <f>SUMIFS('1-2 人员岗位信息'!P:P,'1-2 人员岗位信息'!$C:$C,"劳务派遣",'1-2 人员岗位信息'!$B:$B,$D124)</f>
        <v>0</v>
      </c>
      <c r="BI124" s="298"/>
      <c r="BJ124" s="174">
        <f t="shared" si="221"/>
        <v>0</v>
      </c>
      <c r="BK124" s="174">
        <f>SUMIFS('1-2 人员岗位信息'!Q:Q,'1-2 人员岗位信息'!$C:$C,"劳务派遣",'1-2 人员岗位信息'!$B:$B,$D124)</f>
        <v>0</v>
      </c>
      <c r="BL124" s="307"/>
      <c r="BM124" s="311"/>
      <c r="BN124" s="315"/>
    </row>
    <row r="125" s="263" customFormat="1" ht="33.95" hidden="1" customHeight="1" outlineLevel="5" spans="2:66">
      <c r="B125" s="174" t="s">
        <v>799</v>
      </c>
      <c r="C125" s="283" t="s">
        <v>1012</v>
      </c>
      <c r="D125" s="263" t="s">
        <v>992</v>
      </c>
      <c r="E125" s="174" t="s">
        <v>993</v>
      </c>
      <c r="F125" s="174"/>
      <c r="G125" s="174" t="s">
        <v>803</v>
      </c>
      <c r="H125" s="174">
        <f t="shared" si="205"/>
        <v>0</v>
      </c>
      <c r="I125" s="174" t="s">
        <v>804</v>
      </c>
      <c r="J125" s="174" t="e">
        <f t="shared" si="206"/>
        <v>#DIV/0!</v>
      </c>
      <c r="K125" s="174" t="s">
        <v>805</v>
      </c>
      <c r="L125" s="174" t="e">
        <f t="shared" si="207"/>
        <v>#DIV/0!</v>
      </c>
      <c r="M125" s="174" t="s">
        <v>806</v>
      </c>
      <c r="N125" s="174">
        <f t="shared" si="208"/>
        <v>0</v>
      </c>
      <c r="O125" s="174"/>
      <c r="P125" s="290"/>
      <c r="Q125" s="290"/>
      <c r="R125" s="290"/>
      <c r="S125" s="290"/>
      <c r="T125" s="290"/>
      <c r="U125" s="290"/>
      <c r="V125" s="290"/>
      <c r="W125" s="290"/>
      <c r="X125" s="290"/>
      <c r="Y125" s="290"/>
      <c r="Z125" s="290"/>
      <c r="AA125" s="290"/>
      <c r="AB125" s="174">
        <f t="shared" si="209"/>
        <v>0</v>
      </c>
      <c r="AC125" s="174">
        <f t="shared" si="210"/>
        <v>0</v>
      </c>
      <c r="AD125" s="174">
        <f>SUMIFS('1-2 人员岗位信息'!F:F,'1-2 人员岗位信息'!$C:$C,"劳务派遣",'1-2 人员岗位信息'!$B:$B,$D125)</f>
        <v>0</v>
      </c>
      <c r="AE125" s="298"/>
      <c r="AF125" s="174">
        <f t="shared" si="211"/>
        <v>0</v>
      </c>
      <c r="AG125" s="174">
        <f>SUMIFS('1-2 人员岗位信息'!G:G,'1-2 人员岗位信息'!$C:$C,"劳务派遣",'1-2 人员岗位信息'!$B:$B,$D125)</f>
        <v>0</v>
      </c>
      <c r="AH125" s="298"/>
      <c r="AI125" s="174">
        <f t="shared" si="212"/>
        <v>0</v>
      </c>
      <c r="AJ125" s="174">
        <f>SUMIFS('1-2 人员岗位信息'!H:H,'1-2 人员岗位信息'!$C:$C,"劳务派遣",'1-2 人员岗位信息'!$B:$B,$D125)</f>
        <v>0</v>
      </c>
      <c r="AK125" s="298"/>
      <c r="AL125" s="174">
        <f t="shared" si="213"/>
        <v>0</v>
      </c>
      <c r="AM125" s="174">
        <f>SUMIFS('1-2 人员岗位信息'!I:I,'1-2 人员岗位信息'!$C:$C,"劳务派遣",'1-2 人员岗位信息'!$B:$B,$D125)</f>
        <v>0</v>
      </c>
      <c r="AN125" s="298"/>
      <c r="AO125" s="174">
        <f t="shared" si="214"/>
        <v>0</v>
      </c>
      <c r="AP125" s="174">
        <f>SUMIFS('1-2 人员岗位信息'!J:J,'1-2 人员岗位信息'!$C:$C,"劳务派遣",'1-2 人员岗位信息'!$B:$B,$D125)</f>
        <v>0</v>
      </c>
      <c r="AQ125" s="298"/>
      <c r="AR125" s="174">
        <f t="shared" si="215"/>
        <v>0</v>
      </c>
      <c r="AS125" s="174">
        <f>SUMIFS('1-2 人员岗位信息'!K:K,'1-2 人员岗位信息'!$C:$C,"劳务派遣",'1-2 人员岗位信息'!$B:$B,$D125)</f>
        <v>0</v>
      </c>
      <c r="AT125" s="298"/>
      <c r="AU125" s="174">
        <f t="shared" si="216"/>
        <v>0</v>
      </c>
      <c r="AV125" s="174">
        <f>SUMIFS('1-2 人员岗位信息'!L:L,'1-2 人员岗位信息'!$C:$C,"劳务派遣",'1-2 人员岗位信息'!$B:$B,$D125)</f>
        <v>0</v>
      </c>
      <c r="AW125" s="298"/>
      <c r="AX125" s="174">
        <f t="shared" si="217"/>
        <v>0</v>
      </c>
      <c r="AY125" s="174">
        <f>SUMIFS('1-2 人员岗位信息'!M:M,'1-2 人员岗位信息'!$C:$C,"劳务派遣",'1-2 人员岗位信息'!$B:$B,$D125)</f>
        <v>0</v>
      </c>
      <c r="AZ125" s="298"/>
      <c r="BA125" s="174">
        <f t="shared" si="218"/>
        <v>0</v>
      </c>
      <c r="BB125" s="174">
        <f>SUMIFS('1-2 人员岗位信息'!N:N,'1-2 人员岗位信息'!$C:$C,"劳务派遣",'1-2 人员岗位信息'!$B:$B,$D125)</f>
        <v>0</v>
      </c>
      <c r="BC125" s="298"/>
      <c r="BD125" s="174">
        <f t="shared" si="219"/>
        <v>0</v>
      </c>
      <c r="BE125" s="174">
        <f>SUMIFS('1-2 人员岗位信息'!O:O,'1-2 人员岗位信息'!$C:$C,"劳务派遣",'1-2 人员岗位信息'!$B:$B,$D125)</f>
        <v>0</v>
      </c>
      <c r="BF125" s="298"/>
      <c r="BG125" s="174">
        <f t="shared" si="220"/>
        <v>0</v>
      </c>
      <c r="BH125" s="174">
        <f>SUMIFS('1-2 人员岗位信息'!P:P,'1-2 人员岗位信息'!$C:$C,"劳务派遣",'1-2 人员岗位信息'!$B:$B,$D125)</f>
        <v>0</v>
      </c>
      <c r="BI125" s="298"/>
      <c r="BJ125" s="174">
        <f t="shared" si="221"/>
        <v>0</v>
      </c>
      <c r="BK125" s="174">
        <f>SUMIFS('1-2 人员岗位信息'!Q:Q,'1-2 人员岗位信息'!$C:$C,"劳务派遣",'1-2 人员岗位信息'!$B:$B,$D125)</f>
        <v>0</v>
      </c>
      <c r="BL125" s="307"/>
      <c r="BM125" s="311"/>
      <c r="BN125" s="315"/>
    </row>
    <row r="126" s="263" customFormat="1" ht="33.95" hidden="1" customHeight="1" outlineLevel="5" spans="2:66">
      <c r="B126" s="174" t="s">
        <v>799</v>
      </c>
      <c r="C126" s="283" t="s">
        <v>1013</v>
      </c>
      <c r="D126" s="263" t="s">
        <v>995</v>
      </c>
      <c r="E126" s="174" t="s">
        <v>996</v>
      </c>
      <c r="F126" s="174"/>
      <c r="G126" s="174" t="s">
        <v>803</v>
      </c>
      <c r="H126" s="174">
        <f t="shared" si="205"/>
        <v>0</v>
      </c>
      <c r="I126" s="174" t="s">
        <v>804</v>
      </c>
      <c r="J126" s="174" t="e">
        <f t="shared" si="206"/>
        <v>#DIV/0!</v>
      </c>
      <c r="K126" s="174" t="s">
        <v>805</v>
      </c>
      <c r="L126" s="174" t="e">
        <f t="shared" si="207"/>
        <v>#DIV/0!</v>
      </c>
      <c r="M126" s="174" t="s">
        <v>806</v>
      </c>
      <c r="N126" s="174">
        <f t="shared" si="208"/>
        <v>0</v>
      </c>
      <c r="O126" s="174"/>
      <c r="P126" s="290"/>
      <c r="Q126" s="290"/>
      <c r="R126" s="290"/>
      <c r="S126" s="290"/>
      <c r="T126" s="290"/>
      <c r="U126" s="290"/>
      <c r="V126" s="290"/>
      <c r="W126" s="290"/>
      <c r="X126" s="290"/>
      <c r="Y126" s="290"/>
      <c r="Z126" s="290"/>
      <c r="AA126" s="290"/>
      <c r="AB126" s="174">
        <f t="shared" si="209"/>
        <v>0</v>
      </c>
      <c r="AC126" s="174">
        <f t="shared" si="210"/>
        <v>0</v>
      </c>
      <c r="AD126" s="174">
        <f>SUMIFS('1-2 人员岗位信息'!F:F,'1-2 人员岗位信息'!$C:$C,"劳务派遣",'1-2 人员岗位信息'!$B:$B,$D126)</f>
        <v>0</v>
      </c>
      <c r="AE126" s="298"/>
      <c r="AF126" s="174">
        <f t="shared" si="211"/>
        <v>0</v>
      </c>
      <c r="AG126" s="174">
        <f>SUMIFS('1-2 人员岗位信息'!G:G,'1-2 人员岗位信息'!$C:$C,"劳务派遣",'1-2 人员岗位信息'!$B:$B,$D126)</f>
        <v>0</v>
      </c>
      <c r="AH126" s="298"/>
      <c r="AI126" s="174">
        <f t="shared" si="212"/>
        <v>0</v>
      </c>
      <c r="AJ126" s="174">
        <f>SUMIFS('1-2 人员岗位信息'!H:H,'1-2 人员岗位信息'!$C:$C,"劳务派遣",'1-2 人员岗位信息'!$B:$B,$D126)</f>
        <v>0</v>
      </c>
      <c r="AK126" s="298"/>
      <c r="AL126" s="174">
        <f t="shared" si="213"/>
        <v>0</v>
      </c>
      <c r="AM126" s="174">
        <f>SUMIFS('1-2 人员岗位信息'!I:I,'1-2 人员岗位信息'!$C:$C,"劳务派遣",'1-2 人员岗位信息'!$B:$B,$D126)</f>
        <v>0</v>
      </c>
      <c r="AN126" s="298"/>
      <c r="AO126" s="174">
        <f t="shared" si="214"/>
        <v>0</v>
      </c>
      <c r="AP126" s="174">
        <f>SUMIFS('1-2 人员岗位信息'!J:J,'1-2 人员岗位信息'!$C:$C,"劳务派遣",'1-2 人员岗位信息'!$B:$B,$D126)</f>
        <v>0</v>
      </c>
      <c r="AQ126" s="298"/>
      <c r="AR126" s="174">
        <f t="shared" si="215"/>
        <v>0</v>
      </c>
      <c r="AS126" s="174">
        <f>SUMIFS('1-2 人员岗位信息'!K:K,'1-2 人员岗位信息'!$C:$C,"劳务派遣",'1-2 人员岗位信息'!$B:$B,$D126)</f>
        <v>0</v>
      </c>
      <c r="AT126" s="298"/>
      <c r="AU126" s="174">
        <f t="shared" si="216"/>
        <v>0</v>
      </c>
      <c r="AV126" s="174">
        <f>SUMIFS('1-2 人员岗位信息'!L:L,'1-2 人员岗位信息'!$C:$C,"劳务派遣",'1-2 人员岗位信息'!$B:$B,$D126)</f>
        <v>0</v>
      </c>
      <c r="AW126" s="298"/>
      <c r="AX126" s="174">
        <f t="shared" si="217"/>
        <v>0</v>
      </c>
      <c r="AY126" s="174">
        <f>SUMIFS('1-2 人员岗位信息'!M:M,'1-2 人员岗位信息'!$C:$C,"劳务派遣",'1-2 人员岗位信息'!$B:$B,$D126)</f>
        <v>0</v>
      </c>
      <c r="AZ126" s="298"/>
      <c r="BA126" s="174">
        <f t="shared" si="218"/>
        <v>0</v>
      </c>
      <c r="BB126" s="174">
        <f>SUMIFS('1-2 人员岗位信息'!N:N,'1-2 人员岗位信息'!$C:$C,"劳务派遣",'1-2 人员岗位信息'!$B:$B,$D126)</f>
        <v>0</v>
      </c>
      <c r="BC126" s="298"/>
      <c r="BD126" s="174">
        <f t="shared" si="219"/>
        <v>0</v>
      </c>
      <c r="BE126" s="174">
        <f>SUMIFS('1-2 人员岗位信息'!O:O,'1-2 人员岗位信息'!$C:$C,"劳务派遣",'1-2 人员岗位信息'!$B:$B,$D126)</f>
        <v>0</v>
      </c>
      <c r="BF126" s="298"/>
      <c r="BG126" s="174">
        <f t="shared" si="220"/>
        <v>0</v>
      </c>
      <c r="BH126" s="174">
        <f>SUMIFS('1-2 人员岗位信息'!P:P,'1-2 人员岗位信息'!$C:$C,"劳务派遣",'1-2 人员岗位信息'!$B:$B,$D126)</f>
        <v>0</v>
      </c>
      <c r="BI126" s="298"/>
      <c r="BJ126" s="174">
        <f t="shared" si="221"/>
        <v>0</v>
      </c>
      <c r="BK126" s="174">
        <f>SUMIFS('1-2 人员岗位信息'!Q:Q,'1-2 人员岗位信息'!$C:$C,"劳务派遣",'1-2 人员岗位信息'!$B:$B,$D126)</f>
        <v>0</v>
      </c>
      <c r="BL126" s="307"/>
      <c r="BM126" s="311"/>
      <c r="BN126" s="315"/>
    </row>
    <row r="127" s="263" customFormat="1" ht="33.95" hidden="1" customHeight="1" outlineLevel="5" spans="2:66">
      <c r="B127" s="174" t="s">
        <v>799</v>
      </c>
      <c r="C127" s="283" t="s">
        <v>1014</v>
      </c>
      <c r="D127" s="263" t="s">
        <v>998</v>
      </c>
      <c r="E127" s="174" t="s">
        <v>996</v>
      </c>
      <c r="F127" s="174"/>
      <c r="G127" s="174" t="s">
        <v>803</v>
      </c>
      <c r="H127" s="174">
        <f t="shared" si="205"/>
        <v>0</v>
      </c>
      <c r="I127" s="174" t="s">
        <v>804</v>
      </c>
      <c r="J127" s="174" t="e">
        <f t="shared" si="206"/>
        <v>#DIV/0!</v>
      </c>
      <c r="K127" s="174" t="s">
        <v>805</v>
      </c>
      <c r="L127" s="174" t="e">
        <f t="shared" si="207"/>
        <v>#DIV/0!</v>
      </c>
      <c r="M127" s="174" t="s">
        <v>806</v>
      </c>
      <c r="N127" s="174">
        <f t="shared" si="208"/>
        <v>0</v>
      </c>
      <c r="O127" s="174"/>
      <c r="P127" s="290"/>
      <c r="Q127" s="290"/>
      <c r="R127" s="290"/>
      <c r="S127" s="290"/>
      <c r="T127" s="290"/>
      <c r="U127" s="290"/>
      <c r="V127" s="290"/>
      <c r="W127" s="290"/>
      <c r="X127" s="290"/>
      <c r="Y127" s="290"/>
      <c r="Z127" s="290"/>
      <c r="AA127" s="290"/>
      <c r="AB127" s="174">
        <f t="shared" si="209"/>
        <v>0</v>
      </c>
      <c r="AC127" s="174">
        <f t="shared" si="210"/>
        <v>0</v>
      </c>
      <c r="AD127" s="174">
        <f>SUMIFS('1-2 人员岗位信息'!F:F,'1-2 人员岗位信息'!$C:$C,"劳务派遣",'1-2 人员岗位信息'!$B:$B,$D127)</f>
        <v>0</v>
      </c>
      <c r="AE127" s="298"/>
      <c r="AF127" s="174">
        <f t="shared" si="211"/>
        <v>0</v>
      </c>
      <c r="AG127" s="174">
        <f>SUMIFS('1-2 人员岗位信息'!G:G,'1-2 人员岗位信息'!$C:$C,"劳务派遣",'1-2 人员岗位信息'!$B:$B,$D127)</f>
        <v>0</v>
      </c>
      <c r="AH127" s="298"/>
      <c r="AI127" s="174">
        <f t="shared" si="212"/>
        <v>0</v>
      </c>
      <c r="AJ127" s="174">
        <f>SUMIFS('1-2 人员岗位信息'!H:H,'1-2 人员岗位信息'!$C:$C,"劳务派遣",'1-2 人员岗位信息'!$B:$B,$D127)</f>
        <v>0</v>
      </c>
      <c r="AK127" s="298"/>
      <c r="AL127" s="174">
        <f t="shared" si="213"/>
        <v>0</v>
      </c>
      <c r="AM127" s="174">
        <f>SUMIFS('1-2 人员岗位信息'!I:I,'1-2 人员岗位信息'!$C:$C,"劳务派遣",'1-2 人员岗位信息'!$B:$B,$D127)</f>
        <v>0</v>
      </c>
      <c r="AN127" s="298"/>
      <c r="AO127" s="174">
        <f t="shared" si="214"/>
        <v>0</v>
      </c>
      <c r="AP127" s="174">
        <f>SUMIFS('1-2 人员岗位信息'!J:J,'1-2 人员岗位信息'!$C:$C,"劳务派遣",'1-2 人员岗位信息'!$B:$B,$D127)</f>
        <v>0</v>
      </c>
      <c r="AQ127" s="298"/>
      <c r="AR127" s="174">
        <f t="shared" si="215"/>
        <v>0</v>
      </c>
      <c r="AS127" s="174">
        <f>SUMIFS('1-2 人员岗位信息'!K:K,'1-2 人员岗位信息'!$C:$C,"劳务派遣",'1-2 人员岗位信息'!$B:$B,$D127)</f>
        <v>0</v>
      </c>
      <c r="AT127" s="298"/>
      <c r="AU127" s="174">
        <f t="shared" si="216"/>
        <v>0</v>
      </c>
      <c r="AV127" s="174">
        <f>SUMIFS('1-2 人员岗位信息'!L:L,'1-2 人员岗位信息'!$C:$C,"劳务派遣",'1-2 人员岗位信息'!$B:$B,$D127)</f>
        <v>0</v>
      </c>
      <c r="AW127" s="298"/>
      <c r="AX127" s="174">
        <f t="shared" si="217"/>
        <v>0</v>
      </c>
      <c r="AY127" s="174">
        <f>SUMIFS('1-2 人员岗位信息'!M:M,'1-2 人员岗位信息'!$C:$C,"劳务派遣",'1-2 人员岗位信息'!$B:$B,$D127)</f>
        <v>0</v>
      </c>
      <c r="AZ127" s="298"/>
      <c r="BA127" s="174">
        <f t="shared" si="218"/>
        <v>0</v>
      </c>
      <c r="BB127" s="174">
        <f>SUMIFS('1-2 人员岗位信息'!N:N,'1-2 人员岗位信息'!$C:$C,"劳务派遣",'1-2 人员岗位信息'!$B:$B,$D127)</f>
        <v>0</v>
      </c>
      <c r="BC127" s="298"/>
      <c r="BD127" s="174">
        <f t="shared" si="219"/>
        <v>0</v>
      </c>
      <c r="BE127" s="174">
        <f>SUMIFS('1-2 人员岗位信息'!O:O,'1-2 人员岗位信息'!$C:$C,"劳务派遣",'1-2 人员岗位信息'!$B:$B,$D127)</f>
        <v>0</v>
      </c>
      <c r="BF127" s="298"/>
      <c r="BG127" s="174">
        <f t="shared" si="220"/>
        <v>0</v>
      </c>
      <c r="BH127" s="174">
        <f>SUMIFS('1-2 人员岗位信息'!P:P,'1-2 人员岗位信息'!$C:$C,"劳务派遣",'1-2 人员岗位信息'!$B:$B,$D127)</f>
        <v>0</v>
      </c>
      <c r="BI127" s="298"/>
      <c r="BJ127" s="174">
        <f t="shared" si="221"/>
        <v>0</v>
      </c>
      <c r="BK127" s="174">
        <f>SUMIFS('1-2 人员岗位信息'!Q:Q,'1-2 人员岗位信息'!$C:$C,"劳务派遣",'1-2 人员岗位信息'!$B:$B,$D127)</f>
        <v>0</v>
      </c>
      <c r="BL127" s="307"/>
      <c r="BM127" s="311"/>
      <c r="BN127" s="315"/>
    </row>
    <row r="128" s="263" customFormat="1" ht="33.95" hidden="1" customHeight="1" outlineLevel="5" spans="2:66">
      <c r="B128" s="174" t="s">
        <v>799</v>
      </c>
      <c r="C128" s="283" t="s">
        <v>1015</v>
      </c>
      <c r="D128" s="263" t="s">
        <v>1000</v>
      </c>
      <c r="E128" s="174" t="s">
        <v>996</v>
      </c>
      <c r="F128" s="174"/>
      <c r="G128" s="174" t="s">
        <v>803</v>
      </c>
      <c r="H128" s="174">
        <f t="shared" si="205"/>
        <v>0</v>
      </c>
      <c r="I128" s="174" t="s">
        <v>804</v>
      </c>
      <c r="J128" s="174" t="e">
        <f t="shared" si="206"/>
        <v>#DIV/0!</v>
      </c>
      <c r="K128" s="174" t="s">
        <v>805</v>
      </c>
      <c r="L128" s="174" t="e">
        <f t="shared" si="207"/>
        <v>#DIV/0!</v>
      </c>
      <c r="M128" s="174" t="s">
        <v>806</v>
      </c>
      <c r="N128" s="174">
        <f t="shared" si="208"/>
        <v>0</v>
      </c>
      <c r="O128" s="174"/>
      <c r="P128" s="290"/>
      <c r="Q128" s="290"/>
      <c r="R128" s="290"/>
      <c r="S128" s="290"/>
      <c r="T128" s="290"/>
      <c r="U128" s="290"/>
      <c r="V128" s="290"/>
      <c r="W128" s="290"/>
      <c r="X128" s="290"/>
      <c r="Y128" s="290"/>
      <c r="Z128" s="290"/>
      <c r="AA128" s="290"/>
      <c r="AB128" s="174">
        <f t="shared" si="209"/>
        <v>0</v>
      </c>
      <c r="AC128" s="174">
        <f t="shared" si="210"/>
        <v>0</v>
      </c>
      <c r="AD128" s="174">
        <f>SUMIFS('1-2 人员岗位信息'!F:F,'1-2 人员岗位信息'!$C:$C,"劳务派遣",'1-2 人员岗位信息'!$B:$B,$D128)</f>
        <v>0</v>
      </c>
      <c r="AE128" s="298"/>
      <c r="AF128" s="174">
        <f t="shared" si="211"/>
        <v>0</v>
      </c>
      <c r="AG128" s="174">
        <f>SUMIFS('1-2 人员岗位信息'!G:G,'1-2 人员岗位信息'!$C:$C,"劳务派遣",'1-2 人员岗位信息'!$B:$B,$D128)</f>
        <v>0</v>
      </c>
      <c r="AH128" s="298"/>
      <c r="AI128" s="174">
        <f t="shared" si="212"/>
        <v>0</v>
      </c>
      <c r="AJ128" s="174">
        <f>SUMIFS('1-2 人员岗位信息'!H:H,'1-2 人员岗位信息'!$C:$C,"劳务派遣",'1-2 人员岗位信息'!$B:$B,$D128)</f>
        <v>0</v>
      </c>
      <c r="AK128" s="298"/>
      <c r="AL128" s="174">
        <f t="shared" si="213"/>
        <v>0</v>
      </c>
      <c r="AM128" s="174">
        <f>SUMIFS('1-2 人员岗位信息'!I:I,'1-2 人员岗位信息'!$C:$C,"劳务派遣",'1-2 人员岗位信息'!$B:$B,$D128)</f>
        <v>0</v>
      </c>
      <c r="AN128" s="298"/>
      <c r="AO128" s="174">
        <f t="shared" si="214"/>
        <v>0</v>
      </c>
      <c r="AP128" s="174">
        <f>SUMIFS('1-2 人员岗位信息'!J:J,'1-2 人员岗位信息'!$C:$C,"劳务派遣",'1-2 人员岗位信息'!$B:$B,$D128)</f>
        <v>0</v>
      </c>
      <c r="AQ128" s="298"/>
      <c r="AR128" s="174">
        <f t="shared" si="215"/>
        <v>0</v>
      </c>
      <c r="AS128" s="174">
        <f>SUMIFS('1-2 人员岗位信息'!K:K,'1-2 人员岗位信息'!$C:$C,"劳务派遣",'1-2 人员岗位信息'!$B:$B,$D128)</f>
        <v>0</v>
      </c>
      <c r="AT128" s="298"/>
      <c r="AU128" s="174">
        <f t="shared" si="216"/>
        <v>0</v>
      </c>
      <c r="AV128" s="174">
        <f>SUMIFS('1-2 人员岗位信息'!L:L,'1-2 人员岗位信息'!$C:$C,"劳务派遣",'1-2 人员岗位信息'!$B:$B,$D128)</f>
        <v>0</v>
      </c>
      <c r="AW128" s="298"/>
      <c r="AX128" s="174">
        <f t="shared" si="217"/>
        <v>0</v>
      </c>
      <c r="AY128" s="174">
        <f>SUMIFS('1-2 人员岗位信息'!M:M,'1-2 人员岗位信息'!$C:$C,"劳务派遣",'1-2 人员岗位信息'!$B:$B,$D128)</f>
        <v>0</v>
      </c>
      <c r="AZ128" s="298"/>
      <c r="BA128" s="174">
        <f t="shared" si="218"/>
        <v>0</v>
      </c>
      <c r="BB128" s="174">
        <f>SUMIFS('1-2 人员岗位信息'!N:N,'1-2 人员岗位信息'!$C:$C,"劳务派遣",'1-2 人员岗位信息'!$B:$B,$D128)</f>
        <v>0</v>
      </c>
      <c r="BC128" s="298"/>
      <c r="BD128" s="174">
        <f t="shared" si="219"/>
        <v>0</v>
      </c>
      <c r="BE128" s="174">
        <f>SUMIFS('1-2 人员岗位信息'!O:O,'1-2 人员岗位信息'!$C:$C,"劳务派遣",'1-2 人员岗位信息'!$B:$B,$D128)</f>
        <v>0</v>
      </c>
      <c r="BF128" s="298"/>
      <c r="BG128" s="174">
        <f t="shared" si="220"/>
        <v>0</v>
      </c>
      <c r="BH128" s="174">
        <f>SUMIFS('1-2 人员岗位信息'!P:P,'1-2 人员岗位信息'!$C:$C,"劳务派遣",'1-2 人员岗位信息'!$B:$B,$D128)</f>
        <v>0</v>
      </c>
      <c r="BI128" s="298"/>
      <c r="BJ128" s="174">
        <f t="shared" si="221"/>
        <v>0</v>
      </c>
      <c r="BK128" s="174">
        <f>SUMIFS('1-2 人员岗位信息'!Q:Q,'1-2 人员岗位信息'!$C:$C,"劳务派遣",'1-2 人员岗位信息'!$B:$B,$D128)</f>
        <v>0</v>
      </c>
      <c r="BL128" s="307"/>
      <c r="BM128" s="311"/>
      <c r="BN128" s="315"/>
    </row>
    <row r="129" s="263" customFormat="1" ht="33.95" hidden="1" customHeight="1" outlineLevel="5" spans="2:66">
      <c r="B129" s="174" t="s">
        <v>799</v>
      </c>
      <c r="C129" s="283" t="s">
        <v>1016</v>
      </c>
      <c r="D129" s="263" t="s">
        <v>1002</v>
      </c>
      <c r="E129" s="174" t="s">
        <v>996</v>
      </c>
      <c r="F129" s="174"/>
      <c r="G129" s="174" t="s">
        <v>803</v>
      </c>
      <c r="H129" s="174">
        <f t="shared" si="205"/>
        <v>0</v>
      </c>
      <c r="I129" s="174" t="s">
        <v>804</v>
      </c>
      <c r="J129" s="174" t="e">
        <f t="shared" si="206"/>
        <v>#DIV/0!</v>
      </c>
      <c r="K129" s="174" t="s">
        <v>805</v>
      </c>
      <c r="L129" s="174" t="e">
        <f t="shared" si="207"/>
        <v>#DIV/0!</v>
      </c>
      <c r="M129" s="174" t="s">
        <v>806</v>
      </c>
      <c r="N129" s="174">
        <f t="shared" si="208"/>
        <v>0</v>
      </c>
      <c r="O129" s="174"/>
      <c r="P129" s="290"/>
      <c r="Q129" s="290"/>
      <c r="R129" s="290"/>
      <c r="S129" s="290"/>
      <c r="T129" s="290"/>
      <c r="U129" s="290"/>
      <c r="V129" s="290"/>
      <c r="W129" s="290"/>
      <c r="X129" s="290"/>
      <c r="Y129" s="290"/>
      <c r="Z129" s="290"/>
      <c r="AA129" s="290"/>
      <c r="AB129" s="174">
        <f t="shared" si="209"/>
        <v>0</v>
      </c>
      <c r="AC129" s="174">
        <f t="shared" si="210"/>
        <v>0</v>
      </c>
      <c r="AD129" s="174">
        <f>SUMIFS('1-2 人员岗位信息'!F:F,'1-2 人员岗位信息'!$C:$C,"劳务派遣",'1-2 人员岗位信息'!$B:$B,$D129)</f>
        <v>0</v>
      </c>
      <c r="AE129" s="298"/>
      <c r="AF129" s="174">
        <f t="shared" si="211"/>
        <v>0</v>
      </c>
      <c r="AG129" s="174">
        <f>SUMIFS('1-2 人员岗位信息'!G:G,'1-2 人员岗位信息'!$C:$C,"劳务派遣",'1-2 人员岗位信息'!$B:$B,$D129)</f>
        <v>0</v>
      </c>
      <c r="AH129" s="298"/>
      <c r="AI129" s="174">
        <f t="shared" si="212"/>
        <v>0</v>
      </c>
      <c r="AJ129" s="174">
        <f>SUMIFS('1-2 人员岗位信息'!H:H,'1-2 人员岗位信息'!$C:$C,"劳务派遣",'1-2 人员岗位信息'!$B:$B,$D129)</f>
        <v>0</v>
      </c>
      <c r="AK129" s="298"/>
      <c r="AL129" s="174">
        <f t="shared" si="213"/>
        <v>0</v>
      </c>
      <c r="AM129" s="174">
        <f>SUMIFS('1-2 人员岗位信息'!I:I,'1-2 人员岗位信息'!$C:$C,"劳务派遣",'1-2 人员岗位信息'!$B:$B,$D129)</f>
        <v>0</v>
      </c>
      <c r="AN129" s="298"/>
      <c r="AO129" s="174">
        <f t="shared" si="214"/>
        <v>0</v>
      </c>
      <c r="AP129" s="174">
        <f>SUMIFS('1-2 人员岗位信息'!J:J,'1-2 人员岗位信息'!$C:$C,"劳务派遣",'1-2 人员岗位信息'!$B:$B,$D129)</f>
        <v>0</v>
      </c>
      <c r="AQ129" s="298"/>
      <c r="AR129" s="174">
        <f t="shared" si="215"/>
        <v>0</v>
      </c>
      <c r="AS129" s="174">
        <f>SUMIFS('1-2 人员岗位信息'!K:K,'1-2 人员岗位信息'!$C:$C,"劳务派遣",'1-2 人员岗位信息'!$B:$B,$D129)</f>
        <v>0</v>
      </c>
      <c r="AT129" s="298"/>
      <c r="AU129" s="174">
        <f t="shared" si="216"/>
        <v>0</v>
      </c>
      <c r="AV129" s="174">
        <f>SUMIFS('1-2 人员岗位信息'!L:L,'1-2 人员岗位信息'!$C:$C,"劳务派遣",'1-2 人员岗位信息'!$B:$B,$D129)</f>
        <v>0</v>
      </c>
      <c r="AW129" s="298"/>
      <c r="AX129" s="174">
        <f t="shared" si="217"/>
        <v>0</v>
      </c>
      <c r="AY129" s="174">
        <f>SUMIFS('1-2 人员岗位信息'!M:M,'1-2 人员岗位信息'!$C:$C,"劳务派遣",'1-2 人员岗位信息'!$B:$B,$D129)</f>
        <v>0</v>
      </c>
      <c r="AZ129" s="298"/>
      <c r="BA129" s="174">
        <f t="shared" si="218"/>
        <v>0</v>
      </c>
      <c r="BB129" s="174">
        <f>SUMIFS('1-2 人员岗位信息'!N:N,'1-2 人员岗位信息'!$C:$C,"劳务派遣",'1-2 人员岗位信息'!$B:$B,$D129)</f>
        <v>0</v>
      </c>
      <c r="BC129" s="298"/>
      <c r="BD129" s="174">
        <f t="shared" si="219"/>
        <v>0</v>
      </c>
      <c r="BE129" s="174">
        <f>SUMIFS('1-2 人员岗位信息'!O:O,'1-2 人员岗位信息'!$C:$C,"劳务派遣",'1-2 人员岗位信息'!$B:$B,$D129)</f>
        <v>0</v>
      </c>
      <c r="BF129" s="298"/>
      <c r="BG129" s="174">
        <f t="shared" si="220"/>
        <v>0</v>
      </c>
      <c r="BH129" s="174">
        <f>SUMIFS('1-2 人员岗位信息'!P:P,'1-2 人员岗位信息'!$C:$C,"劳务派遣",'1-2 人员岗位信息'!$B:$B,$D129)</f>
        <v>0</v>
      </c>
      <c r="BI129" s="298"/>
      <c r="BJ129" s="174">
        <f t="shared" si="221"/>
        <v>0</v>
      </c>
      <c r="BK129" s="174">
        <f>SUMIFS('1-2 人员岗位信息'!Q:Q,'1-2 人员岗位信息'!$C:$C,"劳务派遣",'1-2 人员岗位信息'!$B:$B,$D129)</f>
        <v>0</v>
      </c>
      <c r="BL129" s="307"/>
      <c r="BM129" s="311"/>
      <c r="BN129" s="315"/>
    </row>
    <row r="130" s="263" customFormat="1" ht="33.95" hidden="1" customHeight="1" outlineLevel="5" spans="2:66">
      <c r="B130" s="174" t="s">
        <v>799</v>
      </c>
      <c r="C130" s="283" t="s">
        <v>1017</v>
      </c>
      <c r="D130" s="263" t="s">
        <v>1004</v>
      </c>
      <c r="E130" s="174" t="s">
        <v>1005</v>
      </c>
      <c r="F130" s="174"/>
      <c r="G130" s="174" t="s">
        <v>803</v>
      </c>
      <c r="H130" s="174">
        <f t="shared" si="205"/>
        <v>0</v>
      </c>
      <c r="I130" s="174" t="s">
        <v>804</v>
      </c>
      <c r="J130" s="174" t="e">
        <f t="shared" si="206"/>
        <v>#DIV/0!</v>
      </c>
      <c r="K130" s="174" t="s">
        <v>805</v>
      </c>
      <c r="L130" s="174" t="e">
        <f t="shared" si="207"/>
        <v>#DIV/0!</v>
      </c>
      <c r="M130" s="174" t="s">
        <v>806</v>
      </c>
      <c r="N130" s="174">
        <f t="shared" si="208"/>
        <v>0</v>
      </c>
      <c r="O130" s="174"/>
      <c r="P130" s="290"/>
      <c r="Q130" s="290"/>
      <c r="R130" s="290"/>
      <c r="S130" s="290"/>
      <c r="T130" s="290"/>
      <c r="U130" s="290"/>
      <c r="V130" s="290"/>
      <c r="W130" s="290"/>
      <c r="X130" s="290"/>
      <c r="Y130" s="290"/>
      <c r="Z130" s="290"/>
      <c r="AA130" s="290"/>
      <c r="AB130" s="174">
        <f t="shared" si="209"/>
        <v>0</v>
      </c>
      <c r="AC130" s="174">
        <f t="shared" si="210"/>
        <v>0</v>
      </c>
      <c r="AD130" s="174">
        <f>SUMIFS('1-2 人员岗位信息'!F:F,'1-2 人员岗位信息'!$C:$C,"劳务派遣",'1-2 人员岗位信息'!$B:$B,$D130)</f>
        <v>0</v>
      </c>
      <c r="AE130" s="298"/>
      <c r="AF130" s="174">
        <f t="shared" si="211"/>
        <v>0</v>
      </c>
      <c r="AG130" s="174">
        <f>SUMIFS('1-2 人员岗位信息'!G:G,'1-2 人员岗位信息'!$C:$C,"劳务派遣",'1-2 人员岗位信息'!$B:$B,$D130)</f>
        <v>0</v>
      </c>
      <c r="AH130" s="298"/>
      <c r="AI130" s="174">
        <f t="shared" si="212"/>
        <v>0</v>
      </c>
      <c r="AJ130" s="174">
        <f>SUMIFS('1-2 人员岗位信息'!H:H,'1-2 人员岗位信息'!$C:$C,"劳务派遣",'1-2 人员岗位信息'!$B:$B,$D130)</f>
        <v>0</v>
      </c>
      <c r="AK130" s="298"/>
      <c r="AL130" s="174">
        <f t="shared" si="213"/>
        <v>0</v>
      </c>
      <c r="AM130" s="174">
        <f>SUMIFS('1-2 人员岗位信息'!I:I,'1-2 人员岗位信息'!$C:$C,"劳务派遣",'1-2 人员岗位信息'!$B:$B,$D130)</f>
        <v>0</v>
      </c>
      <c r="AN130" s="298"/>
      <c r="AO130" s="174">
        <f t="shared" si="214"/>
        <v>0</v>
      </c>
      <c r="AP130" s="174">
        <f>SUMIFS('1-2 人员岗位信息'!J:J,'1-2 人员岗位信息'!$C:$C,"劳务派遣",'1-2 人员岗位信息'!$B:$B,$D130)</f>
        <v>0</v>
      </c>
      <c r="AQ130" s="298"/>
      <c r="AR130" s="174">
        <f t="shared" si="215"/>
        <v>0</v>
      </c>
      <c r="AS130" s="174">
        <f>SUMIFS('1-2 人员岗位信息'!K:K,'1-2 人员岗位信息'!$C:$C,"劳务派遣",'1-2 人员岗位信息'!$B:$B,$D130)</f>
        <v>0</v>
      </c>
      <c r="AT130" s="298"/>
      <c r="AU130" s="174">
        <f t="shared" si="216"/>
        <v>0</v>
      </c>
      <c r="AV130" s="174">
        <f>SUMIFS('1-2 人员岗位信息'!L:L,'1-2 人员岗位信息'!$C:$C,"劳务派遣",'1-2 人员岗位信息'!$B:$B,$D130)</f>
        <v>0</v>
      </c>
      <c r="AW130" s="298"/>
      <c r="AX130" s="174">
        <f t="shared" si="217"/>
        <v>0</v>
      </c>
      <c r="AY130" s="174">
        <f>SUMIFS('1-2 人员岗位信息'!M:M,'1-2 人员岗位信息'!$C:$C,"劳务派遣",'1-2 人员岗位信息'!$B:$B,$D130)</f>
        <v>0</v>
      </c>
      <c r="AZ130" s="298"/>
      <c r="BA130" s="174">
        <f t="shared" si="218"/>
        <v>0</v>
      </c>
      <c r="BB130" s="174">
        <f>SUMIFS('1-2 人员岗位信息'!N:N,'1-2 人员岗位信息'!$C:$C,"劳务派遣",'1-2 人员岗位信息'!$B:$B,$D130)</f>
        <v>0</v>
      </c>
      <c r="BC130" s="298"/>
      <c r="BD130" s="174">
        <f t="shared" si="219"/>
        <v>0</v>
      </c>
      <c r="BE130" s="174">
        <f>SUMIFS('1-2 人员岗位信息'!O:O,'1-2 人员岗位信息'!$C:$C,"劳务派遣",'1-2 人员岗位信息'!$B:$B,$D130)</f>
        <v>0</v>
      </c>
      <c r="BF130" s="298"/>
      <c r="BG130" s="174">
        <f t="shared" si="220"/>
        <v>0</v>
      </c>
      <c r="BH130" s="174">
        <f>SUMIFS('1-2 人员岗位信息'!P:P,'1-2 人员岗位信息'!$C:$C,"劳务派遣",'1-2 人员岗位信息'!$B:$B,$D130)</f>
        <v>0</v>
      </c>
      <c r="BI130" s="298"/>
      <c r="BJ130" s="174">
        <f t="shared" si="221"/>
        <v>0</v>
      </c>
      <c r="BK130" s="174">
        <f>SUMIFS('1-2 人员岗位信息'!Q:Q,'1-2 人员岗位信息'!$C:$C,"劳务派遣",'1-2 人员岗位信息'!$B:$B,$D130)</f>
        <v>0</v>
      </c>
      <c r="BL130" s="307"/>
      <c r="BM130" s="311"/>
      <c r="BN130" s="315"/>
    </row>
    <row r="131" s="263" customFormat="1" ht="33.95" hidden="1" customHeight="1" outlineLevel="5" spans="2:66">
      <c r="B131" s="174" t="s">
        <v>799</v>
      </c>
      <c r="C131" s="283" t="s">
        <v>1018</v>
      </c>
      <c r="D131" s="263" t="s">
        <v>1007</v>
      </c>
      <c r="E131" s="174" t="s">
        <v>821</v>
      </c>
      <c r="F131" s="174"/>
      <c r="G131" s="174" t="s">
        <v>803</v>
      </c>
      <c r="H131" s="174">
        <f t="shared" si="205"/>
        <v>0</v>
      </c>
      <c r="I131" s="174" t="s">
        <v>804</v>
      </c>
      <c r="J131" s="174" t="e">
        <f t="shared" si="206"/>
        <v>#DIV/0!</v>
      </c>
      <c r="K131" s="174" t="s">
        <v>805</v>
      </c>
      <c r="L131" s="174" t="e">
        <f t="shared" si="207"/>
        <v>#DIV/0!</v>
      </c>
      <c r="M131" s="174" t="s">
        <v>806</v>
      </c>
      <c r="N131" s="174">
        <f t="shared" si="208"/>
        <v>0</v>
      </c>
      <c r="O131" s="174"/>
      <c r="P131" s="290"/>
      <c r="Q131" s="290"/>
      <c r="R131" s="290"/>
      <c r="S131" s="290"/>
      <c r="T131" s="290"/>
      <c r="U131" s="290"/>
      <c r="V131" s="290"/>
      <c r="W131" s="290"/>
      <c r="X131" s="290"/>
      <c r="Y131" s="290"/>
      <c r="Z131" s="290"/>
      <c r="AA131" s="290"/>
      <c r="AB131" s="174">
        <f t="shared" si="209"/>
        <v>0</v>
      </c>
      <c r="AC131" s="174">
        <f t="shared" si="210"/>
        <v>0</v>
      </c>
      <c r="AD131" s="174">
        <f>SUMIFS('1-2 人员岗位信息'!F:F,'1-2 人员岗位信息'!$C:$C,"劳务派遣",'1-2 人员岗位信息'!$B:$B,$D131)</f>
        <v>0</v>
      </c>
      <c r="AE131" s="298"/>
      <c r="AF131" s="174">
        <f t="shared" si="211"/>
        <v>0</v>
      </c>
      <c r="AG131" s="174">
        <f>SUMIFS('1-2 人员岗位信息'!G:G,'1-2 人员岗位信息'!$C:$C,"劳务派遣",'1-2 人员岗位信息'!$B:$B,$D131)</f>
        <v>0</v>
      </c>
      <c r="AH131" s="298"/>
      <c r="AI131" s="174">
        <f t="shared" si="212"/>
        <v>0</v>
      </c>
      <c r="AJ131" s="174">
        <f>SUMIFS('1-2 人员岗位信息'!H:H,'1-2 人员岗位信息'!$C:$C,"劳务派遣",'1-2 人员岗位信息'!$B:$B,$D131)</f>
        <v>0</v>
      </c>
      <c r="AK131" s="298"/>
      <c r="AL131" s="174">
        <f t="shared" si="213"/>
        <v>0</v>
      </c>
      <c r="AM131" s="174">
        <f>SUMIFS('1-2 人员岗位信息'!I:I,'1-2 人员岗位信息'!$C:$C,"劳务派遣",'1-2 人员岗位信息'!$B:$B,$D131)</f>
        <v>0</v>
      </c>
      <c r="AN131" s="298"/>
      <c r="AO131" s="174">
        <f t="shared" si="214"/>
        <v>0</v>
      </c>
      <c r="AP131" s="174">
        <f>SUMIFS('1-2 人员岗位信息'!J:J,'1-2 人员岗位信息'!$C:$C,"劳务派遣",'1-2 人员岗位信息'!$B:$B,$D131)</f>
        <v>0</v>
      </c>
      <c r="AQ131" s="298"/>
      <c r="AR131" s="174">
        <f t="shared" si="215"/>
        <v>0</v>
      </c>
      <c r="AS131" s="174">
        <f>SUMIFS('1-2 人员岗位信息'!K:K,'1-2 人员岗位信息'!$C:$C,"劳务派遣",'1-2 人员岗位信息'!$B:$B,$D131)</f>
        <v>0</v>
      </c>
      <c r="AT131" s="298"/>
      <c r="AU131" s="174">
        <f t="shared" si="216"/>
        <v>0</v>
      </c>
      <c r="AV131" s="174">
        <f>SUMIFS('1-2 人员岗位信息'!L:L,'1-2 人员岗位信息'!$C:$C,"劳务派遣",'1-2 人员岗位信息'!$B:$B,$D131)</f>
        <v>0</v>
      </c>
      <c r="AW131" s="298"/>
      <c r="AX131" s="174">
        <f t="shared" si="217"/>
        <v>0</v>
      </c>
      <c r="AY131" s="174">
        <f>SUMIFS('1-2 人员岗位信息'!M:M,'1-2 人员岗位信息'!$C:$C,"劳务派遣",'1-2 人员岗位信息'!$B:$B,$D131)</f>
        <v>0</v>
      </c>
      <c r="AZ131" s="298"/>
      <c r="BA131" s="174">
        <f t="shared" si="218"/>
        <v>0</v>
      </c>
      <c r="BB131" s="174">
        <f>SUMIFS('1-2 人员岗位信息'!N:N,'1-2 人员岗位信息'!$C:$C,"劳务派遣",'1-2 人员岗位信息'!$B:$B,$D131)</f>
        <v>0</v>
      </c>
      <c r="BC131" s="298"/>
      <c r="BD131" s="174">
        <f t="shared" si="219"/>
        <v>0</v>
      </c>
      <c r="BE131" s="174">
        <f>SUMIFS('1-2 人员岗位信息'!O:O,'1-2 人员岗位信息'!$C:$C,"劳务派遣",'1-2 人员岗位信息'!$B:$B,$D131)</f>
        <v>0</v>
      </c>
      <c r="BF131" s="298"/>
      <c r="BG131" s="174">
        <f t="shared" si="220"/>
        <v>0</v>
      </c>
      <c r="BH131" s="174">
        <f>SUMIFS('1-2 人员岗位信息'!P:P,'1-2 人员岗位信息'!$C:$C,"劳务派遣",'1-2 人员岗位信息'!$B:$B,$D131)</f>
        <v>0</v>
      </c>
      <c r="BI131" s="298"/>
      <c r="BJ131" s="174">
        <f t="shared" si="221"/>
        <v>0</v>
      </c>
      <c r="BK131" s="174">
        <f>SUMIFS('1-2 人员岗位信息'!Q:Q,'1-2 人员岗位信息'!$C:$C,"劳务派遣",'1-2 人员岗位信息'!$B:$B,$D131)</f>
        <v>0</v>
      </c>
      <c r="BL131" s="307"/>
      <c r="BM131" s="311"/>
      <c r="BN131" s="315"/>
    </row>
    <row r="132" s="117" customFormat="1" ht="33.95" hidden="1" customHeight="1" outlineLevel="4" collapsed="1" spans="2:66">
      <c r="B132" s="118" t="s">
        <v>794</v>
      </c>
      <c r="C132" s="119" t="s">
        <v>1019</v>
      </c>
      <c r="D132" s="117" t="s">
        <v>15</v>
      </c>
      <c r="E132" s="118"/>
      <c r="F132" s="118"/>
      <c r="G132" s="118"/>
      <c r="H132" s="118">
        <f>SUM(H133:H141)</f>
        <v>0</v>
      </c>
      <c r="I132" s="118"/>
      <c r="J132" s="118"/>
      <c r="K132" s="118"/>
      <c r="L132" s="118"/>
      <c r="M132" s="118"/>
      <c r="N132" s="118"/>
      <c r="O132" s="118"/>
      <c r="P132" s="289"/>
      <c r="Q132" s="289"/>
      <c r="R132" s="289"/>
      <c r="S132" s="289"/>
      <c r="T132" s="289"/>
      <c r="U132" s="289"/>
      <c r="V132" s="289"/>
      <c r="W132" s="289"/>
      <c r="X132" s="289"/>
      <c r="Y132" s="289"/>
      <c r="Z132" s="289"/>
      <c r="AA132" s="289"/>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6"/>
      <c r="BM132" s="311"/>
      <c r="BN132" s="314"/>
    </row>
    <row r="133" s="263" customFormat="1" ht="33.95" hidden="1" customHeight="1" outlineLevel="5" spans="2:66">
      <c r="B133" s="174" t="s">
        <v>799</v>
      </c>
      <c r="C133" s="283" t="s">
        <v>1020</v>
      </c>
      <c r="D133" s="263" t="s">
        <v>986</v>
      </c>
      <c r="E133" s="174" t="s">
        <v>1021</v>
      </c>
      <c r="F133" s="174"/>
      <c r="G133" s="174" t="s">
        <v>803</v>
      </c>
      <c r="H133" s="174">
        <f t="shared" ref="H133:H142" si="223">AB133</f>
        <v>0</v>
      </c>
      <c r="I133" s="174" t="s">
        <v>804</v>
      </c>
      <c r="J133" s="174" t="e">
        <f t="shared" ref="J133:J142" si="224">SUM(AD133,AG133,AJ133,AM133,AP133,AS133,AV133,AY133,BB133,BE133,BH133,BK133)/N133</f>
        <v>#DIV/0!</v>
      </c>
      <c r="K133" s="174" t="s">
        <v>805</v>
      </c>
      <c r="L133" s="174" t="e">
        <f t="shared" ref="L133:L142" si="225">H133/N133/J133</f>
        <v>#DIV/0!</v>
      </c>
      <c r="M133" s="174" t="s">
        <v>806</v>
      </c>
      <c r="N133" s="174">
        <f t="shared" ref="N133:N142" si="226">COUNTIF(AD133,"&gt;0")+COUNTIF(AG133,"&gt;0")+COUNTIF(AJ133,"&gt;0")+COUNTIF(AM133,"&gt;0")+COUNTIF(AP133,"&gt;0")+COUNTIF(AS133,"&gt;0")+COUNTIF(AV133,"&gt;0")+COUNTIF(AY133,"&gt;0")+COUNTIF(BB133,"&gt;0")+COUNTIF(BE133,"&gt;0")+COUNTIF(BH133,"&gt;0")+COUNTIF(BK133,"&gt;0")</f>
        <v>0</v>
      </c>
      <c r="O133" s="174"/>
      <c r="P133" s="290"/>
      <c r="Q133" s="290"/>
      <c r="R133" s="290"/>
      <c r="S133" s="290"/>
      <c r="T133" s="290"/>
      <c r="U133" s="290"/>
      <c r="V133" s="290"/>
      <c r="W133" s="290"/>
      <c r="X133" s="290"/>
      <c r="Y133" s="290"/>
      <c r="Z133" s="290"/>
      <c r="AA133" s="290"/>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8"/>
      <c r="AF133" s="174">
        <f t="shared" ref="AF133:AF142" si="229">AG133*AH133</f>
        <v>0</v>
      </c>
      <c r="AG133" s="174">
        <f>SUMIFS('1-2 人员岗位信息'!G:G,'1-2 人员岗位信息'!$C:$C,"专业外包",'1-2 人员岗位信息'!$B:$B,$D133)</f>
        <v>0</v>
      </c>
      <c r="AH133" s="298"/>
      <c r="AI133" s="174">
        <f t="shared" ref="AI133:AI142" si="230">AJ133*AK133</f>
        <v>0</v>
      </c>
      <c r="AJ133" s="174">
        <f>SUMIFS('1-2 人员岗位信息'!H:H,'1-2 人员岗位信息'!$C:$C,"专业外包",'1-2 人员岗位信息'!$B:$B,$D133)</f>
        <v>0</v>
      </c>
      <c r="AK133" s="298"/>
      <c r="AL133" s="174">
        <f t="shared" ref="AL133:AL142" si="231">AM133*AN133</f>
        <v>0</v>
      </c>
      <c r="AM133" s="174">
        <f>SUMIFS('1-2 人员岗位信息'!I:I,'1-2 人员岗位信息'!$C:$C,"专业外包",'1-2 人员岗位信息'!$B:$B,$D133)</f>
        <v>0</v>
      </c>
      <c r="AN133" s="298"/>
      <c r="AO133" s="174">
        <f t="shared" ref="AO133:AO142" si="232">AP133*AQ133</f>
        <v>0</v>
      </c>
      <c r="AP133" s="174">
        <f>SUMIFS('1-2 人员岗位信息'!J:J,'1-2 人员岗位信息'!$C:$C,"专业外包",'1-2 人员岗位信息'!$B:$B,$D133)</f>
        <v>0</v>
      </c>
      <c r="AQ133" s="298"/>
      <c r="AR133" s="174">
        <f t="shared" ref="AR133:AR142" si="233">AS133*AT133</f>
        <v>0</v>
      </c>
      <c r="AS133" s="174">
        <f>SUMIFS('1-2 人员岗位信息'!K:K,'1-2 人员岗位信息'!$C:$C,"专业外包",'1-2 人员岗位信息'!$B:$B,$D133)</f>
        <v>0</v>
      </c>
      <c r="AT133" s="298"/>
      <c r="AU133" s="174">
        <f t="shared" ref="AU133:AU142" si="234">AV133*AW133</f>
        <v>0</v>
      </c>
      <c r="AV133" s="174">
        <f>SUMIFS('1-2 人员岗位信息'!L:L,'1-2 人员岗位信息'!$C:$C,"专业外包",'1-2 人员岗位信息'!$B:$B,$D133)</f>
        <v>0</v>
      </c>
      <c r="AW133" s="298"/>
      <c r="AX133" s="174">
        <f t="shared" ref="AX133:AX142" si="235">AY133*AZ133</f>
        <v>0</v>
      </c>
      <c r="AY133" s="174">
        <f>SUMIFS('1-2 人员岗位信息'!M:M,'1-2 人员岗位信息'!$C:$C,"专业外包",'1-2 人员岗位信息'!$B:$B,$D133)</f>
        <v>0</v>
      </c>
      <c r="AZ133" s="298"/>
      <c r="BA133" s="174">
        <f t="shared" ref="BA133:BA142" si="236">BB133*BC133</f>
        <v>0</v>
      </c>
      <c r="BB133" s="174">
        <f>SUMIFS('1-2 人员岗位信息'!N:N,'1-2 人员岗位信息'!$C:$C,"专业外包",'1-2 人员岗位信息'!$B:$B,$D133)</f>
        <v>0</v>
      </c>
      <c r="BC133" s="298"/>
      <c r="BD133" s="174">
        <f t="shared" ref="BD133:BD142" si="237">BE133*BF133</f>
        <v>0</v>
      </c>
      <c r="BE133" s="174">
        <f>SUMIFS('1-2 人员岗位信息'!O:O,'1-2 人员岗位信息'!$C:$C,"专业外包",'1-2 人员岗位信息'!$B:$B,$D133)</f>
        <v>0</v>
      </c>
      <c r="BF133" s="298"/>
      <c r="BG133" s="174">
        <f t="shared" ref="BG133:BG142" si="238">BH133*BI133</f>
        <v>0</v>
      </c>
      <c r="BH133" s="174">
        <f>SUMIFS('1-2 人员岗位信息'!P:P,'1-2 人员岗位信息'!$C:$C,"专业外包",'1-2 人员岗位信息'!$B:$B,$D133)</f>
        <v>0</v>
      </c>
      <c r="BI133" s="298"/>
      <c r="BJ133" s="174">
        <f t="shared" ref="BJ133:BJ142" si="239">BK133*BL133</f>
        <v>0</v>
      </c>
      <c r="BK133" s="174">
        <f>SUMIFS('1-2 人员岗位信息'!Q:Q,'1-2 人员岗位信息'!$C:$C,"专业外包",'1-2 人员岗位信息'!$B:$B,$D133)</f>
        <v>0</v>
      </c>
      <c r="BL133" s="307"/>
      <c r="BM133" s="311"/>
      <c r="BN133" s="315"/>
    </row>
    <row r="134" s="263" customFormat="1" ht="33.95" hidden="1" customHeight="1" outlineLevel="5" spans="2:66">
      <c r="B134" s="174" t="s">
        <v>799</v>
      </c>
      <c r="C134" s="283" t="s">
        <v>1022</v>
      </c>
      <c r="D134" s="263" t="s">
        <v>989</v>
      </c>
      <c r="E134" s="174" t="s">
        <v>1023</v>
      </c>
      <c r="F134" s="174"/>
      <c r="G134" s="174" t="s">
        <v>803</v>
      </c>
      <c r="H134" s="174">
        <f t="shared" si="223"/>
        <v>0</v>
      </c>
      <c r="I134" s="174" t="s">
        <v>804</v>
      </c>
      <c r="J134" s="174" t="e">
        <f t="shared" si="224"/>
        <v>#DIV/0!</v>
      </c>
      <c r="K134" s="174" t="s">
        <v>805</v>
      </c>
      <c r="L134" s="174" t="e">
        <f t="shared" si="225"/>
        <v>#DIV/0!</v>
      </c>
      <c r="M134" s="174" t="s">
        <v>806</v>
      </c>
      <c r="N134" s="174">
        <f t="shared" si="226"/>
        <v>0</v>
      </c>
      <c r="O134" s="174"/>
      <c r="P134" s="290"/>
      <c r="Q134" s="290"/>
      <c r="R134" s="290"/>
      <c r="S134" s="290"/>
      <c r="T134" s="290"/>
      <c r="U134" s="290"/>
      <c r="V134" s="290"/>
      <c r="W134" s="290"/>
      <c r="X134" s="290"/>
      <c r="Y134" s="290"/>
      <c r="Z134" s="290"/>
      <c r="AA134" s="290"/>
      <c r="AB134" s="174">
        <f t="shared" si="227"/>
        <v>0</v>
      </c>
      <c r="AC134" s="174">
        <f t="shared" si="228"/>
        <v>0</v>
      </c>
      <c r="AD134" s="174">
        <f>SUMIFS('1-2 人员岗位信息'!F:F,'1-2 人员岗位信息'!$C:$C,"专业外包",'1-2 人员岗位信息'!$B:$B,$D134)</f>
        <v>0</v>
      </c>
      <c r="AE134" s="298"/>
      <c r="AF134" s="174">
        <f t="shared" si="229"/>
        <v>0</v>
      </c>
      <c r="AG134" s="174">
        <f>SUMIFS('1-2 人员岗位信息'!G:G,'1-2 人员岗位信息'!$C:$C,"专业外包",'1-2 人员岗位信息'!$B:$B,$D134)</f>
        <v>0</v>
      </c>
      <c r="AH134" s="298"/>
      <c r="AI134" s="174">
        <f t="shared" si="230"/>
        <v>0</v>
      </c>
      <c r="AJ134" s="174">
        <f>SUMIFS('1-2 人员岗位信息'!H:H,'1-2 人员岗位信息'!$C:$C,"专业外包",'1-2 人员岗位信息'!$B:$B,$D134)</f>
        <v>0</v>
      </c>
      <c r="AK134" s="298"/>
      <c r="AL134" s="174">
        <f t="shared" si="231"/>
        <v>0</v>
      </c>
      <c r="AM134" s="174">
        <f>SUMIFS('1-2 人员岗位信息'!I:I,'1-2 人员岗位信息'!$C:$C,"专业外包",'1-2 人员岗位信息'!$B:$B,$D134)</f>
        <v>0</v>
      </c>
      <c r="AN134" s="298"/>
      <c r="AO134" s="174">
        <f t="shared" si="232"/>
        <v>0</v>
      </c>
      <c r="AP134" s="174">
        <f>SUMIFS('1-2 人员岗位信息'!J:J,'1-2 人员岗位信息'!$C:$C,"专业外包",'1-2 人员岗位信息'!$B:$B,$D134)</f>
        <v>0</v>
      </c>
      <c r="AQ134" s="298"/>
      <c r="AR134" s="174">
        <f t="shared" si="233"/>
        <v>0</v>
      </c>
      <c r="AS134" s="174">
        <f>SUMIFS('1-2 人员岗位信息'!K:K,'1-2 人员岗位信息'!$C:$C,"专业外包",'1-2 人员岗位信息'!$B:$B,$D134)</f>
        <v>0</v>
      </c>
      <c r="AT134" s="298"/>
      <c r="AU134" s="174">
        <f t="shared" si="234"/>
        <v>0</v>
      </c>
      <c r="AV134" s="174">
        <f>SUMIFS('1-2 人员岗位信息'!L:L,'1-2 人员岗位信息'!$C:$C,"专业外包",'1-2 人员岗位信息'!$B:$B,$D134)</f>
        <v>0</v>
      </c>
      <c r="AW134" s="298"/>
      <c r="AX134" s="174">
        <f t="shared" si="235"/>
        <v>0</v>
      </c>
      <c r="AY134" s="174">
        <f>SUMIFS('1-2 人员岗位信息'!M:M,'1-2 人员岗位信息'!$C:$C,"专业外包",'1-2 人员岗位信息'!$B:$B,$D134)</f>
        <v>0</v>
      </c>
      <c r="AZ134" s="298"/>
      <c r="BA134" s="174">
        <f t="shared" si="236"/>
        <v>0</v>
      </c>
      <c r="BB134" s="174">
        <f>SUMIFS('1-2 人员岗位信息'!N:N,'1-2 人员岗位信息'!$C:$C,"专业外包",'1-2 人员岗位信息'!$B:$B,$D134)</f>
        <v>0</v>
      </c>
      <c r="BC134" s="298"/>
      <c r="BD134" s="174">
        <f t="shared" si="237"/>
        <v>0</v>
      </c>
      <c r="BE134" s="174">
        <f>SUMIFS('1-2 人员岗位信息'!O:O,'1-2 人员岗位信息'!$C:$C,"专业外包",'1-2 人员岗位信息'!$B:$B,$D134)</f>
        <v>0</v>
      </c>
      <c r="BF134" s="298"/>
      <c r="BG134" s="174">
        <f t="shared" si="238"/>
        <v>0</v>
      </c>
      <c r="BH134" s="174">
        <f>SUMIFS('1-2 人员岗位信息'!P:P,'1-2 人员岗位信息'!$C:$C,"专业外包",'1-2 人员岗位信息'!$B:$B,$D134)</f>
        <v>0</v>
      </c>
      <c r="BI134" s="298"/>
      <c r="BJ134" s="174">
        <f t="shared" si="239"/>
        <v>0</v>
      </c>
      <c r="BK134" s="174">
        <f>SUMIFS('1-2 人员岗位信息'!Q:Q,'1-2 人员岗位信息'!$C:$C,"专业外包",'1-2 人员岗位信息'!$B:$B,$D134)</f>
        <v>0</v>
      </c>
      <c r="BL134" s="307"/>
      <c r="BM134" s="311"/>
      <c r="BN134" s="315"/>
    </row>
    <row r="135" s="263" customFormat="1" ht="33.95" hidden="1" customHeight="1" outlineLevel="5" spans="2:66">
      <c r="B135" s="174" t="s">
        <v>799</v>
      </c>
      <c r="C135" s="283" t="s">
        <v>1024</v>
      </c>
      <c r="D135" s="263" t="s">
        <v>992</v>
      </c>
      <c r="E135" s="174" t="s">
        <v>993</v>
      </c>
      <c r="F135" s="174"/>
      <c r="G135" s="174" t="s">
        <v>803</v>
      </c>
      <c r="H135" s="174">
        <f t="shared" si="223"/>
        <v>0</v>
      </c>
      <c r="I135" s="174" t="s">
        <v>804</v>
      </c>
      <c r="J135" s="174" t="e">
        <f t="shared" si="224"/>
        <v>#DIV/0!</v>
      </c>
      <c r="K135" s="174" t="s">
        <v>805</v>
      </c>
      <c r="L135" s="174" t="e">
        <f t="shared" si="225"/>
        <v>#DIV/0!</v>
      </c>
      <c r="M135" s="174" t="s">
        <v>806</v>
      </c>
      <c r="N135" s="174">
        <f t="shared" si="226"/>
        <v>0</v>
      </c>
      <c r="O135" s="174"/>
      <c r="P135" s="290"/>
      <c r="Q135" s="290"/>
      <c r="R135" s="290"/>
      <c r="S135" s="290"/>
      <c r="T135" s="290"/>
      <c r="U135" s="290"/>
      <c r="V135" s="290"/>
      <c r="W135" s="290"/>
      <c r="X135" s="290"/>
      <c r="Y135" s="290"/>
      <c r="Z135" s="290"/>
      <c r="AA135" s="290"/>
      <c r="AB135" s="174">
        <f t="shared" si="227"/>
        <v>0</v>
      </c>
      <c r="AC135" s="174">
        <f t="shared" si="228"/>
        <v>0</v>
      </c>
      <c r="AD135" s="174">
        <f>SUMIFS('1-2 人员岗位信息'!F:F,'1-2 人员岗位信息'!$C:$C,"专业外包",'1-2 人员岗位信息'!$B:$B,$D135)</f>
        <v>0</v>
      </c>
      <c r="AE135" s="298"/>
      <c r="AF135" s="174">
        <f t="shared" si="229"/>
        <v>0</v>
      </c>
      <c r="AG135" s="174">
        <f>SUMIFS('1-2 人员岗位信息'!G:G,'1-2 人员岗位信息'!$C:$C,"专业外包",'1-2 人员岗位信息'!$B:$B,$D135)</f>
        <v>0</v>
      </c>
      <c r="AH135" s="298"/>
      <c r="AI135" s="174">
        <f t="shared" si="230"/>
        <v>0</v>
      </c>
      <c r="AJ135" s="174">
        <f>SUMIFS('1-2 人员岗位信息'!H:H,'1-2 人员岗位信息'!$C:$C,"专业外包",'1-2 人员岗位信息'!$B:$B,$D135)</f>
        <v>0</v>
      </c>
      <c r="AK135" s="298"/>
      <c r="AL135" s="174">
        <f t="shared" si="231"/>
        <v>0</v>
      </c>
      <c r="AM135" s="174">
        <f>SUMIFS('1-2 人员岗位信息'!I:I,'1-2 人员岗位信息'!$C:$C,"专业外包",'1-2 人员岗位信息'!$B:$B,$D135)</f>
        <v>0</v>
      </c>
      <c r="AN135" s="298"/>
      <c r="AO135" s="174">
        <f t="shared" si="232"/>
        <v>0</v>
      </c>
      <c r="AP135" s="174">
        <f>SUMIFS('1-2 人员岗位信息'!J:J,'1-2 人员岗位信息'!$C:$C,"专业外包",'1-2 人员岗位信息'!$B:$B,$D135)</f>
        <v>0</v>
      </c>
      <c r="AQ135" s="298"/>
      <c r="AR135" s="174">
        <f t="shared" si="233"/>
        <v>0</v>
      </c>
      <c r="AS135" s="174">
        <f>SUMIFS('1-2 人员岗位信息'!K:K,'1-2 人员岗位信息'!$C:$C,"专业外包",'1-2 人员岗位信息'!$B:$B,$D135)</f>
        <v>0</v>
      </c>
      <c r="AT135" s="298"/>
      <c r="AU135" s="174">
        <f t="shared" si="234"/>
        <v>0</v>
      </c>
      <c r="AV135" s="174">
        <f>SUMIFS('1-2 人员岗位信息'!L:L,'1-2 人员岗位信息'!$C:$C,"专业外包",'1-2 人员岗位信息'!$B:$B,$D135)</f>
        <v>0</v>
      </c>
      <c r="AW135" s="298"/>
      <c r="AX135" s="174">
        <f t="shared" si="235"/>
        <v>0</v>
      </c>
      <c r="AY135" s="174">
        <f>SUMIFS('1-2 人员岗位信息'!M:M,'1-2 人员岗位信息'!$C:$C,"专业外包",'1-2 人员岗位信息'!$B:$B,$D135)</f>
        <v>0</v>
      </c>
      <c r="AZ135" s="298"/>
      <c r="BA135" s="174">
        <f t="shared" si="236"/>
        <v>0</v>
      </c>
      <c r="BB135" s="174">
        <f>SUMIFS('1-2 人员岗位信息'!N:N,'1-2 人员岗位信息'!$C:$C,"专业外包",'1-2 人员岗位信息'!$B:$B,$D135)</f>
        <v>0</v>
      </c>
      <c r="BC135" s="298"/>
      <c r="BD135" s="174">
        <f t="shared" si="237"/>
        <v>0</v>
      </c>
      <c r="BE135" s="174">
        <f>SUMIFS('1-2 人员岗位信息'!O:O,'1-2 人员岗位信息'!$C:$C,"专业外包",'1-2 人员岗位信息'!$B:$B,$D135)</f>
        <v>0</v>
      </c>
      <c r="BF135" s="298"/>
      <c r="BG135" s="174">
        <f t="shared" si="238"/>
        <v>0</v>
      </c>
      <c r="BH135" s="174">
        <f>SUMIFS('1-2 人员岗位信息'!P:P,'1-2 人员岗位信息'!$C:$C,"专业外包",'1-2 人员岗位信息'!$B:$B,$D135)</f>
        <v>0</v>
      </c>
      <c r="BI135" s="298"/>
      <c r="BJ135" s="174">
        <f t="shared" si="239"/>
        <v>0</v>
      </c>
      <c r="BK135" s="174">
        <f>SUMIFS('1-2 人员岗位信息'!Q:Q,'1-2 人员岗位信息'!$C:$C,"专业外包",'1-2 人员岗位信息'!$B:$B,$D135)</f>
        <v>0</v>
      </c>
      <c r="BL135" s="307"/>
      <c r="BM135" s="311"/>
      <c r="BN135" s="315"/>
    </row>
    <row r="136" s="263" customFormat="1" ht="33.95" hidden="1" customHeight="1" outlineLevel="5" spans="2:66">
      <c r="B136" s="174" t="s">
        <v>799</v>
      </c>
      <c r="C136" s="283" t="s">
        <v>1025</v>
      </c>
      <c r="D136" s="263" t="s">
        <v>995</v>
      </c>
      <c r="E136" s="174" t="s">
        <v>996</v>
      </c>
      <c r="F136" s="174"/>
      <c r="G136" s="174" t="s">
        <v>803</v>
      </c>
      <c r="H136" s="174">
        <f t="shared" si="223"/>
        <v>0</v>
      </c>
      <c r="I136" s="174" t="s">
        <v>804</v>
      </c>
      <c r="J136" s="174" t="e">
        <f t="shared" si="224"/>
        <v>#DIV/0!</v>
      </c>
      <c r="K136" s="174" t="s">
        <v>805</v>
      </c>
      <c r="L136" s="174" t="e">
        <f t="shared" si="225"/>
        <v>#DIV/0!</v>
      </c>
      <c r="M136" s="174" t="s">
        <v>806</v>
      </c>
      <c r="N136" s="174">
        <f t="shared" si="226"/>
        <v>0</v>
      </c>
      <c r="O136" s="174"/>
      <c r="P136" s="290"/>
      <c r="Q136" s="290"/>
      <c r="R136" s="290"/>
      <c r="S136" s="290"/>
      <c r="T136" s="290"/>
      <c r="U136" s="290"/>
      <c r="V136" s="290"/>
      <c r="W136" s="290"/>
      <c r="X136" s="290"/>
      <c r="Y136" s="290"/>
      <c r="Z136" s="290"/>
      <c r="AA136" s="290"/>
      <c r="AB136" s="174">
        <f t="shared" si="227"/>
        <v>0</v>
      </c>
      <c r="AC136" s="174">
        <f t="shared" si="228"/>
        <v>0</v>
      </c>
      <c r="AD136" s="174">
        <f>SUMIFS('1-2 人员岗位信息'!F:F,'1-2 人员岗位信息'!$C:$C,"专业外包",'1-2 人员岗位信息'!$B:$B,$D136)</f>
        <v>0</v>
      </c>
      <c r="AE136" s="298"/>
      <c r="AF136" s="174">
        <f t="shared" si="229"/>
        <v>0</v>
      </c>
      <c r="AG136" s="174">
        <f>SUMIFS('1-2 人员岗位信息'!G:G,'1-2 人员岗位信息'!$C:$C,"专业外包",'1-2 人员岗位信息'!$B:$B,$D136)</f>
        <v>0</v>
      </c>
      <c r="AH136" s="298"/>
      <c r="AI136" s="174">
        <f t="shared" si="230"/>
        <v>0</v>
      </c>
      <c r="AJ136" s="174">
        <f>SUMIFS('1-2 人员岗位信息'!H:H,'1-2 人员岗位信息'!$C:$C,"专业外包",'1-2 人员岗位信息'!$B:$B,$D136)</f>
        <v>0</v>
      </c>
      <c r="AK136" s="298"/>
      <c r="AL136" s="174">
        <f t="shared" si="231"/>
        <v>0</v>
      </c>
      <c r="AM136" s="174">
        <f>SUMIFS('1-2 人员岗位信息'!I:I,'1-2 人员岗位信息'!$C:$C,"专业外包",'1-2 人员岗位信息'!$B:$B,$D136)</f>
        <v>0</v>
      </c>
      <c r="AN136" s="298"/>
      <c r="AO136" s="174">
        <f t="shared" si="232"/>
        <v>0</v>
      </c>
      <c r="AP136" s="174">
        <f>SUMIFS('1-2 人员岗位信息'!J:J,'1-2 人员岗位信息'!$C:$C,"专业外包",'1-2 人员岗位信息'!$B:$B,$D136)</f>
        <v>0</v>
      </c>
      <c r="AQ136" s="298"/>
      <c r="AR136" s="174">
        <f t="shared" si="233"/>
        <v>0</v>
      </c>
      <c r="AS136" s="174">
        <f>SUMIFS('1-2 人员岗位信息'!K:K,'1-2 人员岗位信息'!$C:$C,"专业外包",'1-2 人员岗位信息'!$B:$B,$D136)</f>
        <v>0</v>
      </c>
      <c r="AT136" s="298"/>
      <c r="AU136" s="174">
        <f t="shared" si="234"/>
        <v>0</v>
      </c>
      <c r="AV136" s="174">
        <f>SUMIFS('1-2 人员岗位信息'!L:L,'1-2 人员岗位信息'!$C:$C,"专业外包",'1-2 人员岗位信息'!$B:$B,$D136)</f>
        <v>0</v>
      </c>
      <c r="AW136" s="298"/>
      <c r="AX136" s="174">
        <f t="shared" si="235"/>
        <v>0</v>
      </c>
      <c r="AY136" s="174">
        <f>SUMIFS('1-2 人员岗位信息'!M:M,'1-2 人员岗位信息'!$C:$C,"专业外包",'1-2 人员岗位信息'!$B:$B,$D136)</f>
        <v>0</v>
      </c>
      <c r="AZ136" s="298"/>
      <c r="BA136" s="174">
        <f t="shared" si="236"/>
        <v>0</v>
      </c>
      <c r="BB136" s="174">
        <f>SUMIFS('1-2 人员岗位信息'!N:N,'1-2 人员岗位信息'!$C:$C,"专业外包",'1-2 人员岗位信息'!$B:$B,$D136)</f>
        <v>0</v>
      </c>
      <c r="BC136" s="298"/>
      <c r="BD136" s="174">
        <f t="shared" si="237"/>
        <v>0</v>
      </c>
      <c r="BE136" s="174">
        <f>SUMIFS('1-2 人员岗位信息'!O:O,'1-2 人员岗位信息'!$C:$C,"专业外包",'1-2 人员岗位信息'!$B:$B,$D136)</f>
        <v>0</v>
      </c>
      <c r="BF136" s="298"/>
      <c r="BG136" s="174">
        <f t="shared" si="238"/>
        <v>0</v>
      </c>
      <c r="BH136" s="174">
        <f>SUMIFS('1-2 人员岗位信息'!P:P,'1-2 人员岗位信息'!$C:$C,"专业外包",'1-2 人员岗位信息'!$B:$B,$D136)</f>
        <v>0</v>
      </c>
      <c r="BI136" s="298"/>
      <c r="BJ136" s="174">
        <f t="shared" si="239"/>
        <v>0</v>
      </c>
      <c r="BK136" s="174">
        <f>SUMIFS('1-2 人员岗位信息'!Q:Q,'1-2 人员岗位信息'!$C:$C,"专业外包",'1-2 人员岗位信息'!$B:$B,$D136)</f>
        <v>0</v>
      </c>
      <c r="BL136" s="307"/>
      <c r="BM136" s="311"/>
      <c r="BN136" s="315"/>
    </row>
    <row r="137" s="263" customFormat="1" ht="33.95" hidden="1" customHeight="1" outlineLevel="5" spans="2:66">
      <c r="B137" s="174" t="s">
        <v>799</v>
      </c>
      <c r="C137" s="283" t="s">
        <v>1026</v>
      </c>
      <c r="D137" s="263" t="s">
        <v>998</v>
      </c>
      <c r="E137" s="174" t="s">
        <v>996</v>
      </c>
      <c r="F137" s="174"/>
      <c r="G137" s="174" t="s">
        <v>803</v>
      </c>
      <c r="H137" s="174">
        <f t="shared" si="223"/>
        <v>0</v>
      </c>
      <c r="I137" s="174" t="s">
        <v>804</v>
      </c>
      <c r="J137" s="174" t="e">
        <f t="shared" si="224"/>
        <v>#DIV/0!</v>
      </c>
      <c r="K137" s="174" t="s">
        <v>805</v>
      </c>
      <c r="L137" s="174" t="e">
        <f t="shared" si="225"/>
        <v>#DIV/0!</v>
      </c>
      <c r="M137" s="174" t="s">
        <v>806</v>
      </c>
      <c r="N137" s="174">
        <f t="shared" si="226"/>
        <v>0</v>
      </c>
      <c r="O137" s="174"/>
      <c r="P137" s="290"/>
      <c r="Q137" s="290"/>
      <c r="R137" s="290"/>
      <c r="S137" s="290"/>
      <c r="T137" s="290"/>
      <c r="U137" s="290"/>
      <c r="V137" s="290"/>
      <c r="W137" s="290"/>
      <c r="X137" s="290"/>
      <c r="Y137" s="290"/>
      <c r="Z137" s="290"/>
      <c r="AA137" s="290"/>
      <c r="AB137" s="174">
        <f t="shared" si="227"/>
        <v>0</v>
      </c>
      <c r="AC137" s="174">
        <f t="shared" si="228"/>
        <v>0</v>
      </c>
      <c r="AD137" s="174">
        <f>SUMIFS('1-2 人员岗位信息'!F:F,'1-2 人员岗位信息'!$C:$C,"专业外包",'1-2 人员岗位信息'!$B:$B,$D137)</f>
        <v>0</v>
      </c>
      <c r="AE137" s="298"/>
      <c r="AF137" s="174">
        <f t="shared" si="229"/>
        <v>0</v>
      </c>
      <c r="AG137" s="174">
        <f>SUMIFS('1-2 人员岗位信息'!G:G,'1-2 人员岗位信息'!$C:$C,"专业外包",'1-2 人员岗位信息'!$B:$B,$D137)</f>
        <v>0</v>
      </c>
      <c r="AH137" s="298"/>
      <c r="AI137" s="174">
        <f t="shared" si="230"/>
        <v>0</v>
      </c>
      <c r="AJ137" s="174">
        <f>SUMIFS('1-2 人员岗位信息'!H:H,'1-2 人员岗位信息'!$C:$C,"专业外包",'1-2 人员岗位信息'!$B:$B,$D137)</f>
        <v>0</v>
      </c>
      <c r="AK137" s="298"/>
      <c r="AL137" s="174">
        <f t="shared" si="231"/>
        <v>0</v>
      </c>
      <c r="AM137" s="174">
        <f>SUMIFS('1-2 人员岗位信息'!I:I,'1-2 人员岗位信息'!$C:$C,"专业外包",'1-2 人员岗位信息'!$B:$B,$D137)</f>
        <v>0</v>
      </c>
      <c r="AN137" s="298"/>
      <c r="AO137" s="174">
        <f t="shared" si="232"/>
        <v>0</v>
      </c>
      <c r="AP137" s="174">
        <f>SUMIFS('1-2 人员岗位信息'!J:J,'1-2 人员岗位信息'!$C:$C,"专业外包",'1-2 人员岗位信息'!$B:$B,$D137)</f>
        <v>0</v>
      </c>
      <c r="AQ137" s="298"/>
      <c r="AR137" s="174">
        <f t="shared" si="233"/>
        <v>0</v>
      </c>
      <c r="AS137" s="174">
        <f>SUMIFS('1-2 人员岗位信息'!K:K,'1-2 人员岗位信息'!$C:$C,"专业外包",'1-2 人员岗位信息'!$B:$B,$D137)</f>
        <v>0</v>
      </c>
      <c r="AT137" s="298"/>
      <c r="AU137" s="174">
        <f t="shared" si="234"/>
        <v>0</v>
      </c>
      <c r="AV137" s="174">
        <f>SUMIFS('1-2 人员岗位信息'!L:L,'1-2 人员岗位信息'!$C:$C,"专业外包",'1-2 人员岗位信息'!$B:$B,$D137)</f>
        <v>0</v>
      </c>
      <c r="AW137" s="298"/>
      <c r="AX137" s="174">
        <f t="shared" si="235"/>
        <v>0</v>
      </c>
      <c r="AY137" s="174">
        <f>SUMIFS('1-2 人员岗位信息'!M:M,'1-2 人员岗位信息'!$C:$C,"专业外包",'1-2 人员岗位信息'!$B:$B,$D137)</f>
        <v>0</v>
      </c>
      <c r="AZ137" s="298"/>
      <c r="BA137" s="174">
        <f t="shared" si="236"/>
        <v>0</v>
      </c>
      <c r="BB137" s="174">
        <f>SUMIFS('1-2 人员岗位信息'!N:N,'1-2 人员岗位信息'!$C:$C,"专业外包",'1-2 人员岗位信息'!$B:$B,$D137)</f>
        <v>0</v>
      </c>
      <c r="BC137" s="298"/>
      <c r="BD137" s="174">
        <f t="shared" si="237"/>
        <v>0</v>
      </c>
      <c r="BE137" s="174">
        <f>SUMIFS('1-2 人员岗位信息'!O:O,'1-2 人员岗位信息'!$C:$C,"专业外包",'1-2 人员岗位信息'!$B:$B,$D137)</f>
        <v>0</v>
      </c>
      <c r="BF137" s="298"/>
      <c r="BG137" s="174">
        <f t="shared" si="238"/>
        <v>0</v>
      </c>
      <c r="BH137" s="174">
        <f>SUMIFS('1-2 人员岗位信息'!P:P,'1-2 人员岗位信息'!$C:$C,"专业外包",'1-2 人员岗位信息'!$B:$B,$D137)</f>
        <v>0</v>
      </c>
      <c r="BI137" s="298"/>
      <c r="BJ137" s="174">
        <f t="shared" si="239"/>
        <v>0</v>
      </c>
      <c r="BK137" s="174">
        <f>SUMIFS('1-2 人员岗位信息'!Q:Q,'1-2 人员岗位信息'!$C:$C,"专业外包",'1-2 人员岗位信息'!$B:$B,$D137)</f>
        <v>0</v>
      </c>
      <c r="BL137" s="307"/>
      <c r="BM137" s="311"/>
      <c r="BN137" s="315"/>
    </row>
    <row r="138" s="263" customFormat="1" ht="33.95" hidden="1" customHeight="1" outlineLevel="5" spans="2:66">
      <c r="B138" s="174" t="s">
        <v>799</v>
      </c>
      <c r="C138" s="283" t="s">
        <v>1027</v>
      </c>
      <c r="D138" s="263" t="s">
        <v>1000</v>
      </c>
      <c r="E138" s="174" t="s">
        <v>996</v>
      </c>
      <c r="F138" s="174"/>
      <c r="G138" s="174" t="s">
        <v>803</v>
      </c>
      <c r="H138" s="174">
        <f t="shared" si="223"/>
        <v>0</v>
      </c>
      <c r="I138" s="174" t="s">
        <v>804</v>
      </c>
      <c r="J138" s="174" t="e">
        <f t="shared" si="224"/>
        <v>#DIV/0!</v>
      </c>
      <c r="K138" s="174" t="s">
        <v>805</v>
      </c>
      <c r="L138" s="174" t="e">
        <f t="shared" si="225"/>
        <v>#DIV/0!</v>
      </c>
      <c r="M138" s="174" t="s">
        <v>806</v>
      </c>
      <c r="N138" s="174">
        <f t="shared" si="226"/>
        <v>0</v>
      </c>
      <c r="O138" s="174"/>
      <c r="P138" s="290"/>
      <c r="Q138" s="290"/>
      <c r="R138" s="290"/>
      <c r="S138" s="290"/>
      <c r="T138" s="290"/>
      <c r="U138" s="290"/>
      <c r="V138" s="290"/>
      <c r="W138" s="290"/>
      <c r="X138" s="290"/>
      <c r="Y138" s="290"/>
      <c r="Z138" s="290"/>
      <c r="AA138" s="290"/>
      <c r="AB138" s="174">
        <f t="shared" si="227"/>
        <v>0</v>
      </c>
      <c r="AC138" s="174">
        <f t="shared" si="228"/>
        <v>0</v>
      </c>
      <c r="AD138" s="174">
        <f>SUMIFS('1-2 人员岗位信息'!F:F,'1-2 人员岗位信息'!$C:$C,"专业外包",'1-2 人员岗位信息'!$B:$B,$D138)</f>
        <v>0</v>
      </c>
      <c r="AE138" s="298"/>
      <c r="AF138" s="174">
        <f t="shared" si="229"/>
        <v>0</v>
      </c>
      <c r="AG138" s="174">
        <f>SUMIFS('1-2 人员岗位信息'!G:G,'1-2 人员岗位信息'!$C:$C,"专业外包",'1-2 人员岗位信息'!$B:$B,$D138)</f>
        <v>0</v>
      </c>
      <c r="AH138" s="298"/>
      <c r="AI138" s="174">
        <f t="shared" si="230"/>
        <v>0</v>
      </c>
      <c r="AJ138" s="174">
        <f>SUMIFS('1-2 人员岗位信息'!H:H,'1-2 人员岗位信息'!$C:$C,"专业外包",'1-2 人员岗位信息'!$B:$B,$D138)</f>
        <v>0</v>
      </c>
      <c r="AK138" s="298"/>
      <c r="AL138" s="174">
        <f t="shared" si="231"/>
        <v>0</v>
      </c>
      <c r="AM138" s="174">
        <f>SUMIFS('1-2 人员岗位信息'!I:I,'1-2 人员岗位信息'!$C:$C,"专业外包",'1-2 人员岗位信息'!$B:$B,$D138)</f>
        <v>0</v>
      </c>
      <c r="AN138" s="298"/>
      <c r="AO138" s="174">
        <f t="shared" si="232"/>
        <v>0</v>
      </c>
      <c r="AP138" s="174">
        <f>SUMIFS('1-2 人员岗位信息'!J:J,'1-2 人员岗位信息'!$C:$C,"专业外包",'1-2 人员岗位信息'!$B:$B,$D138)</f>
        <v>0</v>
      </c>
      <c r="AQ138" s="298"/>
      <c r="AR138" s="174">
        <f t="shared" si="233"/>
        <v>0</v>
      </c>
      <c r="AS138" s="174">
        <f>SUMIFS('1-2 人员岗位信息'!K:K,'1-2 人员岗位信息'!$C:$C,"专业外包",'1-2 人员岗位信息'!$B:$B,$D138)</f>
        <v>0</v>
      </c>
      <c r="AT138" s="298"/>
      <c r="AU138" s="174">
        <f t="shared" si="234"/>
        <v>0</v>
      </c>
      <c r="AV138" s="174">
        <f>SUMIFS('1-2 人员岗位信息'!L:L,'1-2 人员岗位信息'!$C:$C,"专业外包",'1-2 人员岗位信息'!$B:$B,$D138)</f>
        <v>0</v>
      </c>
      <c r="AW138" s="298"/>
      <c r="AX138" s="174">
        <f t="shared" si="235"/>
        <v>0</v>
      </c>
      <c r="AY138" s="174">
        <f>SUMIFS('1-2 人员岗位信息'!M:M,'1-2 人员岗位信息'!$C:$C,"专业外包",'1-2 人员岗位信息'!$B:$B,$D138)</f>
        <v>0</v>
      </c>
      <c r="AZ138" s="298"/>
      <c r="BA138" s="174">
        <f t="shared" si="236"/>
        <v>0</v>
      </c>
      <c r="BB138" s="174">
        <f>SUMIFS('1-2 人员岗位信息'!N:N,'1-2 人员岗位信息'!$C:$C,"专业外包",'1-2 人员岗位信息'!$B:$B,$D138)</f>
        <v>0</v>
      </c>
      <c r="BC138" s="298"/>
      <c r="BD138" s="174">
        <f t="shared" si="237"/>
        <v>0</v>
      </c>
      <c r="BE138" s="174">
        <f>SUMIFS('1-2 人员岗位信息'!O:O,'1-2 人员岗位信息'!$C:$C,"专业外包",'1-2 人员岗位信息'!$B:$B,$D138)</f>
        <v>0</v>
      </c>
      <c r="BF138" s="298"/>
      <c r="BG138" s="174">
        <f t="shared" si="238"/>
        <v>0</v>
      </c>
      <c r="BH138" s="174">
        <f>SUMIFS('1-2 人员岗位信息'!P:P,'1-2 人员岗位信息'!$C:$C,"专业外包",'1-2 人员岗位信息'!$B:$B,$D138)</f>
        <v>0</v>
      </c>
      <c r="BI138" s="298"/>
      <c r="BJ138" s="174">
        <f t="shared" si="239"/>
        <v>0</v>
      </c>
      <c r="BK138" s="174">
        <f>SUMIFS('1-2 人员岗位信息'!Q:Q,'1-2 人员岗位信息'!$C:$C,"专业外包",'1-2 人员岗位信息'!$B:$B,$D138)</f>
        <v>0</v>
      </c>
      <c r="BL138" s="307"/>
      <c r="BM138" s="311"/>
      <c r="BN138" s="315"/>
    </row>
    <row r="139" s="263" customFormat="1" ht="33.95" hidden="1" customHeight="1" outlineLevel="5" spans="2:66">
      <c r="B139" s="174" t="s">
        <v>799</v>
      </c>
      <c r="C139" s="283" t="s">
        <v>1028</v>
      </c>
      <c r="D139" s="263" t="s">
        <v>1002</v>
      </c>
      <c r="E139" s="174" t="s">
        <v>996</v>
      </c>
      <c r="F139" s="174"/>
      <c r="G139" s="174" t="s">
        <v>803</v>
      </c>
      <c r="H139" s="174">
        <f t="shared" si="223"/>
        <v>0</v>
      </c>
      <c r="I139" s="174" t="s">
        <v>804</v>
      </c>
      <c r="J139" s="174" t="e">
        <f t="shared" si="224"/>
        <v>#DIV/0!</v>
      </c>
      <c r="K139" s="174" t="s">
        <v>805</v>
      </c>
      <c r="L139" s="174" t="e">
        <f t="shared" si="225"/>
        <v>#DIV/0!</v>
      </c>
      <c r="M139" s="174" t="s">
        <v>806</v>
      </c>
      <c r="N139" s="174">
        <f t="shared" si="226"/>
        <v>0</v>
      </c>
      <c r="O139" s="174"/>
      <c r="P139" s="290"/>
      <c r="Q139" s="290"/>
      <c r="R139" s="290"/>
      <c r="S139" s="290"/>
      <c r="T139" s="290"/>
      <c r="U139" s="290"/>
      <c r="V139" s="290"/>
      <c r="W139" s="290"/>
      <c r="X139" s="290"/>
      <c r="Y139" s="290"/>
      <c r="Z139" s="290"/>
      <c r="AA139" s="290"/>
      <c r="AB139" s="174">
        <f t="shared" si="227"/>
        <v>0</v>
      </c>
      <c r="AC139" s="174">
        <f t="shared" si="228"/>
        <v>0</v>
      </c>
      <c r="AD139" s="174">
        <f>SUMIFS('1-2 人员岗位信息'!F:F,'1-2 人员岗位信息'!$C:$C,"专业外包",'1-2 人员岗位信息'!$B:$B,$D139)</f>
        <v>0</v>
      </c>
      <c r="AE139" s="298"/>
      <c r="AF139" s="174">
        <f t="shared" si="229"/>
        <v>0</v>
      </c>
      <c r="AG139" s="174">
        <f>SUMIFS('1-2 人员岗位信息'!G:G,'1-2 人员岗位信息'!$C:$C,"专业外包",'1-2 人员岗位信息'!$B:$B,$D139)</f>
        <v>0</v>
      </c>
      <c r="AH139" s="298"/>
      <c r="AI139" s="174">
        <f t="shared" si="230"/>
        <v>0</v>
      </c>
      <c r="AJ139" s="174">
        <f>SUMIFS('1-2 人员岗位信息'!H:H,'1-2 人员岗位信息'!$C:$C,"专业外包",'1-2 人员岗位信息'!$B:$B,$D139)</f>
        <v>0</v>
      </c>
      <c r="AK139" s="298"/>
      <c r="AL139" s="174">
        <f t="shared" si="231"/>
        <v>0</v>
      </c>
      <c r="AM139" s="174">
        <f>SUMIFS('1-2 人员岗位信息'!I:I,'1-2 人员岗位信息'!$C:$C,"专业外包",'1-2 人员岗位信息'!$B:$B,$D139)</f>
        <v>0</v>
      </c>
      <c r="AN139" s="298"/>
      <c r="AO139" s="174">
        <f t="shared" si="232"/>
        <v>0</v>
      </c>
      <c r="AP139" s="174">
        <f>SUMIFS('1-2 人员岗位信息'!J:J,'1-2 人员岗位信息'!$C:$C,"专业外包",'1-2 人员岗位信息'!$B:$B,$D139)</f>
        <v>0</v>
      </c>
      <c r="AQ139" s="298"/>
      <c r="AR139" s="174">
        <f t="shared" si="233"/>
        <v>0</v>
      </c>
      <c r="AS139" s="174">
        <f>SUMIFS('1-2 人员岗位信息'!K:K,'1-2 人员岗位信息'!$C:$C,"专业外包",'1-2 人员岗位信息'!$B:$B,$D139)</f>
        <v>0</v>
      </c>
      <c r="AT139" s="298"/>
      <c r="AU139" s="174">
        <f t="shared" si="234"/>
        <v>0</v>
      </c>
      <c r="AV139" s="174">
        <f>SUMIFS('1-2 人员岗位信息'!L:L,'1-2 人员岗位信息'!$C:$C,"专业外包",'1-2 人员岗位信息'!$B:$B,$D139)</f>
        <v>0</v>
      </c>
      <c r="AW139" s="298"/>
      <c r="AX139" s="174">
        <f t="shared" si="235"/>
        <v>0</v>
      </c>
      <c r="AY139" s="174">
        <f>SUMIFS('1-2 人员岗位信息'!M:M,'1-2 人员岗位信息'!$C:$C,"专业外包",'1-2 人员岗位信息'!$B:$B,$D139)</f>
        <v>0</v>
      </c>
      <c r="AZ139" s="298"/>
      <c r="BA139" s="174">
        <f t="shared" si="236"/>
        <v>0</v>
      </c>
      <c r="BB139" s="174">
        <f>SUMIFS('1-2 人员岗位信息'!N:N,'1-2 人员岗位信息'!$C:$C,"专业外包",'1-2 人员岗位信息'!$B:$B,$D139)</f>
        <v>0</v>
      </c>
      <c r="BC139" s="298"/>
      <c r="BD139" s="174">
        <f t="shared" si="237"/>
        <v>0</v>
      </c>
      <c r="BE139" s="174">
        <f>SUMIFS('1-2 人员岗位信息'!O:O,'1-2 人员岗位信息'!$C:$C,"专业外包",'1-2 人员岗位信息'!$B:$B,$D139)</f>
        <v>0</v>
      </c>
      <c r="BF139" s="298"/>
      <c r="BG139" s="174">
        <f t="shared" si="238"/>
        <v>0</v>
      </c>
      <c r="BH139" s="174">
        <f>SUMIFS('1-2 人员岗位信息'!P:P,'1-2 人员岗位信息'!$C:$C,"专业外包",'1-2 人员岗位信息'!$B:$B,$D139)</f>
        <v>0</v>
      </c>
      <c r="BI139" s="298"/>
      <c r="BJ139" s="174">
        <f t="shared" si="239"/>
        <v>0</v>
      </c>
      <c r="BK139" s="174">
        <f>SUMIFS('1-2 人员岗位信息'!Q:Q,'1-2 人员岗位信息'!$C:$C,"专业外包",'1-2 人员岗位信息'!$B:$B,$D139)</f>
        <v>0</v>
      </c>
      <c r="BL139" s="307"/>
      <c r="BM139" s="311"/>
      <c r="BN139" s="315"/>
    </row>
    <row r="140" s="263" customFormat="1" ht="33.95" hidden="1" customHeight="1" outlineLevel="5" spans="2:66">
      <c r="B140" s="174" t="s">
        <v>799</v>
      </c>
      <c r="C140" s="283" t="s">
        <v>1029</v>
      </c>
      <c r="D140" s="263" t="s">
        <v>1004</v>
      </c>
      <c r="E140" s="174" t="s">
        <v>1005</v>
      </c>
      <c r="F140" s="174"/>
      <c r="G140" s="174" t="s">
        <v>803</v>
      </c>
      <c r="H140" s="174">
        <f t="shared" si="223"/>
        <v>0</v>
      </c>
      <c r="I140" s="174" t="s">
        <v>804</v>
      </c>
      <c r="J140" s="174" t="e">
        <f t="shared" si="224"/>
        <v>#DIV/0!</v>
      </c>
      <c r="K140" s="174" t="s">
        <v>805</v>
      </c>
      <c r="L140" s="174" t="e">
        <f t="shared" si="225"/>
        <v>#DIV/0!</v>
      </c>
      <c r="M140" s="174" t="s">
        <v>806</v>
      </c>
      <c r="N140" s="174">
        <f t="shared" si="226"/>
        <v>0</v>
      </c>
      <c r="O140" s="174"/>
      <c r="P140" s="290"/>
      <c r="Q140" s="290"/>
      <c r="R140" s="290"/>
      <c r="S140" s="290"/>
      <c r="T140" s="290"/>
      <c r="U140" s="290"/>
      <c r="V140" s="290"/>
      <c r="W140" s="290"/>
      <c r="X140" s="290"/>
      <c r="Y140" s="290"/>
      <c r="Z140" s="290"/>
      <c r="AA140" s="290"/>
      <c r="AB140" s="174">
        <f t="shared" si="227"/>
        <v>0</v>
      </c>
      <c r="AC140" s="174">
        <f t="shared" si="228"/>
        <v>0</v>
      </c>
      <c r="AD140" s="174">
        <f>SUMIFS('1-2 人员岗位信息'!F:F,'1-2 人员岗位信息'!$C:$C,"专业外包",'1-2 人员岗位信息'!$B:$B,$D140)</f>
        <v>0</v>
      </c>
      <c r="AE140" s="298"/>
      <c r="AF140" s="174">
        <f t="shared" si="229"/>
        <v>0</v>
      </c>
      <c r="AG140" s="174">
        <f>SUMIFS('1-2 人员岗位信息'!G:G,'1-2 人员岗位信息'!$C:$C,"专业外包",'1-2 人员岗位信息'!$B:$B,$D140)</f>
        <v>0</v>
      </c>
      <c r="AH140" s="298"/>
      <c r="AI140" s="174">
        <f t="shared" si="230"/>
        <v>0</v>
      </c>
      <c r="AJ140" s="174">
        <f>SUMIFS('1-2 人员岗位信息'!H:H,'1-2 人员岗位信息'!$C:$C,"专业外包",'1-2 人员岗位信息'!$B:$B,$D140)</f>
        <v>0</v>
      </c>
      <c r="AK140" s="298"/>
      <c r="AL140" s="174">
        <f t="shared" si="231"/>
        <v>0</v>
      </c>
      <c r="AM140" s="174">
        <f>SUMIFS('1-2 人员岗位信息'!I:I,'1-2 人员岗位信息'!$C:$C,"专业外包",'1-2 人员岗位信息'!$B:$B,$D140)</f>
        <v>0</v>
      </c>
      <c r="AN140" s="298"/>
      <c r="AO140" s="174">
        <f t="shared" si="232"/>
        <v>0</v>
      </c>
      <c r="AP140" s="174">
        <f>SUMIFS('1-2 人员岗位信息'!J:J,'1-2 人员岗位信息'!$C:$C,"专业外包",'1-2 人员岗位信息'!$B:$B,$D140)</f>
        <v>0</v>
      </c>
      <c r="AQ140" s="298"/>
      <c r="AR140" s="174">
        <f t="shared" si="233"/>
        <v>0</v>
      </c>
      <c r="AS140" s="174">
        <f>SUMIFS('1-2 人员岗位信息'!K:K,'1-2 人员岗位信息'!$C:$C,"专业外包",'1-2 人员岗位信息'!$B:$B,$D140)</f>
        <v>0</v>
      </c>
      <c r="AT140" s="298"/>
      <c r="AU140" s="174">
        <f t="shared" si="234"/>
        <v>0</v>
      </c>
      <c r="AV140" s="174">
        <f>SUMIFS('1-2 人员岗位信息'!L:L,'1-2 人员岗位信息'!$C:$C,"专业外包",'1-2 人员岗位信息'!$B:$B,$D140)</f>
        <v>0</v>
      </c>
      <c r="AW140" s="298"/>
      <c r="AX140" s="174">
        <f t="shared" si="235"/>
        <v>0</v>
      </c>
      <c r="AY140" s="174">
        <f>SUMIFS('1-2 人员岗位信息'!M:M,'1-2 人员岗位信息'!$C:$C,"专业外包",'1-2 人员岗位信息'!$B:$B,$D140)</f>
        <v>0</v>
      </c>
      <c r="AZ140" s="298"/>
      <c r="BA140" s="174">
        <f t="shared" si="236"/>
        <v>0</v>
      </c>
      <c r="BB140" s="174">
        <f>SUMIFS('1-2 人员岗位信息'!N:N,'1-2 人员岗位信息'!$C:$C,"专业外包",'1-2 人员岗位信息'!$B:$B,$D140)</f>
        <v>0</v>
      </c>
      <c r="BC140" s="298"/>
      <c r="BD140" s="174">
        <f t="shared" si="237"/>
        <v>0</v>
      </c>
      <c r="BE140" s="174">
        <f>SUMIFS('1-2 人员岗位信息'!O:O,'1-2 人员岗位信息'!$C:$C,"专业外包",'1-2 人员岗位信息'!$B:$B,$D140)</f>
        <v>0</v>
      </c>
      <c r="BF140" s="298"/>
      <c r="BG140" s="174">
        <f t="shared" si="238"/>
        <v>0</v>
      </c>
      <c r="BH140" s="174">
        <f>SUMIFS('1-2 人员岗位信息'!P:P,'1-2 人员岗位信息'!$C:$C,"专业外包",'1-2 人员岗位信息'!$B:$B,$D140)</f>
        <v>0</v>
      </c>
      <c r="BI140" s="298"/>
      <c r="BJ140" s="174">
        <f t="shared" si="239"/>
        <v>0</v>
      </c>
      <c r="BK140" s="174">
        <f>SUMIFS('1-2 人员岗位信息'!Q:Q,'1-2 人员岗位信息'!$C:$C,"专业外包",'1-2 人员岗位信息'!$B:$B,$D140)</f>
        <v>0</v>
      </c>
      <c r="BL140" s="307"/>
      <c r="BM140" s="311"/>
      <c r="BN140" s="315"/>
    </row>
    <row r="141" s="263" customFormat="1" ht="33.95" hidden="1" customHeight="1" outlineLevel="5" spans="2:66">
      <c r="B141" s="174" t="s">
        <v>799</v>
      </c>
      <c r="C141" s="283" t="s">
        <v>1030</v>
      </c>
      <c r="D141" s="263" t="s">
        <v>1007</v>
      </c>
      <c r="E141" s="174" t="s">
        <v>821</v>
      </c>
      <c r="F141" s="174"/>
      <c r="G141" s="174" t="s">
        <v>803</v>
      </c>
      <c r="H141" s="174">
        <f t="shared" si="223"/>
        <v>0</v>
      </c>
      <c r="I141" s="174" t="s">
        <v>804</v>
      </c>
      <c r="J141" s="174" t="e">
        <f t="shared" si="224"/>
        <v>#DIV/0!</v>
      </c>
      <c r="K141" s="174" t="s">
        <v>805</v>
      </c>
      <c r="L141" s="174" t="e">
        <f t="shared" si="225"/>
        <v>#DIV/0!</v>
      </c>
      <c r="M141" s="174" t="s">
        <v>806</v>
      </c>
      <c r="N141" s="174">
        <f t="shared" si="226"/>
        <v>0</v>
      </c>
      <c r="O141" s="174"/>
      <c r="P141" s="290"/>
      <c r="Q141" s="290"/>
      <c r="R141" s="290"/>
      <c r="S141" s="290"/>
      <c r="T141" s="290"/>
      <c r="U141" s="290"/>
      <c r="V141" s="290"/>
      <c r="W141" s="290"/>
      <c r="X141" s="290"/>
      <c r="Y141" s="290"/>
      <c r="Z141" s="290"/>
      <c r="AA141" s="290"/>
      <c r="AB141" s="174">
        <f t="shared" ref="AB141:AB148" si="240">SUM(AC141,AF141,AI141,AL141,AO141,AR141,AU141,AX141,BA141,BD141,BG141,BJ141)</f>
        <v>0</v>
      </c>
      <c r="AC141" s="174">
        <f t="shared" si="228"/>
        <v>0</v>
      </c>
      <c r="AD141" s="174">
        <f>SUMIFS('1-2 人员岗位信息'!F:F,'1-2 人员岗位信息'!$C:$C,"专业外包",'1-2 人员岗位信息'!$B:$B,$D141)</f>
        <v>0</v>
      </c>
      <c r="AE141" s="298"/>
      <c r="AF141" s="174">
        <f t="shared" si="229"/>
        <v>0</v>
      </c>
      <c r="AG141" s="174">
        <f>SUMIFS('1-2 人员岗位信息'!G:G,'1-2 人员岗位信息'!$C:$C,"专业外包",'1-2 人员岗位信息'!$B:$B,$D141)</f>
        <v>0</v>
      </c>
      <c r="AH141" s="298"/>
      <c r="AI141" s="174">
        <f t="shared" si="230"/>
        <v>0</v>
      </c>
      <c r="AJ141" s="174">
        <f>SUMIFS('1-2 人员岗位信息'!H:H,'1-2 人员岗位信息'!$C:$C,"专业外包",'1-2 人员岗位信息'!$B:$B,$D141)</f>
        <v>0</v>
      </c>
      <c r="AK141" s="298"/>
      <c r="AL141" s="174">
        <f t="shared" si="231"/>
        <v>0</v>
      </c>
      <c r="AM141" s="174">
        <f>SUMIFS('1-2 人员岗位信息'!I:I,'1-2 人员岗位信息'!$C:$C,"专业外包",'1-2 人员岗位信息'!$B:$B,$D141)</f>
        <v>0</v>
      </c>
      <c r="AN141" s="298"/>
      <c r="AO141" s="174">
        <f t="shared" si="232"/>
        <v>0</v>
      </c>
      <c r="AP141" s="174">
        <f>SUMIFS('1-2 人员岗位信息'!J:J,'1-2 人员岗位信息'!$C:$C,"专业外包",'1-2 人员岗位信息'!$B:$B,$D141)</f>
        <v>0</v>
      </c>
      <c r="AQ141" s="298"/>
      <c r="AR141" s="174">
        <f t="shared" si="233"/>
        <v>0</v>
      </c>
      <c r="AS141" s="174">
        <f>SUMIFS('1-2 人员岗位信息'!K:K,'1-2 人员岗位信息'!$C:$C,"专业外包",'1-2 人员岗位信息'!$B:$B,$D141)</f>
        <v>0</v>
      </c>
      <c r="AT141" s="298"/>
      <c r="AU141" s="174">
        <f t="shared" si="234"/>
        <v>0</v>
      </c>
      <c r="AV141" s="174">
        <f>SUMIFS('1-2 人员岗位信息'!L:L,'1-2 人员岗位信息'!$C:$C,"专业外包",'1-2 人员岗位信息'!$B:$B,$D141)</f>
        <v>0</v>
      </c>
      <c r="AW141" s="298"/>
      <c r="AX141" s="174">
        <f t="shared" si="235"/>
        <v>0</v>
      </c>
      <c r="AY141" s="174">
        <f>SUMIFS('1-2 人员岗位信息'!M:M,'1-2 人员岗位信息'!$C:$C,"专业外包",'1-2 人员岗位信息'!$B:$B,$D141)</f>
        <v>0</v>
      </c>
      <c r="AZ141" s="298"/>
      <c r="BA141" s="174">
        <f t="shared" si="236"/>
        <v>0</v>
      </c>
      <c r="BB141" s="174">
        <f>SUMIFS('1-2 人员岗位信息'!N:N,'1-2 人员岗位信息'!$C:$C,"专业外包",'1-2 人员岗位信息'!$B:$B,$D141)</f>
        <v>0</v>
      </c>
      <c r="BC141" s="298"/>
      <c r="BD141" s="174">
        <f t="shared" si="237"/>
        <v>0</v>
      </c>
      <c r="BE141" s="174">
        <f>SUMIFS('1-2 人员岗位信息'!O:O,'1-2 人员岗位信息'!$C:$C,"专业外包",'1-2 人员岗位信息'!$B:$B,$D141)</f>
        <v>0</v>
      </c>
      <c r="BF141" s="298"/>
      <c r="BG141" s="174">
        <f t="shared" si="238"/>
        <v>0</v>
      </c>
      <c r="BH141" s="174">
        <f>SUMIFS('1-2 人员岗位信息'!P:P,'1-2 人员岗位信息'!$C:$C,"专业外包",'1-2 人员岗位信息'!$B:$B,$D141)</f>
        <v>0</v>
      </c>
      <c r="BI141" s="298"/>
      <c r="BJ141" s="174">
        <f t="shared" si="239"/>
        <v>0</v>
      </c>
      <c r="BK141" s="174">
        <f>SUMIFS('1-2 人员岗位信息'!Q:Q,'1-2 人员岗位信息'!$C:$C,"专业外包",'1-2 人员岗位信息'!$B:$B,$D141)</f>
        <v>0</v>
      </c>
      <c r="BL141" s="307"/>
      <c r="BM141" s="311"/>
      <c r="BN141" s="315"/>
    </row>
    <row r="142" s="117" customFormat="1" ht="33.95" hidden="1" customHeight="1" outlineLevel="4" spans="2:66">
      <c r="B142" s="118" t="s">
        <v>799</v>
      </c>
      <c r="C142" s="119" t="s">
        <v>1031</v>
      </c>
      <c r="D142" s="117" t="s">
        <v>25</v>
      </c>
      <c r="E142" s="118"/>
      <c r="F142" s="118"/>
      <c r="G142" s="118"/>
      <c r="H142" s="118">
        <f t="shared" si="223"/>
        <v>0</v>
      </c>
      <c r="I142" s="118" t="s">
        <v>1032</v>
      </c>
      <c r="J142" s="118">
        <f t="shared" si="224"/>
        <v>9008</v>
      </c>
      <c r="K142" s="118" t="s">
        <v>1033</v>
      </c>
      <c r="L142" s="118">
        <f t="shared" si="225"/>
        <v>0</v>
      </c>
      <c r="M142" s="118" t="s">
        <v>806</v>
      </c>
      <c r="N142" s="118">
        <f t="shared" si="226"/>
        <v>12</v>
      </c>
      <c r="O142" s="118"/>
      <c r="P142" s="289"/>
      <c r="Q142" s="289"/>
      <c r="R142" s="289"/>
      <c r="S142" s="289"/>
      <c r="T142" s="289"/>
      <c r="U142" s="289"/>
      <c r="V142" s="289"/>
      <c r="W142" s="289"/>
      <c r="X142" s="289"/>
      <c r="Y142" s="289"/>
      <c r="Z142" s="289"/>
      <c r="AA142" s="289"/>
      <c r="AB142" s="118">
        <f t="shared" si="240"/>
        <v>0</v>
      </c>
      <c r="AC142" s="118">
        <f t="shared" si="228"/>
        <v>0</v>
      </c>
      <c r="AD142" s="118">
        <f>VLOOKUP($I142,'1-1 项目基础信息'!$F:$S,3,FALSE)</f>
        <v>9008</v>
      </c>
      <c r="AE142" s="298"/>
      <c r="AF142" s="118">
        <f t="shared" si="229"/>
        <v>0</v>
      </c>
      <c r="AG142" s="118">
        <f>VLOOKUP($I142,'1-1 项目基础信息'!$F:$S,4,FALSE)</f>
        <v>9008</v>
      </c>
      <c r="AH142" s="298"/>
      <c r="AI142" s="118">
        <f t="shared" si="230"/>
        <v>0</v>
      </c>
      <c r="AJ142" s="118">
        <f>VLOOKUP($I142,'1-1 项目基础信息'!$F:$S,5,FALSE)</f>
        <v>9008</v>
      </c>
      <c r="AK142" s="298"/>
      <c r="AL142" s="118">
        <f t="shared" si="231"/>
        <v>0</v>
      </c>
      <c r="AM142" s="118">
        <f>VLOOKUP($I142,'1-1 项目基础信息'!$F:$S,6,FALSE)</f>
        <v>9008</v>
      </c>
      <c r="AN142" s="298"/>
      <c r="AO142" s="118">
        <f t="shared" si="232"/>
        <v>0</v>
      </c>
      <c r="AP142" s="118">
        <f>VLOOKUP($I142,'1-1 项目基础信息'!$F:$S,7,FALSE)</f>
        <v>9008</v>
      </c>
      <c r="AQ142" s="298"/>
      <c r="AR142" s="118">
        <f t="shared" si="233"/>
        <v>0</v>
      </c>
      <c r="AS142" s="118">
        <f>VLOOKUP($I142,'1-1 项目基础信息'!$F:$S,8,FALSE)</f>
        <v>9008</v>
      </c>
      <c r="AT142" s="298"/>
      <c r="AU142" s="118">
        <f t="shared" si="234"/>
        <v>0</v>
      </c>
      <c r="AV142" s="118">
        <f>VLOOKUP($I142,'1-1 项目基础信息'!$F:$S,9,FALSE)</f>
        <v>9008</v>
      </c>
      <c r="AW142" s="298"/>
      <c r="AX142" s="118">
        <f t="shared" si="235"/>
        <v>0</v>
      </c>
      <c r="AY142" s="118">
        <f>VLOOKUP($I142,'1-1 项目基础信息'!$F:$S,10,FALSE)</f>
        <v>9008</v>
      </c>
      <c r="AZ142" s="298"/>
      <c r="BA142" s="118">
        <f t="shared" si="236"/>
        <v>0</v>
      </c>
      <c r="BB142" s="118">
        <f>VLOOKUP($I142,'1-1 项目基础信息'!$F:$S,11,FALSE)</f>
        <v>9008</v>
      </c>
      <c r="BC142" s="298"/>
      <c r="BD142" s="118">
        <f t="shared" si="237"/>
        <v>0</v>
      </c>
      <c r="BE142" s="118">
        <f>VLOOKUP($I142,'1-1 项目基础信息'!$F:$S,12,FALSE)</f>
        <v>9008</v>
      </c>
      <c r="BF142" s="298"/>
      <c r="BG142" s="118">
        <f t="shared" si="238"/>
        <v>0</v>
      </c>
      <c r="BH142" s="118">
        <f>VLOOKUP($I142,'1-1 项目基础信息'!$F:$S,13,FALSE)</f>
        <v>9008</v>
      </c>
      <c r="BI142" s="298"/>
      <c r="BJ142" s="118">
        <f t="shared" si="239"/>
        <v>0</v>
      </c>
      <c r="BK142" s="118">
        <f>VLOOKUP($I142,'1-1 项目基础信息'!$F:$S,14,FALSE)</f>
        <v>9008</v>
      </c>
      <c r="BL142" s="307"/>
      <c r="BM142" s="311"/>
      <c r="BN142" s="314"/>
    </row>
    <row r="143" s="48" customFormat="1" ht="33.95" hidden="1" customHeight="1" outlineLevel="3" collapsed="1" spans="2:66">
      <c r="B143" s="114" t="s">
        <v>794</v>
      </c>
      <c r="C143" s="115" t="s">
        <v>1034</v>
      </c>
      <c r="D143" s="48" t="s">
        <v>1035</v>
      </c>
      <c r="E143" s="114"/>
      <c r="F143" s="114"/>
      <c r="G143" s="114"/>
      <c r="H143" s="114">
        <f>H144+H149+H154</f>
        <v>0</v>
      </c>
      <c r="I143" s="114"/>
      <c r="J143" s="114"/>
      <c r="K143" s="114"/>
      <c r="L143" s="114"/>
      <c r="M143" s="114"/>
      <c r="N143" s="114"/>
      <c r="O143" s="114"/>
      <c r="P143" s="288"/>
      <c r="Q143" s="288"/>
      <c r="R143" s="288"/>
      <c r="S143" s="288"/>
      <c r="T143" s="288"/>
      <c r="U143" s="288"/>
      <c r="V143" s="288"/>
      <c r="W143" s="288"/>
      <c r="X143" s="288"/>
      <c r="Y143" s="288"/>
      <c r="Z143" s="288"/>
      <c r="AA143" s="288"/>
      <c r="AB143" s="114">
        <f t="shared" ref="AB143:AF143" si="241">AB144+AB149+AB154</f>
        <v>0</v>
      </c>
      <c r="AC143" s="114">
        <f t="shared" si="241"/>
        <v>0</v>
      </c>
      <c r="AD143" s="114"/>
      <c r="AE143" s="114"/>
      <c r="AF143" s="114">
        <f t="shared" si="241"/>
        <v>0</v>
      </c>
      <c r="AG143" s="114"/>
      <c r="AH143" s="114"/>
      <c r="AI143" s="114">
        <f>AI144+AI149+AI154</f>
        <v>0</v>
      </c>
      <c r="AJ143" s="114"/>
      <c r="AK143" s="114"/>
      <c r="AL143" s="114">
        <f>AL144+AL149+AL154</f>
        <v>0</v>
      </c>
      <c r="AM143" s="114"/>
      <c r="AN143" s="114"/>
      <c r="AO143" s="114">
        <f>AO144+AO149+AO154</f>
        <v>0</v>
      </c>
      <c r="AP143" s="114"/>
      <c r="AQ143" s="114"/>
      <c r="AR143" s="114">
        <f>AR144+AR149+AR154</f>
        <v>0</v>
      </c>
      <c r="AS143" s="114"/>
      <c r="AT143" s="114"/>
      <c r="AU143" s="114">
        <f>AU144+AU149+AU154</f>
        <v>0</v>
      </c>
      <c r="AV143" s="114"/>
      <c r="AW143" s="114"/>
      <c r="AX143" s="114">
        <f>AX144+AX149+AX154</f>
        <v>0</v>
      </c>
      <c r="AY143" s="114"/>
      <c r="AZ143" s="114"/>
      <c r="BA143" s="114">
        <f>BA144+BA149+BA154</f>
        <v>0</v>
      </c>
      <c r="BB143" s="114"/>
      <c r="BC143" s="114"/>
      <c r="BD143" s="114">
        <f>BD144+BD149+BD154</f>
        <v>0</v>
      </c>
      <c r="BE143" s="114"/>
      <c r="BF143" s="114"/>
      <c r="BG143" s="114">
        <f>BG144+BG149+BG154</f>
        <v>0</v>
      </c>
      <c r="BH143" s="114"/>
      <c r="BI143" s="114"/>
      <c r="BJ143" s="114">
        <f>BJ144+BJ149+BJ154</f>
        <v>0</v>
      </c>
      <c r="BK143" s="114"/>
      <c r="BL143" s="305"/>
      <c r="BM143" s="311"/>
      <c r="BN143" s="313"/>
    </row>
    <row r="144" s="117" customFormat="1" ht="33.95" hidden="1" customHeight="1" outlineLevel="4" collapsed="1" spans="2:66">
      <c r="B144" s="118" t="s">
        <v>794</v>
      </c>
      <c r="C144" s="119" t="s">
        <v>121</v>
      </c>
      <c r="D144" s="117" t="s">
        <v>109</v>
      </c>
      <c r="E144" s="118"/>
      <c r="F144" s="118"/>
      <c r="G144" s="118"/>
      <c r="H144" s="118">
        <f>SUM(H145:H148)</f>
        <v>0</v>
      </c>
      <c r="I144" s="118"/>
      <c r="J144" s="118"/>
      <c r="K144" s="118"/>
      <c r="L144" s="118"/>
      <c r="M144" s="118"/>
      <c r="N144" s="118"/>
      <c r="O144" s="118"/>
      <c r="P144" s="289"/>
      <c r="Q144" s="289"/>
      <c r="R144" s="289"/>
      <c r="S144" s="289"/>
      <c r="T144" s="289"/>
      <c r="U144" s="289"/>
      <c r="V144" s="289"/>
      <c r="W144" s="289"/>
      <c r="X144" s="289"/>
      <c r="Y144" s="289"/>
      <c r="Z144" s="289"/>
      <c r="AA144" s="289"/>
      <c r="AB144" s="118">
        <f t="shared" ref="AB144:AF144" si="242">SUM(AB145:AB148)</f>
        <v>0</v>
      </c>
      <c r="AC144" s="118">
        <f t="shared" si="242"/>
        <v>0</v>
      </c>
      <c r="AD144" s="118"/>
      <c r="AE144" s="118"/>
      <c r="AF144" s="118">
        <f t="shared" si="242"/>
        <v>0</v>
      </c>
      <c r="AG144" s="118"/>
      <c r="AH144" s="118"/>
      <c r="AI144" s="118">
        <f>SUM(AI145:AI148)</f>
        <v>0</v>
      </c>
      <c r="AJ144" s="118"/>
      <c r="AK144" s="118"/>
      <c r="AL144" s="118">
        <f>SUM(AL145:AL148)</f>
        <v>0</v>
      </c>
      <c r="AM144" s="118"/>
      <c r="AN144" s="118"/>
      <c r="AO144" s="118">
        <f>SUM(AO145:AO148)</f>
        <v>0</v>
      </c>
      <c r="AP144" s="118"/>
      <c r="AQ144" s="118"/>
      <c r="AR144" s="118">
        <f>SUM(AR145:AR148)</f>
        <v>0</v>
      </c>
      <c r="AS144" s="118"/>
      <c r="AT144" s="118"/>
      <c r="AU144" s="118">
        <f>SUM(AU145:AU148)</f>
        <v>0</v>
      </c>
      <c r="AV144" s="118"/>
      <c r="AW144" s="118"/>
      <c r="AX144" s="118">
        <f>SUM(AX145:AX148)</f>
        <v>0</v>
      </c>
      <c r="AY144" s="118"/>
      <c r="AZ144" s="118"/>
      <c r="BA144" s="118">
        <f>SUM(BA145:BA148)</f>
        <v>0</v>
      </c>
      <c r="BB144" s="118"/>
      <c r="BC144" s="118"/>
      <c r="BD144" s="118">
        <f>SUM(BD145:BD148)</f>
        <v>0</v>
      </c>
      <c r="BE144" s="118"/>
      <c r="BF144" s="118"/>
      <c r="BG144" s="118">
        <f>SUM(BG145:BG148)</f>
        <v>0</v>
      </c>
      <c r="BH144" s="118"/>
      <c r="BI144" s="118"/>
      <c r="BJ144" s="118">
        <f>SUM(BJ145:BJ148)</f>
        <v>0</v>
      </c>
      <c r="BK144" s="118"/>
      <c r="BL144" s="306"/>
      <c r="BM144" s="311"/>
      <c r="BN144" s="314"/>
    </row>
    <row r="145" s="263" customFormat="1" ht="33.95" hidden="1" customHeight="1" outlineLevel="5" spans="2:66">
      <c r="B145" s="174" t="s">
        <v>799</v>
      </c>
      <c r="C145" s="283" t="s">
        <v>1036</v>
      </c>
      <c r="D145" s="263" t="s">
        <v>1037</v>
      </c>
      <c r="E145" s="174" t="s">
        <v>1038</v>
      </c>
      <c r="F145" s="174"/>
      <c r="G145" s="174" t="s">
        <v>803</v>
      </c>
      <c r="H145" s="174">
        <f t="shared" ref="H145:H148" si="243">AB145</f>
        <v>0</v>
      </c>
      <c r="I145" s="174" t="s">
        <v>804</v>
      </c>
      <c r="J145" s="174">
        <f t="shared" ref="J145:J148" si="244">SUM(AD145,AG145,AJ145,AM145,AP145,AS145,AV145,AY145,BB145,BE145,BH145,BK145)/N145</f>
        <v>1</v>
      </c>
      <c r="K145" s="174" t="s">
        <v>805</v>
      </c>
      <c r="L145" s="174">
        <f t="shared" ref="L145:L148" si="245">H145/N145/J145</f>
        <v>0</v>
      </c>
      <c r="M145" s="174" t="s">
        <v>806</v>
      </c>
      <c r="N145" s="174">
        <f t="shared" ref="N145:N148" si="246">COUNTIF(AD145,"&gt;0")+COUNTIF(AG145,"&gt;0")+COUNTIF(AJ145,"&gt;0")+COUNTIF(AM145,"&gt;0")+COUNTIF(AP145,"&gt;0")+COUNTIF(AS145,"&gt;0")+COUNTIF(AV145,"&gt;0")+COUNTIF(AY145,"&gt;0")+COUNTIF(BB145,"&gt;0")+COUNTIF(BE145,"&gt;0")+COUNTIF(BH145,"&gt;0")+COUNTIF(BK145,"&gt;0")</f>
        <v>12</v>
      </c>
      <c r="O145" s="174"/>
      <c r="P145" s="290"/>
      <c r="Q145" s="290"/>
      <c r="R145" s="290"/>
      <c r="S145" s="290"/>
      <c r="T145" s="290"/>
      <c r="U145" s="290"/>
      <c r="V145" s="290"/>
      <c r="W145" s="290"/>
      <c r="X145" s="290"/>
      <c r="Y145" s="290"/>
      <c r="Z145" s="290"/>
      <c r="AA145" s="290"/>
      <c r="AB145" s="174">
        <f t="shared" si="240"/>
        <v>0</v>
      </c>
      <c r="AC145" s="174">
        <f t="shared" ref="AC145:AC148" si="247">AD145*AE145</f>
        <v>0</v>
      </c>
      <c r="AD145" s="174">
        <v>1</v>
      </c>
      <c r="AE145" s="298">
        <f>自有人工预算!E24/AD145</f>
        <v>0</v>
      </c>
      <c r="AF145" s="174">
        <f t="shared" ref="AF145:AF148" si="248">AG145*AH145</f>
        <v>0</v>
      </c>
      <c r="AG145" s="174">
        <v>1</v>
      </c>
      <c r="AH145" s="298">
        <f>自有人工预算!F24/AG145</f>
        <v>0</v>
      </c>
      <c r="AI145" s="174">
        <f t="shared" ref="AI145:AI148" si="249">AJ145*AK145</f>
        <v>0</v>
      </c>
      <c r="AJ145" s="174">
        <v>1</v>
      </c>
      <c r="AK145" s="298">
        <f>自有人工预算!G24/AJ145</f>
        <v>0</v>
      </c>
      <c r="AL145" s="174">
        <f t="shared" ref="AL145:AL148" si="250">AM145*AN145</f>
        <v>0</v>
      </c>
      <c r="AM145" s="174">
        <v>1</v>
      </c>
      <c r="AN145" s="298">
        <f>自有人工预算!H24/AM145</f>
        <v>0</v>
      </c>
      <c r="AO145" s="174">
        <f t="shared" ref="AO145:AO148" si="251">AP145*AQ145</f>
        <v>0</v>
      </c>
      <c r="AP145" s="174">
        <v>1</v>
      </c>
      <c r="AQ145" s="298">
        <f>自有人工预算!I24/AP145</f>
        <v>0</v>
      </c>
      <c r="AR145" s="174">
        <f t="shared" ref="AR145:AR148" si="252">AS145*AT145</f>
        <v>0</v>
      </c>
      <c r="AS145" s="174">
        <v>1</v>
      </c>
      <c r="AT145" s="298">
        <f>自有人工预算!J24/AS145</f>
        <v>0</v>
      </c>
      <c r="AU145" s="174">
        <f t="shared" ref="AU145:AU148" si="253">AV145*AW145</f>
        <v>0</v>
      </c>
      <c r="AV145" s="174">
        <v>1</v>
      </c>
      <c r="AW145" s="298">
        <f>自有人工预算!K24/AV145</f>
        <v>0</v>
      </c>
      <c r="AX145" s="174">
        <f t="shared" ref="AX145:AX148" si="254">AY145*AZ145</f>
        <v>0</v>
      </c>
      <c r="AY145" s="174">
        <v>1</v>
      </c>
      <c r="AZ145" s="298">
        <f>自有人工预算!L24/AY145</f>
        <v>0</v>
      </c>
      <c r="BA145" s="174">
        <f t="shared" ref="BA145:BA148" si="255">BB145*BC145</f>
        <v>0</v>
      </c>
      <c r="BB145" s="174">
        <v>1</v>
      </c>
      <c r="BC145" s="298">
        <f>自有人工预算!M24/BB145</f>
        <v>0</v>
      </c>
      <c r="BD145" s="174">
        <f t="shared" ref="BD145:BD148" si="256">BE145*BF145</f>
        <v>0</v>
      </c>
      <c r="BE145" s="174">
        <v>1</v>
      </c>
      <c r="BF145" s="298">
        <f>自有人工预算!N24/BE145</f>
        <v>0</v>
      </c>
      <c r="BG145" s="174">
        <f t="shared" ref="BG145:BG148" si="257">BH145*BI145</f>
        <v>0</v>
      </c>
      <c r="BH145" s="174">
        <v>1</v>
      </c>
      <c r="BI145" s="298">
        <f>自有人工预算!O24/BH145</f>
        <v>0</v>
      </c>
      <c r="BJ145" s="174">
        <f t="shared" ref="BJ145:BJ148" si="258">BK145*BL145</f>
        <v>0</v>
      </c>
      <c r="BK145" s="174">
        <v>1</v>
      </c>
      <c r="BL145" s="298">
        <f>自有人工预算!P24/BK145</f>
        <v>0</v>
      </c>
      <c r="BM145" s="311"/>
      <c r="BN145" s="315"/>
    </row>
    <row r="146" s="263" customFormat="1" ht="33.95" hidden="1" customHeight="1" outlineLevel="5" spans="2:66">
      <c r="B146" s="174" t="s">
        <v>799</v>
      </c>
      <c r="C146" s="283" t="s">
        <v>1039</v>
      </c>
      <c r="D146" s="263" t="s">
        <v>1040</v>
      </c>
      <c r="E146" s="174" t="s">
        <v>1041</v>
      </c>
      <c r="F146" s="174"/>
      <c r="G146" s="174" t="s">
        <v>803</v>
      </c>
      <c r="H146" s="174">
        <f t="shared" si="243"/>
        <v>0</v>
      </c>
      <c r="I146" s="174" t="s">
        <v>804</v>
      </c>
      <c r="J146" s="174" t="e">
        <f t="shared" si="244"/>
        <v>#DIV/0!</v>
      </c>
      <c r="K146" s="174" t="s">
        <v>805</v>
      </c>
      <c r="L146" s="174" t="e">
        <f t="shared" si="245"/>
        <v>#DIV/0!</v>
      </c>
      <c r="M146" s="174" t="s">
        <v>806</v>
      </c>
      <c r="N146" s="174">
        <f t="shared" si="246"/>
        <v>0</v>
      </c>
      <c r="O146" s="174"/>
      <c r="P146" s="290"/>
      <c r="Q146" s="290"/>
      <c r="R146" s="290"/>
      <c r="S146" s="290"/>
      <c r="T146" s="290"/>
      <c r="U146" s="290"/>
      <c r="V146" s="290"/>
      <c r="W146" s="290"/>
      <c r="X146" s="290"/>
      <c r="Y146" s="290"/>
      <c r="Z146" s="290"/>
      <c r="AA146" s="290"/>
      <c r="AB146" s="174">
        <f t="shared" si="240"/>
        <v>0</v>
      </c>
      <c r="AC146" s="174">
        <f t="shared" si="247"/>
        <v>0</v>
      </c>
      <c r="AD146" s="174">
        <f>SUMIFS('1-2 人员岗位信息'!F:F,'1-2 人员岗位信息'!$C:$C,"自有人员",'1-2 人员岗位信息'!$B:$B,$D146)</f>
        <v>0</v>
      </c>
      <c r="AE146" s="298"/>
      <c r="AF146" s="174">
        <f t="shared" si="248"/>
        <v>0</v>
      </c>
      <c r="AG146" s="174">
        <f>SUMIFS('1-2 人员岗位信息'!G:G,'1-2 人员岗位信息'!$C:$C,"自有人员",'1-2 人员岗位信息'!$B:$B,$D146)</f>
        <v>0</v>
      </c>
      <c r="AH146" s="298"/>
      <c r="AI146" s="174">
        <f t="shared" si="249"/>
        <v>0</v>
      </c>
      <c r="AJ146" s="174">
        <f>SUMIFS('1-2 人员岗位信息'!H:H,'1-2 人员岗位信息'!$C:$C,"自有人员",'1-2 人员岗位信息'!$B:$B,$D146)</f>
        <v>0</v>
      </c>
      <c r="AK146" s="298"/>
      <c r="AL146" s="174">
        <f t="shared" si="250"/>
        <v>0</v>
      </c>
      <c r="AM146" s="174">
        <f>SUMIFS('1-2 人员岗位信息'!I:I,'1-2 人员岗位信息'!$C:$C,"自有人员",'1-2 人员岗位信息'!$B:$B,$D146)</f>
        <v>0</v>
      </c>
      <c r="AN146" s="298"/>
      <c r="AO146" s="174">
        <f t="shared" si="251"/>
        <v>0</v>
      </c>
      <c r="AP146" s="174">
        <f>SUMIFS('1-2 人员岗位信息'!J:J,'1-2 人员岗位信息'!$C:$C,"自有人员",'1-2 人员岗位信息'!$B:$B,$D146)</f>
        <v>0</v>
      </c>
      <c r="AQ146" s="298"/>
      <c r="AR146" s="174">
        <f t="shared" si="252"/>
        <v>0</v>
      </c>
      <c r="AS146" s="174">
        <f>SUMIFS('1-2 人员岗位信息'!K:K,'1-2 人员岗位信息'!$C:$C,"自有人员",'1-2 人员岗位信息'!$B:$B,$D146)</f>
        <v>0</v>
      </c>
      <c r="AT146" s="298"/>
      <c r="AU146" s="174">
        <f t="shared" si="253"/>
        <v>0</v>
      </c>
      <c r="AV146" s="174">
        <f>SUMIFS('1-2 人员岗位信息'!L:L,'1-2 人员岗位信息'!$C:$C,"自有人员",'1-2 人员岗位信息'!$B:$B,$D146)</f>
        <v>0</v>
      </c>
      <c r="AW146" s="298"/>
      <c r="AX146" s="174">
        <f t="shared" si="254"/>
        <v>0</v>
      </c>
      <c r="AY146" s="174">
        <f>SUMIFS('1-2 人员岗位信息'!M:M,'1-2 人员岗位信息'!$C:$C,"自有人员",'1-2 人员岗位信息'!$B:$B,$D146)</f>
        <v>0</v>
      </c>
      <c r="AZ146" s="298"/>
      <c r="BA146" s="174">
        <f t="shared" si="255"/>
        <v>0</v>
      </c>
      <c r="BB146" s="174">
        <f>SUMIFS('1-2 人员岗位信息'!N:N,'1-2 人员岗位信息'!$C:$C,"自有人员",'1-2 人员岗位信息'!$B:$B,$D146)</f>
        <v>0</v>
      </c>
      <c r="BC146" s="298"/>
      <c r="BD146" s="174">
        <f t="shared" si="256"/>
        <v>0</v>
      </c>
      <c r="BE146" s="174">
        <f>SUMIFS('1-2 人员岗位信息'!O:O,'1-2 人员岗位信息'!$C:$C,"自有人员",'1-2 人员岗位信息'!$B:$B,$D146)</f>
        <v>0</v>
      </c>
      <c r="BF146" s="298"/>
      <c r="BG146" s="174">
        <f t="shared" si="257"/>
        <v>0</v>
      </c>
      <c r="BH146" s="174">
        <f>SUMIFS('1-2 人员岗位信息'!P:P,'1-2 人员岗位信息'!$C:$C,"自有人员",'1-2 人员岗位信息'!$B:$B,$D146)</f>
        <v>0</v>
      </c>
      <c r="BI146" s="298"/>
      <c r="BJ146" s="174">
        <f t="shared" si="258"/>
        <v>0</v>
      </c>
      <c r="BK146" s="174">
        <f>SUMIFS('1-2 人员岗位信息'!Q:Q,'1-2 人员岗位信息'!$C:$C,"自有人员",'1-2 人员岗位信息'!$B:$B,$D146)</f>
        <v>0</v>
      </c>
      <c r="BL146" s="307"/>
      <c r="BM146" s="311"/>
      <c r="BN146" s="315"/>
    </row>
    <row r="147" s="263" customFormat="1" ht="33.95" hidden="1" customHeight="1" outlineLevel="5" spans="2:66">
      <c r="B147" s="174" t="s">
        <v>799</v>
      </c>
      <c r="C147" s="283" t="s">
        <v>1042</v>
      </c>
      <c r="D147" s="263" t="s">
        <v>1043</v>
      </c>
      <c r="E147" s="174" t="s">
        <v>1044</v>
      </c>
      <c r="F147" s="174"/>
      <c r="G147" s="174" t="s">
        <v>803</v>
      </c>
      <c r="H147" s="174">
        <f t="shared" si="243"/>
        <v>0</v>
      </c>
      <c r="I147" s="174" t="s">
        <v>804</v>
      </c>
      <c r="J147" s="174" t="e">
        <f t="shared" si="244"/>
        <v>#DIV/0!</v>
      </c>
      <c r="K147" s="174" t="s">
        <v>805</v>
      </c>
      <c r="L147" s="174" t="e">
        <f t="shared" si="245"/>
        <v>#DIV/0!</v>
      </c>
      <c r="M147" s="174" t="s">
        <v>806</v>
      </c>
      <c r="N147" s="174">
        <f t="shared" si="246"/>
        <v>0</v>
      </c>
      <c r="O147" s="174"/>
      <c r="P147" s="290"/>
      <c r="Q147" s="290"/>
      <c r="R147" s="290"/>
      <c r="S147" s="290"/>
      <c r="T147" s="290"/>
      <c r="U147" s="290"/>
      <c r="V147" s="290"/>
      <c r="W147" s="290"/>
      <c r="X147" s="290"/>
      <c r="Y147" s="290"/>
      <c r="Z147" s="290"/>
      <c r="AA147" s="290"/>
      <c r="AB147" s="174">
        <f t="shared" si="240"/>
        <v>0</v>
      </c>
      <c r="AC147" s="174">
        <f t="shared" si="247"/>
        <v>0</v>
      </c>
      <c r="AD147" s="174">
        <f>SUMIFS('1-2 人员岗位信息'!F:F,'1-2 人员岗位信息'!$C:$C,"自有人员",'1-2 人员岗位信息'!$B:$B,$D147)</f>
        <v>0</v>
      </c>
      <c r="AE147" s="298"/>
      <c r="AF147" s="174">
        <f t="shared" si="248"/>
        <v>0</v>
      </c>
      <c r="AG147" s="174">
        <f>SUMIFS('1-2 人员岗位信息'!G:G,'1-2 人员岗位信息'!$C:$C,"自有人员",'1-2 人员岗位信息'!$B:$B,$D147)</f>
        <v>0</v>
      </c>
      <c r="AH147" s="298"/>
      <c r="AI147" s="174">
        <f t="shared" si="249"/>
        <v>0</v>
      </c>
      <c r="AJ147" s="174">
        <f>SUMIFS('1-2 人员岗位信息'!H:H,'1-2 人员岗位信息'!$C:$C,"自有人员",'1-2 人员岗位信息'!$B:$B,$D147)</f>
        <v>0</v>
      </c>
      <c r="AK147" s="298"/>
      <c r="AL147" s="174">
        <f t="shared" si="250"/>
        <v>0</v>
      </c>
      <c r="AM147" s="174">
        <f>SUMIFS('1-2 人员岗位信息'!I:I,'1-2 人员岗位信息'!$C:$C,"自有人员",'1-2 人员岗位信息'!$B:$B,$D147)</f>
        <v>0</v>
      </c>
      <c r="AN147" s="298"/>
      <c r="AO147" s="174">
        <f t="shared" si="251"/>
        <v>0</v>
      </c>
      <c r="AP147" s="174">
        <f>SUMIFS('1-2 人员岗位信息'!J:J,'1-2 人员岗位信息'!$C:$C,"自有人员",'1-2 人员岗位信息'!$B:$B,$D147)</f>
        <v>0</v>
      </c>
      <c r="AQ147" s="298"/>
      <c r="AR147" s="174">
        <f t="shared" si="252"/>
        <v>0</v>
      </c>
      <c r="AS147" s="174">
        <f>SUMIFS('1-2 人员岗位信息'!K:K,'1-2 人员岗位信息'!$C:$C,"自有人员",'1-2 人员岗位信息'!$B:$B,$D147)</f>
        <v>0</v>
      </c>
      <c r="AT147" s="298"/>
      <c r="AU147" s="174">
        <f t="shared" si="253"/>
        <v>0</v>
      </c>
      <c r="AV147" s="174">
        <f>SUMIFS('1-2 人员岗位信息'!L:L,'1-2 人员岗位信息'!$C:$C,"自有人员",'1-2 人员岗位信息'!$B:$B,$D147)</f>
        <v>0</v>
      </c>
      <c r="AW147" s="298"/>
      <c r="AX147" s="174">
        <f t="shared" si="254"/>
        <v>0</v>
      </c>
      <c r="AY147" s="174">
        <f>SUMIFS('1-2 人员岗位信息'!M:M,'1-2 人员岗位信息'!$C:$C,"自有人员",'1-2 人员岗位信息'!$B:$B,$D147)</f>
        <v>0</v>
      </c>
      <c r="AZ147" s="298"/>
      <c r="BA147" s="174">
        <f t="shared" si="255"/>
        <v>0</v>
      </c>
      <c r="BB147" s="174">
        <f>SUMIFS('1-2 人员岗位信息'!N:N,'1-2 人员岗位信息'!$C:$C,"自有人员",'1-2 人员岗位信息'!$B:$B,$D147)</f>
        <v>0</v>
      </c>
      <c r="BC147" s="298"/>
      <c r="BD147" s="174">
        <f t="shared" si="256"/>
        <v>0</v>
      </c>
      <c r="BE147" s="174">
        <f>SUMIFS('1-2 人员岗位信息'!O:O,'1-2 人员岗位信息'!$C:$C,"自有人员",'1-2 人员岗位信息'!$B:$B,$D147)</f>
        <v>0</v>
      </c>
      <c r="BF147" s="298"/>
      <c r="BG147" s="174">
        <f t="shared" si="257"/>
        <v>0</v>
      </c>
      <c r="BH147" s="174">
        <f>SUMIFS('1-2 人员岗位信息'!P:P,'1-2 人员岗位信息'!$C:$C,"自有人员",'1-2 人员岗位信息'!$B:$B,$D147)</f>
        <v>0</v>
      </c>
      <c r="BI147" s="298"/>
      <c r="BJ147" s="174">
        <f t="shared" si="258"/>
        <v>0</v>
      </c>
      <c r="BK147" s="174">
        <f>SUMIFS('1-2 人员岗位信息'!Q:Q,'1-2 人员岗位信息'!$C:$C,"自有人员",'1-2 人员岗位信息'!$B:$B,$D147)</f>
        <v>0</v>
      </c>
      <c r="BL147" s="307"/>
      <c r="BM147" s="311"/>
      <c r="BN147" s="315"/>
    </row>
    <row r="148" s="263" customFormat="1" ht="33.95" hidden="1" customHeight="1" outlineLevel="5" spans="2:66">
      <c r="B148" s="174" t="s">
        <v>799</v>
      </c>
      <c r="C148" s="283" t="s">
        <v>1045</v>
      </c>
      <c r="D148" s="263" t="s">
        <v>1046</v>
      </c>
      <c r="E148" s="174" t="s">
        <v>1047</v>
      </c>
      <c r="F148" s="174"/>
      <c r="G148" s="174" t="s">
        <v>803</v>
      </c>
      <c r="H148" s="174">
        <f t="shared" si="243"/>
        <v>0</v>
      </c>
      <c r="I148" s="174" t="s">
        <v>804</v>
      </c>
      <c r="J148" s="174" t="e">
        <f t="shared" si="244"/>
        <v>#DIV/0!</v>
      </c>
      <c r="K148" s="174" t="s">
        <v>805</v>
      </c>
      <c r="L148" s="174" t="e">
        <f t="shared" si="245"/>
        <v>#DIV/0!</v>
      </c>
      <c r="M148" s="174" t="s">
        <v>806</v>
      </c>
      <c r="N148" s="174">
        <f t="shared" si="246"/>
        <v>0</v>
      </c>
      <c r="O148" s="174"/>
      <c r="P148" s="290"/>
      <c r="Q148" s="290"/>
      <c r="R148" s="290"/>
      <c r="S148" s="290"/>
      <c r="T148" s="290"/>
      <c r="U148" s="290"/>
      <c r="V148" s="290"/>
      <c r="W148" s="290"/>
      <c r="X148" s="290"/>
      <c r="Y148" s="290"/>
      <c r="Z148" s="290"/>
      <c r="AA148" s="290"/>
      <c r="AB148" s="174">
        <f t="shared" si="240"/>
        <v>0</v>
      </c>
      <c r="AC148" s="174">
        <f t="shared" si="247"/>
        <v>0</v>
      </c>
      <c r="AD148" s="174">
        <f>SUMIFS('1-2 人员岗位信息'!F:F,'1-2 人员岗位信息'!$C:$C,"自有人员",'1-2 人员岗位信息'!$B:$B,$D148)</f>
        <v>0</v>
      </c>
      <c r="AE148" s="298"/>
      <c r="AF148" s="174">
        <f t="shared" si="248"/>
        <v>0</v>
      </c>
      <c r="AG148" s="174">
        <f>SUMIFS('1-2 人员岗位信息'!G:G,'1-2 人员岗位信息'!$C:$C,"自有人员",'1-2 人员岗位信息'!$B:$B,$D148)</f>
        <v>0</v>
      </c>
      <c r="AH148" s="298"/>
      <c r="AI148" s="174">
        <f t="shared" si="249"/>
        <v>0</v>
      </c>
      <c r="AJ148" s="174">
        <f>SUMIFS('1-2 人员岗位信息'!H:H,'1-2 人员岗位信息'!$C:$C,"自有人员",'1-2 人员岗位信息'!$B:$B,$D148)</f>
        <v>0</v>
      </c>
      <c r="AK148" s="298"/>
      <c r="AL148" s="174">
        <f t="shared" si="250"/>
        <v>0</v>
      </c>
      <c r="AM148" s="174">
        <f>SUMIFS('1-2 人员岗位信息'!I:I,'1-2 人员岗位信息'!$C:$C,"自有人员",'1-2 人员岗位信息'!$B:$B,$D148)</f>
        <v>0</v>
      </c>
      <c r="AN148" s="298"/>
      <c r="AO148" s="174">
        <f t="shared" si="251"/>
        <v>0</v>
      </c>
      <c r="AP148" s="174">
        <f>SUMIFS('1-2 人员岗位信息'!J:J,'1-2 人员岗位信息'!$C:$C,"自有人员",'1-2 人员岗位信息'!$B:$B,$D148)</f>
        <v>0</v>
      </c>
      <c r="AQ148" s="298"/>
      <c r="AR148" s="174">
        <f t="shared" si="252"/>
        <v>0</v>
      </c>
      <c r="AS148" s="174">
        <f>SUMIFS('1-2 人员岗位信息'!K:K,'1-2 人员岗位信息'!$C:$C,"自有人员",'1-2 人员岗位信息'!$B:$B,$D148)</f>
        <v>0</v>
      </c>
      <c r="AT148" s="298"/>
      <c r="AU148" s="174">
        <f t="shared" si="253"/>
        <v>0</v>
      </c>
      <c r="AV148" s="174">
        <f>SUMIFS('1-2 人员岗位信息'!L:L,'1-2 人员岗位信息'!$C:$C,"自有人员",'1-2 人员岗位信息'!$B:$B,$D148)</f>
        <v>0</v>
      </c>
      <c r="AW148" s="298"/>
      <c r="AX148" s="174">
        <f t="shared" si="254"/>
        <v>0</v>
      </c>
      <c r="AY148" s="174">
        <f>SUMIFS('1-2 人员岗位信息'!M:M,'1-2 人员岗位信息'!$C:$C,"自有人员",'1-2 人员岗位信息'!$B:$B,$D148)</f>
        <v>0</v>
      </c>
      <c r="AZ148" s="298"/>
      <c r="BA148" s="174">
        <f t="shared" si="255"/>
        <v>0</v>
      </c>
      <c r="BB148" s="174">
        <f>SUMIFS('1-2 人员岗位信息'!N:N,'1-2 人员岗位信息'!$C:$C,"自有人员",'1-2 人员岗位信息'!$B:$B,$D148)</f>
        <v>0</v>
      </c>
      <c r="BC148" s="298"/>
      <c r="BD148" s="174">
        <f t="shared" si="256"/>
        <v>0</v>
      </c>
      <c r="BE148" s="174">
        <f>SUMIFS('1-2 人员岗位信息'!O:O,'1-2 人员岗位信息'!$C:$C,"自有人员",'1-2 人员岗位信息'!$B:$B,$D148)</f>
        <v>0</v>
      </c>
      <c r="BF148" s="298"/>
      <c r="BG148" s="174">
        <f t="shared" si="257"/>
        <v>0</v>
      </c>
      <c r="BH148" s="174">
        <f>SUMIFS('1-2 人员岗位信息'!P:P,'1-2 人员岗位信息'!$C:$C,"自有人员",'1-2 人员岗位信息'!$B:$B,$D148)</f>
        <v>0</v>
      </c>
      <c r="BI148" s="298"/>
      <c r="BJ148" s="174">
        <f t="shared" si="258"/>
        <v>0</v>
      </c>
      <c r="BK148" s="174">
        <f>SUMIFS('1-2 人员岗位信息'!Q:Q,'1-2 人员岗位信息'!$C:$C,"自有人员",'1-2 人员岗位信息'!$B:$B,$D148)</f>
        <v>0</v>
      </c>
      <c r="BL148" s="307"/>
      <c r="BM148" s="311"/>
      <c r="BN148" s="315"/>
    </row>
    <row r="149" s="117" customFormat="1" ht="33.95" hidden="1" customHeight="1" outlineLevel="4" collapsed="1" spans="2:66">
      <c r="B149" s="118" t="s">
        <v>794</v>
      </c>
      <c r="C149" s="119" t="s">
        <v>72</v>
      </c>
      <c r="D149" s="117" t="s">
        <v>68</v>
      </c>
      <c r="E149" s="118"/>
      <c r="F149" s="118"/>
      <c r="G149" s="118"/>
      <c r="H149" s="118">
        <f>SUM(H150:H153)</f>
        <v>0</v>
      </c>
      <c r="I149" s="118"/>
      <c r="J149" s="118"/>
      <c r="K149" s="118"/>
      <c r="L149" s="118"/>
      <c r="M149" s="118"/>
      <c r="N149" s="118"/>
      <c r="O149" s="118"/>
      <c r="P149" s="289"/>
      <c r="Q149" s="289"/>
      <c r="R149" s="289"/>
      <c r="S149" s="289"/>
      <c r="T149" s="289"/>
      <c r="U149" s="289"/>
      <c r="V149" s="289"/>
      <c r="W149" s="289"/>
      <c r="X149" s="289"/>
      <c r="Y149" s="289"/>
      <c r="Z149" s="289"/>
      <c r="AA149" s="289"/>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6"/>
      <c r="BM149" s="311"/>
      <c r="BN149" s="314"/>
    </row>
    <row r="150" s="263" customFormat="1" ht="33.95" hidden="1" customHeight="1" outlineLevel="5" spans="2:66">
      <c r="B150" s="174" t="s">
        <v>799</v>
      </c>
      <c r="C150" s="283" t="s">
        <v>1048</v>
      </c>
      <c r="D150" s="263" t="s">
        <v>1037</v>
      </c>
      <c r="E150" s="174" t="s">
        <v>1049</v>
      </c>
      <c r="F150" s="174"/>
      <c r="G150" s="174" t="s">
        <v>803</v>
      </c>
      <c r="H150" s="174">
        <f t="shared" ref="H150:H153" si="260">AB150</f>
        <v>0</v>
      </c>
      <c r="I150" s="174" t="s">
        <v>804</v>
      </c>
      <c r="J150" s="174" t="e">
        <f t="shared" ref="J150:J153" si="261">SUM(AD150,AG150,AJ150,AM150,AP150,AS150,AV150,AY150,BB150,BE150,BH150,BK150)/N150</f>
        <v>#DIV/0!</v>
      </c>
      <c r="K150" s="174" t="s">
        <v>805</v>
      </c>
      <c r="L150" s="174" t="e">
        <f t="shared" ref="L150:L153" si="262">H150/N150/J150</f>
        <v>#DIV/0!</v>
      </c>
      <c r="M150" s="174" t="s">
        <v>806</v>
      </c>
      <c r="N150" s="174">
        <f t="shared" ref="N150:N153" si="263">COUNTIF(AD150,"&gt;0")+COUNTIF(AG150,"&gt;0")+COUNTIF(AJ150,"&gt;0")+COUNTIF(AM150,"&gt;0")+COUNTIF(AP150,"&gt;0")+COUNTIF(AS150,"&gt;0")+COUNTIF(AV150,"&gt;0")+COUNTIF(AY150,"&gt;0")+COUNTIF(BB150,"&gt;0")+COUNTIF(BE150,"&gt;0")+COUNTIF(BH150,"&gt;0")+COUNTIF(BK150,"&gt;0")</f>
        <v>0</v>
      </c>
      <c r="O150" s="174"/>
      <c r="P150" s="290"/>
      <c r="Q150" s="290"/>
      <c r="R150" s="290"/>
      <c r="S150" s="290"/>
      <c r="T150" s="290"/>
      <c r="U150" s="290"/>
      <c r="V150" s="290"/>
      <c r="W150" s="290"/>
      <c r="X150" s="290"/>
      <c r="Y150" s="290"/>
      <c r="Z150" s="290"/>
      <c r="AA150" s="290"/>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8"/>
      <c r="AF150" s="174">
        <f t="shared" ref="AF150:AF153" si="266">AG150*AH150</f>
        <v>0</v>
      </c>
      <c r="AG150" s="174">
        <f>SUMIFS('1-2 人员岗位信息'!G:G,'1-2 人员岗位信息'!$C:$C,"劳务派遣",'1-2 人员岗位信息'!$B:$B,$D150)</f>
        <v>0</v>
      </c>
      <c r="AH150" s="298"/>
      <c r="AI150" s="174">
        <f t="shared" ref="AI150:AI153" si="267">AJ150*AK150</f>
        <v>0</v>
      </c>
      <c r="AJ150" s="174">
        <f>SUMIFS('1-2 人员岗位信息'!H:H,'1-2 人员岗位信息'!$C:$C,"劳务派遣",'1-2 人员岗位信息'!$B:$B,$D150)</f>
        <v>0</v>
      </c>
      <c r="AK150" s="298"/>
      <c r="AL150" s="174">
        <f t="shared" ref="AL150:AL153" si="268">AM150*AN150</f>
        <v>0</v>
      </c>
      <c r="AM150" s="174">
        <f>SUMIFS('1-2 人员岗位信息'!I:I,'1-2 人员岗位信息'!$C:$C,"劳务派遣",'1-2 人员岗位信息'!$B:$B,$D150)</f>
        <v>0</v>
      </c>
      <c r="AN150" s="298"/>
      <c r="AO150" s="174">
        <f t="shared" ref="AO150:AO153" si="269">AP150*AQ150</f>
        <v>0</v>
      </c>
      <c r="AP150" s="174">
        <f>SUMIFS('1-2 人员岗位信息'!J:J,'1-2 人员岗位信息'!$C:$C,"劳务派遣",'1-2 人员岗位信息'!$B:$B,$D150)</f>
        <v>0</v>
      </c>
      <c r="AQ150" s="298"/>
      <c r="AR150" s="174">
        <f t="shared" ref="AR150:AR153" si="270">AS150*AT150</f>
        <v>0</v>
      </c>
      <c r="AS150" s="174">
        <f>SUMIFS('1-2 人员岗位信息'!K:K,'1-2 人员岗位信息'!$C:$C,"劳务派遣",'1-2 人员岗位信息'!$B:$B,$D150)</f>
        <v>0</v>
      </c>
      <c r="AT150" s="298"/>
      <c r="AU150" s="174">
        <f t="shared" ref="AU150:AU153" si="271">AV150*AW150</f>
        <v>0</v>
      </c>
      <c r="AV150" s="174">
        <f>SUMIFS('1-2 人员岗位信息'!L:L,'1-2 人员岗位信息'!$C:$C,"劳务派遣",'1-2 人员岗位信息'!$B:$B,$D150)</f>
        <v>0</v>
      </c>
      <c r="AW150" s="298"/>
      <c r="AX150" s="174">
        <f t="shared" ref="AX150:AX153" si="272">AY150*AZ150</f>
        <v>0</v>
      </c>
      <c r="AY150" s="174">
        <f>SUMIFS('1-2 人员岗位信息'!M:M,'1-2 人员岗位信息'!$C:$C,"劳务派遣",'1-2 人员岗位信息'!$B:$B,$D150)</f>
        <v>0</v>
      </c>
      <c r="AZ150" s="298"/>
      <c r="BA150" s="174">
        <f t="shared" ref="BA150:BA153" si="273">BB150*BC150</f>
        <v>0</v>
      </c>
      <c r="BB150" s="174">
        <f>SUMIFS('1-2 人员岗位信息'!N:N,'1-2 人员岗位信息'!$C:$C,"劳务派遣",'1-2 人员岗位信息'!$B:$B,$D150)</f>
        <v>0</v>
      </c>
      <c r="BC150" s="298"/>
      <c r="BD150" s="174">
        <f t="shared" ref="BD150:BD153" si="274">BE150*BF150</f>
        <v>0</v>
      </c>
      <c r="BE150" s="174">
        <f>SUMIFS('1-2 人员岗位信息'!O:O,'1-2 人员岗位信息'!$C:$C,"劳务派遣",'1-2 人员岗位信息'!$B:$B,$D150)</f>
        <v>0</v>
      </c>
      <c r="BF150" s="298"/>
      <c r="BG150" s="174">
        <f t="shared" ref="BG150:BG153" si="275">BH150*BI150</f>
        <v>0</v>
      </c>
      <c r="BH150" s="174">
        <f>SUMIFS('1-2 人员岗位信息'!P:P,'1-2 人员岗位信息'!$C:$C,"劳务派遣",'1-2 人员岗位信息'!$B:$B,$D150)</f>
        <v>0</v>
      </c>
      <c r="BI150" s="298"/>
      <c r="BJ150" s="174">
        <f t="shared" ref="BJ150:BJ153" si="276">BK150*BL150</f>
        <v>0</v>
      </c>
      <c r="BK150" s="174">
        <f>SUMIFS('1-2 人员岗位信息'!Q:Q,'1-2 人员岗位信息'!$C:$C,"劳务派遣",'1-2 人员岗位信息'!$B:$B,$D150)</f>
        <v>0</v>
      </c>
      <c r="BL150" s="307"/>
      <c r="BM150" s="311"/>
      <c r="BN150" s="315"/>
    </row>
    <row r="151" s="263" customFormat="1" ht="33.95" hidden="1" customHeight="1" outlineLevel="5" spans="2:66">
      <c r="B151" s="174" t="s">
        <v>799</v>
      </c>
      <c r="C151" s="283" t="s">
        <v>1050</v>
      </c>
      <c r="D151" s="263" t="s">
        <v>1040</v>
      </c>
      <c r="E151" s="174" t="s">
        <v>1051</v>
      </c>
      <c r="F151" s="174"/>
      <c r="G151" s="174" t="s">
        <v>803</v>
      </c>
      <c r="H151" s="174">
        <f t="shared" si="260"/>
        <v>0</v>
      </c>
      <c r="I151" s="174" t="s">
        <v>804</v>
      </c>
      <c r="J151" s="174" t="e">
        <f t="shared" si="261"/>
        <v>#DIV/0!</v>
      </c>
      <c r="K151" s="174" t="s">
        <v>805</v>
      </c>
      <c r="L151" s="174" t="e">
        <f t="shared" si="262"/>
        <v>#DIV/0!</v>
      </c>
      <c r="M151" s="174" t="s">
        <v>806</v>
      </c>
      <c r="N151" s="174">
        <f t="shared" si="263"/>
        <v>0</v>
      </c>
      <c r="O151" s="174"/>
      <c r="P151" s="290"/>
      <c r="Q151" s="290"/>
      <c r="R151" s="290"/>
      <c r="S151" s="290"/>
      <c r="T151" s="290"/>
      <c r="U151" s="290"/>
      <c r="V151" s="290"/>
      <c r="W151" s="290"/>
      <c r="X151" s="290"/>
      <c r="Y151" s="290"/>
      <c r="Z151" s="290"/>
      <c r="AA151" s="290"/>
      <c r="AB151" s="174">
        <f t="shared" si="264"/>
        <v>0</v>
      </c>
      <c r="AC151" s="174">
        <f t="shared" si="265"/>
        <v>0</v>
      </c>
      <c r="AD151" s="174">
        <f>SUMIFS('1-2 人员岗位信息'!F:F,'1-2 人员岗位信息'!$C:$C,"劳务派遣",'1-2 人员岗位信息'!$B:$B,$D151)</f>
        <v>0</v>
      </c>
      <c r="AE151" s="298"/>
      <c r="AF151" s="174">
        <f t="shared" si="266"/>
        <v>0</v>
      </c>
      <c r="AG151" s="174">
        <f>SUMIFS('1-2 人员岗位信息'!G:G,'1-2 人员岗位信息'!$C:$C,"劳务派遣",'1-2 人员岗位信息'!$B:$B,$D151)</f>
        <v>0</v>
      </c>
      <c r="AH151" s="298"/>
      <c r="AI151" s="174">
        <f t="shared" si="267"/>
        <v>0</v>
      </c>
      <c r="AJ151" s="174">
        <f>SUMIFS('1-2 人员岗位信息'!H:H,'1-2 人员岗位信息'!$C:$C,"劳务派遣",'1-2 人员岗位信息'!$B:$B,$D151)</f>
        <v>0</v>
      </c>
      <c r="AK151" s="298"/>
      <c r="AL151" s="174">
        <f t="shared" si="268"/>
        <v>0</v>
      </c>
      <c r="AM151" s="174">
        <f>SUMIFS('1-2 人员岗位信息'!I:I,'1-2 人员岗位信息'!$C:$C,"劳务派遣",'1-2 人员岗位信息'!$B:$B,$D151)</f>
        <v>0</v>
      </c>
      <c r="AN151" s="298"/>
      <c r="AO151" s="174">
        <f t="shared" si="269"/>
        <v>0</v>
      </c>
      <c r="AP151" s="174">
        <f>SUMIFS('1-2 人员岗位信息'!J:J,'1-2 人员岗位信息'!$C:$C,"劳务派遣",'1-2 人员岗位信息'!$B:$B,$D151)</f>
        <v>0</v>
      </c>
      <c r="AQ151" s="298"/>
      <c r="AR151" s="174">
        <f t="shared" si="270"/>
        <v>0</v>
      </c>
      <c r="AS151" s="174">
        <f>SUMIFS('1-2 人员岗位信息'!K:K,'1-2 人员岗位信息'!$C:$C,"劳务派遣",'1-2 人员岗位信息'!$B:$B,$D151)</f>
        <v>0</v>
      </c>
      <c r="AT151" s="298"/>
      <c r="AU151" s="174">
        <f t="shared" si="271"/>
        <v>0</v>
      </c>
      <c r="AV151" s="174">
        <f>SUMIFS('1-2 人员岗位信息'!L:L,'1-2 人员岗位信息'!$C:$C,"劳务派遣",'1-2 人员岗位信息'!$B:$B,$D151)</f>
        <v>0</v>
      </c>
      <c r="AW151" s="298"/>
      <c r="AX151" s="174">
        <f t="shared" si="272"/>
        <v>0</v>
      </c>
      <c r="AY151" s="174">
        <f>SUMIFS('1-2 人员岗位信息'!M:M,'1-2 人员岗位信息'!$C:$C,"劳务派遣",'1-2 人员岗位信息'!$B:$B,$D151)</f>
        <v>0</v>
      </c>
      <c r="AZ151" s="298"/>
      <c r="BA151" s="174">
        <f t="shared" si="273"/>
        <v>0</v>
      </c>
      <c r="BB151" s="174">
        <f>SUMIFS('1-2 人员岗位信息'!N:N,'1-2 人员岗位信息'!$C:$C,"劳务派遣",'1-2 人员岗位信息'!$B:$B,$D151)</f>
        <v>0</v>
      </c>
      <c r="BC151" s="298"/>
      <c r="BD151" s="174">
        <f t="shared" si="274"/>
        <v>0</v>
      </c>
      <c r="BE151" s="174">
        <f>SUMIFS('1-2 人员岗位信息'!O:O,'1-2 人员岗位信息'!$C:$C,"劳务派遣",'1-2 人员岗位信息'!$B:$B,$D151)</f>
        <v>0</v>
      </c>
      <c r="BF151" s="298"/>
      <c r="BG151" s="174">
        <f t="shared" si="275"/>
        <v>0</v>
      </c>
      <c r="BH151" s="174">
        <f>SUMIFS('1-2 人员岗位信息'!P:P,'1-2 人员岗位信息'!$C:$C,"劳务派遣",'1-2 人员岗位信息'!$B:$B,$D151)</f>
        <v>0</v>
      </c>
      <c r="BI151" s="298"/>
      <c r="BJ151" s="174">
        <f t="shared" si="276"/>
        <v>0</v>
      </c>
      <c r="BK151" s="174">
        <f>SUMIFS('1-2 人员岗位信息'!Q:Q,'1-2 人员岗位信息'!$C:$C,"劳务派遣",'1-2 人员岗位信息'!$B:$B,$D151)</f>
        <v>0</v>
      </c>
      <c r="BL151" s="307"/>
      <c r="BM151" s="311"/>
      <c r="BN151" s="315"/>
    </row>
    <row r="152" s="263" customFormat="1" ht="33.95" hidden="1" customHeight="1" outlineLevel="5" spans="2:66">
      <c r="B152" s="174" t="s">
        <v>799</v>
      </c>
      <c r="C152" s="283" t="s">
        <v>1052</v>
      </c>
      <c r="D152" s="263" t="s">
        <v>1043</v>
      </c>
      <c r="E152" s="174" t="s">
        <v>1053</v>
      </c>
      <c r="F152" s="174"/>
      <c r="G152" s="174" t="s">
        <v>803</v>
      </c>
      <c r="H152" s="174">
        <f t="shared" si="260"/>
        <v>0</v>
      </c>
      <c r="I152" s="174" t="s">
        <v>804</v>
      </c>
      <c r="J152" s="174" t="e">
        <f t="shared" si="261"/>
        <v>#DIV/0!</v>
      </c>
      <c r="K152" s="174" t="s">
        <v>805</v>
      </c>
      <c r="L152" s="174" t="e">
        <f t="shared" si="262"/>
        <v>#DIV/0!</v>
      </c>
      <c r="M152" s="174" t="s">
        <v>806</v>
      </c>
      <c r="N152" s="174">
        <f t="shared" si="263"/>
        <v>0</v>
      </c>
      <c r="O152" s="174"/>
      <c r="P152" s="290"/>
      <c r="Q152" s="290"/>
      <c r="R152" s="290"/>
      <c r="S152" s="290"/>
      <c r="T152" s="290"/>
      <c r="U152" s="290"/>
      <c r="V152" s="290"/>
      <c r="W152" s="290"/>
      <c r="X152" s="290"/>
      <c r="Y152" s="290"/>
      <c r="Z152" s="290"/>
      <c r="AA152" s="290"/>
      <c r="AB152" s="174">
        <f t="shared" si="264"/>
        <v>0</v>
      </c>
      <c r="AC152" s="174">
        <f t="shared" si="265"/>
        <v>0</v>
      </c>
      <c r="AD152" s="174">
        <f>SUMIFS('1-2 人员岗位信息'!F:F,'1-2 人员岗位信息'!$C:$C,"劳务派遣",'1-2 人员岗位信息'!$B:$B,$D152)</f>
        <v>0</v>
      </c>
      <c r="AE152" s="298"/>
      <c r="AF152" s="174">
        <f t="shared" si="266"/>
        <v>0</v>
      </c>
      <c r="AG152" s="174">
        <f>SUMIFS('1-2 人员岗位信息'!G:G,'1-2 人员岗位信息'!$C:$C,"劳务派遣",'1-2 人员岗位信息'!$B:$B,$D152)</f>
        <v>0</v>
      </c>
      <c r="AH152" s="298"/>
      <c r="AI152" s="174">
        <f t="shared" si="267"/>
        <v>0</v>
      </c>
      <c r="AJ152" s="174">
        <f>SUMIFS('1-2 人员岗位信息'!H:H,'1-2 人员岗位信息'!$C:$C,"劳务派遣",'1-2 人员岗位信息'!$B:$B,$D152)</f>
        <v>0</v>
      </c>
      <c r="AK152" s="298"/>
      <c r="AL152" s="174">
        <f t="shared" si="268"/>
        <v>0</v>
      </c>
      <c r="AM152" s="174">
        <f>SUMIFS('1-2 人员岗位信息'!I:I,'1-2 人员岗位信息'!$C:$C,"劳务派遣",'1-2 人员岗位信息'!$B:$B,$D152)</f>
        <v>0</v>
      </c>
      <c r="AN152" s="298"/>
      <c r="AO152" s="174">
        <f t="shared" si="269"/>
        <v>0</v>
      </c>
      <c r="AP152" s="174">
        <f>SUMIFS('1-2 人员岗位信息'!J:J,'1-2 人员岗位信息'!$C:$C,"劳务派遣",'1-2 人员岗位信息'!$B:$B,$D152)</f>
        <v>0</v>
      </c>
      <c r="AQ152" s="298"/>
      <c r="AR152" s="174">
        <f t="shared" si="270"/>
        <v>0</v>
      </c>
      <c r="AS152" s="174">
        <f>SUMIFS('1-2 人员岗位信息'!K:K,'1-2 人员岗位信息'!$C:$C,"劳务派遣",'1-2 人员岗位信息'!$B:$B,$D152)</f>
        <v>0</v>
      </c>
      <c r="AT152" s="298"/>
      <c r="AU152" s="174">
        <f t="shared" si="271"/>
        <v>0</v>
      </c>
      <c r="AV152" s="174">
        <f>SUMIFS('1-2 人员岗位信息'!L:L,'1-2 人员岗位信息'!$C:$C,"劳务派遣",'1-2 人员岗位信息'!$B:$B,$D152)</f>
        <v>0</v>
      </c>
      <c r="AW152" s="298"/>
      <c r="AX152" s="174">
        <f t="shared" si="272"/>
        <v>0</v>
      </c>
      <c r="AY152" s="174">
        <f>SUMIFS('1-2 人员岗位信息'!M:M,'1-2 人员岗位信息'!$C:$C,"劳务派遣",'1-2 人员岗位信息'!$B:$B,$D152)</f>
        <v>0</v>
      </c>
      <c r="AZ152" s="298"/>
      <c r="BA152" s="174">
        <f t="shared" si="273"/>
        <v>0</v>
      </c>
      <c r="BB152" s="174">
        <f>SUMIFS('1-2 人员岗位信息'!N:N,'1-2 人员岗位信息'!$C:$C,"劳务派遣",'1-2 人员岗位信息'!$B:$B,$D152)</f>
        <v>0</v>
      </c>
      <c r="BC152" s="298"/>
      <c r="BD152" s="174">
        <f t="shared" si="274"/>
        <v>0</v>
      </c>
      <c r="BE152" s="174">
        <f>SUMIFS('1-2 人员岗位信息'!O:O,'1-2 人员岗位信息'!$C:$C,"劳务派遣",'1-2 人员岗位信息'!$B:$B,$D152)</f>
        <v>0</v>
      </c>
      <c r="BF152" s="298"/>
      <c r="BG152" s="174">
        <f t="shared" si="275"/>
        <v>0</v>
      </c>
      <c r="BH152" s="174">
        <f>SUMIFS('1-2 人员岗位信息'!P:P,'1-2 人员岗位信息'!$C:$C,"劳务派遣",'1-2 人员岗位信息'!$B:$B,$D152)</f>
        <v>0</v>
      </c>
      <c r="BI152" s="298"/>
      <c r="BJ152" s="174">
        <f t="shared" si="276"/>
        <v>0</v>
      </c>
      <c r="BK152" s="174">
        <f>SUMIFS('1-2 人员岗位信息'!Q:Q,'1-2 人员岗位信息'!$C:$C,"劳务派遣",'1-2 人员岗位信息'!$B:$B,$D152)</f>
        <v>0</v>
      </c>
      <c r="BL152" s="307"/>
      <c r="BM152" s="311"/>
      <c r="BN152" s="315"/>
    </row>
    <row r="153" s="263" customFormat="1" ht="33.95" hidden="1" customHeight="1" outlineLevel="5" spans="2:66">
      <c r="B153" s="174" t="s">
        <v>799</v>
      </c>
      <c r="C153" s="283" t="s">
        <v>1054</v>
      </c>
      <c r="D153" s="263" t="s">
        <v>1046</v>
      </c>
      <c r="E153" s="174" t="s">
        <v>1055</v>
      </c>
      <c r="F153" s="174"/>
      <c r="G153" s="174" t="s">
        <v>803</v>
      </c>
      <c r="H153" s="174">
        <f t="shared" si="260"/>
        <v>0</v>
      </c>
      <c r="I153" s="174" t="s">
        <v>804</v>
      </c>
      <c r="J153" s="174" t="e">
        <f t="shared" si="261"/>
        <v>#DIV/0!</v>
      </c>
      <c r="K153" s="174" t="s">
        <v>805</v>
      </c>
      <c r="L153" s="174" t="e">
        <f t="shared" si="262"/>
        <v>#DIV/0!</v>
      </c>
      <c r="M153" s="174" t="s">
        <v>806</v>
      </c>
      <c r="N153" s="174">
        <f t="shared" si="263"/>
        <v>0</v>
      </c>
      <c r="O153" s="174"/>
      <c r="P153" s="290"/>
      <c r="Q153" s="290"/>
      <c r="R153" s="290"/>
      <c r="S153" s="290"/>
      <c r="T153" s="290"/>
      <c r="U153" s="290"/>
      <c r="V153" s="290"/>
      <c r="W153" s="290"/>
      <c r="X153" s="290"/>
      <c r="Y153" s="290"/>
      <c r="Z153" s="290"/>
      <c r="AA153" s="290"/>
      <c r="AB153" s="174">
        <f t="shared" si="264"/>
        <v>0</v>
      </c>
      <c r="AC153" s="174">
        <f t="shared" si="265"/>
        <v>0</v>
      </c>
      <c r="AD153" s="174">
        <f>SUMIFS('1-2 人员岗位信息'!F:F,'1-2 人员岗位信息'!$C:$C,"劳务派遣",'1-2 人员岗位信息'!$B:$B,$D153)</f>
        <v>0</v>
      </c>
      <c r="AE153" s="298"/>
      <c r="AF153" s="174">
        <f t="shared" si="266"/>
        <v>0</v>
      </c>
      <c r="AG153" s="174">
        <f>SUMIFS('1-2 人员岗位信息'!G:G,'1-2 人员岗位信息'!$C:$C,"劳务派遣",'1-2 人员岗位信息'!$B:$B,$D153)</f>
        <v>0</v>
      </c>
      <c r="AH153" s="298"/>
      <c r="AI153" s="174">
        <f t="shared" si="267"/>
        <v>0</v>
      </c>
      <c r="AJ153" s="174">
        <f>SUMIFS('1-2 人员岗位信息'!H:H,'1-2 人员岗位信息'!$C:$C,"劳务派遣",'1-2 人员岗位信息'!$B:$B,$D153)</f>
        <v>0</v>
      </c>
      <c r="AK153" s="298"/>
      <c r="AL153" s="174">
        <f t="shared" si="268"/>
        <v>0</v>
      </c>
      <c r="AM153" s="174">
        <f>SUMIFS('1-2 人员岗位信息'!I:I,'1-2 人员岗位信息'!$C:$C,"劳务派遣",'1-2 人员岗位信息'!$B:$B,$D153)</f>
        <v>0</v>
      </c>
      <c r="AN153" s="298"/>
      <c r="AO153" s="174">
        <f t="shared" si="269"/>
        <v>0</v>
      </c>
      <c r="AP153" s="174">
        <f>SUMIFS('1-2 人员岗位信息'!J:J,'1-2 人员岗位信息'!$C:$C,"劳务派遣",'1-2 人员岗位信息'!$B:$B,$D153)</f>
        <v>0</v>
      </c>
      <c r="AQ153" s="298"/>
      <c r="AR153" s="174">
        <f t="shared" si="270"/>
        <v>0</v>
      </c>
      <c r="AS153" s="174">
        <f>SUMIFS('1-2 人员岗位信息'!K:K,'1-2 人员岗位信息'!$C:$C,"劳务派遣",'1-2 人员岗位信息'!$B:$B,$D153)</f>
        <v>0</v>
      </c>
      <c r="AT153" s="298"/>
      <c r="AU153" s="174">
        <f t="shared" si="271"/>
        <v>0</v>
      </c>
      <c r="AV153" s="174">
        <f>SUMIFS('1-2 人员岗位信息'!L:L,'1-2 人员岗位信息'!$C:$C,"劳务派遣",'1-2 人员岗位信息'!$B:$B,$D153)</f>
        <v>0</v>
      </c>
      <c r="AW153" s="298"/>
      <c r="AX153" s="174">
        <f t="shared" si="272"/>
        <v>0</v>
      </c>
      <c r="AY153" s="174">
        <f>SUMIFS('1-2 人员岗位信息'!M:M,'1-2 人员岗位信息'!$C:$C,"劳务派遣",'1-2 人员岗位信息'!$B:$B,$D153)</f>
        <v>0</v>
      </c>
      <c r="AZ153" s="298"/>
      <c r="BA153" s="174">
        <f t="shared" si="273"/>
        <v>0</v>
      </c>
      <c r="BB153" s="174">
        <f>SUMIFS('1-2 人员岗位信息'!N:N,'1-2 人员岗位信息'!$C:$C,"劳务派遣",'1-2 人员岗位信息'!$B:$B,$D153)</f>
        <v>0</v>
      </c>
      <c r="BC153" s="298"/>
      <c r="BD153" s="174">
        <f t="shared" si="274"/>
        <v>0</v>
      </c>
      <c r="BE153" s="174">
        <f>SUMIFS('1-2 人员岗位信息'!O:O,'1-2 人员岗位信息'!$C:$C,"劳务派遣",'1-2 人员岗位信息'!$B:$B,$D153)</f>
        <v>0</v>
      </c>
      <c r="BF153" s="298"/>
      <c r="BG153" s="174">
        <f t="shared" si="275"/>
        <v>0</v>
      </c>
      <c r="BH153" s="174">
        <f>SUMIFS('1-2 人员岗位信息'!P:P,'1-2 人员岗位信息'!$C:$C,"劳务派遣",'1-2 人员岗位信息'!$B:$B,$D153)</f>
        <v>0</v>
      </c>
      <c r="BI153" s="298"/>
      <c r="BJ153" s="174">
        <f t="shared" si="276"/>
        <v>0</v>
      </c>
      <c r="BK153" s="174">
        <f>SUMIFS('1-2 人员岗位信息'!Q:Q,'1-2 人员岗位信息'!$C:$C,"劳务派遣",'1-2 人员岗位信息'!$B:$B,$D153)</f>
        <v>0</v>
      </c>
      <c r="BL153" s="307"/>
      <c r="BM153" s="311"/>
      <c r="BN153" s="315"/>
    </row>
    <row r="154" s="117" customFormat="1" ht="33.95" hidden="1" customHeight="1" outlineLevel="4" collapsed="1" spans="2:66">
      <c r="B154" s="118" t="s">
        <v>794</v>
      </c>
      <c r="C154" s="119" t="s">
        <v>1056</v>
      </c>
      <c r="D154" s="117" t="s">
        <v>19</v>
      </c>
      <c r="E154" s="118"/>
      <c r="F154" s="118"/>
      <c r="G154" s="118"/>
      <c r="H154" s="118">
        <f>SUM(H155:H158)</f>
        <v>0</v>
      </c>
      <c r="I154" s="118"/>
      <c r="J154" s="118"/>
      <c r="K154" s="118"/>
      <c r="L154" s="118"/>
      <c r="M154" s="118"/>
      <c r="N154" s="118"/>
      <c r="O154" s="118"/>
      <c r="P154" s="289"/>
      <c r="Q154" s="289"/>
      <c r="R154" s="289"/>
      <c r="S154" s="289"/>
      <c r="T154" s="289"/>
      <c r="U154" s="289"/>
      <c r="V154" s="289"/>
      <c r="W154" s="289"/>
      <c r="X154" s="289"/>
      <c r="Y154" s="289"/>
      <c r="Z154" s="289"/>
      <c r="AA154" s="289"/>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6"/>
      <c r="BM154" s="311"/>
      <c r="BN154" s="314"/>
    </row>
    <row r="155" s="263" customFormat="1" ht="33.95" hidden="1" customHeight="1" outlineLevel="5" spans="2:66">
      <c r="B155" s="174" t="s">
        <v>799</v>
      </c>
      <c r="C155" s="283" t="s">
        <v>1057</v>
      </c>
      <c r="D155" s="263" t="s">
        <v>1058</v>
      </c>
      <c r="E155" s="174" t="s">
        <v>1059</v>
      </c>
      <c r="F155" s="174"/>
      <c r="G155" s="174" t="s">
        <v>803</v>
      </c>
      <c r="H155" s="174">
        <f t="shared" ref="H155:H158" si="278">AB155</f>
        <v>0</v>
      </c>
      <c r="I155" s="174" t="s">
        <v>804</v>
      </c>
      <c r="J155" s="174" t="e">
        <f t="shared" ref="J155:J158" si="279">SUM(AD155,AG155,AJ155,AM155,AP155,AS155,AV155,AY155,BB155,BE155,BH155,BK155)/N155</f>
        <v>#DIV/0!</v>
      </c>
      <c r="K155" s="174" t="s">
        <v>805</v>
      </c>
      <c r="L155" s="174" t="e">
        <f t="shared" ref="L155:L158" si="280">H155/N155/J155</f>
        <v>#DIV/0!</v>
      </c>
      <c r="M155" s="174" t="s">
        <v>806</v>
      </c>
      <c r="N155" s="174">
        <f t="shared" ref="N155:N158" si="281">COUNTIF(AD155,"&gt;0")+COUNTIF(AG155,"&gt;0")+COUNTIF(AJ155,"&gt;0")+COUNTIF(AM155,"&gt;0")+COUNTIF(AP155,"&gt;0")+COUNTIF(AS155,"&gt;0")+COUNTIF(AV155,"&gt;0")+COUNTIF(AY155,"&gt;0")+COUNTIF(BB155,"&gt;0")+COUNTIF(BE155,"&gt;0")+COUNTIF(BH155,"&gt;0")+COUNTIF(BK155,"&gt;0")</f>
        <v>0</v>
      </c>
      <c r="O155" s="174"/>
      <c r="P155" s="290"/>
      <c r="Q155" s="290"/>
      <c r="R155" s="290"/>
      <c r="S155" s="290"/>
      <c r="T155" s="290"/>
      <c r="U155" s="290"/>
      <c r="V155" s="290"/>
      <c r="W155" s="290"/>
      <c r="X155" s="290"/>
      <c r="Y155" s="290"/>
      <c r="Z155" s="290"/>
      <c r="AA155" s="290"/>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8"/>
      <c r="AF155" s="174">
        <f t="shared" ref="AF155:AF158" si="284">AG155*AH155</f>
        <v>0</v>
      </c>
      <c r="AG155" s="174">
        <f>SUMIFS('1-2 人员岗位信息'!G:G,'1-2 人员岗位信息'!$C:$C,"专业外包",'1-2 人员岗位信息'!$B:$B,$D155)</f>
        <v>0</v>
      </c>
      <c r="AH155" s="298"/>
      <c r="AI155" s="174">
        <f t="shared" ref="AI155:AI158" si="285">AJ155*AK155</f>
        <v>0</v>
      </c>
      <c r="AJ155" s="174">
        <f>SUMIFS('1-2 人员岗位信息'!H:H,'1-2 人员岗位信息'!$C:$C,"专业外包",'1-2 人员岗位信息'!$B:$B,$D155)</f>
        <v>0</v>
      </c>
      <c r="AK155" s="298"/>
      <c r="AL155" s="174">
        <f t="shared" ref="AL155:AL158" si="286">AM155*AN155</f>
        <v>0</v>
      </c>
      <c r="AM155" s="174">
        <f>SUMIFS('1-2 人员岗位信息'!I:I,'1-2 人员岗位信息'!$C:$C,"专业外包",'1-2 人员岗位信息'!$B:$B,$D155)</f>
        <v>0</v>
      </c>
      <c r="AN155" s="298"/>
      <c r="AO155" s="174">
        <f t="shared" ref="AO155:AO158" si="287">AP155*AQ155</f>
        <v>0</v>
      </c>
      <c r="AP155" s="174">
        <f>SUMIFS('1-2 人员岗位信息'!J:J,'1-2 人员岗位信息'!$C:$C,"专业外包",'1-2 人员岗位信息'!$B:$B,$D155)</f>
        <v>0</v>
      </c>
      <c r="AQ155" s="298"/>
      <c r="AR155" s="174">
        <f t="shared" ref="AR155:AR158" si="288">AS155*AT155</f>
        <v>0</v>
      </c>
      <c r="AS155" s="174">
        <f>SUMIFS('1-2 人员岗位信息'!K:K,'1-2 人员岗位信息'!$C:$C,"专业外包",'1-2 人员岗位信息'!$B:$B,$D155)</f>
        <v>0</v>
      </c>
      <c r="AT155" s="298"/>
      <c r="AU155" s="174">
        <f t="shared" ref="AU155:AU158" si="289">AV155*AW155</f>
        <v>0</v>
      </c>
      <c r="AV155" s="174">
        <f>SUMIFS('1-2 人员岗位信息'!L:L,'1-2 人员岗位信息'!$C:$C,"专业外包",'1-2 人员岗位信息'!$B:$B,$D155)</f>
        <v>0</v>
      </c>
      <c r="AW155" s="298"/>
      <c r="AX155" s="174">
        <f t="shared" ref="AX155:AX158" si="290">AY155*AZ155</f>
        <v>0</v>
      </c>
      <c r="AY155" s="174">
        <f>SUMIFS('1-2 人员岗位信息'!M:M,'1-2 人员岗位信息'!$C:$C,"专业外包",'1-2 人员岗位信息'!$B:$B,$D155)</f>
        <v>0</v>
      </c>
      <c r="AZ155" s="298"/>
      <c r="BA155" s="174">
        <f t="shared" ref="BA155:BA158" si="291">BB155*BC155</f>
        <v>0</v>
      </c>
      <c r="BB155" s="174">
        <f>SUMIFS('1-2 人员岗位信息'!N:N,'1-2 人员岗位信息'!$C:$C,"专业外包",'1-2 人员岗位信息'!$B:$B,$D155)</f>
        <v>0</v>
      </c>
      <c r="BC155" s="298"/>
      <c r="BD155" s="174">
        <f t="shared" ref="BD155:BD158" si="292">BE155*BF155</f>
        <v>0</v>
      </c>
      <c r="BE155" s="174">
        <f>SUMIFS('1-2 人员岗位信息'!O:O,'1-2 人员岗位信息'!$C:$C,"专业外包",'1-2 人员岗位信息'!$B:$B,$D155)</f>
        <v>0</v>
      </c>
      <c r="BF155" s="298"/>
      <c r="BG155" s="174">
        <f t="shared" ref="BG155:BG158" si="293">BH155*BI155</f>
        <v>0</v>
      </c>
      <c r="BH155" s="174">
        <f>SUMIFS('1-2 人员岗位信息'!P:P,'1-2 人员岗位信息'!$C:$C,"专业外包",'1-2 人员岗位信息'!$B:$B,$D155)</f>
        <v>0</v>
      </c>
      <c r="BI155" s="298"/>
      <c r="BJ155" s="174">
        <f t="shared" ref="BJ155:BJ158" si="294">BK155*BL155</f>
        <v>0</v>
      </c>
      <c r="BK155" s="174">
        <f>SUMIFS('1-2 人员岗位信息'!Q:Q,'1-2 人员岗位信息'!$C:$C,"专业外包",'1-2 人员岗位信息'!$B:$B,$D155)</f>
        <v>0</v>
      </c>
      <c r="BL155" s="307"/>
      <c r="BM155" s="311"/>
      <c r="BN155" s="315"/>
    </row>
    <row r="156" s="263" customFormat="1" ht="33.95" hidden="1" customHeight="1" outlineLevel="5" spans="2:66">
      <c r="B156" s="174" t="s">
        <v>799</v>
      </c>
      <c r="C156" s="283" t="s">
        <v>1060</v>
      </c>
      <c r="D156" s="263" t="s">
        <v>1040</v>
      </c>
      <c r="E156" s="174" t="s">
        <v>1061</v>
      </c>
      <c r="F156" s="174"/>
      <c r="G156" s="174" t="s">
        <v>803</v>
      </c>
      <c r="H156" s="174">
        <f t="shared" si="278"/>
        <v>0</v>
      </c>
      <c r="I156" s="174" t="s">
        <v>804</v>
      </c>
      <c r="J156" s="174" t="e">
        <f t="shared" si="279"/>
        <v>#DIV/0!</v>
      </c>
      <c r="K156" s="174" t="s">
        <v>805</v>
      </c>
      <c r="L156" s="174" t="e">
        <f t="shared" si="280"/>
        <v>#DIV/0!</v>
      </c>
      <c r="M156" s="174" t="s">
        <v>806</v>
      </c>
      <c r="N156" s="174">
        <f t="shared" si="281"/>
        <v>0</v>
      </c>
      <c r="O156" s="174"/>
      <c r="P156" s="290"/>
      <c r="Q156" s="290"/>
      <c r="R156" s="290"/>
      <c r="S156" s="290"/>
      <c r="T156" s="290"/>
      <c r="U156" s="290"/>
      <c r="V156" s="290"/>
      <c r="W156" s="290"/>
      <c r="X156" s="290"/>
      <c r="Y156" s="290"/>
      <c r="Z156" s="290"/>
      <c r="AA156" s="290"/>
      <c r="AB156" s="174">
        <f t="shared" si="282"/>
        <v>0</v>
      </c>
      <c r="AC156" s="174">
        <f t="shared" si="283"/>
        <v>0</v>
      </c>
      <c r="AD156" s="174">
        <f>SUMIFS('1-2 人员岗位信息'!F:F,'1-2 人员岗位信息'!$C:$C,"专业外包",'1-2 人员岗位信息'!$B:$B,$D156)</f>
        <v>0</v>
      </c>
      <c r="AE156" s="298"/>
      <c r="AF156" s="174">
        <f t="shared" si="284"/>
        <v>0</v>
      </c>
      <c r="AG156" s="174">
        <f>SUMIFS('1-2 人员岗位信息'!G:G,'1-2 人员岗位信息'!$C:$C,"专业外包",'1-2 人员岗位信息'!$B:$B,$D156)</f>
        <v>0</v>
      </c>
      <c r="AH156" s="298"/>
      <c r="AI156" s="174">
        <f t="shared" si="285"/>
        <v>0</v>
      </c>
      <c r="AJ156" s="174">
        <f>SUMIFS('1-2 人员岗位信息'!H:H,'1-2 人员岗位信息'!$C:$C,"专业外包",'1-2 人员岗位信息'!$B:$B,$D156)</f>
        <v>0</v>
      </c>
      <c r="AK156" s="298"/>
      <c r="AL156" s="174">
        <f t="shared" si="286"/>
        <v>0</v>
      </c>
      <c r="AM156" s="174">
        <f>SUMIFS('1-2 人员岗位信息'!I:I,'1-2 人员岗位信息'!$C:$C,"专业外包",'1-2 人员岗位信息'!$B:$B,$D156)</f>
        <v>0</v>
      </c>
      <c r="AN156" s="298"/>
      <c r="AO156" s="174">
        <f t="shared" si="287"/>
        <v>0</v>
      </c>
      <c r="AP156" s="174">
        <f>SUMIFS('1-2 人员岗位信息'!J:J,'1-2 人员岗位信息'!$C:$C,"专业外包",'1-2 人员岗位信息'!$B:$B,$D156)</f>
        <v>0</v>
      </c>
      <c r="AQ156" s="298"/>
      <c r="AR156" s="174">
        <f t="shared" si="288"/>
        <v>0</v>
      </c>
      <c r="AS156" s="174">
        <f>SUMIFS('1-2 人员岗位信息'!K:K,'1-2 人员岗位信息'!$C:$C,"专业外包",'1-2 人员岗位信息'!$B:$B,$D156)</f>
        <v>0</v>
      </c>
      <c r="AT156" s="298"/>
      <c r="AU156" s="174">
        <f t="shared" si="289"/>
        <v>0</v>
      </c>
      <c r="AV156" s="174">
        <f>SUMIFS('1-2 人员岗位信息'!L:L,'1-2 人员岗位信息'!$C:$C,"专业外包",'1-2 人员岗位信息'!$B:$B,$D156)</f>
        <v>0</v>
      </c>
      <c r="AW156" s="298"/>
      <c r="AX156" s="174">
        <f t="shared" si="290"/>
        <v>0</v>
      </c>
      <c r="AY156" s="174">
        <f>SUMIFS('1-2 人员岗位信息'!M:M,'1-2 人员岗位信息'!$C:$C,"专业外包",'1-2 人员岗位信息'!$B:$B,$D156)</f>
        <v>0</v>
      </c>
      <c r="AZ156" s="298"/>
      <c r="BA156" s="174">
        <f t="shared" si="291"/>
        <v>0</v>
      </c>
      <c r="BB156" s="174">
        <f>SUMIFS('1-2 人员岗位信息'!N:N,'1-2 人员岗位信息'!$C:$C,"专业外包",'1-2 人员岗位信息'!$B:$B,$D156)</f>
        <v>0</v>
      </c>
      <c r="BC156" s="298"/>
      <c r="BD156" s="174">
        <f t="shared" si="292"/>
        <v>0</v>
      </c>
      <c r="BE156" s="174">
        <f>SUMIFS('1-2 人员岗位信息'!O:O,'1-2 人员岗位信息'!$C:$C,"专业外包",'1-2 人员岗位信息'!$B:$B,$D156)</f>
        <v>0</v>
      </c>
      <c r="BF156" s="298"/>
      <c r="BG156" s="174">
        <f t="shared" si="293"/>
        <v>0</v>
      </c>
      <c r="BH156" s="174">
        <f>SUMIFS('1-2 人员岗位信息'!P:P,'1-2 人员岗位信息'!$C:$C,"专业外包",'1-2 人员岗位信息'!$B:$B,$D156)</f>
        <v>0</v>
      </c>
      <c r="BI156" s="298"/>
      <c r="BJ156" s="174">
        <f t="shared" si="294"/>
        <v>0</v>
      </c>
      <c r="BK156" s="174">
        <f>SUMIFS('1-2 人员岗位信息'!Q:Q,'1-2 人员岗位信息'!$C:$C,"专业外包",'1-2 人员岗位信息'!$B:$B,$D156)</f>
        <v>0</v>
      </c>
      <c r="BL156" s="307"/>
      <c r="BM156" s="311"/>
      <c r="BN156" s="315"/>
    </row>
    <row r="157" s="263" customFormat="1" ht="33.95" hidden="1" customHeight="1" outlineLevel="5" spans="2:66">
      <c r="B157" s="174" t="s">
        <v>799</v>
      </c>
      <c r="C157" s="283" t="s">
        <v>1062</v>
      </c>
      <c r="D157" s="263" t="s">
        <v>1043</v>
      </c>
      <c r="E157" s="174" t="s">
        <v>1063</v>
      </c>
      <c r="F157" s="174"/>
      <c r="G157" s="174" t="s">
        <v>803</v>
      </c>
      <c r="H157" s="174">
        <f t="shared" si="278"/>
        <v>0</v>
      </c>
      <c r="I157" s="174" t="s">
        <v>804</v>
      </c>
      <c r="J157" s="174" t="e">
        <f t="shared" si="279"/>
        <v>#DIV/0!</v>
      </c>
      <c r="K157" s="174" t="s">
        <v>805</v>
      </c>
      <c r="L157" s="174" t="e">
        <f t="shared" si="280"/>
        <v>#DIV/0!</v>
      </c>
      <c r="M157" s="174" t="s">
        <v>806</v>
      </c>
      <c r="N157" s="174">
        <f t="shared" si="281"/>
        <v>0</v>
      </c>
      <c r="O157" s="174"/>
      <c r="P157" s="290"/>
      <c r="Q157" s="290"/>
      <c r="R157" s="290"/>
      <c r="S157" s="290"/>
      <c r="T157" s="290"/>
      <c r="U157" s="290"/>
      <c r="V157" s="290"/>
      <c r="W157" s="290"/>
      <c r="X157" s="290"/>
      <c r="Y157" s="290"/>
      <c r="Z157" s="290"/>
      <c r="AA157" s="290"/>
      <c r="AB157" s="174">
        <f t="shared" si="282"/>
        <v>0</v>
      </c>
      <c r="AC157" s="174">
        <f t="shared" si="283"/>
        <v>0</v>
      </c>
      <c r="AD157" s="174">
        <f>SUMIFS('1-2 人员岗位信息'!F:F,'1-2 人员岗位信息'!$C:$C,"专业外包",'1-2 人员岗位信息'!$B:$B,$D157)</f>
        <v>0</v>
      </c>
      <c r="AE157" s="298"/>
      <c r="AF157" s="174">
        <f t="shared" si="284"/>
        <v>0</v>
      </c>
      <c r="AG157" s="174">
        <f>SUMIFS('1-2 人员岗位信息'!G:G,'1-2 人员岗位信息'!$C:$C,"专业外包",'1-2 人员岗位信息'!$B:$B,$D157)</f>
        <v>0</v>
      </c>
      <c r="AH157" s="298"/>
      <c r="AI157" s="174">
        <f t="shared" si="285"/>
        <v>0</v>
      </c>
      <c r="AJ157" s="174">
        <f>SUMIFS('1-2 人员岗位信息'!H:H,'1-2 人员岗位信息'!$C:$C,"专业外包",'1-2 人员岗位信息'!$B:$B,$D157)</f>
        <v>0</v>
      </c>
      <c r="AK157" s="298"/>
      <c r="AL157" s="174">
        <f t="shared" si="286"/>
        <v>0</v>
      </c>
      <c r="AM157" s="174">
        <f>SUMIFS('1-2 人员岗位信息'!I:I,'1-2 人员岗位信息'!$C:$C,"专业外包",'1-2 人员岗位信息'!$B:$B,$D157)</f>
        <v>0</v>
      </c>
      <c r="AN157" s="298"/>
      <c r="AO157" s="174">
        <f t="shared" si="287"/>
        <v>0</v>
      </c>
      <c r="AP157" s="174">
        <f>SUMIFS('1-2 人员岗位信息'!J:J,'1-2 人员岗位信息'!$C:$C,"专业外包",'1-2 人员岗位信息'!$B:$B,$D157)</f>
        <v>0</v>
      </c>
      <c r="AQ157" s="298"/>
      <c r="AR157" s="174">
        <f t="shared" si="288"/>
        <v>0</v>
      </c>
      <c r="AS157" s="174">
        <f>SUMIFS('1-2 人员岗位信息'!K:K,'1-2 人员岗位信息'!$C:$C,"专业外包",'1-2 人员岗位信息'!$B:$B,$D157)</f>
        <v>0</v>
      </c>
      <c r="AT157" s="298"/>
      <c r="AU157" s="174">
        <f t="shared" si="289"/>
        <v>0</v>
      </c>
      <c r="AV157" s="174">
        <f>SUMIFS('1-2 人员岗位信息'!L:L,'1-2 人员岗位信息'!$C:$C,"专业外包",'1-2 人员岗位信息'!$B:$B,$D157)</f>
        <v>0</v>
      </c>
      <c r="AW157" s="298"/>
      <c r="AX157" s="174">
        <f t="shared" si="290"/>
        <v>0</v>
      </c>
      <c r="AY157" s="174">
        <f>SUMIFS('1-2 人员岗位信息'!M:M,'1-2 人员岗位信息'!$C:$C,"专业外包",'1-2 人员岗位信息'!$B:$B,$D157)</f>
        <v>0</v>
      </c>
      <c r="AZ157" s="298"/>
      <c r="BA157" s="174">
        <f t="shared" si="291"/>
        <v>0</v>
      </c>
      <c r="BB157" s="174">
        <f>SUMIFS('1-2 人员岗位信息'!N:N,'1-2 人员岗位信息'!$C:$C,"专业外包",'1-2 人员岗位信息'!$B:$B,$D157)</f>
        <v>0</v>
      </c>
      <c r="BC157" s="298"/>
      <c r="BD157" s="174">
        <f t="shared" si="292"/>
        <v>0</v>
      </c>
      <c r="BE157" s="174">
        <f>SUMIFS('1-2 人员岗位信息'!O:O,'1-2 人员岗位信息'!$C:$C,"专业外包",'1-2 人员岗位信息'!$B:$B,$D157)</f>
        <v>0</v>
      </c>
      <c r="BF157" s="298"/>
      <c r="BG157" s="174">
        <f t="shared" si="293"/>
        <v>0</v>
      </c>
      <c r="BH157" s="174">
        <f>SUMIFS('1-2 人员岗位信息'!P:P,'1-2 人员岗位信息'!$C:$C,"专业外包",'1-2 人员岗位信息'!$B:$B,$D157)</f>
        <v>0</v>
      </c>
      <c r="BI157" s="298"/>
      <c r="BJ157" s="174">
        <f t="shared" si="294"/>
        <v>0</v>
      </c>
      <c r="BK157" s="174">
        <f>SUMIFS('1-2 人员岗位信息'!Q:Q,'1-2 人员岗位信息'!$C:$C,"专业外包",'1-2 人员岗位信息'!$B:$B,$D157)</f>
        <v>0</v>
      </c>
      <c r="BL157" s="307"/>
      <c r="BM157" s="311"/>
      <c r="BN157" s="315"/>
    </row>
    <row r="158" s="263" customFormat="1" ht="33.95" hidden="1" customHeight="1" outlineLevel="5" spans="2:66">
      <c r="B158" s="174" t="s">
        <v>799</v>
      </c>
      <c r="C158" s="283" t="s">
        <v>1064</v>
      </c>
      <c r="D158" s="263" t="s">
        <v>1046</v>
      </c>
      <c r="E158" s="174" t="s">
        <v>1065</v>
      </c>
      <c r="F158" s="174"/>
      <c r="G158" s="174" t="s">
        <v>803</v>
      </c>
      <c r="H158" s="174">
        <f t="shared" si="278"/>
        <v>0</v>
      </c>
      <c r="I158" s="174" t="s">
        <v>804</v>
      </c>
      <c r="J158" s="174" t="e">
        <f t="shared" si="279"/>
        <v>#DIV/0!</v>
      </c>
      <c r="K158" s="174" t="s">
        <v>805</v>
      </c>
      <c r="L158" s="174" t="e">
        <f t="shared" si="280"/>
        <v>#DIV/0!</v>
      </c>
      <c r="M158" s="174" t="s">
        <v>806</v>
      </c>
      <c r="N158" s="174">
        <f t="shared" si="281"/>
        <v>0</v>
      </c>
      <c r="O158" s="174"/>
      <c r="P158" s="290"/>
      <c r="Q158" s="290"/>
      <c r="R158" s="290"/>
      <c r="S158" s="290"/>
      <c r="T158" s="290"/>
      <c r="U158" s="290"/>
      <c r="V158" s="290"/>
      <c r="W158" s="290"/>
      <c r="X158" s="290"/>
      <c r="Y158" s="290"/>
      <c r="Z158" s="290"/>
      <c r="AA158" s="290"/>
      <c r="AB158" s="174">
        <f t="shared" si="282"/>
        <v>0</v>
      </c>
      <c r="AC158" s="174">
        <f t="shared" si="283"/>
        <v>0</v>
      </c>
      <c r="AD158" s="174">
        <f>SUMIFS('1-2 人员岗位信息'!F:F,'1-2 人员岗位信息'!$C:$C,"专业外包",'1-2 人员岗位信息'!$B:$B,$D158)</f>
        <v>0</v>
      </c>
      <c r="AE158" s="298"/>
      <c r="AF158" s="174">
        <f t="shared" si="284"/>
        <v>0</v>
      </c>
      <c r="AG158" s="174">
        <f>SUMIFS('1-2 人员岗位信息'!G:G,'1-2 人员岗位信息'!$C:$C,"专业外包",'1-2 人员岗位信息'!$B:$B,$D158)</f>
        <v>0</v>
      </c>
      <c r="AH158" s="298"/>
      <c r="AI158" s="174">
        <f t="shared" si="285"/>
        <v>0</v>
      </c>
      <c r="AJ158" s="174">
        <f>SUMIFS('1-2 人员岗位信息'!H:H,'1-2 人员岗位信息'!$C:$C,"专业外包",'1-2 人员岗位信息'!$B:$B,$D158)</f>
        <v>0</v>
      </c>
      <c r="AK158" s="298"/>
      <c r="AL158" s="174">
        <f t="shared" si="286"/>
        <v>0</v>
      </c>
      <c r="AM158" s="174">
        <f>SUMIFS('1-2 人员岗位信息'!I:I,'1-2 人员岗位信息'!$C:$C,"专业外包",'1-2 人员岗位信息'!$B:$B,$D158)</f>
        <v>0</v>
      </c>
      <c r="AN158" s="298"/>
      <c r="AO158" s="174">
        <f t="shared" si="287"/>
        <v>0</v>
      </c>
      <c r="AP158" s="174">
        <f>SUMIFS('1-2 人员岗位信息'!J:J,'1-2 人员岗位信息'!$C:$C,"专业外包",'1-2 人员岗位信息'!$B:$B,$D158)</f>
        <v>0</v>
      </c>
      <c r="AQ158" s="298"/>
      <c r="AR158" s="174">
        <f t="shared" si="288"/>
        <v>0</v>
      </c>
      <c r="AS158" s="174">
        <f>SUMIFS('1-2 人员岗位信息'!K:K,'1-2 人员岗位信息'!$C:$C,"专业外包",'1-2 人员岗位信息'!$B:$B,$D158)</f>
        <v>0</v>
      </c>
      <c r="AT158" s="298"/>
      <c r="AU158" s="174">
        <f t="shared" si="289"/>
        <v>0</v>
      </c>
      <c r="AV158" s="174">
        <f>SUMIFS('1-2 人员岗位信息'!L:L,'1-2 人员岗位信息'!$C:$C,"专业外包",'1-2 人员岗位信息'!$B:$B,$D158)</f>
        <v>0</v>
      </c>
      <c r="AW158" s="298"/>
      <c r="AX158" s="174">
        <f t="shared" si="290"/>
        <v>0</v>
      </c>
      <c r="AY158" s="174">
        <f>SUMIFS('1-2 人员岗位信息'!M:M,'1-2 人员岗位信息'!$C:$C,"专业外包",'1-2 人员岗位信息'!$B:$B,$D158)</f>
        <v>0</v>
      </c>
      <c r="AZ158" s="298"/>
      <c r="BA158" s="174">
        <f t="shared" si="291"/>
        <v>0</v>
      </c>
      <c r="BB158" s="174">
        <f>SUMIFS('1-2 人员岗位信息'!N:N,'1-2 人员岗位信息'!$C:$C,"专业外包",'1-2 人员岗位信息'!$B:$B,$D158)</f>
        <v>0</v>
      </c>
      <c r="BC158" s="298"/>
      <c r="BD158" s="174">
        <f t="shared" si="292"/>
        <v>0</v>
      </c>
      <c r="BE158" s="174">
        <f>SUMIFS('1-2 人员岗位信息'!O:O,'1-2 人员岗位信息'!$C:$C,"专业外包",'1-2 人员岗位信息'!$B:$B,$D158)</f>
        <v>0</v>
      </c>
      <c r="BF158" s="298"/>
      <c r="BG158" s="174">
        <f t="shared" si="293"/>
        <v>0</v>
      </c>
      <c r="BH158" s="174">
        <f>SUMIFS('1-2 人员岗位信息'!P:P,'1-2 人员岗位信息'!$C:$C,"专业外包",'1-2 人员岗位信息'!$B:$B,$D158)</f>
        <v>0</v>
      </c>
      <c r="BI158" s="298"/>
      <c r="BJ158" s="174">
        <f t="shared" si="294"/>
        <v>0</v>
      </c>
      <c r="BK158" s="174">
        <f>SUMIFS('1-2 人员岗位信息'!Q:Q,'1-2 人员岗位信息'!$C:$C,"专业外包",'1-2 人员岗位信息'!$B:$B,$D158)</f>
        <v>0</v>
      </c>
      <c r="BL158" s="307"/>
      <c r="BM158" s="311"/>
      <c r="BN158" s="315"/>
    </row>
    <row r="159" s="48" customFormat="1" ht="33.95" hidden="1" customHeight="1" outlineLevel="3" collapsed="1" spans="2:66">
      <c r="B159" s="114" t="s">
        <v>794</v>
      </c>
      <c r="C159" s="115" t="s">
        <v>1066</v>
      </c>
      <c r="D159" s="48" t="s">
        <v>1067</v>
      </c>
      <c r="E159" s="114"/>
      <c r="F159" s="114"/>
      <c r="G159" s="114"/>
      <c r="H159" s="114">
        <f>H160+H165+H170+H175</f>
        <v>53207.5471698113</v>
      </c>
      <c r="I159" s="114"/>
      <c r="J159" s="114"/>
      <c r="K159" s="114"/>
      <c r="L159" s="114"/>
      <c r="M159" s="114"/>
      <c r="N159" s="114"/>
      <c r="O159" s="114"/>
      <c r="P159" s="288"/>
      <c r="Q159" s="288"/>
      <c r="R159" s="288"/>
      <c r="S159" s="288"/>
      <c r="T159" s="288"/>
      <c r="U159" s="288"/>
      <c r="V159" s="288"/>
      <c r="W159" s="288"/>
      <c r="X159" s="288"/>
      <c r="Y159" s="288"/>
      <c r="Z159" s="288"/>
      <c r="AA159" s="288"/>
      <c r="AB159" s="114">
        <f t="shared" ref="AB159:AF159" si="295">AB160+AB165+AB170+AB175</f>
        <v>53207.5471698113</v>
      </c>
      <c r="AC159" s="114">
        <f t="shared" si="295"/>
        <v>4433.96226415094</v>
      </c>
      <c r="AD159" s="114"/>
      <c r="AE159" s="114"/>
      <c r="AF159" s="114">
        <f t="shared" si="295"/>
        <v>4433.96226415094</v>
      </c>
      <c r="AG159" s="114"/>
      <c r="AH159" s="114"/>
      <c r="AI159" s="114">
        <f>AI160+AI165+AI170+AI175</f>
        <v>4433.96226415094</v>
      </c>
      <c r="AJ159" s="114"/>
      <c r="AK159" s="114"/>
      <c r="AL159" s="114">
        <f>AL160+AL165+AL170+AL175</f>
        <v>4433.96226415094</v>
      </c>
      <c r="AM159" s="114"/>
      <c r="AN159" s="114"/>
      <c r="AO159" s="114">
        <f>AO160+AO165+AO170+AO175</f>
        <v>4433.96226415094</v>
      </c>
      <c r="AP159" s="114"/>
      <c r="AQ159" s="114"/>
      <c r="AR159" s="114">
        <f>AR160+AR165+AR170+AR175</f>
        <v>4433.96226415094</v>
      </c>
      <c r="AS159" s="114"/>
      <c r="AT159" s="114"/>
      <c r="AU159" s="114">
        <f>AU160+AU165+AU170+AU175</f>
        <v>4433.96226415094</v>
      </c>
      <c r="AV159" s="114"/>
      <c r="AW159" s="114"/>
      <c r="AX159" s="114">
        <f>AX160+AX165+AX170+AX175</f>
        <v>4433.96226415094</v>
      </c>
      <c r="AY159" s="114"/>
      <c r="AZ159" s="114"/>
      <c r="BA159" s="114">
        <f>BA160+BA165+BA170+BA175</f>
        <v>4433.96226415094</v>
      </c>
      <c r="BB159" s="114"/>
      <c r="BC159" s="114"/>
      <c r="BD159" s="114">
        <f>BD160+BD165+BD170+BD175</f>
        <v>4433.96226415094</v>
      </c>
      <c r="BE159" s="114"/>
      <c r="BF159" s="114"/>
      <c r="BG159" s="114">
        <f>BG160+BG165+BG170+BG175</f>
        <v>4433.96226415094</v>
      </c>
      <c r="BH159" s="114"/>
      <c r="BI159" s="114"/>
      <c r="BJ159" s="114">
        <f>BJ160+BJ165+BJ170+BJ175</f>
        <v>4433.96226415094</v>
      </c>
      <c r="BK159" s="114"/>
      <c r="BL159" s="305"/>
      <c r="BM159" s="311"/>
      <c r="BN159" s="313"/>
    </row>
    <row r="160" s="117" customFormat="1" ht="33.95" hidden="1" customHeight="1" outlineLevel="4" collapsed="1" spans="2:66">
      <c r="B160" s="118" t="s">
        <v>794</v>
      </c>
      <c r="C160" s="119" t="s">
        <v>124</v>
      </c>
      <c r="D160" s="117" t="s">
        <v>109</v>
      </c>
      <c r="E160" s="118"/>
      <c r="F160" s="118"/>
      <c r="G160" s="118"/>
      <c r="H160" s="118">
        <f>SUM(H161:H164)</f>
        <v>0</v>
      </c>
      <c r="I160" s="118"/>
      <c r="J160" s="118"/>
      <c r="K160" s="118"/>
      <c r="L160" s="118"/>
      <c r="M160" s="118"/>
      <c r="N160" s="118"/>
      <c r="O160" s="118"/>
      <c r="P160" s="289"/>
      <c r="Q160" s="289"/>
      <c r="R160" s="289"/>
      <c r="S160" s="289"/>
      <c r="T160" s="289"/>
      <c r="U160" s="289"/>
      <c r="V160" s="289"/>
      <c r="W160" s="289"/>
      <c r="X160" s="289"/>
      <c r="Y160" s="289"/>
      <c r="Z160" s="289"/>
      <c r="AA160" s="289"/>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6"/>
      <c r="BM160" s="311"/>
      <c r="BN160" s="314"/>
    </row>
    <row r="161" s="263" customFormat="1" ht="33.95" hidden="1" customHeight="1" outlineLevel="5" spans="2:66">
      <c r="B161" s="174" t="s">
        <v>799</v>
      </c>
      <c r="C161" s="283" t="s">
        <v>1068</v>
      </c>
      <c r="D161" s="263" t="s">
        <v>1069</v>
      </c>
      <c r="E161" s="174" t="s">
        <v>1070</v>
      </c>
      <c r="F161" s="174"/>
      <c r="G161" s="174" t="s">
        <v>803</v>
      </c>
      <c r="H161" s="174">
        <f t="shared" ref="H161:H164" si="297">AB161</f>
        <v>0</v>
      </c>
      <c r="I161" s="174" t="s">
        <v>804</v>
      </c>
      <c r="J161" s="174" t="e">
        <f t="shared" ref="J161:J164" si="298">SUM(AD161,AG161,AJ161,AM161,AP161,AS161,AV161,AY161,BB161,BE161,BH161,BK161)/N161</f>
        <v>#DIV/0!</v>
      </c>
      <c r="K161" s="174" t="s">
        <v>805</v>
      </c>
      <c r="L161" s="174" t="e">
        <f t="shared" ref="L161:L164" si="299">H161/N161/J161</f>
        <v>#DIV/0!</v>
      </c>
      <c r="M161" s="174" t="s">
        <v>806</v>
      </c>
      <c r="N161" s="174">
        <f t="shared" ref="N161:N164" si="300">COUNTIF(AD161,"&gt;0")+COUNTIF(AG161,"&gt;0")+COUNTIF(AJ161,"&gt;0")+COUNTIF(AM161,"&gt;0")+COUNTIF(AP161,"&gt;0")+COUNTIF(AS161,"&gt;0")+COUNTIF(AV161,"&gt;0")+COUNTIF(AY161,"&gt;0")+COUNTIF(BB161,"&gt;0")+COUNTIF(BE161,"&gt;0")+COUNTIF(BH161,"&gt;0")+COUNTIF(BK161,"&gt;0")</f>
        <v>0</v>
      </c>
      <c r="O161" s="174"/>
      <c r="P161" s="290"/>
      <c r="Q161" s="290"/>
      <c r="R161" s="290"/>
      <c r="S161" s="290"/>
      <c r="T161" s="290"/>
      <c r="U161" s="290"/>
      <c r="V161" s="290"/>
      <c r="W161" s="290"/>
      <c r="X161" s="290"/>
      <c r="Y161" s="290"/>
      <c r="Z161" s="290"/>
      <c r="AA161" s="290"/>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8"/>
      <c r="AF161" s="174">
        <f t="shared" ref="AF161:AF164" si="303">AG161*AH161</f>
        <v>0</v>
      </c>
      <c r="AG161" s="174">
        <f>SUMIFS('1-2 人员岗位信息'!G:G,'1-2 人员岗位信息'!$C:$C,"自有人员",'1-2 人员岗位信息'!$B:$B,$D161)</f>
        <v>0</v>
      </c>
      <c r="AH161" s="298"/>
      <c r="AI161" s="174">
        <f t="shared" ref="AI161:AI164" si="304">AJ161*AK161</f>
        <v>0</v>
      </c>
      <c r="AJ161" s="174">
        <f>SUMIFS('1-2 人员岗位信息'!H:H,'1-2 人员岗位信息'!$C:$C,"自有人员",'1-2 人员岗位信息'!$B:$B,$D161)</f>
        <v>0</v>
      </c>
      <c r="AK161" s="298"/>
      <c r="AL161" s="174">
        <f t="shared" ref="AL161:AL164" si="305">AM161*AN161</f>
        <v>0</v>
      </c>
      <c r="AM161" s="174">
        <f>SUMIFS('1-2 人员岗位信息'!I:I,'1-2 人员岗位信息'!$C:$C,"自有人员",'1-2 人员岗位信息'!$B:$B,$D161)</f>
        <v>0</v>
      </c>
      <c r="AN161" s="298"/>
      <c r="AO161" s="174">
        <f t="shared" ref="AO161:AO164" si="306">AP161*AQ161</f>
        <v>0</v>
      </c>
      <c r="AP161" s="174">
        <f>SUMIFS('1-2 人员岗位信息'!J:J,'1-2 人员岗位信息'!$C:$C,"自有人员",'1-2 人员岗位信息'!$B:$B,$D161)</f>
        <v>0</v>
      </c>
      <c r="AQ161" s="298"/>
      <c r="AR161" s="174">
        <f t="shared" ref="AR161:AR164" si="307">AS161*AT161</f>
        <v>0</v>
      </c>
      <c r="AS161" s="174">
        <f>SUMIFS('1-2 人员岗位信息'!K:K,'1-2 人员岗位信息'!$C:$C,"自有人员",'1-2 人员岗位信息'!$B:$B,$D161)</f>
        <v>0</v>
      </c>
      <c r="AT161" s="298"/>
      <c r="AU161" s="174">
        <f t="shared" ref="AU161:AU164" si="308">AV161*AW161</f>
        <v>0</v>
      </c>
      <c r="AV161" s="174">
        <f>SUMIFS('1-2 人员岗位信息'!L:L,'1-2 人员岗位信息'!$C:$C,"自有人员",'1-2 人员岗位信息'!$B:$B,$D161)</f>
        <v>0</v>
      </c>
      <c r="AW161" s="298"/>
      <c r="AX161" s="174">
        <f t="shared" ref="AX161:AX164" si="309">AY161*AZ161</f>
        <v>0</v>
      </c>
      <c r="AY161" s="174">
        <f>SUMIFS('1-2 人员岗位信息'!M:M,'1-2 人员岗位信息'!$C:$C,"自有人员",'1-2 人员岗位信息'!$B:$B,$D161)</f>
        <v>0</v>
      </c>
      <c r="AZ161" s="298"/>
      <c r="BA161" s="174">
        <f t="shared" ref="BA161:BA164" si="310">BB161*BC161</f>
        <v>0</v>
      </c>
      <c r="BB161" s="174">
        <f>SUMIFS('1-2 人员岗位信息'!N:N,'1-2 人员岗位信息'!$C:$C,"自有人员",'1-2 人员岗位信息'!$B:$B,$D161)</f>
        <v>0</v>
      </c>
      <c r="BC161" s="298"/>
      <c r="BD161" s="174">
        <f t="shared" ref="BD161:BD164" si="311">BE161*BF161</f>
        <v>0</v>
      </c>
      <c r="BE161" s="174">
        <f>SUMIFS('1-2 人员岗位信息'!O:O,'1-2 人员岗位信息'!$C:$C,"自有人员",'1-2 人员岗位信息'!$B:$B,$D161)</f>
        <v>0</v>
      </c>
      <c r="BF161" s="298"/>
      <c r="BG161" s="174">
        <f t="shared" ref="BG161:BG164" si="312">BH161*BI161</f>
        <v>0</v>
      </c>
      <c r="BH161" s="174">
        <f>SUMIFS('1-2 人员岗位信息'!P:P,'1-2 人员岗位信息'!$C:$C,"自有人员",'1-2 人员岗位信息'!$B:$B,$D161)</f>
        <v>0</v>
      </c>
      <c r="BI161" s="298"/>
      <c r="BJ161" s="174">
        <f t="shared" ref="BJ161:BJ164" si="313">BK161*BL161</f>
        <v>0</v>
      </c>
      <c r="BK161" s="174">
        <f>SUMIFS('1-2 人员岗位信息'!Q:Q,'1-2 人员岗位信息'!$C:$C,"自有人员",'1-2 人员岗位信息'!$B:$B,$D161)</f>
        <v>0</v>
      </c>
      <c r="BL161" s="298"/>
      <c r="BM161" s="311"/>
      <c r="BN161" s="315"/>
    </row>
    <row r="162" s="263" customFormat="1" ht="33.95" hidden="1" customHeight="1" outlineLevel="5" spans="2:66">
      <c r="B162" s="174" t="s">
        <v>799</v>
      </c>
      <c r="C162" s="283" t="s">
        <v>1071</v>
      </c>
      <c r="D162" s="263" t="s">
        <v>1072</v>
      </c>
      <c r="E162" s="174" t="s">
        <v>1073</v>
      </c>
      <c r="F162" s="174"/>
      <c r="G162" s="174" t="s">
        <v>803</v>
      </c>
      <c r="H162" s="174">
        <f t="shared" si="297"/>
        <v>0</v>
      </c>
      <c r="I162" s="174" t="s">
        <v>804</v>
      </c>
      <c r="J162" s="174" t="e">
        <f t="shared" si="298"/>
        <v>#DIV/0!</v>
      </c>
      <c r="K162" s="174" t="s">
        <v>805</v>
      </c>
      <c r="L162" s="174" t="e">
        <f t="shared" si="299"/>
        <v>#DIV/0!</v>
      </c>
      <c r="M162" s="174" t="s">
        <v>806</v>
      </c>
      <c r="N162" s="174">
        <f t="shared" si="300"/>
        <v>0</v>
      </c>
      <c r="O162" s="174"/>
      <c r="P162" s="290"/>
      <c r="Q162" s="290"/>
      <c r="R162" s="290"/>
      <c r="S162" s="290"/>
      <c r="T162" s="290"/>
      <c r="U162" s="290"/>
      <c r="V162" s="290"/>
      <c r="W162" s="290"/>
      <c r="X162" s="290"/>
      <c r="Y162" s="290"/>
      <c r="Z162" s="290"/>
      <c r="AA162" s="290"/>
      <c r="AB162" s="174">
        <f t="shared" si="301"/>
        <v>0</v>
      </c>
      <c r="AC162" s="174">
        <f t="shared" si="302"/>
        <v>0</v>
      </c>
      <c r="AD162" s="174">
        <f>SUMIFS('1-2 人员岗位信息'!F:F,'1-2 人员岗位信息'!$C:$C,"自有人员",'1-2 人员岗位信息'!$B:$B,$D162)</f>
        <v>0</v>
      </c>
      <c r="AE162" s="298"/>
      <c r="AF162" s="174">
        <f t="shared" si="303"/>
        <v>0</v>
      </c>
      <c r="AG162" s="174">
        <f>SUMIFS('1-2 人员岗位信息'!G:G,'1-2 人员岗位信息'!$C:$C,"自有人员",'1-2 人员岗位信息'!$B:$B,$D162)</f>
        <v>0</v>
      </c>
      <c r="AH162" s="298"/>
      <c r="AI162" s="174">
        <f t="shared" si="304"/>
        <v>0</v>
      </c>
      <c r="AJ162" s="174">
        <f>SUMIFS('1-2 人员岗位信息'!H:H,'1-2 人员岗位信息'!$C:$C,"自有人员",'1-2 人员岗位信息'!$B:$B,$D162)</f>
        <v>0</v>
      </c>
      <c r="AK162" s="298"/>
      <c r="AL162" s="174">
        <f t="shared" si="305"/>
        <v>0</v>
      </c>
      <c r="AM162" s="174">
        <f>SUMIFS('1-2 人员岗位信息'!I:I,'1-2 人员岗位信息'!$C:$C,"自有人员",'1-2 人员岗位信息'!$B:$B,$D162)</f>
        <v>0</v>
      </c>
      <c r="AN162" s="298"/>
      <c r="AO162" s="174">
        <f t="shared" si="306"/>
        <v>0</v>
      </c>
      <c r="AP162" s="174">
        <f>SUMIFS('1-2 人员岗位信息'!J:J,'1-2 人员岗位信息'!$C:$C,"自有人员",'1-2 人员岗位信息'!$B:$B,$D162)</f>
        <v>0</v>
      </c>
      <c r="AQ162" s="298"/>
      <c r="AR162" s="174">
        <f t="shared" si="307"/>
        <v>0</v>
      </c>
      <c r="AS162" s="174">
        <f>SUMIFS('1-2 人员岗位信息'!K:K,'1-2 人员岗位信息'!$C:$C,"自有人员",'1-2 人员岗位信息'!$B:$B,$D162)</f>
        <v>0</v>
      </c>
      <c r="AT162" s="298"/>
      <c r="AU162" s="174">
        <f t="shared" si="308"/>
        <v>0</v>
      </c>
      <c r="AV162" s="174">
        <f>SUMIFS('1-2 人员岗位信息'!L:L,'1-2 人员岗位信息'!$C:$C,"自有人员",'1-2 人员岗位信息'!$B:$B,$D162)</f>
        <v>0</v>
      </c>
      <c r="AW162" s="298"/>
      <c r="AX162" s="174">
        <f t="shared" si="309"/>
        <v>0</v>
      </c>
      <c r="AY162" s="174">
        <f>SUMIFS('1-2 人员岗位信息'!M:M,'1-2 人员岗位信息'!$C:$C,"自有人员",'1-2 人员岗位信息'!$B:$B,$D162)</f>
        <v>0</v>
      </c>
      <c r="AZ162" s="298"/>
      <c r="BA162" s="174">
        <f t="shared" si="310"/>
        <v>0</v>
      </c>
      <c r="BB162" s="174">
        <f>SUMIFS('1-2 人员岗位信息'!N:N,'1-2 人员岗位信息'!$C:$C,"自有人员",'1-2 人员岗位信息'!$B:$B,$D162)</f>
        <v>0</v>
      </c>
      <c r="BC162" s="298"/>
      <c r="BD162" s="174">
        <f t="shared" si="311"/>
        <v>0</v>
      </c>
      <c r="BE162" s="174">
        <f>SUMIFS('1-2 人员岗位信息'!O:O,'1-2 人员岗位信息'!$C:$C,"自有人员",'1-2 人员岗位信息'!$B:$B,$D162)</f>
        <v>0</v>
      </c>
      <c r="BF162" s="298"/>
      <c r="BG162" s="174">
        <f t="shared" si="312"/>
        <v>0</v>
      </c>
      <c r="BH162" s="174">
        <f>SUMIFS('1-2 人员岗位信息'!P:P,'1-2 人员岗位信息'!$C:$C,"自有人员",'1-2 人员岗位信息'!$B:$B,$D162)</f>
        <v>0</v>
      </c>
      <c r="BI162" s="298"/>
      <c r="BJ162" s="174">
        <f t="shared" si="313"/>
        <v>0</v>
      </c>
      <c r="BK162" s="174">
        <f>SUMIFS('1-2 人员岗位信息'!Q:Q,'1-2 人员岗位信息'!$C:$C,"自有人员",'1-2 人员岗位信息'!$B:$B,$D162)</f>
        <v>0</v>
      </c>
      <c r="BL162" s="307"/>
      <c r="BM162" s="311"/>
      <c r="BN162" s="315"/>
    </row>
    <row r="163" s="263" customFormat="1" ht="33.95" hidden="1" customHeight="1" outlineLevel="5" spans="2:66">
      <c r="B163" s="174" t="s">
        <v>799</v>
      </c>
      <c r="C163" s="283" t="s">
        <v>1074</v>
      </c>
      <c r="D163" s="263" t="s">
        <v>1075</v>
      </c>
      <c r="E163" s="174" t="s">
        <v>1076</v>
      </c>
      <c r="F163" s="174"/>
      <c r="G163" s="174" t="s">
        <v>803</v>
      </c>
      <c r="H163" s="174">
        <f t="shared" si="297"/>
        <v>0</v>
      </c>
      <c r="I163" s="174" t="s">
        <v>804</v>
      </c>
      <c r="J163" s="174" t="e">
        <f t="shared" si="298"/>
        <v>#DIV/0!</v>
      </c>
      <c r="K163" s="174" t="s">
        <v>805</v>
      </c>
      <c r="L163" s="174" t="e">
        <f t="shared" si="299"/>
        <v>#DIV/0!</v>
      </c>
      <c r="M163" s="174" t="s">
        <v>806</v>
      </c>
      <c r="N163" s="174">
        <f t="shared" si="300"/>
        <v>0</v>
      </c>
      <c r="O163" s="174"/>
      <c r="P163" s="290"/>
      <c r="Q163" s="290"/>
      <c r="R163" s="290"/>
      <c r="S163" s="290"/>
      <c r="T163" s="290"/>
      <c r="U163" s="290"/>
      <c r="V163" s="290"/>
      <c r="W163" s="290"/>
      <c r="X163" s="290"/>
      <c r="Y163" s="290"/>
      <c r="Z163" s="290"/>
      <c r="AA163" s="290"/>
      <c r="AB163" s="174">
        <f t="shared" si="301"/>
        <v>0</v>
      </c>
      <c r="AC163" s="174">
        <f t="shared" si="302"/>
        <v>0</v>
      </c>
      <c r="AD163" s="174">
        <f>SUMIFS('1-2 人员岗位信息'!F:F,'1-2 人员岗位信息'!$C:$C,"自有人员",'1-2 人员岗位信息'!$B:$B,$D163)</f>
        <v>0</v>
      </c>
      <c r="AE163" s="298"/>
      <c r="AF163" s="174">
        <f t="shared" si="303"/>
        <v>0</v>
      </c>
      <c r="AG163" s="174">
        <f>SUMIFS('1-2 人员岗位信息'!G:G,'1-2 人员岗位信息'!$C:$C,"自有人员",'1-2 人员岗位信息'!$B:$B,$D163)</f>
        <v>0</v>
      </c>
      <c r="AH163" s="298"/>
      <c r="AI163" s="174">
        <f t="shared" si="304"/>
        <v>0</v>
      </c>
      <c r="AJ163" s="174">
        <f>SUMIFS('1-2 人员岗位信息'!H:H,'1-2 人员岗位信息'!$C:$C,"自有人员",'1-2 人员岗位信息'!$B:$B,$D163)</f>
        <v>0</v>
      </c>
      <c r="AK163" s="298"/>
      <c r="AL163" s="174">
        <f t="shared" si="305"/>
        <v>0</v>
      </c>
      <c r="AM163" s="174">
        <f>SUMIFS('1-2 人员岗位信息'!I:I,'1-2 人员岗位信息'!$C:$C,"自有人员",'1-2 人员岗位信息'!$B:$B,$D163)</f>
        <v>0</v>
      </c>
      <c r="AN163" s="298"/>
      <c r="AO163" s="174">
        <f t="shared" si="306"/>
        <v>0</v>
      </c>
      <c r="AP163" s="174">
        <f>SUMIFS('1-2 人员岗位信息'!J:J,'1-2 人员岗位信息'!$C:$C,"自有人员",'1-2 人员岗位信息'!$B:$B,$D163)</f>
        <v>0</v>
      </c>
      <c r="AQ163" s="298"/>
      <c r="AR163" s="174">
        <f t="shared" si="307"/>
        <v>0</v>
      </c>
      <c r="AS163" s="174">
        <f>SUMIFS('1-2 人员岗位信息'!K:K,'1-2 人员岗位信息'!$C:$C,"自有人员",'1-2 人员岗位信息'!$B:$B,$D163)</f>
        <v>0</v>
      </c>
      <c r="AT163" s="298"/>
      <c r="AU163" s="174">
        <f t="shared" si="308"/>
        <v>0</v>
      </c>
      <c r="AV163" s="174">
        <f>SUMIFS('1-2 人员岗位信息'!L:L,'1-2 人员岗位信息'!$C:$C,"自有人员",'1-2 人员岗位信息'!$B:$B,$D163)</f>
        <v>0</v>
      </c>
      <c r="AW163" s="298"/>
      <c r="AX163" s="174">
        <f t="shared" si="309"/>
        <v>0</v>
      </c>
      <c r="AY163" s="174">
        <f>SUMIFS('1-2 人员岗位信息'!M:M,'1-2 人员岗位信息'!$C:$C,"自有人员",'1-2 人员岗位信息'!$B:$B,$D163)</f>
        <v>0</v>
      </c>
      <c r="AZ163" s="298"/>
      <c r="BA163" s="174">
        <f t="shared" si="310"/>
        <v>0</v>
      </c>
      <c r="BB163" s="174">
        <f>SUMIFS('1-2 人员岗位信息'!N:N,'1-2 人员岗位信息'!$C:$C,"自有人员",'1-2 人员岗位信息'!$B:$B,$D163)</f>
        <v>0</v>
      </c>
      <c r="BC163" s="298"/>
      <c r="BD163" s="174">
        <f t="shared" si="311"/>
        <v>0</v>
      </c>
      <c r="BE163" s="174">
        <f>SUMIFS('1-2 人员岗位信息'!O:O,'1-2 人员岗位信息'!$C:$C,"自有人员",'1-2 人员岗位信息'!$B:$B,$D163)</f>
        <v>0</v>
      </c>
      <c r="BF163" s="298"/>
      <c r="BG163" s="174">
        <f t="shared" si="312"/>
        <v>0</v>
      </c>
      <c r="BH163" s="174">
        <f>SUMIFS('1-2 人员岗位信息'!P:P,'1-2 人员岗位信息'!$C:$C,"自有人员",'1-2 人员岗位信息'!$B:$B,$D163)</f>
        <v>0</v>
      </c>
      <c r="BI163" s="298"/>
      <c r="BJ163" s="174">
        <f t="shared" si="313"/>
        <v>0</v>
      </c>
      <c r="BK163" s="174">
        <f>SUMIFS('1-2 人员岗位信息'!Q:Q,'1-2 人员岗位信息'!$C:$C,"自有人员",'1-2 人员岗位信息'!$B:$B,$D163)</f>
        <v>0</v>
      </c>
      <c r="BL163" s="307"/>
      <c r="BM163" s="311"/>
      <c r="BN163" s="315"/>
    </row>
    <row r="164" s="263" customFormat="1" ht="33.95" hidden="1" customHeight="1" outlineLevel="5" spans="2:66">
      <c r="B164" s="174" t="s">
        <v>799</v>
      </c>
      <c r="C164" s="283" t="s">
        <v>1077</v>
      </c>
      <c r="D164" s="263" t="s">
        <v>1078</v>
      </c>
      <c r="E164" s="174" t="s">
        <v>1079</v>
      </c>
      <c r="F164" s="174"/>
      <c r="G164" s="174" t="s">
        <v>803</v>
      </c>
      <c r="H164" s="174">
        <f t="shared" si="297"/>
        <v>0</v>
      </c>
      <c r="I164" s="174" t="s">
        <v>804</v>
      </c>
      <c r="J164" s="174" t="e">
        <f t="shared" si="298"/>
        <v>#DIV/0!</v>
      </c>
      <c r="K164" s="174" t="s">
        <v>805</v>
      </c>
      <c r="L164" s="174" t="e">
        <f t="shared" si="299"/>
        <v>#DIV/0!</v>
      </c>
      <c r="M164" s="174" t="s">
        <v>806</v>
      </c>
      <c r="N164" s="174">
        <f t="shared" si="300"/>
        <v>0</v>
      </c>
      <c r="O164" s="174"/>
      <c r="P164" s="290"/>
      <c r="Q164" s="290"/>
      <c r="R164" s="290"/>
      <c r="S164" s="290"/>
      <c r="T164" s="290"/>
      <c r="U164" s="290"/>
      <c r="V164" s="290"/>
      <c r="W164" s="290"/>
      <c r="X164" s="290"/>
      <c r="Y164" s="290"/>
      <c r="Z164" s="290"/>
      <c r="AA164" s="290"/>
      <c r="AB164" s="174">
        <f t="shared" si="301"/>
        <v>0</v>
      </c>
      <c r="AC164" s="174">
        <f t="shared" si="302"/>
        <v>0</v>
      </c>
      <c r="AD164" s="174">
        <f>SUMIFS('1-2 人员岗位信息'!F:F,'1-2 人员岗位信息'!$C:$C,"自有人员",'1-2 人员岗位信息'!$B:$B,$D164)</f>
        <v>0</v>
      </c>
      <c r="AE164" s="298"/>
      <c r="AF164" s="174">
        <f t="shared" si="303"/>
        <v>0</v>
      </c>
      <c r="AG164" s="174">
        <f>SUMIFS('1-2 人员岗位信息'!G:G,'1-2 人员岗位信息'!$C:$C,"自有人员",'1-2 人员岗位信息'!$B:$B,$D164)</f>
        <v>0</v>
      </c>
      <c r="AH164" s="298"/>
      <c r="AI164" s="174">
        <f t="shared" si="304"/>
        <v>0</v>
      </c>
      <c r="AJ164" s="174">
        <f>SUMIFS('1-2 人员岗位信息'!H:H,'1-2 人员岗位信息'!$C:$C,"自有人员",'1-2 人员岗位信息'!$B:$B,$D164)</f>
        <v>0</v>
      </c>
      <c r="AK164" s="298"/>
      <c r="AL164" s="174">
        <f t="shared" si="305"/>
        <v>0</v>
      </c>
      <c r="AM164" s="174">
        <f>SUMIFS('1-2 人员岗位信息'!I:I,'1-2 人员岗位信息'!$C:$C,"自有人员",'1-2 人员岗位信息'!$B:$B,$D164)</f>
        <v>0</v>
      </c>
      <c r="AN164" s="298"/>
      <c r="AO164" s="174">
        <f t="shared" si="306"/>
        <v>0</v>
      </c>
      <c r="AP164" s="174">
        <f>SUMIFS('1-2 人员岗位信息'!J:J,'1-2 人员岗位信息'!$C:$C,"自有人员",'1-2 人员岗位信息'!$B:$B,$D164)</f>
        <v>0</v>
      </c>
      <c r="AQ164" s="298"/>
      <c r="AR164" s="174">
        <f t="shared" si="307"/>
        <v>0</v>
      </c>
      <c r="AS164" s="174">
        <f>SUMIFS('1-2 人员岗位信息'!K:K,'1-2 人员岗位信息'!$C:$C,"自有人员",'1-2 人员岗位信息'!$B:$B,$D164)</f>
        <v>0</v>
      </c>
      <c r="AT164" s="298"/>
      <c r="AU164" s="174">
        <f t="shared" si="308"/>
        <v>0</v>
      </c>
      <c r="AV164" s="174">
        <f>SUMIFS('1-2 人员岗位信息'!L:L,'1-2 人员岗位信息'!$C:$C,"自有人员",'1-2 人员岗位信息'!$B:$B,$D164)</f>
        <v>0</v>
      </c>
      <c r="AW164" s="298"/>
      <c r="AX164" s="174">
        <f t="shared" si="309"/>
        <v>0</v>
      </c>
      <c r="AY164" s="174">
        <f>SUMIFS('1-2 人员岗位信息'!M:M,'1-2 人员岗位信息'!$C:$C,"自有人员",'1-2 人员岗位信息'!$B:$B,$D164)</f>
        <v>0</v>
      </c>
      <c r="AZ164" s="298"/>
      <c r="BA164" s="174">
        <f t="shared" si="310"/>
        <v>0</v>
      </c>
      <c r="BB164" s="174">
        <f>SUMIFS('1-2 人员岗位信息'!N:N,'1-2 人员岗位信息'!$C:$C,"自有人员",'1-2 人员岗位信息'!$B:$B,$D164)</f>
        <v>0</v>
      </c>
      <c r="BC164" s="298"/>
      <c r="BD164" s="174">
        <f t="shared" si="311"/>
        <v>0</v>
      </c>
      <c r="BE164" s="174">
        <f>SUMIFS('1-2 人员岗位信息'!O:O,'1-2 人员岗位信息'!$C:$C,"自有人员",'1-2 人员岗位信息'!$B:$B,$D164)</f>
        <v>0</v>
      </c>
      <c r="BF164" s="298"/>
      <c r="BG164" s="174">
        <f t="shared" si="312"/>
        <v>0</v>
      </c>
      <c r="BH164" s="174">
        <f>SUMIFS('1-2 人员岗位信息'!P:P,'1-2 人员岗位信息'!$C:$C,"自有人员",'1-2 人员岗位信息'!$B:$B,$D164)</f>
        <v>0</v>
      </c>
      <c r="BI164" s="298"/>
      <c r="BJ164" s="174">
        <f t="shared" si="313"/>
        <v>0</v>
      </c>
      <c r="BK164" s="174">
        <f>SUMIFS('1-2 人员岗位信息'!Q:Q,'1-2 人员岗位信息'!$C:$C,"自有人员",'1-2 人员岗位信息'!$B:$B,$D164)</f>
        <v>0</v>
      </c>
      <c r="BL164" s="307"/>
      <c r="BM164" s="311"/>
      <c r="BN164" s="315"/>
    </row>
    <row r="165" s="117" customFormat="1" ht="33.95" hidden="1" customHeight="1" outlineLevel="4" collapsed="1" spans="2:66">
      <c r="B165" s="118" t="s">
        <v>794</v>
      </c>
      <c r="C165" s="119" t="s">
        <v>73</v>
      </c>
      <c r="D165" s="117" t="s">
        <v>68</v>
      </c>
      <c r="E165" s="118"/>
      <c r="F165" s="118"/>
      <c r="G165" s="118"/>
      <c r="H165" s="118">
        <f>SUM(H166:H169)</f>
        <v>0</v>
      </c>
      <c r="I165" s="118"/>
      <c r="J165" s="118"/>
      <c r="K165" s="118"/>
      <c r="L165" s="118"/>
      <c r="M165" s="118"/>
      <c r="N165" s="118"/>
      <c r="O165" s="118"/>
      <c r="P165" s="289"/>
      <c r="Q165" s="289"/>
      <c r="R165" s="289"/>
      <c r="S165" s="289"/>
      <c r="T165" s="289"/>
      <c r="U165" s="289"/>
      <c r="V165" s="289"/>
      <c r="W165" s="289"/>
      <c r="X165" s="289"/>
      <c r="Y165" s="289"/>
      <c r="Z165" s="289"/>
      <c r="AA165" s="289"/>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6"/>
      <c r="BM165" s="311"/>
      <c r="BN165" s="314"/>
    </row>
    <row r="166" s="263" customFormat="1" ht="33.95" hidden="1" customHeight="1" outlineLevel="5" spans="2:66">
      <c r="B166" s="174" t="s">
        <v>799</v>
      </c>
      <c r="C166" s="283" t="s">
        <v>1080</v>
      </c>
      <c r="D166" s="263" t="s">
        <v>1069</v>
      </c>
      <c r="E166" s="174" t="s">
        <v>1081</v>
      </c>
      <c r="F166" s="174"/>
      <c r="G166" s="174" t="s">
        <v>803</v>
      </c>
      <c r="H166" s="174">
        <f t="shared" ref="H166:H169" si="315">AB166</f>
        <v>0</v>
      </c>
      <c r="I166" s="174" t="s">
        <v>804</v>
      </c>
      <c r="J166" s="174" t="e">
        <f t="shared" ref="J166:J169" si="316">SUM(AD166,AG166,AJ166,AM166,AP166,AS166,AV166,AY166,BB166,BE166,BH166,BK166)/N166</f>
        <v>#DIV/0!</v>
      </c>
      <c r="K166" s="174" t="s">
        <v>805</v>
      </c>
      <c r="L166" s="174" t="e">
        <f t="shared" ref="L166:L169" si="317">H166/N166/J166</f>
        <v>#DIV/0!</v>
      </c>
      <c r="M166" s="174" t="s">
        <v>806</v>
      </c>
      <c r="N166" s="174">
        <f t="shared" ref="N166:N169" si="318">COUNTIF(AD166,"&gt;0")+COUNTIF(AG166,"&gt;0")+COUNTIF(AJ166,"&gt;0")+COUNTIF(AM166,"&gt;0")+COUNTIF(AP166,"&gt;0")+COUNTIF(AS166,"&gt;0")+COUNTIF(AV166,"&gt;0")+COUNTIF(AY166,"&gt;0")+COUNTIF(BB166,"&gt;0")+COUNTIF(BE166,"&gt;0")+COUNTIF(BH166,"&gt;0")+COUNTIF(BK166,"&gt;0")</f>
        <v>0</v>
      </c>
      <c r="O166" s="174"/>
      <c r="P166" s="290"/>
      <c r="Q166" s="290"/>
      <c r="R166" s="290"/>
      <c r="S166" s="290"/>
      <c r="T166" s="290"/>
      <c r="U166" s="290"/>
      <c r="V166" s="290"/>
      <c r="W166" s="290"/>
      <c r="X166" s="290"/>
      <c r="Y166" s="290"/>
      <c r="Z166" s="290"/>
      <c r="AA166" s="290"/>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8"/>
      <c r="AF166" s="174">
        <f t="shared" ref="AF166:AF169" si="321">AG166*AH166</f>
        <v>0</v>
      </c>
      <c r="AG166" s="174">
        <f>SUMIFS('1-2 人员岗位信息'!G:G,'1-2 人员岗位信息'!$C:$C,"劳务派遣",'1-2 人员岗位信息'!$B:$B,$D166)</f>
        <v>0</v>
      </c>
      <c r="AH166" s="298"/>
      <c r="AI166" s="174">
        <f t="shared" ref="AI166:AI169" si="322">AJ166*AK166</f>
        <v>0</v>
      </c>
      <c r="AJ166" s="174">
        <f>SUMIFS('1-2 人员岗位信息'!H:H,'1-2 人员岗位信息'!$C:$C,"劳务派遣",'1-2 人员岗位信息'!$B:$B,$D166)</f>
        <v>0</v>
      </c>
      <c r="AK166" s="298"/>
      <c r="AL166" s="174">
        <f t="shared" ref="AL166:AL169" si="323">AM166*AN166</f>
        <v>0</v>
      </c>
      <c r="AM166" s="174">
        <f>SUMIFS('1-2 人员岗位信息'!I:I,'1-2 人员岗位信息'!$C:$C,"劳务派遣",'1-2 人员岗位信息'!$B:$B,$D166)</f>
        <v>0</v>
      </c>
      <c r="AN166" s="298"/>
      <c r="AO166" s="174">
        <f t="shared" ref="AO166:AO169" si="324">AP166*AQ166</f>
        <v>0</v>
      </c>
      <c r="AP166" s="174">
        <f>SUMIFS('1-2 人员岗位信息'!J:J,'1-2 人员岗位信息'!$C:$C,"劳务派遣",'1-2 人员岗位信息'!$B:$B,$D166)</f>
        <v>0</v>
      </c>
      <c r="AQ166" s="298"/>
      <c r="AR166" s="174">
        <f t="shared" ref="AR166:AR169" si="325">AS166*AT166</f>
        <v>0</v>
      </c>
      <c r="AS166" s="174">
        <f>SUMIFS('1-2 人员岗位信息'!K:K,'1-2 人员岗位信息'!$C:$C,"劳务派遣",'1-2 人员岗位信息'!$B:$B,$D166)</f>
        <v>0</v>
      </c>
      <c r="AT166" s="298"/>
      <c r="AU166" s="174">
        <f t="shared" ref="AU166:AU169" si="326">AV166*AW166</f>
        <v>0</v>
      </c>
      <c r="AV166" s="174">
        <f>SUMIFS('1-2 人员岗位信息'!L:L,'1-2 人员岗位信息'!$C:$C,"劳务派遣",'1-2 人员岗位信息'!$B:$B,$D166)</f>
        <v>0</v>
      </c>
      <c r="AW166" s="298"/>
      <c r="AX166" s="174">
        <f t="shared" ref="AX166:AX169" si="327">AY166*AZ166</f>
        <v>0</v>
      </c>
      <c r="AY166" s="174">
        <f>SUMIFS('1-2 人员岗位信息'!M:M,'1-2 人员岗位信息'!$C:$C,"劳务派遣",'1-2 人员岗位信息'!$B:$B,$D166)</f>
        <v>0</v>
      </c>
      <c r="AZ166" s="298"/>
      <c r="BA166" s="174">
        <f t="shared" ref="BA166:BA169" si="328">BB166*BC166</f>
        <v>0</v>
      </c>
      <c r="BB166" s="174">
        <f>SUMIFS('1-2 人员岗位信息'!N:N,'1-2 人员岗位信息'!$C:$C,"劳务派遣",'1-2 人员岗位信息'!$B:$B,$D166)</f>
        <v>0</v>
      </c>
      <c r="BC166" s="298"/>
      <c r="BD166" s="174">
        <f t="shared" ref="BD166:BD169" si="329">BE166*BF166</f>
        <v>0</v>
      </c>
      <c r="BE166" s="174">
        <f>SUMIFS('1-2 人员岗位信息'!O:O,'1-2 人员岗位信息'!$C:$C,"劳务派遣",'1-2 人员岗位信息'!$B:$B,$D166)</f>
        <v>0</v>
      </c>
      <c r="BF166" s="298"/>
      <c r="BG166" s="174">
        <f t="shared" ref="BG166:BG169" si="330">BH166*BI166</f>
        <v>0</v>
      </c>
      <c r="BH166" s="174">
        <f>SUMIFS('1-2 人员岗位信息'!P:P,'1-2 人员岗位信息'!$C:$C,"劳务派遣",'1-2 人员岗位信息'!$B:$B,$D166)</f>
        <v>0</v>
      </c>
      <c r="BI166" s="298"/>
      <c r="BJ166" s="174">
        <f t="shared" ref="BJ166:BJ169" si="331">BK166*BL166</f>
        <v>0</v>
      </c>
      <c r="BK166" s="174">
        <f>SUMIFS('1-2 人员岗位信息'!Q:Q,'1-2 人员岗位信息'!$C:$C,"劳务派遣",'1-2 人员岗位信息'!$B:$B,$D166)</f>
        <v>0</v>
      </c>
      <c r="BL166" s="307"/>
      <c r="BM166" s="311"/>
      <c r="BN166" s="315"/>
    </row>
    <row r="167" s="263" customFormat="1" ht="33.95" hidden="1" customHeight="1" outlineLevel="5" spans="2:66">
      <c r="B167" s="174" t="s">
        <v>799</v>
      </c>
      <c r="C167" s="283" t="s">
        <v>1082</v>
      </c>
      <c r="D167" s="263" t="s">
        <v>1072</v>
      </c>
      <c r="E167" s="174" t="s">
        <v>1083</v>
      </c>
      <c r="F167" s="174"/>
      <c r="G167" s="174" t="s">
        <v>803</v>
      </c>
      <c r="H167" s="174">
        <f t="shared" si="315"/>
        <v>0</v>
      </c>
      <c r="I167" s="174" t="s">
        <v>804</v>
      </c>
      <c r="J167" s="174" t="e">
        <f t="shared" si="316"/>
        <v>#DIV/0!</v>
      </c>
      <c r="K167" s="174" t="s">
        <v>805</v>
      </c>
      <c r="L167" s="174" t="e">
        <f t="shared" si="317"/>
        <v>#DIV/0!</v>
      </c>
      <c r="M167" s="174" t="s">
        <v>806</v>
      </c>
      <c r="N167" s="174">
        <f t="shared" si="318"/>
        <v>0</v>
      </c>
      <c r="O167" s="174"/>
      <c r="P167" s="290"/>
      <c r="Q167" s="290"/>
      <c r="R167" s="290"/>
      <c r="S167" s="290"/>
      <c r="T167" s="290"/>
      <c r="U167" s="290"/>
      <c r="V167" s="290"/>
      <c r="W167" s="290"/>
      <c r="X167" s="290"/>
      <c r="Y167" s="290"/>
      <c r="Z167" s="290"/>
      <c r="AA167" s="290"/>
      <c r="AB167" s="174">
        <f t="shared" si="319"/>
        <v>0</v>
      </c>
      <c r="AC167" s="174">
        <f t="shared" si="320"/>
        <v>0</v>
      </c>
      <c r="AD167" s="174">
        <f>SUMIFS('1-2 人员岗位信息'!F:F,'1-2 人员岗位信息'!$C:$C,"劳务派遣",'1-2 人员岗位信息'!$B:$B,$D167)</f>
        <v>0</v>
      </c>
      <c r="AE167" s="298"/>
      <c r="AF167" s="174">
        <f t="shared" si="321"/>
        <v>0</v>
      </c>
      <c r="AG167" s="174">
        <f>SUMIFS('1-2 人员岗位信息'!G:G,'1-2 人员岗位信息'!$C:$C,"劳务派遣",'1-2 人员岗位信息'!$B:$B,$D167)</f>
        <v>0</v>
      </c>
      <c r="AH167" s="298"/>
      <c r="AI167" s="174">
        <f t="shared" si="322"/>
        <v>0</v>
      </c>
      <c r="AJ167" s="174">
        <f>SUMIFS('1-2 人员岗位信息'!H:H,'1-2 人员岗位信息'!$C:$C,"劳务派遣",'1-2 人员岗位信息'!$B:$B,$D167)</f>
        <v>0</v>
      </c>
      <c r="AK167" s="298"/>
      <c r="AL167" s="174">
        <f t="shared" si="323"/>
        <v>0</v>
      </c>
      <c r="AM167" s="174">
        <f>SUMIFS('1-2 人员岗位信息'!I:I,'1-2 人员岗位信息'!$C:$C,"劳务派遣",'1-2 人员岗位信息'!$B:$B,$D167)</f>
        <v>0</v>
      </c>
      <c r="AN167" s="298"/>
      <c r="AO167" s="174">
        <f t="shared" si="324"/>
        <v>0</v>
      </c>
      <c r="AP167" s="174">
        <f>SUMIFS('1-2 人员岗位信息'!J:J,'1-2 人员岗位信息'!$C:$C,"劳务派遣",'1-2 人员岗位信息'!$B:$B,$D167)</f>
        <v>0</v>
      </c>
      <c r="AQ167" s="298"/>
      <c r="AR167" s="174">
        <f t="shared" si="325"/>
        <v>0</v>
      </c>
      <c r="AS167" s="174">
        <f>SUMIFS('1-2 人员岗位信息'!K:K,'1-2 人员岗位信息'!$C:$C,"劳务派遣",'1-2 人员岗位信息'!$B:$B,$D167)</f>
        <v>0</v>
      </c>
      <c r="AT167" s="298"/>
      <c r="AU167" s="174">
        <f t="shared" si="326"/>
        <v>0</v>
      </c>
      <c r="AV167" s="174">
        <f>SUMIFS('1-2 人员岗位信息'!L:L,'1-2 人员岗位信息'!$C:$C,"劳务派遣",'1-2 人员岗位信息'!$B:$B,$D167)</f>
        <v>0</v>
      </c>
      <c r="AW167" s="298"/>
      <c r="AX167" s="174">
        <f t="shared" si="327"/>
        <v>0</v>
      </c>
      <c r="AY167" s="174">
        <f>SUMIFS('1-2 人员岗位信息'!M:M,'1-2 人员岗位信息'!$C:$C,"劳务派遣",'1-2 人员岗位信息'!$B:$B,$D167)</f>
        <v>0</v>
      </c>
      <c r="AZ167" s="298"/>
      <c r="BA167" s="174">
        <f t="shared" si="328"/>
        <v>0</v>
      </c>
      <c r="BB167" s="174">
        <f>SUMIFS('1-2 人员岗位信息'!N:N,'1-2 人员岗位信息'!$C:$C,"劳务派遣",'1-2 人员岗位信息'!$B:$B,$D167)</f>
        <v>0</v>
      </c>
      <c r="BC167" s="298"/>
      <c r="BD167" s="174">
        <f t="shared" si="329"/>
        <v>0</v>
      </c>
      <c r="BE167" s="174">
        <f>SUMIFS('1-2 人员岗位信息'!O:O,'1-2 人员岗位信息'!$C:$C,"劳务派遣",'1-2 人员岗位信息'!$B:$B,$D167)</f>
        <v>0</v>
      </c>
      <c r="BF167" s="298"/>
      <c r="BG167" s="174">
        <f t="shared" si="330"/>
        <v>0</v>
      </c>
      <c r="BH167" s="174">
        <f>SUMIFS('1-2 人员岗位信息'!P:P,'1-2 人员岗位信息'!$C:$C,"劳务派遣",'1-2 人员岗位信息'!$B:$B,$D167)</f>
        <v>0</v>
      </c>
      <c r="BI167" s="298"/>
      <c r="BJ167" s="174">
        <f t="shared" si="331"/>
        <v>0</v>
      </c>
      <c r="BK167" s="174">
        <f>SUMIFS('1-2 人员岗位信息'!Q:Q,'1-2 人员岗位信息'!$C:$C,"劳务派遣",'1-2 人员岗位信息'!$B:$B,$D167)</f>
        <v>0</v>
      </c>
      <c r="BL167" s="307"/>
      <c r="BM167" s="311"/>
      <c r="BN167" s="315"/>
    </row>
    <row r="168" s="263" customFormat="1" ht="33.95" hidden="1" customHeight="1" outlineLevel="5" spans="2:66">
      <c r="B168" s="174" t="s">
        <v>799</v>
      </c>
      <c r="C168" s="283" t="s">
        <v>1084</v>
      </c>
      <c r="D168" s="263" t="s">
        <v>1075</v>
      </c>
      <c r="E168" s="174" t="s">
        <v>1085</v>
      </c>
      <c r="F168" s="174"/>
      <c r="G168" s="174" t="s">
        <v>803</v>
      </c>
      <c r="H168" s="174">
        <f t="shared" si="315"/>
        <v>0</v>
      </c>
      <c r="I168" s="174" t="s">
        <v>804</v>
      </c>
      <c r="J168" s="174" t="e">
        <f t="shared" si="316"/>
        <v>#DIV/0!</v>
      </c>
      <c r="K168" s="174" t="s">
        <v>805</v>
      </c>
      <c r="L168" s="174" t="e">
        <f t="shared" si="317"/>
        <v>#DIV/0!</v>
      </c>
      <c r="M168" s="174" t="s">
        <v>806</v>
      </c>
      <c r="N168" s="174">
        <f t="shared" si="318"/>
        <v>0</v>
      </c>
      <c r="O168" s="174"/>
      <c r="P168" s="290"/>
      <c r="Q168" s="290"/>
      <c r="R168" s="290"/>
      <c r="S168" s="290"/>
      <c r="T168" s="290"/>
      <c r="U168" s="290"/>
      <c r="V168" s="290"/>
      <c r="W168" s="290"/>
      <c r="X168" s="290"/>
      <c r="Y168" s="290"/>
      <c r="Z168" s="290"/>
      <c r="AA168" s="290"/>
      <c r="AB168" s="174">
        <f t="shared" si="319"/>
        <v>0</v>
      </c>
      <c r="AC168" s="174">
        <f t="shared" si="320"/>
        <v>0</v>
      </c>
      <c r="AD168" s="174">
        <f>SUMIFS('1-2 人员岗位信息'!F:F,'1-2 人员岗位信息'!$C:$C,"劳务派遣",'1-2 人员岗位信息'!$B:$B,$D168)</f>
        <v>0</v>
      </c>
      <c r="AE168" s="298"/>
      <c r="AF168" s="174">
        <f t="shared" si="321"/>
        <v>0</v>
      </c>
      <c r="AG168" s="174">
        <f>SUMIFS('1-2 人员岗位信息'!G:G,'1-2 人员岗位信息'!$C:$C,"劳务派遣",'1-2 人员岗位信息'!$B:$B,$D168)</f>
        <v>0</v>
      </c>
      <c r="AH168" s="298"/>
      <c r="AI168" s="174">
        <f t="shared" si="322"/>
        <v>0</v>
      </c>
      <c r="AJ168" s="174">
        <f>SUMIFS('1-2 人员岗位信息'!H:H,'1-2 人员岗位信息'!$C:$C,"劳务派遣",'1-2 人员岗位信息'!$B:$B,$D168)</f>
        <v>0</v>
      </c>
      <c r="AK168" s="298"/>
      <c r="AL168" s="174">
        <f t="shared" si="323"/>
        <v>0</v>
      </c>
      <c r="AM168" s="174">
        <f>SUMIFS('1-2 人员岗位信息'!I:I,'1-2 人员岗位信息'!$C:$C,"劳务派遣",'1-2 人员岗位信息'!$B:$B,$D168)</f>
        <v>0</v>
      </c>
      <c r="AN168" s="298"/>
      <c r="AO168" s="174">
        <f t="shared" si="324"/>
        <v>0</v>
      </c>
      <c r="AP168" s="174">
        <f>SUMIFS('1-2 人员岗位信息'!J:J,'1-2 人员岗位信息'!$C:$C,"劳务派遣",'1-2 人员岗位信息'!$B:$B,$D168)</f>
        <v>0</v>
      </c>
      <c r="AQ168" s="298"/>
      <c r="AR168" s="174">
        <f t="shared" si="325"/>
        <v>0</v>
      </c>
      <c r="AS168" s="174">
        <f>SUMIFS('1-2 人员岗位信息'!K:K,'1-2 人员岗位信息'!$C:$C,"劳务派遣",'1-2 人员岗位信息'!$B:$B,$D168)</f>
        <v>0</v>
      </c>
      <c r="AT168" s="298"/>
      <c r="AU168" s="174">
        <f t="shared" si="326"/>
        <v>0</v>
      </c>
      <c r="AV168" s="174">
        <f>SUMIFS('1-2 人员岗位信息'!L:L,'1-2 人员岗位信息'!$C:$C,"劳务派遣",'1-2 人员岗位信息'!$B:$B,$D168)</f>
        <v>0</v>
      </c>
      <c r="AW168" s="298"/>
      <c r="AX168" s="174">
        <f t="shared" si="327"/>
        <v>0</v>
      </c>
      <c r="AY168" s="174">
        <f>SUMIFS('1-2 人员岗位信息'!M:M,'1-2 人员岗位信息'!$C:$C,"劳务派遣",'1-2 人员岗位信息'!$B:$B,$D168)</f>
        <v>0</v>
      </c>
      <c r="AZ168" s="298"/>
      <c r="BA168" s="174">
        <f t="shared" si="328"/>
        <v>0</v>
      </c>
      <c r="BB168" s="174">
        <f>SUMIFS('1-2 人员岗位信息'!N:N,'1-2 人员岗位信息'!$C:$C,"劳务派遣",'1-2 人员岗位信息'!$B:$B,$D168)</f>
        <v>0</v>
      </c>
      <c r="BC168" s="298"/>
      <c r="BD168" s="174">
        <f t="shared" si="329"/>
        <v>0</v>
      </c>
      <c r="BE168" s="174">
        <f>SUMIFS('1-2 人员岗位信息'!O:O,'1-2 人员岗位信息'!$C:$C,"劳务派遣",'1-2 人员岗位信息'!$B:$B,$D168)</f>
        <v>0</v>
      </c>
      <c r="BF168" s="298"/>
      <c r="BG168" s="174">
        <f t="shared" si="330"/>
        <v>0</v>
      </c>
      <c r="BH168" s="174">
        <f>SUMIFS('1-2 人员岗位信息'!P:P,'1-2 人员岗位信息'!$C:$C,"劳务派遣",'1-2 人员岗位信息'!$B:$B,$D168)</f>
        <v>0</v>
      </c>
      <c r="BI168" s="298"/>
      <c r="BJ168" s="174">
        <f t="shared" si="331"/>
        <v>0</v>
      </c>
      <c r="BK168" s="174">
        <f>SUMIFS('1-2 人员岗位信息'!Q:Q,'1-2 人员岗位信息'!$C:$C,"劳务派遣",'1-2 人员岗位信息'!$B:$B,$D168)</f>
        <v>0</v>
      </c>
      <c r="BL168" s="307"/>
      <c r="BM168" s="311"/>
      <c r="BN168" s="315"/>
    </row>
    <row r="169" s="263" customFormat="1" ht="33.95" hidden="1" customHeight="1" outlineLevel="5" spans="2:66">
      <c r="B169" s="174" t="s">
        <v>799</v>
      </c>
      <c r="C169" s="283" t="s">
        <v>1086</v>
      </c>
      <c r="D169" s="263" t="s">
        <v>1078</v>
      </c>
      <c r="E169" s="174" t="s">
        <v>1087</v>
      </c>
      <c r="F169" s="174"/>
      <c r="G169" s="174" t="s">
        <v>803</v>
      </c>
      <c r="H169" s="174">
        <f t="shared" si="315"/>
        <v>0</v>
      </c>
      <c r="I169" s="174" t="s">
        <v>804</v>
      </c>
      <c r="J169" s="174" t="e">
        <f t="shared" si="316"/>
        <v>#DIV/0!</v>
      </c>
      <c r="K169" s="174" t="s">
        <v>805</v>
      </c>
      <c r="L169" s="174" t="e">
        <f t="shared" si="317"/>
        <v>#DIV/0!</v>
      </c>
      <c r="M169" s="174" t="s">
        <v>806</v>
      </c>
      <c r="N169" s="174">
        <f t="shared" si="318"/>
        <v>0</v>
      </c>
      <c r="O169" s="174"/>
      <c r="P169" s="290"/>
      <c r="Q169" s="290"/>
      <c r="R169" s="290"/>
      <c r="S169" s="290"/>
      <c r="T169" s="290"/>
      <c r="U169" s="290"/>
      <c r="V169" s="290"/>
      <c r="W169" s="290"/>
      <c r="X169" s="290"/>
      <c r="Y169" s="290"/>
      <c r="Z169" s="290"/>
      <c r="AA169" s="290"/>
      <c r="AB169" s="174">
        <f t="shared" si="319"/>
        <v>0</v>
      </c>
      <c r="AC169" s="174">
        <f t="shared" si="320"/>
        <v>0</v>
      </c>
      <c r="AD169" s="174">
        <f>SUMIFS('1-2 人员岗位信息'!F:F,'1-2 人员岗位信息'!$C:$C,"劳务派遣",'1-2 人员岗位信息'!$B:$B,$D169)</f>
        <v>0</v>
      </c>
      <c r="AE169" s="298"/>
      <c r="AF169" s="174">
        <f t="shared" si="321"/>
        <v>0</v>
      </c>
      <c r="AG169" s="174">
        <f>SUMIFS('1-2 人员岗位信息'!G:G,'1-2 人员岗位信息'!$C:$C,"劳务派遣",'1-2 人员岗位信息'!$B:$B,$D169)</f>
        <v>0</v>
      </c>
      <c r="AH169" s="298"/>
      <c r="AI169" s="174">
        <f t="shared" si="322"/>
        <v>0</v>
      </c>
      <c r="AJ169" s="174">
        <f>SUMIFS('1-2 人员岗位信息'!H:H,'1-2 人员岗位信息'!$C:$C,"劳务派遣",'1-2 人员岗位信息'!$B:$B,$D169)</f>
        <v>0</v>
      </c>
      <c r="AK169" s="298"/>
      <c r="AL169" s="174">
        <f t="shared" si="323"/>
        <v>0</v>
      </c>
      <c r="AM169" s="174">
        <f>SUMIFS('1-2 人员岗位信息'!I:I,'1-2 人员岗位信息'!$C:$C,"劳务派遣",'1-2 人员岗位信息'!$B:$B,$D169)</f>
        <v>0</v>
      </c>
      <c r="AN169" s="298"/>
      <c r="AO169" s="174">
        <f t="shared" si="324"/>
        <v>0</v>
      </c>
      <c r="AP169" s="174">
        <f>SUMIFS('1-2 人员岗位信息'!J:J,'1-2 人员岗位信息'!$C:$C,"劳务派遣",'1-2 人员岗位信息'!$B:$B,$D169)</f>
        <v>0</v>
      </c>
      <c r="AQ169" s="298"/>
      <c r="AR169" s="174">
        <f t="shared" si="325"/>
        <v>0</v>
      </c>
      <c r="AS169" s="174">
        <f>SUMIFS('1-2 人员岗位信息'!K:K,'1-2 人员岗位信息'!$C:$C,"劳务派遣",'1-2 人员岗位信息'!$B:$B,$D169)</f>
        <v>0</v>
      </c>
      <c r="AT169" s="298"/>
      <c r="AU169" s="174">
        <f t="shared" si="326"/>
        <v>0</v>
      </c>
      <c r="AV169" s="174">
        <f>SUMIFS('1-2 人员岗位信息'!L:L,'1-2 人员岗位信息'!$C:$C,"劳务派遣",'1-2 人员岗位信息'!$B:$B,$D169)</f>
        <v>0</v>
      </c>
      <c r="AW169" s="298"/>
      <c r="AX169" s="174">
        <f t="shared" si="327"/>
        <v>0</v>
      </c>
      <c r="AY169" s="174">
        <f>SUMIFS('1-2 人员岗位信息'!M:M,'1-2 人员岗位信息'!$C:$C,"劳务派遣",'1-2 人员岗位信息'!$B:$B,$D169)</f>
        <v>0</v>
      </c>
      <c r="AZ169" s="298"/>
      <c r="BA169" s="174">
        <f t="shared" si="328"/>
        <v>0</v>
      </c>
      <c r="BB169" s="174">
        <f>SUMIFS('1-2 人员岗位信息'!N:N,'1-2 人员岗位信息'!$C:$C,"劳务派遣",'1-2 人员岗位信息'!$B:$B,$D169)</f>
        <v>0</v>
      </c>
      <c r="BC169" s="298"/>
      <c r="BD169" s="174">
        <f t="shared" si="329"/>
        <v>0</v>
      </c>
      <c r="BE169" s="174">
        <f>SUMIFS('1-2 人员岗位信息'!O:O,'1-2 人员岗位信息'!$C:$C,"劳务派遣",'1-2 人员岗位信息'!$B:$B,$D169)</f>
        <v>0</v>
      </c>
      <c r="BF169" s="298"/>
      <c r="BG169" s="174">
        <f t="shared" si="330"/>
        <v>0</v>
      </c>
      <c r="BH169" s="174">
        <f>SUMIFS('1-2 人员岗位信息'!P:P,'1-2 人员岗位信息'!$C:$C,"劳务派遣",'1-2 人员岗位信息'!$B:$B,$D169)</f>
        <v>0</v>
      </c>
      <c r="BI169" s="298"/>
      <c r="BJ169" s="174">
        <f t="shared" si="331"/>
        <v>0</v>
      </c>
      <c r="BK169" s="174">
        <f>SUMIFS('1-2 人员岗位信息'!Q:Q,'1-2 人员岗位信息'!$C:$C,"劳务派遣",'1-2 人员岗位信息'!$B:$B,$D169)</f>
        <v>0</v>
      </c>
      <c r="BL169" s="307"/>
      <c r="BM169" s="311"/>
      <c r="BN169" s="315"/>
    </row>
    <row r="170" s="117" customFormat="1" ht="33.95" hidden="1" customHeight="1" outlineLevel="4" collapsed="1" spans="2:66">
      <c r="B170" s="118" t="s">
        <v>794</v>
      </c>
      <c r="C170" s="119" t="s">
        <v>22</v>
      </c>
      <c r="D170" s="117" t="s">
        <v>23</v>
      </c>
      <c r="E170" s="118"/>
      <c r="F170" s="118"/>
      <c r="G170" s="118"/>
      <c r="H170" s="118">
        <f>SUM(H171:H174)</f>
        <v>53207.5471698113</v>
      </c>
      <c r="I170" s="118"/>
      <c r="J170" s="118"/>
      <c r="K170" s="118"/>
      <c r="L170" s="118"/>
      <c r="M170" s="118"/>
      <c r="N170" s="118"/>
      <c r="O170" s="118"/>
      <c r="P170" s="289"/>
      <c r="Q170" s="289"/>
      <c r="R170" s="289"/>
      <c r="S170" s="289"/>
      <c r="T170" s="289"/>
      <c r="U170" s="289"/>
      <c r="V170" s="289"/>
      <c r="W170" s="289"/>
      <c r="X170" s="289"/>
      <c r="Y170" s="289"/>
      <c r="Z170" s="289"/>
      <c r="AA170" s="289"/>
      <c r="AB170" s="118">
        <f t="shared" ref="AB170:AF170" si="332">SUM(AB171:AB174)</f>
        <v>53207.5471698113</v>
      </c>
      <c r="AC170" s="118">
        <f t="shared" si="332"/>
        <v>4433.96226415094</v>
      </c>
      <c r="AD170" s="118"/>
      <c r="AE170" s="118"/>
      <c r="AF170" s="118">
        <f t="shared" si="332"/>
        <v>4433.96226415094</v>
      </c>
      <c r="AG170" s="118"/>
      <c r="AH170" s="118"/>
      <c r="AI170" s="118">
        <f>SUM(AI171:AI174)</f>
        <v>4433.96226415094</v>
      </c>
      <c r="AJ170" s="118"/>
      <c r="AK170" s="118"/>
      <c r="AL170" s="118">
        <f>SUM(AL171:AL174)</f>
        <v>4433.96226415094</v>
      </c>
      <c r="AM170" s="118"/>
      <c r="AN170" s="118"/>
      <c r="AO170" s="118">
        <f>SUM(AO171:AO174)</f>
        <v>4433.96226415094</v>
      </c>
      <c r="AP170" s="118"/>
      <c r="AQ170" s="118"/>
      <c r="AR170" s="118">
        <f>SUM(AR171:AR174)</f>
        <v>4433.96226415094</v>
      </c>
      <c r="AS170" s="118"/>
      <c r="AT170" s="118"/>
      <c r="AU170" s="118">
        <f>SUM(AU171:AU174)</f>
        <v>4433.96226415094</v>
      </c>
      <c r="AV170" s="118"/>
      <c r="AW170" s="118"/>
      <c r="AX170" s="118">
        <f>SUM(AX171:AX174)</f>
        <v>4433.96226415094</v>
      </c>
      <c r="AY170" s="118"/>
      <c r="AZ170" s="118"/>
      <c r="BA170" s="118">
        <f>SUM(BA171:BA174)</f>
        <v>4433.96226415094</v>
      </c>
      <c r="BB170" s="118"/>
      <c r="BC170" s="118"/>
      <c r="BD170" s="118">
        <f>SUM(BD171:BD174)</f>
        <v>4433.96226415094</v>
      </c>
      <c r="BE170" s="118"/>
      <c r="BF170" s="118"/>
      <c r="BG170" s="118">
        <f>SUM(BG171:BG174)</f>
        <v>4433.96226415094</v>
      </c>
      <c r="BH170" s="118"/>
      <c r="BI170" s="118"/>
      <c r="BJ170" s="118">
        <f>SUM(BJ171:BJ174)</f>
        <v>4433.96226415094</v>
      </c>
      <c r="BK170" s="118"/>
      <c r="BL170" s="306"/>
      <c r="BM170" s="311"/>
      <c r="BN170" s="314"/>
    </row>
    <row r="171" s="263" customFormat="1" ht="33.95" hidden="1" customHeight="1" outlineLevel="5" spans="2:66">
      <c r="B171" s="174" t="s">
        <v>799</v>
      </c>
      <c r="C171" s="283" t="s">
        <v>1088</v>
      </c>
      <c r="D171" s="263" t="s">
        <v>1069</v>
      </c>
      <c r="E171" s="174" t="s">
        <v>1089</v>
      </c>
      <c r="F171" s="174"/>
      <c r="G171" s="174" t="s">
        <v>803</v>
      </c>
      <c r="H171" s="174">
        <f t="shared" ref="H171:H175" si="333">AB171</f>
        <v>53207.5471698113</v>
      </c>
      <c r="I171" s="174" t="s">
        <v>804</v>
      </c>
      <c r="J171" s="174">
        <f t="shared" ref="J171:J175" si="334">SUM(AD171,AG171,AJ171,AM171,AP171,AS171,AV171,AY171,BB171,BE171,BH171,BK171)/N171</f>
        <v>1</v>
      </c>
      <c r="K171" s="174" t="s">
        <v>805</v>
      </c>
      <c r="L171" s="174">
        <f t="shared" ref="L171:L175" si="335">H171/N171/J171</f>
        <v>4433.96226415094</v>
      </c>
      <c r="M171" s="174" t="s">
        <v>806</v>
      </c>
      <c r="N171" s="174">
        <f t="shared" ref="N171:N175" si="336">COUNTIF(AD171,"&gt;0")+COUNTIF(AG171,"&gt;0")+COUNTIF(AJ171,"&gt;0")+COUNTIF(AM171,"&gt;0")+COUNTIF(AP171,"&gt;0")+COUNTIF(AS171,"&gt;0")+COUNTIF(AV171,"&gt;0")+COUNTIF(AY171,"&gt;0")+COUNTIF(BB171,"&gt;0")+COUNTIF(BE171,"&gt;0")+COUNTIF(BH171,"&gt;0")+COUNTIF(BK171,"&gt;0")</f>
        <v>12</v>
      </c>
      <c r="O171" s="174"/>
      <c r="P171" s="290"/>
      <c r="Q171" s="290"/>
      <c r="R171" s="290"/>
      <c r="S171" s="290"/>
      <c r="T171" s="290"/>
      <c r="U171" s="290"/>
      <c r="V171" s="290"/>
      <c r="W171" s="290"/>
      <c r="X171" s="290"/>
      <c r="Y171" s="290"/>
      <c r="Z171" s="290"/>
      <c r="AA171" s="290"/>
      <c r="AB171" s="174">
        <f t="shared" ref="AB171:AB175" si="337">SUM(AC171,AF171,AI171,AL171,AO171,AR171,AU171,AX171,BA171,BD171,BG171,BJ171)</f>
        <v>53207.5471698113</v>
      </c>
      <c r="AC171" s="174">
        <f t="shared" ref="AC171:AC175" si="338">AD171*AE171</f>
        <v>4433.96226415094</v>
      </c>
      <c r="AD171" s="174">
        <f>SUMIFS('1-2 人员岗位信息'!F:F,'1-2 人员岗位信息'!$C:$C,"专业外包",'1-2 人员岗位信息'!$B:$B,$D171)</f>
        <v>1</v>
      </c>
      <c r="AE171" s="298">
        <f>IFERROR(预算主表!P81/(12*AD171),0)</f>
        <v>4433.96226415094</v>
      </c>
      <c r="AF171" s="174">
        <f t="shared" ref="AF171:AF175" si="339">AG171*AH171</f>
        <v>4433.96226415094</v>
      </c>
      <c r="AG171" s="174">
        <f>SUMIFS('1-2 人员岗位信息'!G:G,'1-2 人员岗位信息'!$C:$C,"专业外包",'1-2 人员岗位信息'!$B:$B,$D171)</f>
        <v>1</v>
      </c>
      <c r="AH171" s="298">
        <f>AE171</f>
        <v>4433.96226415094</v>
      </c>
      <c r="AI171" s="174">
        <f t="shared" ref="AI171:AI175" si="340">AJ171*AK171</f>
        <v>4433.96226415094</v>
      </c>
      <c r="AJ171" s="174">
        <f>SUMIFS('1-2 人员岗位信息'!H:H,'1-2 人员岗位信息'!$C:$C,"专业外包",'1-2 人员岗位信息'!$B:$B,$D171)</f>
        <v>1</v>
      </c>
      <c r="AK171" s="298">
        <f>AE171</f>
        <v>4433.96226415094</v>
      </c>
      <c r="AL171" s="174">
        <f t="shared" ref="AL171:AL175" si="341">AM171*AN171</f>
        <v>4433.96226415094</v>
      </c>
      <c r="AM171" s="174">
        <f>SUMIFS('1-2 人员岗位信息'!I:I,'1-2 人员岗位信息'!$C:$C,"专业外包",'1-2 人员岗位信息'!$B:$B,$D171)</f>
        <v>1</v>
      </c>
      <c r="AN171" s="298">
        <f>AE171</f>
        <v>4433.96226415094</v>
      </c>
      <c r="AO171" s="174">
        <f t="shared" ref="AO171:AO175" si="342">AP171*AQ171</f>
        <v>4433.96226415094</v>
      </c>
      <c r="AP171" s="174">
        <f>SUMIFS('1-2 人员岗位信息'!J:J,'1-2 人员岗位信息'!$C:$C,"专业外包",'1-2 人员岗位信息'!$B:$B,$D171)</f>
        <v>1</v>
      </c>
      <c r="AQ171" s="298">
        <f>AE171</f>
        <v>4433.96226415094</v>
      </c>
      <c r="AR171" s="174">
        <f t="shared" ref="AR171:AR175" si="343">AS171*AT171</f>
        <v>4433.96226415094</v>
      </c>
      <c r="AS171" s="174">
        <f>SUMIFS('1-2 人员岗位信息'!K:K,'1-2 人员岗位信息'!$C:$C,"专业外包",'1-2 人员岗位信息'!$B:$B,$D171)</f>
        <v>1</v>
      </c>
      <c r="AT171" s="298">
        <f>AE171</f>
        <v>4433.96226415094</v>
      </c>
      <c r="AU171" s="174">
        <f t="shared" ref="AU171:AU175" si="344">AV171*AW171</f>
        <v>4433.96226415094</v>
      </c>
      <c r="AV171" s="174">
        <f>SUMIFS('1-2 人员岗位信息'!L:L,'1-2 人员岗位信息'!$C:$C,"专业外包",'1-2 人员岗位信息'!$B:$B,$D171)</f>
        <v>1</v>
      </c>
      <c r="AW171" s="298">
        <f>AE171</f>
        <v>4433.96226415094</v>
      </c>
      <c r="AX171" s="174">
        <f t="shared" ref="AX171:AX175" si="345">AY171*AZ171</f>
        <v>4433.96226415094</v>
      </c>
      <c r="AY171" s="174">
        <f>SUMIFS('1-2 人员岗位信息'!M:M,'1-2 人员岗位信息'!$C:$C,"专业外包",'1-2 人员岗位信息'!$B:$B,$D171)</f>
        <v>1</v>
      </c>
      <c r="AZ171" s="298">
        <f>AE171</f>
        <v>4433.96226415094</v>
      </c>
      <c r="BA171" s="174">
        <f t="shared" ref="BA171:BA175" si="346">BB171*BC171</f>
        <v>4433.96226415094</v>
      </c>
      <c r="BB171" s="174">
        <f>SUMIFS('1-2 人员岗位信息'!N:N,'1-2 人员岗位信息'!$C:$C,"专业外包",'1-2 人员岗位信息'!$B:$B,$D171)</f>
        <v>1</v>
      </c>
      <c r="BC171" s="298">
        <f>AE171</f>
        <v>4433.96226415094</v>
      </c>
      <c r="BD171" s="174">
        <f t="shared" ref="BD171:BD175" si="347">BE171*BF171</f>
        <v>4433.96226415094</v>
      </c>
      <c r="BE171" s="174">
        <f>SUMIFS('1-2 人员岗位信息'!O:O,'1-2 人员岗位信息'!$C:$C,"专业外包",'1-2 人员岗位信息'!$B:$B,$D171)</f>
        <v>1</v>
      </c>
      <c r="BF171" s="298">
        <f>AE171</f>
        <v>4433.96226415094</v>
      </c>
      <c r="BG171" s="174">
        <f t="shared" ref="BG171:BG175" si="348">BH171*BI171</f>
        <v>4433.96226415094</v>
      </c>
      <c r="BH171" s="174">
        <f>SUMIFS('1-2 人员岗位信息'!P:P,'1-2 人员岗位信息'!$C:$C,"专业外包",'1-2 人员岗位信息'!$B:$B,$D171)</f>
        <v>1</v>
      </c>
      <c r="BI171" s="298">
        <f>AE171</f>
        <v>4433.96226415094</v>
      </c>
      <c r="BJ171" s="174">
        <f t="shared" ref="BJ171:BJ175" si="349">BK171*BL171</f>
        <v>4433.96226415094</v>
      </c>
      <c r="BK171" s="174">
        <f>SUMIFS('1-2 人员岗位信息'!Q:Q,'1-2 人员岗位信息'!$C:$C,"专业外包",'1-2 人员岗位信息'!$B:$B,$D171)</f>
        <v>1</v>
      </c>
      <c r="BL171" s="307">
        <f>AE171</f>
        <v>4433.96226415094</v>
      </c>
      <c r="BM171" s="311"/>
      <c r="BN171" s="315"/>
    </row>
    <row r="172" s="263" customFormat="1" ht="33.95" hidden="1" customHeight="1" outlineLevel="5" spans="2:66">
      <c r="B172" s="174" t="s">
        <v>799</v>
      </c>
      <c r="C172" s="283" t="s">
        <v>1090</v>
      </c>
      <c r="D172" s="263" t="s">
        <v>1072</v>
      </c>
      <c r="E172" s="174" t="s">
        <v>1091</v>
      </c>
      <c r="F172" s="174"/>
      <c r="G172" s="174" t="s">
        <v>803</v>
      </c>
      <c r="H172" s="174">
        <f t="shared" si="333"/>
        <v>0</v>
      </c>
      <c r="I172" s="174" t="s">
        <v>804</v>
      </c>
      <c r="J172" s="174" t="e">
        <f t="shared" si="334"/>
        <v>#DIV/0!</v>
      </c>
      <c r="K172" s="174" t="s">
        <v>805</v>
      </c>
      <c r="L172" s="174" t="e">
        <f t="shared" si="335"/>
        <v>#DIV/0!</v>
      </c>
      <c r="M172" s="174" t="s">
        <v>806</v>
      </c>
      <c r="N172" s="174">
        <f t="shared" si="336"/>
        <v>0</v>
      </c>
      <c r="O172" s="174"/>
      <c r="P172" s="290"/>
      <c r="Q172" s="290"/>
      <c r="R172" s="290"/>
      <c r="S172" s="290"/>
      <c r="T172" s="290"/>
      <c r="U172" s="290"/>
      <c r="V172" s="290"/>
      <c r="W172" s="290"/>
      <c r="X172" s="290"/>
      <c r="Y172" s="290"/>
      <c r="Z172" s="290"/>
      <c r="AA172" s="290"/>
      <c r="AB172" s="174">
        <f t="shared" si="337"/>
        <v>0</v>
      </c>
      <c r="AC172" s="174">
        <f t="shared" si="338"/>
        <v>0</v>
      </c>
      <c r="AD172" s="174">
        <f>SUMIFS('1-2 人员岗位信息'!F:F,'1-2 人员岗位信息'!$C:$C,"专业外包",'1-2 人员岗位信息'!$B:$B,$D172)</f>
        <v>0</v>
      </c>
      <c r="AE172" s="298">
        <f>IFERROR(预算主表!P81/(12*AD172),0)</f>
        <v>0</v>
      </c>
      <c r="AF172" s="174">
        <f t="shared" si="339"/>
        <v>0</v>
      </c>
      <c r="AG172" s="174">
        <f>SUMIFS('1-2 人员岗位信息'!G:G,'1-2 人员岗位信息'!$C:$C,"专业外包",'1-2 人员岗位信息'!$B:$B,$D172)</f>
        <v>0</v>
      </c>
      <c r="AH172" s="298">
        <f>AE172</f>
        <v>0</v>
      </c>
      <c r="AI172" s="174">
        <f t="shared" si="340"/>
        <v>0</v>
      </c>
      <c r="AJ172" s="174">
        <f>SUMIFS('1-2 人员岗位信息'!H:H,'1-2 人员岗位信息'!$C:$C,"专业外包",'1-2 人员岗位信息'!$B:$B,$D172)</f>
        <v>0</v>
      </c>
      <c r="AK172" s="298">
        <f>AE172</f>
        <v>0</v>
      </c>
      <c r="AL172" s="174">
        <f t="shared" si="341"/>
        <v>0</v>
      </c>
      <c r="AM172" s="174">
        <f>SUMIFS('1-2 人员岗位信息'!I:I,'1-2 人员岗位信息'!$C:$C,"专业外包",'1-2 人员岗位信息'!$B:$B,$D172)</f>
        <v>0</v>
      </c>
      <c r="AN172" s="298">
        <f>AE172</f>
        <v>0</v>
      </c>
      <c r="AO172" s="174">
        <f t="shared" si="342"/>
        <v>0</v>
      </c>
      <c r="AP172" s="174">
        <f>SUMIFS('1-2 人员岗位信息'!J:J,'1-2 人员岗位信息'!$C:$C,"专业外包",'1-2 人员岗位信息'!$B:$B,$D172)</f>
        <v>0</v>
      </c>
      <c r="AQ172" s="298">
        <f>AE172</f>
        <v>0</v>
      </c>
      <c r="AR172" s="174">
        <f t="shared" si="343"/>
        <v>0</v>
      </c>
      <c r="AS172" s="174">
        <f>SUMIFS('1-2 人员岗位信息'!K:K,'1-2 人员岗位信息'!$C:$C,"专业外包",'1-2 人员岗位信息'!$B:$B,$D172)</f>
        <v>0</v>
      </c>
      <c r="AT172" s="298">
        <f>AE172</f>
        <v>0</v>
      </c>
      <c r="AU172" s="174">
        <f t="shared" si="344"/>
        <v>0</v>
      </c>
      <c r="AV172" s="174">
        <f>SUMIFS('1-2 人员岗位信息'!L:L,'1-2 人员岗位信息'!$C:$C,"专业外包",'1-2 人员岗位信息'!$B:$B,$D172)</f>
        <v>0</v>
      </c>
      <c r="AW172" s="298">
        <f>AE172</f>
        <v>0</v>
      </c>
      <c r="AX172" s="174">
        <f t="shared" si="345"/>
        <v>0</v>
      </c>
      <c r="AY172" s="174">
        <f>SUMIFS('1-2 人员岗位信息'!M:M,'1-2 人员岗位信息'!$C:$C,"专业外包",'1-2 人员岗位信息'!$B:$B,$D172)</f>
        <v>0</v>
      </c>
      <c r="AZ172" s="298">
        <f>AE172</f>
        <v>0</v>
      </c>
      <c r="BA172" s="174">
        <f t="shared" si="346"/>
        <v>0</v>
      </c>
      <c r="BB172" s="174">
        <f>SUMIFS('1-2 人员岗位信息'!N:N,'1-2 人员岗位信息'!$C:$C,"专业外包",'1-2 人员岗位信息'!$B:$B,$D172)</f>
        <v>0</v>
      </c>
      <c r="BC172" s="298">
        <f>AE172</f>
        <v>0</v>
      </c>
      <c r="BD172" s="174">
        <f t="shared" si="347"/>
        <v>0</v>
      </c>
      <c r="BE172" s="174">
        <f>SUMIFS('1-2 人员岗位信息'!O:O,'1-2 人员岗位信息'!$C:$C,"专业外包",'1-2 人员岗位信息'!$B:$B,$D172)</f>
        <v>0</v>
      </c>
      <c r="BF172" s="298">
        <f>AE172</f>
        <v>0</v>
      </c>
      <c r="BG172" s="174">
        <f t="shared" si="348"/>
        <v>0</v>
      </c>
      <c r="BH172" s="174">
        <f>SUMIFS('1-2 人员岗位信息'!P:P,'1-2 人员岗位信息'!$C:$C,"专业外包",'1-2 人员岗位信息'!$B:$B,$D172)</f>
        <v>0</v>
      </c>
      <c r="BI172" s="298">
        <f>AE172</f>
        <v>0</v>
      </c>
      <c r="BJ172" s="174">
        <f t="shared" si="349"/>
        <v>0</v>
      </c>
      <c r="BK172" s="174">
        <f>SUMIFS('1-2 人员岗位信息'!Q:Q,'1-2 人员岗位信息'!$C:$C,"专业外包",'1-2 人员岗位信息'!$B:$B,$D172)</f>
        <v>0</v>
      </c>
      <c r="BL172" s="307">
        <f>AE172</f>
        <v>0</v>
      </c>
      <c r="BM172" s="311"/>
      <c r="BN172" s="315"/>
    </row>
    <row r="173" s="263" customFormat="1" ht="33.95" hidden="1" customHeight="1" outlineLevel="5" spans="2:66">
      <c r="B173" s="174" t="s">
        <v>799</v>
      </c>
      <c r="C173" s="283" t="s">
        <v>1092</v>
      </c>
      <c r="D173" s="263" t="s">
        <v>1075</v>
      </c>
      <c r="E173" s="174" t="s">
        <v>1093</v>
      </c>
      <c r="F173" s="174"/>
      <c r="G173" s="174" t="s">
        <v>803</v>
      </c>
      <c r="H173" s="174">
        <f t="shared" si="333"/>
        <v>0</v>
      </c>
      <c r="I173" s="174" t="s">
        <v>804</v>
      </c>
      <c r="J173" s="174" t="e">
        <f t="shared" si="334"/>
        <v>#DIV/0!</v>
      </c>
      <c r="K173" s="174" t="s">
        <v>805</v>
      </c>
      <c r="L173" s="174" t="e">
        <f t="shared" si="335"/>
        <v>#DIV/0!</v>
      </c>
      <c r="M173" s="174" t="s">
        <v>806</v>
      </c>
      <c r="N173" s="174">
        <f t="shared" si="336"/>
        <v>0</v>
      </c>
      <c r="O173" s="174"/>
      <c r="P173" s="290"/>
      <c r="Q173" s="290"/>
      <c r="R173" s="290"/>
      <c r="S173" s="290"/>
      <c r="T173" s="290"/>
      <c r="U173" s="290"/>
      <c r="V173" s="290"/>
      <c r="W173" s="290"/>
      <c r="X173" s="290"/>
      <c r="Y173" s="290"/>
      <c r="Z173" s="290"/>
      <c r="AA173" s="290"/>
      <c r="AB173" s="174">
        <f t="shared" si="337"/>
        <v>0</v>
      </c>
      <c r="AC173" s="174">
        <f t="shared" si="338"/>
        <v>0</v>
      </c>
      <c r="AD173" s="174">
        <f>SUMIFS('1-2 人员岗位信息'!F:F,'1-2 人员岗位信息'!$C:$C,"专业外包",'1-2 人员岗位信息'!$B:$B,$D173)</f>
        <v>0</v>
      </c>
      <c r="AE173" s="298"/>
      <c r="AF173" s="174">
        <f t="shared" si="339"/>
        <v>0</v>
      </c>
      <c r="AG173" s="174">
        <f>SUMIFS('1-2 人员岗位信息'!G:G,'1-2 人员岗位信息'!$C:$C,"专业外包",'1-2 人员岗位信息'!$B:$B,$D173)</f>
        <v>0</v>
      </c>
      <c r="AH173" s="298"/>
      <c r="AI173" s="174">
        <f t="shared" si="340"/>
        <v>0</v>
      </c>
      <c r="AJ173" s="174">
        <f>SUMIFS('1-2 人员岗位信息'!H:H,'1-2 人员岗位信息'!$C:$C,"专业外包",'1-2 人员岗位信息'!$B:$B,$D173)</f>
        <v>0</v>
      </c>
      <c r="AK173" s="298"/>
      <c r="AL173" s="174">
        <f t="shared" si="341"/>
        <v>0</v>
      </c>
      <c r="AM173" s="174">
        <f>SUMIFS('1-2 人员岗位信息'!I:I,'1-2 人员岗位信息'!$C:$C,"专业外包",'1-2 人员岗位信息'!$B:$B,$D173)</f>
        <v>0</v>
      </c>
      <c r="AN173" s="298"/>
      <c r="AO173" s="174">
        <f t="shared" si="342"/>
        <v>0</v>
      </c>
      <c r="AP173" s="174">
        <f>SUMIFS('1-2 人员岗位信息'!J:J,'1-2 人员岗位信息'!$C:$C,"专业外包",'1-2 人员岗位信息'!$B:$B,$D173)</f>
        <v>0</v>
      </c>
      <c r="AQ173" s="298"/>
      <c r="AR173" s="174">
        <f t="shared" si="343"/>
        <v>0</v>
      </c>
      <c r="AS173" s="174">
        <f>SUMIFS('1-2 人员岗位信息'!K:K,'1-2 人员岗位信息'!$C:$C,"专业外包",'1-2 人员岗位信息'!$B:$B,$D173)</f>
        <v>0</v>
      </c>
      <c r="AT173" s="298"/>
      <c r="AU173" s="174">
        <f t="shared" si="344"/>
        <v>0</v>
      </c>
      <c r="AV173" s="174">
        <f>SUMIFS('1-2 人员岗位信息'!L:L,'1-2 人员岗位信息'!$C:$C,"专业外包",'1-2 人员岗位信息'!$B:$B,$D173)</f>
        <v>0</v>
      </c>
      <c r="AW173" s="298"/>
      <c r="AX173" s="174">
        <f t="shared" si="345"/>
        <v>0</v>
      </c>
      <c r="AY173" s="174">
        <f>SUMIFS('1-2 人员岗位信息'!M:M,'1-2 人员岗位信息'!$C:$C,"专业外包",'1-2 人员岗位信息'!$B:$B,$D173)</f>
        <v>0</v>
      </c>
      <c r="AZ173" s="298"/>
      <c r="BA173" s="174">
        <f t="shared" si="346"/>
        <v>0</v>
      </c>
      <c r="BB173" s="174">
        <f>SUMIFS('1-2 人员岗位信息'!N:N,'1-2 人员岗位信息'!$C:$C,"专业外包",'1-2 人员岗位信息'!$B:$B,$D173)</f>
        <v>0</v>
      </c>
      <c r="BC173" s="298"/>
      <c r="BD173" s="174">
        <f t="shared" si="347"/>
        <v>0</v>
      </c>
      <c r="BE173" s="174">
        <f>SUMIFS('1-2 人员岗位信息'!O:O,'1-2 人员岗位信息'!$C:$C,"专业外包",'1-2 人员岗位信息'!$B:$B,$D173)</f>
        <v>0</v>
      </c>
      <c r="BF173" s="298"/>
      <c r="BG173" s="174">
        <f t="shared" si="348"/>
        <v>0</v>
      </c>
      <c r="BH173" s="174">
        <f>SUMIFS('1-2 人员岗位信息'!P:P,'1-2 人员岗位信息'!$C:$C,"专业外包",'1-2 人员岗位信息'!$B:$B,$D173)</f>
        <v>0</v>
      </c>
      <c r="BI173" s="298"/>
      <c r="BJ173" s="174">
        <f t="shared" si="349"/>
        <v>0</v>
      </c>
      <c r="BK173" s="174">
        <f>SUMIFS('1-2 人员岗位信息'!Q:Q,'1-2 人员岗位信息'!$C:$C,"专业外包",'1-2 人员岗位信息'!$B:$B,$D173)</f>
        <v>0</v>
      </c>
      <c r="BL173" s="307"/>
      <c r="BM173" s="311"/>
      <c r="BN173" s="315"/>
    </row>
    <row r="174" s="263" customFormat="1" ht="33.95" hidden="1" customHeight="1" outlineLevel="5" spans="2:66">
      <c r="B174" s="174" t="s">
        <v>799</v>
      </c>
      <c r="C174" s="283" t="s">
        <v>1094</v>
      </c>
      <c r="D174" s="263" t="s">
        <v>1078</v>
      </c>
      <c r="E174" s="174" t="s">
        <v>1095</v>
      </c>
      <c r="F174" s="174"/>
      <c r="G174" s="174" t="s">
        <v>803</v>
      </c>
      <c r="H174" s="174">
        <f t="shared" si="333"/>
        <v>0</v>
      </c>
      <c r="I174" s="174" t="s">
        <v>804</v>
      </c>
      <c r="J174" s="174" t="e">
        <f t="shared" si="334"/>
        <v>#DIV/0!</v>
      </c>
      <c r="K174" s="174" t="s">
        <v>805</v>
      </c>
      <c r="L174" s="174" t="e">
        <f t="shared" si="335"/>
        <v>#DIV/0!</v>
      </c>
      <c r="M174" s="174" t="s">
        <v>806</v>
      </c>
      <c r="N174" s="174">
        <f t="shared" si="336"/>
        <v>0</v>
      </c>
      <c r="O174" s="174"/>
      <c r="P174" s="290"/>
      <c r="Q174" s="290"/>
      <c r="R174" s="290"/>
      <c r="S174" s="290"/>
      <c r="T174" s="290"/>
      <c r="U174" s="290"/>
      <c r="V174" s="290"/>
      <c r="W174" s="290"/>
      <c r="X174" s="290"/>
      <c r="Y174" s="290"/>
      <c r="Z174" s="290"/>
      <c r="AA174" s="290"/>
      <c r="AB174" s="174">
        <f t="shared" si="337"/>
        <v>0</v>
      </c>
      <c r="AC174" s="174">
        <f t="shared" si="338"/>
        <v>0</v>
      </c>
      <c r="AD174" s="174">
        <f>SUMIFS('1-2 人员岗位信息'!F:F,'1-2 人员岗位信息'!$C:$C,"专业外包",'1-2 人员岗位信息'!$B:$B,$D174)</f>
        <v>0</v>
      </c>
      <c r="AE174" s="298"/>
      <c r="AF174" s="174">
        <f t="shared" si="339"/>
        <v>0</v>
      </c>
      <c r="AG174" s="174">
        <f>SUMIFS('1-2 人员岗位信息'!G:G,'1-2 人员岗位信息'!$C:$C,"专业外包",'1-2 人员岗位信息'!$B:$B,$D174)</f>
        <v>0</v>
      </c>
      <c r="AH174" s="298"/>
      <c r="AI174" s="174">
        <f t="shared" si="340"/>
        <v>0</v>
      </c>
      <c r="AJ174" s="174">
        <f>SUMIFS('1-2 人员岗位信息'!H:H,'1-2 人员岗位信息'!$C:$C,"专业外包",'1-2 人员岗位信息'!$B:$B,$D174)</f>
        <v>0</v>
      </c>
      <c r="AK174" s="298"/>
      <c r="AL174" s="174">
        <f t="shared" si="341"/>
        <v>0</v>
      </c>
      <c r="AM174" s="174">
        <f>SUMIFS('1-2 人员岗位信息'!I:I,'1-2 人员岗位信息'!$C:$C,"专业外包",'1-2 人员岗位信息'!$B:$B,$D174)</f>
        <v>0</v>
      </c>
      <c r="AN174" s="298"/>
      <c r="AO174" s="174">
        <f t="shared" si="342"/>
        <v>0</v>
      </c>
      <c r="AP174" s="174">
        <f>SUMIFS('1-2 人员岗位信息'!J:J,'1-2 人员岗位信息'!$C:$C,"专业外包",'1-2 人员岗位信息'!$B:$B,$D174)</f>
        <v>0</v>
      </c>
      <c r="AQ174" s="298"/>
      <c r="AR174" s="174">
        <f t="shared" si="343"/>
        <v>0</v>
      </c>
      <c r="AS174" s="174">
        <f>SUMIFS('1-2 人员岗位信息'!K:K,'1-2 人员岗位信息'!$C:$C,"专业外包",'1-2 人员岗位信息'!$B:$B,$D174)</f>
        <v>0</v>
      </c>
      <c r="AT174" s="298"/>
      <c r="AU174" s="174">
        <f t="shared" si="344"/>
        <v>0</v>
      </c>
      <c r="AV174" s="174">
        <f>SUMIFS('1-2 人员岗位信息'!L:L,'1-2 人员岗位信息'!$C:$C,"专业外包",'1-2 人员岗位信息'!$B:$B,$D174)</f>
        <v>0</v>
      </c>
      <c r="AW174" s="298"/>
      <c r="AX174" s="174">
        <f t="shared" si="345"/>
        <v>0</v>
      </c>
      <c r="AY174" s="174">
        <f>SUMIFS('1-2 人员岗位信息'!M:M,'1-2 人员岗位信息'!$C:$C,"专业外包",'1-2 人员岗位信息'!$B:$B,$D174)</f>
        <v>0</v>
      </c>
      <c r="AZ174" s="298"/>
      <c r="BA174" s="174">
        <f t="shared" si="346"/>
        <v>0</v>
      </c>
      <c r="BB174" s="174">
        <f>SUMIFS('1-2 人员岗位信息'!N:N,'1-2 人员岗位信息'!$C:$C,"专业外包",'1-2 人员岗位信息'!$B:$B,$D174)</f>
        <v>0</v>
      </c>
      <c r="BC174" s="298"/>
      <c r="BD174" s="174">
        <f t="shared" si="347"/>
        <v>0</v>
      </c>
      <c r="BE174" s="174">
        <f>SUMIFS('1-2 人员岗位信息'!O:O,'1-2 人员岗位信息'!$C:$C,"专业外包",'1-2 人员岗位信息'!$B:$B,$D174)</f>
        <v>0</v>
      </c>
      <c r="BF174" s="298"/>
      <c r="BG174" s="174">
        <f t="shared" si="348"/>
        <v>0</v>
      </c>
      <c r="BH174" s="174">
        <f>SUMIFS('1-2 人员岗位信息'!P:P,'1-2 人员岗位信息'!$C:$C,"专业外包",'1-2 人员岗位信息'!$B:$B,$D174)</f>
        <v>0</v>
      </c>
      <c r="BI174" s="298"/>
      <c r="BJ174" s="174">
        <f t="shared" si="349"/>
        <v>0</v>
      </c>
      <c r="BK174" s="174">
        <f>SUMIFS('1-2 人员岗位信息'!Q:Q,'1-2 人员岗位信息'!$C:$C,"专业外包",'1-2 人员岗位信息'!$B:$B,$D174)</f>
        <v>0</v>
      </c>
      <c r="BL174" s="307"/>
      <c r="BM174" s="311"/>
      <c r="BN174" s="315"/>
    </row>
    <row r="175" s="117" customFormat="1" ht="33.95" hidden="1" customHeight="1" outlineLevel="4" spans="2:66">
      <c r="B175" s="118" t="s">
        <v>799</v>
      </c>
      <c r="C175" s="119" t="s">
        <v>24</v>
      </c>
      <c r="D175" s="117" t="s">
        <v>25</v>
      </c>
      <c r="E175" s="118"/>
      <c r="F175" s="118"/>
      <c r="G175" s="118"/>
      <c r="H175" s="118">
        <f t="shared" si="333"/>
        <v>0</v>
      </c>
      <c r="I175" s="118" t="s">
        <v>1096</v>
      </c>
      <c r="J175" s="118" t="e">
        <f t="shared" si="334"/>
        <v>#DIV/0!</v>
      </c>
      <c r="K175" s="118" t="s">
        <v>1033</v>
      </c>
      <c r="L175" s="118" t="e">
        <f t="shared" si="335"/>
        <v>#DIV/0!</v>
      </c>
      <c r="M175" s="118" t="s">
        <v>806</v>
      </c>
      <c r="N175" s="118">
        <f t="shared" si="336"/>
        <v>0</v>
      </c>
      <c r="O175" s="118"/>
      <c r="P175" s="289"/>
      <c r="Q175" s="289"/>
      <c r="R175" s="289"/>
      <c r="S175" s="289"/>
      <c r="T175" s="289"/>
      <c r="U175" s="289"/>
      <c r="V175" s="289"/>
      <c r="W175" s="289"/>
      <c r="X175" s="289"/>
      <c r="Y175" s="289"/>
      <c r="Z175" s="289"/>
      <c r="AA175" s="289"/>
      <c r="AB175" s="118">
        <f t="shared" si="337"/>
        <v>0</v>
      </c>
      <c r="AC175" s="118">
        <f t="shared" si="338"/>
        <v>0</v>
      </c>
      <c r="AD175" s="118">
        <f>VLOOKUP($I175,'1-1 项目基础信息'!$F:$S,3,FALSE)</f>
        <v>0</v>
      </c>
      <c r="AE175" s="298"/>
      <c r="AF175" s="118">
        <f t="shared" si="339"/>
        <v>0</v>
      </c>
      <c r="AG175" s="118">
        <f>VLOOKUP($I175,'1-1 项目基础信息'!$F:$S,4,FALSE)</f>
        <v>0</v>
      </c>
      <c r="AH175" s="298"/>
      <c r="AI175" s="118">
        <f t="shared" si="340"/>
        <v>0</v>
      </c>
      <c r="AJ175" s="118">
        <f>VLOOKUP($I175,'1-1 项目基础信息'!$F:$S,5,FALSE)</f>
        <v>0</v>
      </c>
      <c r="AK175" s="298"/>
      <c r="AL175" s="118">
        <f t="shared" si="341"/>
        <v>0</v>
      </c>
      <c r="AM175" s="118">
        <f>VLOOKUP($I175,'1-1 项目基础信息'!$F:$S,6,FALSE)</f>
        <v>0</v>
      </c>
      <c r="AN175" s="298"/>
      <c r="AO175" s="118">
        <f t="shared" si="342"/>
        <v>0</v>
      </c>
      <c r="AP175" s="118">
        <f>VLOOKUP($I175,'1-1 项目基础信息'!$F:$S,7,FALSE)</f>
        <v>0</v>
      </c>
      <c r="AQ175" s="298"/>
      <c r="AR175" s="118">
        <f t="shared" si="343"/>
        <v>0</v>
      </c>
      <c r="AS175" s="118">
        <f>VLOOKUP($I175,'1-1 项目基础信息'!$F:$S,8,FALSE)</f>
        <v>0</v>
      </c>
      <c r="AT175" s="298"/>
      <c r="AU175" s="118">
        <f t="shared" si="344"/>
        <v>0</v>
      </c>
      <c r="AV175" s="118">
        <f>VLOOKUP($I175,'1-1 项目基础信息'!$F:$S,9,FALSE)</f>
        <v>0</v>
      </c>
      <c r="AW175" s="298"/>
      <c r="AX175" s="118">
        <f t="shared" si="345"/>
        <v>0</v>
      </c>
      <c r="AY175" s="118">
        <f>VLOOKUP($I175,'1-1 项目基础信息'!$F:$S,10,FALSE)</f>
        <v>0</v>
      </c>
      <c r="AZ175" s="298"/>
      <c r="BA175" s="118">
        <f t="shared" si="346"/>
        <v>0</v>
      </c>
      <c r="BB175" s="118">
        <f>VLOOKUP($I175,'1-1 项目基础信息'!$F:$S,11,FALSE)</f>
        <v>0</v>
      </c>
      <c r="BC175" s="298"/>
      <c r="BD175" s="118">
        <f t="shared" si="347"/>
        <v>0</v>
      </c>
      <c r="BE175" s="118">
        <f>VLOOKUP($I175,'1-1 项目基础信息'!$F:$S,12,FALSE)</f>
        <v>0</v>
      </c>
      <c r="BF175" s="298"/>
      <c r="BG175" s="118">
        <f t="shared" si="348"/>
        <v>0</v>
      </c>
      <c r="BH175" s="118">
        <f>VLOOKUP($I175,'1-1 项目基础信息'!$F:$S,13,FALSE)</f>
        <v>0</v>
      </c>
      <c r="BI175" s="298"/>
      <c r="BJ175" s="118">
        <f t="shared" si="349"/>
        <v>0</v>
      </c>
      <c r="BK175" s="118">
        <f>VLOOKUP($I175,'1-1 项目基础信息'!$F:$S,14,FALSE)</f>
        <v>0</v>
      </c>
      <c r="BL175" s="307"/>
      <c r="BM175" s="311"/>
      <c r="BN175" s="314"/>
    </row>
    <row r="176" s="48" customFormat="1" ht="33.95" hidden="1" customHeight="1" outlineLevel="3" collapsed="1" spans="2:66">
      <c r="B176" s="114" t="s">
        <v>794</v>
      </c>
      <c r="C176" s="115" t="s">
        <v>1097</v>
      </c>
      <c r="D176" s="48" t="s">
        <v>1098</v>
      </c>
      <c r="E176" s="114"/>
      <c r="F176" s="114"/>
      <c r="G176" s="114"/>
      <c r="H176" s="114">
        <f>H177+H181+H185</f>
        <v>0</v>
      </c>
      <c r="I176" s="114"/>
      <c r="J176" s="114"/>
      <c r="K176" s="114"/>
      <c r="L176" s="114"/>
      <c r="M176" s="114"/>
      <c r="N176" s="114"/>
      <c r="O176" s="114"/>
      <c r="P176" s="288"/>
      <c r="Q176" s="288"/>
      <c r="R176" s="288"/>
      <c r="S176" s="288"/>
      <c r="T176" s="288"/>
      <c r="U176" s="288"/>
      <c r="V176" s="288"/>
      <c r="W176" s="288"/>
      <c r="X176" s="288"/>
      <c r="Y176" s="288"/>
      <c r="Z176" s="288"/>
      <c r="AA176" s="288"/>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5"/>
      <c r="BM176" s="311"/>
      <c r="BN176" s="313"/>
    </row>
    <row r="177" s="117" customFormat="1" ht="33.95" hidden="1" customHeight="1" outlineLevel="4" collapsed="1" spans="2:66">
      <c r="B177" s="118" t="s">
        <v>794</v>
      </c>
      <c r="C177" s="119" t="s">
        <v>127</v>
      </c>
      <c r="D177" s="117" t="s">
        <v>109</v>
      </c>
      <c r="E177" s="118"/>
      <c r="F177" s="118"/>
      <c r="G177" s="118"/>
      <c r="H177" s="118">
        <f>SUM(H178:H180)</f>
        <v>0</v>
      </c>
      <c r="I177" s="118"/>
      <c r="J177" s="118"/>
      <c r="K177" s="118"/>
      <c r="L177" s="118"/>
      <c r="M177" s="118"/>
      <c r="N177" s="118"/>
      <c r="O177" s="118"/>
      <c r="P177" s="289"/>
      <c r="Q177" s="289"/>
      <c r="R177" s="289"/>
      <c r="S177" s="289"/>
      <c r="T177" s="289"/>
      <c r="U177" s="289"/>
      <c r="V177" s="289"/>
      <c r="W177" s="289"/>
      <c r="X177" s="289"/>
      <c r="Y177" s="289"/>
      <c r="Z177" s="289"/>
      <c r="AA177" s="289"/>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6"/>
      <c r="BM177" s="311"/>
      <c r="BN177" s="314"/>
    </row>
    <row r="178" s="263" customFormat="1" ht="33.95" hidden="1" customHeight="1" outlineLevel="5" spans="2:66">
      <c r="B178" s="174" t="s">
        <v>799</v>
      </c>
      <c r="C178" s="283" t="s">
        <v>1099</v>
      </c>
      <c r="D178" s="263" t="s">
        <v>1100</v>
      </c>
      <c r="E178" s="174" t="s">
        <v>1101</v>
      </c>
      <c r="F178" s="174"/>
      <c r="G178" s="174" t="s">
        <v>803</v>
      </c>
      <c r="H178" s="174">
        <f t="shared" ref="H178:H180" si="352">AB178</f>
        <v>0</v>
      </c>
      <c r="I178" s="174" t="s">
        <v>804</v>
      </c>
      <c r="J178" s="174" t="e">
        <f t="shared" ref="J178:J180" si="353">SUM(AD178,AG178,AJ178,AM178,AP178,AS178,AV178,AY178,BB178,BE178,BH178,BK178)/N178</f>
        <v>#DIV/0!</v>
      </c>
      <c r="K178" s="174" t="s">
        <v>805</v>
      </c>
      <c r="L178" s="174" t="e">
        <f t="shared" ref="L178:L180" si="354">H178/N178/J178</f>
        <v>#DIV/0!</v>
      </c>
      <c r="M178" s="174" t="s">
        <v>806</v>
      </c>
      <c r="N178" s="174">
        <f t="shared" ref="N178:N180" si="355">COUNTIF(AD178,"&gt;0")+COUNTIF(AG178,"&gt;0")+COUNTIF(AJ178,"&gt;0")+COUNTIF(AM178,"&gt;0")+COUNTIF(AP178,"&gt;0")+COUNTIF(AS178,"&gt;0")+COUNTIF(AV178,"&gt;0")+COUNTIF(AY178,"&gt;0")+COUNTIF(BB178,"&gt;0")+COUNTIF(BE178,"&gt;0")+COUNTIF(BH178,"&gt;0")+COUNTIF(BK178,"&gt;0")</f>
        <v>0</v>
      </c>
      <c r="O178" s="174"/>
      <c r="P178" s="290"/>
      <c r="Q178" s="290"/>
      <c r="R178" s="290"/>
      <c r="S178" s="290"/>
      <c r="T178" s="290"/>
      <c r="U178" s="290"/>
      <c r="V178" s="290"/>
      <c r="W178" s="290"/>
      <c r="X178" s="290"/>
      <c r="Y178" s="290"/>
      <c r="Z178" s="290"/>
      <c r="AA178" s="290"/>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8"/>
      <c r="AF178" s="174">
        <f t="shared" ref="AF178:AF180" si="358">AG178*AH178</f>
        <v>0</v>
      </c>
      <c r="AG178" s="174">
        <f>SUMIFS('1-2 人员岗位信息'!G:G,'1-2 人员岗位信息'!$C:$C,"自有人员",'1-2 人员岗位信息'!$B:$B,$D178)</f>
        <v>0</v>
      </c>
      <c r="AH178" s="298"/>
      <c r="AI178" s="174">
        <f t="shared" ref="AI178:AI180" si="359">AJ178*AK178</f>
        <v>0</v>
      </c>
      <c r="AJ178" s="174">
        <f>SUMIFS('1-2 人员岗位信息'!H:H,'1-2 人员岗位信息'!$C:$C,"自有人员",'1-2 人员岗位信息'!$B:$B,$D178)</f>
        <v>0</v>
      </c>
      <c r="AK178" s="298"/>
      <c r="AL178" s="174">
        <f t="shared" ref="AL178:AL180" si="360">AM178*AN178</f>
        <v>0</v>
      </c>
      <c r="AM178" s="174">
        <f>SUMIFS('1-2 人员岗位信息'!I:I,'1-2 人员岗位信息'!$C:$C,"自有人员",'1-2 人员岗位信息'!$B:$B,$D178)</f>
        <v>0</v>
      </c>
      <c r="AN178" s="298"/>
      <c r="AO178" s="174">
        <f t="shared" ref="AO178:AO180" si="361">AP178*AQ178</f>
        <v>0</v>
      </c>
      <c r="AP178" s="174">
        <f>SUMIFS('1-2 人员岗位信息'!J:J,'1-2 人员岗位信息'!$C:$C,"自有人员",'1-2 人员岗位信息'!$B:$B,$D178)</f>
        <v>0</v>
      </c>
      <c r="AQ178" s="298"/>
      <c r="AR178" s="174">
        <f t="shared" ref="AR178:AR180" si="362">AS178*AT178</f>
        <v>0</v>
      </c>
      <c r="AS178" s="174">
        <f>SUMIFS('1-2 人员岗位信息'!K:K,'1-2 人员岗位信息'!$C:$C,"自有人员",'1-2 人员岗位信息'!$B:$B,$D178)</f>
        <v>0</v>
      </c>
      <c r="AT178" s="298"/>
      <c r="AU178" s="174">
        <f t="shared" ref="AU178:AU180" si="363">AV178*AW178</f>
        <v>0</v>
      </c>
      <c r="AV178" s="174">
        <f>SUMIFS('1-2 人员岗位信息'!L:L,'1-2 人员岗位信息'!$C:$C,"自有人员",'1-2 人员岗位信息'!$B:$B,$D178)</f>
        <v>0</v>
      </c>
      <c r="AW178" s="298"/>
      <c r="AX178" s="174">
        <f t="shared" ref="AX178:AX180" si="364">AY178*AZ178</f>
        <v>0</v>
      </c>
      <c r="AY178" s="174">
        <f>SUMIFS('1-2 人员岗位信息'!M:M,'1-2 人员岗位信息'!$C:$C,"自有人员",'1-2 人员岗位信息'!$B:$B,$D178)</f>
        <v>0</v>
      </c>
      <c r="AZ178" s="298"/>
      <c r="BA178" s="174">
        <f t="shared" ref="BA178:BA180" si="365">BB178*BC178</f>
        <v>0</v>
      </c>
      <c r="BB178" s="174">
        <f>SUMIFS('1-2 人员岗位信息'!N:N,'1-2 人员岗位信息'!$C:$C,"自有人员",'1-2 人员岗位信息'!$B:$B,$D178)</f>
        <v>0</v>
      </c>
      <c r="BC178" s="298"/>
      <c r="BD178" s="174">
        <f t="shared" ref="BD178:BD180" si="366">BE178*BF178</f>
        <v>0</v>
      </c>
      <c r="BE178" s="174">
        <f>SUMIFS('1-2 人员岗位信息'!O:O,'1-2 人员岗位信息'!$C:$C,"自有人员",'1-2 人员岗位信息'!$B:$B,$D178)</f>
        <v>0</v>
      </c>
      <c r="BF178" s="298"/>
      <c r="BG178" s="174">
        <f t="shared" ref="BG178:BG180" si="367">BH178*BI178</f>
        <v>0</v>
      </c>
      <c r="BH178" s="174">
        <f>SUMIFS('1-2 人员岗位信息'!P:P,'1-2 人员岗位信息'!$C:$C,"自有人员",'1-2 人员岗位信息'!$B:$B,$D178)</f>
        <v>0</v>
      </c>
      <c r="BI178" s="298"/>
      <c r="BJ178" s="174">
        <f t="shared" ref="BJ178:BJ180" si="368">BK178*BL178</f>
        <v>0</v>
      </c>
      <c r="BK178" s="174">
        <f>SUMIFS('1-2 人员岗位信息'!Q:Q,'1-2 人员岗位信息'!$C:$C,"自有人员",'1-2 人员岗位信息'!$B:$B,$D178)</f>
        <v>0</v>
      </c>
      <c r="BL178" s="307"/>
      <c r="BM178" s="311"/>
      <c r="BN178" s="315"/>
    </row>
    <row r="179" s="263" customFormat="1" ht="33.95" hidden="1" customHeight="1" outlineLevel="5" spans="2:66">
      <c r="B179" s="174" t="s">
        <v>799</v>
      </c>
      <c r="C179" s="283" t="s">
        <v>1102</v>
      </c>
      <c r="D179" s="263" t="s">
        <v>1098</v>
      </c>
      <c r="E179" s="174" t="s">
        <v>1103</v>
      </c>
      <c r="F179" s="174"/>
      <c r="G179" s="174" t="s">
        <v>803</v>
      </c>
      <c r="H179" s="174">
        <f t="shared" si="352"/>
        <v>0</v>
      </c>
      <c r="I179" s="174" t="s">
        <v>804</v>
      </c>
      <c r="J179" s="174" t="e">
        <f t="shared" si="353"/>
        <v>#DIV/0!</v>
      </c>
      <c r="K179" s="174" t="s">
        <v>805</v>
      </c>
      <c r="L179" s="174" t="e">
        <f t="shared" si="354"/>
        <v>#DIV/0!</v>
      </c>
      <c r="M179" s="174" t="s">
        <v>806</v>
      </c>
      <c r="N179" s="174">
        <f t="shared" si="355"/>
        <v>0</v>
      </c>
      <c r="O179" s="174"/>
      <c r="P179" s="290"/>
      <c r="Q179" s="290"/>
      <c r="R179" s="290"/>
      <c r="S179" s="290"/>
      <c r="T179" s="290"/>
      <c r="U179" s="290"/>
      <c r="V179" s="290"/>
      <c r="W179" s="290"/>
      <c r="X179" s="290"/>
      <c r="Y179" s="290"/>
      <c r="Z179" s="290"/>
      <c r="AA179" s="290"/>
      <c r="AB179" s="174">
        <f t="shared" si="356"/>
        <v>0</v>
      </c>
      <c r="AC179" s="174">
        <f t="shared" si="357"/>
        <v>0</v>
      </c>
      <c r="AD179" s="174">
        <f>SUMIFS('1-2 人员岗位信息'!F:F,'1-2 人员岗位信息'!$C:$C,"自有人员",'1-2 人员岗位信息'!$B:$B,$D179)</f>
        <v>0</v>
      </c>
      <c r="AE179" s="298"/>
      <c r="AF179" s="174">
        <f t="shared" si="358"/>
        <v>0</v>
      </c>
      <c r="AG179" s="174">
        <f>SUMIFS('1-2 人员岗位信息'!G:G,'1-2 人员岗位信息'!$C:$C,"自有人员",'1-2 人员岗位信息'!$B:$B,$D179)</f>
        <v>0</v>
      </c>
      <c r="AH179" s="298"/>
      <c r="AI179" s="174">
        <f t="shared" si="359"/>
        <v>0</v>
      </c>
      <c r="AJ179" s="174">
        <f>SUMIFS('1-2 人员岗位信息'!H:H,'1-2 人员岗位信息'!$C:$C,"自有人员",'1-2 人员岗位信息'!$B:$B,$D179)</f>
        <v>0</v>
      </c>
      <c r="AK179" s="298"/>
      <c r="AL179" s="174">
        <f t="shared" si="360"/>
        <v>0</v>
      </c>
      <c r="AM179" s="174">
        <f>SUMIFS('1-2 人员岗位信息'!I:I,'1-2 人员岗位信息'!$C:$C,"自有人员",'1-2 人员岗位信息'!$B:$B,$D179)</f>
        <v>0</v>
      </c>
      <c r="AN179" s="298"/>
      <c r="AO179" s="174">
        <f t="shared" si="361"/>
        <v>0</v>
      </c>
      <c r="AP179" s="174">
        <f>SUMIFS('1-2 人员岗位信息'!J:J,'1-2 人员岗位信息'!$C:$C,"自有人员",'1-2 人员岗位信息'!$B:$B,$D179)</f>
        <v>0</v>
      </c>
      <c r="AQ179" s="298"/>
      <c r="AR179" s="174">
        <f t="shared" si="362"/>
        <v>0</v>
      </c>
      <c r="AS179" s="174">
        <f>SUMIFS('1-2 人员岗位信息'!K:K,'1-2 人员岗位信息'!$C:$C,"自有人员",'1-2 人员岗位信息'!$B:$B,$D179)</f>
        <v>0</v>
      </c>
      <c r="AT179" s="298"/>
      <c r="AU179" s="174">
        <f t="shared" si="363"/>
        <v>0</v>
      </c>
      <c r="AV179" s="174">
        <f>SUMIFS('1-2 人员岗位信息'!L:L,'1-2 人员岗位信息'!$C:$C,"自有人员",'1-2 人员岗位信息'!$B:$B,$D179)</f>
        <v>0</v>
      </c>
      <c r="AW179" s="298"/>
      <c r="AX179" s="174">
        <f t="shared" si="364"/>
        <v>0</v>
      </c>
      <c r="AY179" s="174">
        <f>SUMIFS('1-2 人员岗位信息'!M:M,'1-2 人员岗位信息'!$C:$C,"自有人员",'1-2 人员岗位信息'!$B:$B,$D179)</f>
        <v>0</v>
      </c>
      <c r="AZ179" s="298"/>
      <c r="BA179" s="174">
        <f t="shared" si="365"/>
        <v>0</v>
      </c>
      <c r="BB179" s="174">
        <f>SUMIFS('1-2 人员岗位信息'!N:N,'1-2 人员岗位信息'!$C:$C,"自有人员",'1-2 人员岗位信息'!$B:$B,$D179)</f>
        <v>0</v>
      </c>
      <c r="BC179" s="298"/>
      <c r="BD179" s="174">
        <f t="shared" si="366"/>
        <v>0</v>
      </c>
      <c r="BE179" s="174">
        <f>SUMIFS('1-2 人员岗位信息'!O:O,'1-2 人员岗位信息'!$C:$C,"自有人员",'1-2 人员岗位信息'!$B:$B,$D179)</f>
        <v>0</v>
      </c>
      <c r="BF179" s="298"/>
      <c r="BG179" s="174">
        <f t="shared" si="367"/>
        <v>0</v>
      </c>
      <c r="BH179" s="174">
        <f>SUMIFS('1-2 人员岗位信息'!P:P,'1-2 人员岗位信息'!$C:$C,"自有人员",'1-2 人员岗位信息'!$B:$B,$D179)</f>
        <v>0</v>
      </c>
      <c r="BI179" s="298"/>
      <c r="BJ179" s="174">
        <f t="shared" si="368"/>
        <v>0</v>
      </c>
      <c r="BK179" s="174">
        <f>SUMIFS('1-2 人员岗位信息'!Q:Q,'1-2 人员岗位信息'!$C:$C,"自有人员",'1-2 人员岗位信息'!$B:$B,$D179)</f>
        <v>0</v>
      </c>
      <c r="BL179" s="307"/>
      <c r="BM179" s="311"/>
      <c r="BN179" s="315"/>
    </row>
    <row r="180" s="263" customFormat="1" ht="33.95" hidden="1" customHeight="1" outlineLevel="5" spans="2:66">
      <c r="B180" s="174" t="s">
        <v>799</v>
      </c>
      <c r="C180" s="283" t="s">
        <v>1104</v>
      </c>
      <c r="D180" s="263" t="s">
        <v>1105</v>
      </c>
      <c r="E180" s="174" t="s">
        <v>1106</v>
      </c>
      <c r="F180" s="174"/>
      <c r="G180" s="174" t="s">
        <v>803</v>
      </c>
      <c r="H180" s="174">
        <f t="shared" si="352"/>
        <v>0</v>
      </c>
      <c r="I180" s="174" t="s">
        <v>804</v>
      </c>
      <c r="J180" s="174" t="e">
        <f t="shared" si="353"/>
        <v>#DIV/0!</v>
      </c>
      <c r="K180" s="174" t="s">
        <v>805</v>
      </c>
      <c r="L180" s="174" t="e">
        <f t="shared" si="354"/>
        <v>#DIV/0!</v>
      </c>
      <c r="M180" s="174" t="s">
        <v>806</v>
      </c>
      <c r="N180" s="174">
        <f t="shared" si="355"/>
        <v>0</v>
      </c>
      <c r="O180" s="174"/>
      <c r="P180" s="290"/>
      <c r="Q180" s="290"/>
      <c r="R180" s="290"/>
      <c r="S180" s="290"/>
      <c r="T180" s="290"/>
      <c r="U180" s="290"/>
      <c r="V180" s="290"/>
      <c r="W180" s="290"/>
      <c r="X180" s="290"/>
      <c r="Y180" s="290"/>
      <c r="Z180" s="290"/>
      <c r="AA180" s="290"/>
      <c r="AB180" s="174">
        <f t="shared" si="356"/>
        <v>0</v>
      </c>
      <c r="AC180" s="174">
        <f t="shared" si="357"/>
        <v>0</v>
      </c>
      <c r="AD180" s="174">
        <f>SUMIFS('1-2 人员岗位信息'!F:F,'1-2 人员岗位信息'!$C:$C,"自有人员",'1-2 人员岗位信息'!$B:$B,$D180)</f>
        <v>0</v>
      </c>
      <c r="AE180" s="298"/>
      <c r="AF180" s="174">
        <f t="shared" si="358"/>
        <v>0</v>
      </c>
      <c r="AG180" s="174">
        <f>SUMIFS('1-2 人员岗位信息'!G:G,'1-2 人员岗位信息'!$C:$C,"自有人员",'1-2 人员岗位信息'!$B:$B,$D180)</f>
        <v>0</v>
      </c>
      <c r="AH180" s="298"/>
      <c r="AI180" s="174">
        <f t="shared" si="359"/>
        <v>0</v>
      </c>
      <c r="AJ180" s="174">
        <f>SUMIFS('1-2 人员岗位信息'!H:H,'1-2 人员岗位信息'!$C:$C,"自有人员",'1-2 人员岗位信息'!$B:$B,$D180)</f>
        <v>0</v>
      </c>
      <c r="AK180" s="298"/>
      <c r="AL180" s="174">
        <f t="shared" si="360"/>
        <v>0</v>
      </c>
      <c r="AM180" s="174">
        <f>SUMIFS('1-2 人员岗位信息'!I:I,'1-2 人员岗位信息'!$C:$C,"自有人员",'1-2 人员岗位信息'!$B:$B,$D180)</f>
        <v>0</v>
      </c>
      <c r="AN180" s="298"/>
      <c r="AO180" s="174">
        <f t="shared" si="361"/>
        <v>0</v>
      </c>
      <c r="AP180" s="174">
        <f>SUMIFS('1-2 人员岗位信息'!J:J,'1-2 人员岗位信息'!$C:$C,"自有人员",'1-2 人员岗位信息'!$B:$B,$D180)</f>
        <v>0</v>
      </c>
      <c r="AQ180" s="298"/>
      <c r="AR180" s="174">
        <f t="shared" si="362"/>
        <v>0</v>
      </c>
      <c r="AS180" s="174">
        <f>SUMIFS('1-2 人员岗位信息'!K:K,'1-2 人员岗位信息'!$C:$C,"自有人员",'1-2 人员岗位信息'!$B:$B,$D180)</f>
        <v>0</v>
      </c>
      <c r="AT180" s="298"/>
      <c r="AU180" s="174">
        <f t="shared" si="363"/>
        <v>0</v>
      </c>
      <c r="AV180" s="174">
        <f>SUMIFS('1-2 人员岗位信息'!L:L,'1-2 人员岗位信息'!$C:$C,"自有人员",'1-2 人员岗位信息'!$B:$B,$D180)</f>
        <v>0</v>
      </c>
      <c r="AW180" s="298"/>
      <c r="AX180" s="174">
        <f t="shared" si="364"/>
        <v>0</v>
      </c>
      <c r="AY180" s="174">
        <f>SUMIFS('1-2 人员岗位信息'!M:M,'1-2 人员岗位信息'!$C:$C,"自有人员",'1-2 人员岗位信息'!$B:$B,$D180)</f>
        <v>0</v>
      </c>
      <c r="AZ180" s="298"/>
      <c r="BA180" s="174">
        <f t="shared" si="365"/>
        <v>0</v>
      </c>
      <c r="BB180" s="174">
        <f>SUMIFS('1-2 人员岗位信息'!N:N,'1-2 人员岗位信息'!$C:$C,"自有人员",'1-2 人员岗位信息'!$B:$B,$D180)</f>
        <v>0</v>
      </c>
      <c r="BC180" s="298"/>
      <c r="BD180" s="174">
        <f t="shared" si="366"/>
        <v>0</v>
      </c>
      <c r="BE180" s="174">
        <f>SUMIFS('1-2 人员岗位信息'!O:O,'1-2 人员岗位信息'!$C:$C,"自有人员",'1-2 人员岗位信息'!$B:$B,$D180)</f>
        <v>0</v>
      </c>
      <c r="BF180" s="298"/>
      <c r="BG180" s="174">
        <f t="shared" si="367"/>
        <v>0</v>
      </c>
      <c r="BH180" s="174">
        <f>SUMIFS('1-2 人员岗位信息'!P:P,'1-2 人员岗位信息'!$C:$C,"自有人员",'1-2 人员岗位信息'!$B:$B,$D180)</f>
        <v>0</v>
      </c>
      <c r="BI180" s="298"/>
      <c r="BJ180" s="174">
        <f t="shared" si="368"/>
        <v>0</v>
      </c>
      <c r="BK180" s="174">
        <f>SUMIFS('1-2 人员岗位信息'!Q:Q,'1-2 人员岗位信息'!$C:$C,"自有人员",'1-2 人员岗位信息'!$B:$B,$D180)</f>
        <v>0</v>
      </c>
      <c r="BL180" s="307"/>
      <c r="BM180" s="311"/>
      <c r="BN180" s="315"/>
    </row>
    <row r="181" s="117" customFormat="1" ht="33.95" hidden="1" customHeight="1" outlineLevel="4" collapsed="1" spans="2:66">
      <c r="B181" s="118" t="s">
        <v>794</v>
      </c>
      <c r="C181" s="119" t="s">
        <v>74</v>
      </c>
      <c r="D181" s="117" t="s">
        <v>68</v>
      </c>
      <c r="E181" s="118"/>
      <c r="F181" s="118"/>
      <c r="G181" s="118"/>
      <c r="H181" s="118">
        <f>SUM(H182:H184)</f>
        <v>0</v>
      </c>
      <c r="I181" s="118"/>
      <c r="J181" s="118"/>
      <c r="K181" s="118"/>
      <c r="L181" s="118"/>
      <c r="M181" s="118"/>
      <c r="N181" s="118"/>
      <c r="O181" s="118"/>
      <c r="P181" s="289"/>
      <c r="Q181" s="289"/>
      <c r="R181" s="289"/>
      <c r="S181" s="289"/>
      <c r="T181" s="289"/>
      <c r="U181" s="289"/>
      <c r="V181" s="289"/>
      <c r="W181" s="289"/>
      <c r="X181" s="289"/>
      <c r="Y181" s="289"/>
      <c r="Z181" s="289"/>
      <c r="AA181" s="289"/>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6"/>
      <c r="BM181" s="311"/>
      <c r="BN181" s="314"/>
    </row>
    <row r="182" s="263" customFormat="1" ht="33.95" hidden="1" customHeight="1" outlineLevel="5" spans="2:66">
      <c r="B182" s="174" t="s">
        <v>799</v>
      </c>
      <c r="C182" s="283" t="s">
        <v>1107</v>
      </c>
      <c r="D182" s="263" t="s">
        <v>1100</v>
      </c>
      <c r="E182" s="174" t="s">
        <v>1108</v>
      </c>
      <c r="F182" s="174"/>
      <c r="G182" s="174" t="s">
        <v>803</v>
      </c>
      <c r="H182" s="174">
        <f t="shared" ref="H182:H184" si="370">AB182</f>
        <v>0</v>
      </c>
      <c r="I182" s="174" t="s">
        <v>804</v>
      </c>
      <c r="J182" s="174" t="e">
        <f t="shared" ref="J182:J184" si="371">SUM(AD182,AG182,AJ182,AM182,AP182,AS182,AV182,AY182,BB182,BE182,BH182,BK182)/N182</f>
        <v>#DIV/0!</v>
      </c>
      <c r="K182" s="174" t="s">
        <v>805</v>
      </c>
      <c r="L182" s="174" t="e">
        <f t="shared" ref="L182:L184" si="372">H182/N182/J182</f>
        <v>#DIV/0!</v>
      </c>
      <c r="M182" s="174" t="s">
        <v>806</v>
      </c>
      <c r="N182" s="174">
        <f t="shared" ref="N182:N184" si="373">COUNTIF(AD182,"&gt;0")+COUNTIF(AG182,"&gt;0")+COUNTIF(AJ182,"&gt;0")+COUNTIF(AM182,"&gt;0")+COUNTIF(AP182,"&gt;0")+COUNTIF(AS182,"&gt;0")+COUNTIF(AV182,"&gt;0")+COUNTIF(AY182,"&gt;0")+COUNTIF(BB182,"&gt;0")+COUNTIF(BE182,"&gt;0")+COUNTIF(BH182,"&gt;0")+COUNTIF(BK182,"&gt;0")</f>
        <v>0</v>
      </c>
      <c r="O182" s="174"/>
      <c r="P182" s="290"/>
      <c r="Q182" s="290"/>
      <c r="R182" s="290"/>
      <c r="S182" s="290"/>
      <c r="T182" s="290"/>
      <c r="U182" s="290"/>
      <c r="V182" s="290"/>
      <c r="W182" s="290"/>
      <c r="X182" s="290"/>
      <c r="Y182" s="290"/>
      <c r="Z182" s="290"/>
      <c r="AA182" s="290"/>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8"/>
      <c r="AF182" s="174">
        <f t="shared" ref="AF182:AF184" si="376">AG182*AH182</f>
        <v>0</v>
      </c>
      <c r="AG182" s="174">
        <f>SUMIFS('1-2 人员岗位信息'!G:G,'1-2 人员岗位信息'!$C:$C,"劳务派遣",'1-2 人员岗位信息'!$B:$B,$D182)</f>
        <v>0</v>
      </c>
      <c r="AH182" s="298"/>
      <c r="AI182" s="174">
        <f t="shared" ref="AI182:AI184" si="377">AJ182*AK182</f>
        <v>0</v>
      </c>
      <c r="AJ182" s="174">
        <f>SUMIFS('1-2 人员岗位信息'!H:H,'1-2 人员岗位信息'!$C:$C,"劳务派遣",'1-2 人员岗位信息'!$B:$B,$D182)</f>
        <v>0</v>
      </c>
      <c r="AK182" s="298"/>
      <c r="AL182" s="174">
        <f t="shared" ref="AL182:AL184" si="378">AM182*AN182</f>
        <v>0</v>
      </c>
      <c r="AM182" s="174">
        <f>SUMIFS('1-2 人员岗位信息'!I:I,'1-2 人员岗位信息'!$C:$C,"劳务派遣",'1-2 人员岗位信息'!$B:$B,$D182)</f>
        <v>0</v>
      </c>
      <c r="AN182" s="298"/>
      <c r="AO182" s="174">
        <f t="shared" ref="AO182:AO184" si="379">AP182*AQ182</f>
        <v>0</v>
      </c>
      <c r="AP182" s="174">
        <f>SUMIFS('1-2 人员岗位信息'!J:J,'1-2 人员岗位信息'!$C:$C,"劳务派遣",'1-2 人员岗位信息'!$B:$B,$D182)</f>
        <v>0</v>
      </c>
      <c r="AQ182" s="298"/>
      <c r="AR182" s="174">
        <f t="shared" ref="AR182:AR184" si="380">AS182*AT182</f>
        <v>0</v>
      </c>
      <c r="AS182" s="174">
        <f>SUMIFS('1-2 人员岗位信息'!K:K,'1-2 人员岗位信息'!$C:$C,"劳务派遣",'1-2 人员岗位信息'!$B:$B,$D182)</f>
        <v>0</v>
      </c>
      <c r="AT182" s="298"/>
      <c r="AU182" s="174">
        <f t="shared" ref="AU182:AU184" si="381">AV182*AW182</f>
        <v>0</v>
      </c>
      <c r="AV182" s="174">
        <f>SUMIFS('1-2 人员岗位信息'!L:L,'1-2 人员岗位信息'!$C:$C,"劳务派遣",'1-2 人员岗位信息'!$B:$B,$D182)</f>
        <v>0</v>
      </c>
      <c r="AW182" s="298"/>
      <c r="AX182" s="174">
        <f t="shared" ref="AX182:AX184" si="382">AY182*AZ182</f>
        <v>0</v>
      </c>
      <c r="AY182" s="174">
        <f>SUMIFS('1-2 人员岗位信息'!M:M,'1-2 人员岗位信息'!$C:$C,"劳务派遣",'1-2 人员岗位信息'!$B:$B,$D182)</f>
        <v>0</v>
      </c>
      <c r="AZ182" s="298"/>
      <c r="BA182" s="174">
        <f t="shared" ref="BA182:BA184" si="383">BB182*BC182</f>
        <v>0</v>
      </c>
      <c r="BB182" s="174">
        <f>SUMIFS('1-2 人员岗位信息'!N:N,'1-2 人员岗位信息'!$C:$C,"劳务派遣",'1-2 人员岗位信息'!$B:$B,$D182)</f>
        <v>0</v>
      </c>
      <c r="BC182" s="298"/>
      <c r="BD182" s="174">
        <f t="shared" ref="BD182:BD184" si="384">BE182*BF182</f>
        <v>0</v>
      </c>
      <c r="BE182" s="174">
        <f>SUMIFS('1-2 人员岗位信息'!O:O,'1-2 人员岗位信息'!$C:$C,"劳务派遣",'1-2 人员岗位信息'!$B:$B,$D182)</f>
        <v>0</v>
      </c>
      <c r="BF182" s="298"/>
      <c r="BG182" s="174">
        <f t="shared" ref="BG182:BG184" si="385">BH182*BI182</f>
        <v>0</v>
      </c>
      <c r="BH182" s="174">
        <f>SUMIFS('1-2 人员岗位信息'!P:P,'1-2 人员岗位信息'!$C:$C,"劳务派遣",'1-2 人员岗位信息'!$B:$B,$D182)</f>
        <v>0</v>
      </c>
      <c r="BI182" s="298"/>
      <c r="BJ182" s="174">
        <f t="shared" ref="BJ182:BJ184" si="386">BK182*BL182</f>
        <v>0</v>
      </c>
      <c r="BK182" s="174">
        <f>SUMIFS('1-2 人员岗位信息'!Q:Q,'1-2 人员岗位信息'!$C:$C,"劳务派遣",'1-2 人员岗位信息'!$B:$B,$D182)</f>
        <v>0</v>
      </c>
      <c r="BL182" s="307"/>
      <c r="BM182" s="311"/>
      <c r="BN182" s="315"/>
    </row>
    <row r="183" s="263" customFormat="1" ht="33.95" hidden="1" customHeight="1" outlineLevel="5" spans="2:66">
      <c r="B183" s="174" t="s">
        <v>799</v>
      </c>
      <c r="C183" s="283" t="s">
        <v>1109</v>
      </c>
      <c r="D183" s="263" t="s">
        <v>1098</v>
      </c>
      <c r="E183" s="174" t="s">
        <v>1110</v>
      </c>
      <c r="F183" s="174"/>
      <c r="G183" s="174" t="s">
        <v>803</v>
      </c>
      <c r="H183" s="174">
        <f t="shared" si="370"/>
        <v>0</v>
      </c>
      <c r="I183" s="174" t="s">
        <v>804</v>
      </c>
      <c r="J183" s="174" t="e">
        <f t="shared" si="371"/>
        <v>#DIV/0!</v>
      </c>
      <c r="K183" s="174" t="s">
        <v>805</v>
      </c>
      <c r="L183" s="174" t="e">
        <f t="shared" si="372"/>
        <v>#DIV/0!</v>
      </c>
      <c r="M183" s="174" t="s">
        <v>806</v>
      </c>
      <c r="N183" s="174">
        <f t="shared" si="373"/>
        <v>0</v>
      </c>
      <c r="O183" s="174"/>
      <c r="P183" s="290"/>
      <c r="Q183" s="290"/>
      <c r="R183" s="290"/>
      <c r="S183" s="290"/>
      <c r="T183" s="290"/>
      <c r="U183" s="290"/>
      <c r="V183" s="290"/>
      <c r="W183" s="290"/>
      <c r="X183" s="290"/>
      <c r="Y183" s="290"/>
      <c r="Z183" s="290"/>
      <c r="AA183" s="290"/>
      <c r="AB183" s="174">
        <f t="shared" si="374"/>
        <v>0</v>
      </c>
      <c r="AC183" s="174">
        <f t="shared" si="375"/>
        <v>0</v>
      </c>
      <c r="AD183" s="174">
        <f>SUMIFS('1-2 人员岗位信息'!F:F,'1-2 人员岗位信息'!$C:$C,"劳务派遣",'1-2 人员岗位信息'!$B:$B,$D183)</f>
        <v>0</v>
      </c>
      <c r="AE183" s="298"/>
      <c r="AF183" s="174">
        <f t="shared" si="376"/>
        <v>0</v>
      </c>
      <c r="AG183" s="174">
        <f>SUMIFS('1-2 人员岗位信息'!G:G,'1-2 人员岗位信息'!$C:$C,"劳务派遣",'1-2 人员岗位信息'!$B:$B,$D183)</f>
        <v>0</v>
      </c>
      <c r="AH183" s="298"/>
      <c r="AI183" s="174">
        <f t="shared" si="377"/>
        <v>0</v>
      </c>
      <c r="AJ183" s="174">
        <f>SUMIFS('1-2 人员岗位信息'!H:H,'1-2 人员岗位信息'!$C:$C,"劳务派遣",'1-2 人员岗位信息'!$B:$B,$D183)</f>
        <v>0</v>
      </c>
      <c r="AK183" s="298"/>
      <c r="AL183" s="174">
        <f t="shared" si="378"/>
        <v>0</v>
      </c>
      <c r="AM183" s="174">
        <f>SUMIFS('1-2 人员岗位信息'!I:I,'1-2 人员岗位信息'!$C:$C,"劳务派遣",'1-2 人员岗位信息'!$B:$B,$D183)</f>
        <v>0</v>
      </c>
      <c r="AN183" s="298"/>
      <c r="AO183" s="174">
        <f t="shared" si="379"/>
        <v>0</v>
      </c>
      <c r="AP183" s="174">
        <f>SUMIFS('1-2 人员岗位信息'!J:J,'1-2 人员岗位信息'!$C:$C,"劳务派遣",'1-2 人员岗位信息'!$B:$B,$D183)</f>
        <v>0</v>
      </c>
      <c r="AQ183" s="298"/>
      <c r="AR183" s="174">
        <f t="shared" si="380"/>
        <v>0</v>
      </c>
      <c r="AS183" s="174">
        <f>SUMIFS('1-2 人员岗位信息'!K:K,'1-2 人员岗位信息'!$C:$C,"劳务派遣",'1-2 人员岗位信息'!$B:$B,$D183)</f>
        <v>0</v>
      </c>
      <c r="AT183" s="298"/>
      <c r="AU183" s="174">
        <f t="shared" si="381"/>
        <v>0</v>
      </c>
      <c r="AV183" s="174">
        <f>SUMIFS('1-2 人员岗位信息'!L:L,'1-2 人员岗位信息'!$C:$C,"劳务派遣",'1-2 人员岗位信息'!$B:$B,$D183)</f>
        <v>0</v>
      </c>
      <c r="AW183" s="298"/>
      <c r="AX183" s="174">
        <f t="shared" si="382"/>
        <v>0</v>
      </c>
      <c r="AY183" s="174">
        <f>SUMIFS('1-2 人员岗位信息'!M:M,'1-2 人员岗位信息'!$C:$C,"劳务派遣",'1-2 人员岗位信息'!$B:$B,$D183)</f>
        <v>0</v>
      </c>
      <c r="AZ183" s="298"/>
      <c r="BA183" s="174">
        <f t="shared" si="383"/>
        <v>0</v>
      </c>
      <c r="BB183" s="174">
        <f>SUMIFS('1-2 人员岗位信息'!N:N,'1-2 人员岗位信息'!$C:$C,"劳务派遣",'1-2 人员岗位信息'!$B:$B,$D183)</f>
        <v>0</v>
      </c>
      <c r="BC183" s="298"/>
      <c r="BD183" s="174">
        <f t="shared" si="384"/>
        <v>0</v>
      </c>
      <c r="BE183" s="174">
        <f>SUMIFS('1-2 人员岗位信息'!O:O,'1-2 人员岗位信息'!$C:$C,"劳务派遣",'1-2 人员岗位信息'!$B:$B,$D183)</f>
        <v>0</v>
      </c>
      <c r="BF183" s="298"/>
      <c r="BG183" s="174">
        <f t="shared" si="385"/>
        <v>0</v>
      </c>
      <c r="BH183" s="174">
        <f>SUMIFS('1-2 人员岗位信息'!P:P,'1-2 人员岗位信息'!$C:$C,"劳务派遣",'1-2 人员岗位信息'!$B:$B,$D183)</f>
        <v>0</v>
      </c>
      <c r="BI183" s="298"/>
      <c r="BJ183" s="174">
        <f t="shared" si="386"/>
        <v>0</v>
      </c>
      <c r="BK183" s="174">
        <f>SUMIFS('1-2 人员岗位信息'!Q:Q,'1-2 人员岗位信息'!$C:$C,"劳务派遣",'1-2 人员岗位信息'!$B:$B,$D183)</f>
        <v>0</v>
      </c>
      <c r="BL183" s="307"/>
      <c r="BM183" s="311"/>
      <c r="BN183" s="315"/>
    </row>
    <row r="184" s="263" customFormat="1" ht="33.95" hidden="1" customHeight="1" outlineLevel="5" spans="2:66">
      <c r="B184" s="174" t="s">
        <v>799</v>
      </c>
      <c r="C184" s="283" t="s">
        <v>1111</v>
      </c>
      <c r="D184" s="263" t="s">
        <v>1105</v>
      </c>
      <c r="E184" s="174" t="s">
        <v>1112</v>
      </c>
      <c r="F184" s="174"/>
      <c r="G184" s="174" t="s">
        <v>803</v>
      </c>
      <c r="H184" s="174">
        <f t="shared" si="370"/>
        <v>0</v>
      </c>
      <c r="I184" s="174" t="s">
        <v>804</v>
      </c>
      <c r="J184" s="174" t="e">
        <f t="shared" si="371"/>
        <v>#DIV/0!</v>
      </c>
      <c r="K184" s="174" t="s">
        <v>805</v>
      </c>
      <c r="L184" s="174" t="e">
        <f t="shared" si="372"/>
        <v>#DIV/0!</v>
      </c>
      <c r="M184" s="174" t="s">
        <v>806</v>
      </c>
      <c r="N184" s="174">
        <f t="shared" si="373"/>
        <v>0</v>
      </c>
      <c r="O184" s="174"/>
      <c r="P184" s="290"/>
      <c r="Q184" s="290"/>
      <c r="R184" s="290"/>
      <c r="S184" s="290"/>
      <c r="T184" s="290"/>
      <c r="U184" s="290"/>
      <c r="V184" s="290"/>
      <c r="W184" s="290"/>
      <c r="X184" s="290"/>
      <c r="Y184" s="290"/>
      <c r="Z184" s="290"/>
      <c r="AA184" s="290"/>
      <c r="AB184" s="174">
        <f t="shared" si="374"/>
        <v>0</v>
      </c>
      <c r="AC184" s="174">
        <f t="shared" si="375"/>
        <v>0</v>
      </c>
      <c r="AD184" s="174">
        <f>SUMIFS('1-2 人员岗位信息'!F:F,'1-2 人员岗位信息'!$C:$C,"劳务派遣",'1-2 人员岗位信息'!$B:$B,$D184)</f>
        <v>0</v>
      </c>
      <c r="AE184" s="298"/>
      <c r="AF184" s="174">
        <f t="shared" si="376"/>
        <v>0</v>
      </c>
      <c r="AG184" s="174">
        <f>SUMIFS('1-2 人员岗位信息'!G:G,'1-2 人员岗位信息'!$C:$C,"劳务派遣",'1-2 人员岗位信息'!$B:$B,$D184)</f>
        <v>0</v>
      </c>
      <c r="AH184" s="298"/>
      <c r="AI184" s="174">
        <f t="shared" si="377"/>
        <v>0</v>
      </c>
      <c r="AJ184" s="174">
        <f>SUMIFS('1-2 人员岗位信息'!H:H,'1-2 人员岗位信息'!$C:$C,"劳务派遣",'1-2 人员岗位信息'!$B:$B,$D184)</f>
        <v>0</v>
      </c>
      <c r="AK184" s="298"/>
      <c r="AL184" s="174">
        <f t="shared" si="378"/>
        <v>0</v>
      </c>
      <c r="AM184" s="174">
        <f>SUMIFS('1-2 人员岗位信息'!I:I,'1-2 人员岗位信息'!$C:$C,"劳务派遣",'1-2 人员岗位信息'!$B:$B,$D184)</f>
        <v>0</v>
      </c>
      <c r="AN184" s="298"/>
      <c r="AO184" s="174">
        <f t="shared" si="379"/>
        <v>0</v>
      </c>
      <c r="AP184" s="174">
        <f>SUMIFS('1-2 人员岗位信息'!J:J,'1-2 人员岗位信息'!$C:$C,"劳务派遣",'1-2 人员岗位信息'!$B:$B,$D184)</f>
        <v>0</v>
      </c>
      <c r="AQ184" s="298"/>
      <c r="AR184" s="174">
        <f t="shared" si="380"/>
        <v>0</v>
      </c>
      <c r="AS184" s="174">
        <f>SUMIFS('1-2 人员岗位信息'!K:K,'1-2 人员岗位信息'!$C:$C,"劳务派遣",'1-2 人员岗位信息'!$B:$B,$D184)</f>
        <v>0</v>
      </c>
      <c r="AT184" s="298"/>
      <c r="AU184" s="174">
        <f t="shared" si="381"/>
        <v>0</v>
      </c>
      <c r="AV184" s="174">
        <f>SUMIFS('1-2 人员岗位信息'!L:L,'1-2 人员岗位信息'!$C:$C,"劳务派遣",'1-2 人员岗位信息'!$B:$B,$D184)</f>
        <v>0</v>
      </c>
      <c r="AW184" s="298"/>
      <c r="AX184" s="174">
        <f t="shared" si="382"/>
        <v>0</v>
      </c>
      <c r="AY184" s="174">
        <f>SUMIFS('1-2 人员岗位信息'!M:M,'1-2 人员岗位信息'!$C:$C,"劳务派遣",'1-2 人员岗位信息'!$B:$B,$D184)</f>
        <v>0</v>
      </c>
      <c r="AZ184" s="298"/>
      <c r="BA184" s="174">
        <f t="shared" si="383"/>
        <v>0</v>
      </c>
      <c r="BB184" s="174">
        <f>SUMIFS('1-2 人员岗位信息'!N:N,'1-2 人员岗位信息'!$C:$C,"劳务派遣",'1-2 人员岗位信息'!$B:$B,$D184)</f>
        <v>0</v>
      </c>
      <c r="BC184" s="298"/>
      <c r="BD184" s="174">
        <f t="shared" si="384"/>
        <v>0</v>
      </c>
      <c r="BE184" s="174">
        <f>SUMIFS('1-2 人员岗位信息'!O:O,'1-2 人员岗位信息'!$C:$C,"劳务派遣",'1-2 人员岗位信息'!$B:$B,$D184)</f>
        <v>0</v>
      </c>
      <c r="BF184" s="298"/>
      <c r="BG184" s="174">
        <f t="shared" si="385"/>
        <v>0</v>
      </c>
      <c r="BH184" s="174">
        <f>SUMIFS('1-2 人员岗位信息'!P:P,'1-2 人员岗位信息'!$C:$C,"劳务派遣",'1-2 人员岗位信息'!$B:$B,$D184)</f>
        <v>0</v>
      </c>
      <c r="BI184" s="298"/>
      <c r="BJ184" s="174">
        <f t="shared" si="386"/>
        <v>0</v>
      </c>
      <c r="BK184" s="174">
        <f>SUMIFS('1-2 人员岗位信息'!Q:Q,'1-2 人员岗位信息'!$C:$C,"劳务派遣",'1-2 人员岗位信息'!$B:$B,$D184)</f>
        <v>0</v>
      </c>
      <c r="BL184" s="307"/>
      <c r="BM184" s="311"/>
      <c r="BN184" s="315"/>
    </row>
    <row r="185" s="117" customFormat="1" ht="33.95" hidden="1" customHeight="1" outlineLevel="4" collapsed="1" spans="2:66">
      <c r="B185" s="118" t="s">
        <v>794</v>
      </c>
      <c r="C185" s="119" t="s">
        <v>1113</v>
      </c>
      <c r="D185" s="117" t="s">
        <v>19</v>
      </c>
      <c r="E185" s="118"/>
      <c r="F185" s="118"/>
      <c r="G185" s="118"/>
      <c r="H185" s="118">
        <f>SUM(H186:H188)</f>
        <v>0</v>
      </c>
      <c r="I185" s="118"/>
      <c r="J185" s="118"/>
      <c r="K185" s="118"/>
      <c r="L185" s="118"/>
      <c r="M185" s="118"/>
      <c r="N185" s="118"/>
      <c r="O185" s="118"/>
      <c r="P185" s="289"/>
      <c r="Q185" s="289"/>
      <c r="R185" s="289"/>
      <c r="S185" s="289"/>
      <c r="T185" s="289"/>
      <c r="U185" s="289"/>
      <c r="V185" s="289"/>
      <c r="W185" s="289"/>
      <c r="X185" s="289"/>
      <c r="Y185" s="289"/>
      <c r="Z185" s="289"/>
      <c r="AA185" s="289"/>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6"/>
      <c r="BM185" s="311"/>
      <c r="BN185" s="314"/>
    </row>
    <row r="186" s="263" customFormat="1" ht="33.95" hidden="1" customHeight="1" outlineLevel="5" spans="2:66">
      <c r="B186" s="174" t="s">
        <v>799</v>
      </c>
      <c r="C186" s="283" t="s">
        <v>1114</v>
      </c>
      <c r="D186" s="263" t="s">
        <v>1100</v>
      </c>
      <c r="E186" s="174" t="s">
        <v>1115</v>
      </c>
      <c r="F186" s="174"/>
      <c r="G186" s="174" t="s">
        <v>803</v>
      </c>
      <c r="H186" s="174">
        <f t="shared" ref="H186:H188" si="388">AB186</f>
        <v>0</v>
      </c>
      <c r="I186" s="174" t="s">
        <v>804</v>
      </c>
      <c r="J186" s="174" t="e">
        <f t="shared" ref="J186:J188" si="389">SUM(AD186,AG186,AJ186,AM186,AP186,AS186,AV186,AY186,BB186,BE186,BH186,BK186)/N186</f>
        <v>#DIV/0!</v>
      </c>
      <c r="K186" s="174" t="s">
        <v>805</v>
      </c>
      <c r="L186" s="174" t="e">
        <f t="shared" ref="L186:L188" si="390">H186/N186/J186</f>
        <v>#DIV/0!</v>
      </c>
      <c r="M186" s="174" t="s">
        <v>806</v>
      </c>
      <c r="N186" s="174">
        <f t="shared" ref="N186:N188" si="391">COUNTIF(AD186,"&gt;0")+COUNTIF(AG186,"&gt;0")+COUNTIF(AJ186,"&gt;0")+COUNTIF(AM186,"&gt;0")+COUNTIF(AP186,"&gt;0")+COUNTIF(AS186,"&gt;0")+COUNTIF(AV186,"&gt;0")+COUNTIF(AY186,"&gt;0")+COUNTIF(BB186,"&gt;0")+COUNTIF(BE186,"&gt;0")+COUNTIF(BH186,"&gt;0")+COUNTIF(BK186,"&gt;0")</f>
        <v>0</v>
      </c>
      <c r="O186" s="174"/>
      <c r="P186" s="290"/>
      <c r="Q186" s="290"/>
      <c r="R186" s="290"/>
      <c r="S186" s="290"/>
      <c r="T186" s="290"/>
      <c r="U186" s="290"/>
      <c r="V186" s="290"/>
      <c r="W186" s="290"/>
      <c r="X186" s="290"/>
      <c r="Y186" s="290"/>
      <c r="Z186" s="290"/>
      <c r="AA186" s="290"/>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8"/>
      <c r="AF186" s="174">
        <f t="shared" ref="AF186:AF188" si="394">AG186*AH186</f>
        <v>0</v>
      </c>
      <c r="AG186" s="174">
        <f>SUMIFS('1-2 人员岗位信息'!G:G,'1-2 人员岗位信息'!$C:$C,"专业外包",'1-2 人员岗位信息'!$B:$B,$D186)</f>
        <v>0</v>
      </c>
      <c r="AH186" s="298"/>
      <c r="AI186" s="174">
        <f t="shared" ref="AI186:AI188" si="395">AJ186*AK186</f>
        <v>0</v>
      </c>
      <c r="AJ186" s="174">
        <f>SUMIFS('1-2 人员岗位信息'!H:H,'1-2 人员岗位信息'!$C:$C,"专业外包",'1-2 人员岗位信息'!$B:$B,$D186)</f>
        <v>0</v>
      </c>
      <c r="AK186" s="298"/>
      <c r="AL186" s="174">
        <f t="shared" ref="AL186:AL188" si="396">AM186*AN186</f>
        <v>0</v>
      </c>
      <c r="AM186" s="174">
        <f>SUMIFS('1-2 人员岗位信息'!I:I,'1-2 人员岗位信息'!$C:$C,"专业外包",'1-2 人员岗位信息'!$B:$B,$D186)</f>
        <v>0</v>
      </c>
      <c r="AN186" s="298"/>
      <c r="AO186" s="174">
        <f t="shared" ref="AO186:AO188" si="397">AP186*AQ186</f>
        <v>0</v>
      </c>
      <c r="AP186" s="174">
        <f>SUMIFS('1-2 人员岗位信息'!J:J,'1-2 人员岗位信息'!$C:$C,"专业外包",'1-2 人员岗位信息'!$B:$B,$D186)</f>
        <v>0</v>
      </c>
      <c r="AQ186" s="298"/>
      <c r="AR186" s="174">
        <f t="shared" ref="AR186:AR188" si="398">AS186*AT186</f>
        <v>0</v>
      </c>
      <c r="AS186" s="174">
        <f>SUMIFS('1-2 人员岗位信息'!K:K,'1-2 人员岗位信息'!$C:$C,"专业外包",'1-2 人员岗位信息'!$B:$B,$D186)</f>
        <v>0</v>
      </c>
      <c r="AT186" s="298"/>
      <c r="AU186" s="174">
        <f t="shared" ref="AU186:AU188" si="399">AV186*AW186</f>
        <v>0</v>
      </c>
      <c r="AV186" s="174">
        <f>SUMIFS('1-2 人员岗位信息'!L:L,'1-2 人员岗位信息'!$C:$C,"专业外包",'1-2 人员岗位信息'!$B:$B,$D186)</f>
        <v>0</v>
      </c>
      <c r="AW186" s="298"/>
      <c r="AX186" s="174">
        <f t="shared" ref="AX186:AX188" si="400">AY186*AZ186</f>
        <v>0</v>
      </c>
      <c r="AY186" s="174">
        <f>SUMIFS('1-2 人员岗位信息'!M:M,'1-2 人员岗位信息'!$C:$C,"专业外包",'1-2 人员岗位信息'!$B:$B,$D186)</f>
        <v>0</v>
      </c>
      <c r="AZ186" s="298"/>
      <c r="BA186" s="174">
        <f t="shared" ref="BA186:BA188" si="401">BB186*BC186</f>
        <v>0</v>
      </c>
      <c r="BB186" s="174">
        <f>SUMIFS('1-2 人员岗位信息'!N:N,'1-2 人员岗位信息'!$C:$C,"专业外包",'1-2 人员岗位信息'!$B:$B,$D186)</f>
        <v>0</v>
      </c>
      <c r="BC186" s="298"/>
      <c r="BD186" s="174">
        <f t="shared" ref="BD186:BD188" si="402">BE186*BF186</f>
        <v>0</v>
      </c>
      <c r="BE186" s="174">
        <f>SUMIFS('1-2 人员岗位信息'!O:O,'1-2 人员岗位信息'!$C:$C,"专业外包",'1-2 人员岗位信息'!$B:$B,$D186)</f>
        <v>0</v>
      </c>
      <c r="BF186" s="298"/>
      <c r="BG186" s="174">
        <f t="shared" ref="BG186:BG188" si="403">BH186*BI186</f>
        <v>0</v>
      </c>
      <c r="BH186" s="174">
        <f>SUMIFS('1-2 人员岗位信息'!P:P,'1-2 人员岗位信息'!$C:$C,"专业外包",'1-2 人员岗位信息'!$B:$B,$D186)</f>
        <v>0</v>
      </c>
      <c r="BI186" s="298"/>
      <c r="BJ186" s="174">
        <f t="shared" ref="BJ186:BJ188" si="404">BK186*BL186</f>
        <v>0</v>
      </c>
      <c r="BK186" s="174">
        <f>SUMIFS('1-2 人员岗位信息'!Q:Q,'1-2 人员岗位信息'!$C:$C,"专业外包",'1-2 人员岗位信息'!$B:$B,$D186)</f>
        <v>0</v>
      </c>
      <c r="BL186" s="307"/>
      <c r="BM186" s="311"/>
      <c r="BN186" s="315"/>
    </row>
    <row r="187" s="263" customFormat="1" ht="33.95" hidden="1" customHeight="1" outlineLevel="5" spans="2:66">
      <c r="B187" s="174" t="s">
        <v>799</v>
      </c>
      <c r="C187" s="283" t="s">
        <v>1116</v>
      </c>
      <c r="D187" s="263" t="s">
        <v>1098</v>
      </c>
      <c r="E187" s="174" t="s">
        <v>1117</v>
      </c>
      <c r="F187" s="174"/>
      <c r="G187" s="174" t="s">
        <v>803</v>
      </c>
      <c r="H187" s="174">
        <f t="shared" si="388"/>
        <v>0</v>
      </c>
      <c r="I187" s="174" t="s">
        <v>804</v>
      </c>
      <c r="J187" s="174" t="e">
        <f t="shared" si="389"/>
        <v>#DIV/0!</v>
      </c>
      <c r="K187" s="174" t="s">
        <v>805</v>
      </c>
      <c r="L187" s="174" t="e">
        <f t="shared" si="390"/>
        <v>#DIV/0!</v>
      </c>
      <c r="M187" s="174" t="s">
        <v>806</v>
      </c>
      <c r="N187" s="174">
        <f t="shared" si="391"/>
        <v>0</v>
      </c>
      <c r="O187" s="174"/>
      <c r="P187" s="290"/>
      <c r="Q187" s="290"/>
      <c r="R187" s="290"/>
      <c r="S187" s="290"/>
      <c r="T187" s="290"/>
      <c r="U187" s="290"/>
      <c r="V187" s="290"/>
      <c r="W187" s="290"/>
      <c r="X187" s="290"/>
      <c r="Y187" s="290"/>
      <c r="Z187" s="290"/>
      <c r="AA187" s="290"/>
      <c r="AB187" s="174">
        <f t="shared" si="392"/>
        <v>0</v>
      </c>
      <c r="AC187" s="174">
        <f t="shared" si="393"/>
        <v>0</v>
      </c>
      <c r="AD187" s="174">
        <f>SUMIFS('1-2 人员岗位信息'!F:F,'1-2 人员岗位信息'!$C:$C,"专业外包",'1-2 人员岗位信息'!$B:$B,$D187)</f>
        <v>0</v>
      </c>
      <c r="AE187" s="298"/>
      <c r="AF187" s="174">
        <f t="shared" si="394"/>
        <v>0</v>
      </c>
      <c r="AG187" s="174">
        <f>SUMIFS('1-2 人员岗位信息'!G:G,'1-2 人员岗位信息'!$C:$C,"专业外包",'1-2 人员岗位信息'!$B:$B,$D187)</f>
        <v>0</v>
      </c>
      <c r="AH187" s="298"/>
      <c r="AI187" s="174">
        <f t="shared" si="395"/>
        <v>0</v>
      </c>
      <c r="AJ187" s="174">
        <f>SUMIFS('1-2 人员岗位信息'!H:H,'1-2 人员岗位信息'!$C:$C,"专业外包",'1-2 人员岗位信息'!$B:$B,$D187)</f>
        <v>0</v>
      </c>
      <c r="AK187" s="298"/>
      <c r="AL187" s="174">
        <f t="shared" si="396"/>
        <v>0</v>
      </c>
      <c r="AM187" s="174">
        <f>SUMIFS('1-2 人员岗位信息'!I:I,'1-2 人员岗位信息'!$C:$C,"专业外包",'1-2 人员岗位信息'!$B:$B,$D187)</f>
        <v>0</v>
      </c>
      <c r="AN187" s="298"/>
      <c r="AO187" s="174">
        <f t="shared" si="397"/>
        <v>0</v>
      </c>
      <c r="AP187" s="174">
        <f>SUMIFS('1-2 人员岗位信息'!J:J,'1-2 人员岗位信息'!$C:$C,"专业外包",'1-2 人员岗位信息'!$B:$B,$D187)</f>
        <v>0</v>
      </c>
      <c r="AQ187" s="298"/>
      <c r="AR187" s="174">
        <f t="shared" si="398"/>
        <v>0</v>
      </c>
      <c r="AS187" s="174">
        <f>SUMIFS('1-2 人员岗位信息'!K:K,'1-2 人员岗位信息'!$C:$C,"专业外包",'1-2 人员岗位信息'!$B:$B,$D187)</f>
        <v>0</v>
      </c>
      <c r="AT187" s="298"/>
      <c r="AU187" s="174">
        <f t="shared" si="399"/>
        <v>0</v>
      </c>
      <c r="AV187" s="174">
        <f>SUMIFS('1-2 人员岗位信息'!L:L,'1-2 人员岗位信息'!$C:$C,"专业外包",'1-2 人员岗位信息'!$B:$B,$D187)</f>
        <v>0</v>
      </c>
      <c r="AW187" s="298"/>
      <c r="AX187" s="174">
        <f t="shared" si="400"/>
        <v>0</v>
      </c>
      <c r="AY187" s="174">
        <f>SUMIFS('1-2 人员岗位信息'!M:M,'1-2 人员岗位信息'!$C:$C,"专业外包",'1-2 人员岗位信息'!$B:$B,$D187)</f>
        <v>0</v>
      </c>
      <c r="AZ187" s="298"/>
      <c r="BA187" s="174">
        <f t="shared" si="401"/>
        <v>0</v>
      </c>
      <c r="BB187" s="174">
        <f>SUMIFS('1-2 人员岗位信息'!N:N,'1-2 人员岗位信息'!$C:$C,"专业外包",'1-2 人员岗位信息'!$B:$B,$D187)</f>
        <v>0</v>
      </c>
      <c r="BC187" s="298"/>
      <c r="BD187" s="174">
        <f t="shared" si="402"/>
        <v>0</v>
      </c>
      <c r="BE187" s="174">
        <f>SUMIFS('1-2 人员岗位信息'!O:O,'1-2 人员岗位信息'!$C:$C,"专业外包",'1-2 人员岗位信息'!$B:$B,$D187)</f>
        <v>0</v>
      </c>
      <c r="BF187" s="298"/>
      <c r="BG187" s="174">
        <f t="shared" si="403"/>
        <v>0</v>
      </c>
      <c r="BH187" s="174">
        <f>SUMIFS('1-2 人员岗位信息'!P:P,'1-2 人员岗位信息'!$C:$C,"专业外包",'1-2 人员岗位信息'!$B:$B,$D187)</f>
        <v>0</v>
      </c>
      <c r="BI187" s="298"/>
      <c r="BJ187" s="174">
        <f t="shared" si="404"/>
        <v>0</v>
      </c>
      <c r="BK187" s="174">
        <f>SUMIFS('1-2 人员岗位信息'!Q:Q,'1-2 人员岗位信息'!$C:$C,"专业外包",'1-2 人员岗位信息'!$B:$B,$D187)</f>
        <v>0</v>
      </c>
      <c r="BL187" s="307"/>
      <c r="BM187" s="311"/>
      <c r="BN187" s="315"/>
    </row>
    <row r="188" s="263" customFormat="1" ht="33.95" hidden="1" customHeight="1" outlineLevel="5" spans="2:66">
      <c r="B188" s="174" t="s">
        <v>799</v>
      </c>
      <c r="C188" s="283" t="s">
        <v>1118</v>
      </c>
      <c r="D188" s="263" t="s">
        <v>1105</v>
      </c>
      <c r="E188" s="174" t="s">
        <v>1119</v>
      </c>
      <c r="F188" s="174"/>
      <c r="G188" s="174" t="s">
        <v>803</v>
      </c>
      <c r="H188" s="174">
        <f t="shared" si="388"/>
        <v>0</v>
      </c>
      <c r="I188" s="174" t="s">
        <v>804</v>
      </c>
      <c r="J188" s="174" t="e">
        <f t="shared" si="389"/>
        <v>#DIV/0!</v>
      </c>
      <c r="K188" s="174" t="s">
        <v>805</v>
      </c>
      <c r="L188" s="174" t="e">
        <f t="shared" si="390"/>
        <v>#DIV/0!</v>
      </c>
      <c r="M188" s="174" t="s">
        <v>806</v>
      </c>
      <c r="N188" s="174">
        <f t="shared" si="391"/>
        <v>0</v>
      </c>
      <c r="O188" s="174"/>
      <c r="P188" s="290"/>
      <c r="Q188" s="290"/>
      <c r="R188" s="290"/>
      <c r="S188" s="290"/>
      <c r="T188" s="290"/>
      <c r="U188" s="290"/>
      <c r="V188" s="290"/>
      <c r="W188" s="290"/>
      <c r="X188" s="290"/>
      <c r="Y188" s="290"/>
      <c r="Z188" s="290"/>
      <c r="AA188" s="290"/>
      <c r="AB188" s="174">
        <f t="shared" si="392"/>
        <v>0</v>
      </c>
      <c r="AC188" s="174">
        <f t="shared" si="393"/>
        <v>0</v>
      </c>
      <c r="AD188" s="174">
        <f>SUMIFS('1-2 人员岗位信息'!F:F,'1-2 人员岗位信息'!$C:$C,"专业外包",'1-2 人员岗位信息'!$B:$B,$D188)</f>
        <v>0</v>
      </c>
      <c r="AE188" s="298"/>
      <c r="AF188" s="174">
        <f t="shared" si="394"/>
        <v>0</v>
      </c>
      <c r="AG188" s="174">
        <f>SUMIFS('1-2 人员岗位信息'!G:G,'1-2 人员岗位信息'!$C:$C,"专业外包",'1-2 人员岗位信息'!$B:$B,$D188)</f>
        <v>0</v>
      </c>
      <c r="AH188" s="298"/>
      <c r="AI188" s="174">
        <f t="shared" si="395"/>
        <v>0</v>
      </c>
      <c r="AJ188" s="174">
        <f>SUMIFS('1-2 人员岗位信息'!H:H,'1-2 人员岗位信息'!$C:$C,"专业外包",'1-2 人员岗位信息'!$B:$B,$D188)</f>
        <v>0</v>
      </c>
      <c r="AK188" s="298"/>
      <c r="AL188" s="174">
        <f t="shared" si="396"/>
        <v>0</v>
      </c>
      <c r="AM188" s="174">
        <f>SUMIFS('1-2 人员岗位信息'!I:I,'1-2 人员岗位信息'!$C:$C,"专业外包",'1-2 人员岗位信息'!$B:$B,$D188)</f>
        <v>0</v>
      </c>
      <c r="AN188" s="298"/>
      <c r="AO188" s="174">
        <f t="shared" si="397"/>
        <v>0</v>
      </c>
      <c r="AP188" s="174">
        <f>SUMIFS('1-2 人员岗位信息'!J:J,'1-2 人员岗位信息'!$C:$C,"专业外包",'1-2 人员岗位信息'!$B:$B,$D188)</f>
        <v>0</v>
      </c>
      <c r="AQ188" s="298"/>
      <c r="AR188" s="174">
        <f t="shared" si="398"/>
        <v>0</v>
      </c>
      <c r="AS188" s="174">
        <f>SUMIFS('1-2 人员岗位信息'!K:K,'1-2 人员岗位信息'!$C:$C,"专业外包",'1-2 人员岗位信息'!$B:$B,$D188)</f>
        <v>0</v>
      </c>
      <c r="AT188" s="298"/>
      <c r="AU188" s="174">
        <f t="shared" si="399"/>
        <v>0</v>
      </c>
      <c r="AV188" s="174">
        <f>SUMIFS('1-2 人员岗位信息'!L:L,'1-2 人员岗位信息'!$C:$C,"专业外包",'1-2 人员岗位信息'!$B:$B,$D188)</f>
        <v>0</v>
      </c>
      <c r="AW188" s="298"/>
      <c r="AX188" s="174">
        <f t="shared" si="400"/>
        <v>0</v>
      </c>
      <c r="AY188" s="174">
        <f>SUMIFS('1-2 人员岗位信息'!M:M,'1-2 人员岗位信息'!$C:$C,"专业外包",'1-2 人员岗位信息'!$B:$B,$D188)</f>
        <v>0</v>
      </c>
      <c r="AZ188" s="298"/>
      <c r="BA188" s="174">
        <f t="shared" si="401"/>
        <v>0</v>
      </c>
      <c r="BB188" s="174">
        <f>SUMIFS('1-2 人员岗位信息'!N:N,'1-2 人员岗位信息'!$C:$C,"专业外包",'1-2 人员岗位信息'!$B:$B,$D188)</f>
        <v>0</v>
      </c>
      <c r="BC188" s="298"/>
      <c r="BD188" s="174">
        <f t="shared" si="402"/>
        <v>0</v>
      </c>
      <c r="BE188" s="174">
        <f>SUMIFS('1-2 人员岗位信息'!O:O,'1-2 人员岗位信息'!$C:$C,"专业外包",'1-2 人员岗位信息'!$B:$B,$D188)</f>
        <v>0</v>
      </c>
      <c r="BF188" s="298"/>
      <c r="BG188" s="174">
        <f t="shared" si="403"/>
        <v>0</v>
      </c>
      <c r="BH188" s="174">
        <f>SUMIFS('1-2 人员岗位信息'!P:P,'1-2 人员岗位信息'!$C:$C,"专业外包",'1-2 人员岗位信息'!$B:$B,$D188)</f>
        <v>0</v>
      </c>
      <c r="BI188" s="298"/>
      <c r="BJ188" s="174">
        <f t="shared" si="404"/>
        <v>0</v>
      </c>
      <c r="BK188" s="174">
        <f>SUMIFS('1-2 人员岗位信息'!Q:Q,'1-2 人员岗位信息'!$C:$C,"专业外包",'1-2 人员岗位信息'!$B:$B,$D188)</f>
        <v>0</v>
      </c>
      <c r="BL188" s="307"/>
      <c r="BM188" s="311"/>
      <c r="BN188" s="315"/>
    </row>
    <row r="189" s="48" customFormat="1" ht="33.95" hidden="1" customHeight="1" outlineLevel="3" collapsed="1" spans="2:66">
      <c r="B189" s="114" t="s">
        <v>794</v>
      </c>
      <c r="C189" s="115" t="s">
        <v>1120</v>
      </c>
      <c r="D189" s="48" t="s">
        <v>1121</v>
      </c>
      <c r="E189" s="114"/>
      <c r="F189" s="114"/>
      <c r="G189" s="114"/>
      <c r="H189" s="114">
        <f>H190+H196+H202</f>
        <v>0</v>
      </c>
      <c r="I189" s="114"/>
      <c r="J189" s="114"/>
      <c r="K189" s="114"/>
      <c r="L189" s="114"/>
      <c r="M189" s="114"/>
      <c r="N189" s="114"/>
      <c r="O189" s="114"/>
      <c r="P189" s="288"/>
      <c r="Q189" s="288"/>
      <c r="R189" s="288"/>
      <c r="S189" s="288"/>
      <c r="T189" s="288"/>
      <c r="U189" s="288"/>
      <c r="V189" s="288"/>
      <c r="W189" s="288"/>
      <c r="X189" s="288"/>
      <c r="Y189" s="288"/>
      <c r="Z189" s="288"/>
      <c r="AA189" s="288"/>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5"/>
      <c r="BM189" s="311"/>
      <c r="BN189" s="313"/>
    </row>
    <row r="190" s="117" customFormat="1" ht="33.95" hidden="1" customHeight="1" outlineLevel="4" collapsed="1" spans="2:66">
      <c r="B190" s="118" t="s">
        <v>794</v>
      </c>
      <c r="C190" s="119" t="s">
        <v>130</v>
      </c>
      <c r="D190" s="117" t="s">
        <v>109</v>
      </c>
      <c r="E190" s="118"/>
      <c r="F190" s="118"/>
      <c r="G190" s="118"/>
      <c r="H190" s="118">
        <f>SUM(H191:H195)</f>
        <v>0</v>
      </c>
      <c r="I190" s="118"/>
      <c r="J190" s="118"/>
      <c r="K190" s="118"/>
      <c r="L190" s="118"/>
      <c r="M190" s="118"/>
      <c r="N190" s="118"/>
      <c r="O190" s="118"/>
      <c r="P190" s="289"/>
      <c r="Q190" s="289"/>
      <c r="R190" s="289"/>
      <c r="S190" s="289"/>
      <c r="T190" s="289"/>
      <c r="U190" s="289"/>
      <c r="V190" s="289"/>
      <c r="W190" s="289"/>
      <c r="X190" s="289"/>
      <c r="Y190" s="289"/>
      <c r="Z190" s="289"/>
      <c r="AA190" s="289"/>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6"/>
      <c r="BM190" s="311"/>
      <c r="BN190" s="314"/>
    </row>
    <row r="191" s="263" customFormat="1" ht="33.95" hidden="1" customHeight="1" outlineLevel="5" spans="2:66">
      <c r="B191" s="174" t="s">
        <v>799</v>
      </c>
      <c r="C191" s="283" t="s">
        <v>1122</v>
      </c>
      <c r="D191" s="263" t="s">
        <v>1123</v>
      </c>
      <c r="E191" s="174" t="s">
        <v>1124</v>
      </c>
      <c r="F191" s="174"/>
      <c r="G191" s="174" t="s">
        <v>803</v>
      </c>
      <c r="H191" s="174">
        <f t="shared" ref="H191:H195" si="407">AB191</f>
        <v>0</v>
      </c>
      <c r="I191" s="174" t="s">
        <v>804</v>
      </c>
      <c r="J191" s="174">
        <f t="shared" ref="J191:J195" si="408">SUM(AD191,AG191,AJ191,AM191,AP191,AS191,AV191,AY191,BB191,BE191,BH191,BK191)/N191</f>
        <v>1</v>
      </c>
      <c r="K191" s="174" t="s">
        <v>805</v>
      </c>
      <c r="L191" s="174">
        <f t="shared" ref="L191:L195" si="409">H191/N191/J191</f>
        <v>0</v>
      </c>
      <c r="M191" s="174" t="s">
        <v>806</v>
      </c>
      <c r="N191" s="174">
        <f t="shared" ref="N191:N195" si="410">COUNTIF(AD191,"&gt;0")+COUNTIF(AG191,"&gt;0")+COUNTIF(AJ191,"&gt;0")+COUNTIF(AM191,"&gt;0")+COUNTIF(AP191,"&gt;0")+COUNTIF(AS191,"&gt;0")+COUNTIF(AV191,"&gt;0")+COUNTIF(AY191,"&gt;0")+COUNTIF(BB191,"&gt;0")+COUNTIF(BE191,"&gt;0")+COUNTIF(BH191,"&gt;0")+COUNTIF(BK191,"&gt;0")</f>
        <v>12</v>
      </c>
      <c r="O191" s="174"/>
      <c r="P191" s="290"/>
      <c r="Q191" s="290"/>
      <c r="R191" s="290"/>
      <c r="S191" s="290"/>
      <c r="T191" s="290"/>
      <c r="U191" s="290"/>
      <c r="V191" s="290"/>
      <c r="W191" s="290"/>
      <c r="X191" s="290"/>
      <c r="Y191" s="290"/>
      <c r="Z191" s="290"/>
      <c r="AA191" s="290"/>
      <c r="AB191" s="174">
        <f t="shared" ref="AB191:AB195" si="411">SUM(AC191,AF191,AI191,AL191,AO191,AR191,AU191,AX191,BA191,BD191,BG191,BJ191)</f>
        <v>0</v>
      </c>
      <c r="AC191" s="174">
        <f t="shared" ref="AC191:AC195" si="412">AD191*AE191</f>
        <v>0</v>
      </c>
      <c r="AD191" s="174">
        <v>1</v>
      </c>
      <c r="AE191" s="298">
        <f>自有人工预算!E29/AD191</f>
        <v>0</v>
      </c>
      <c r="AF191" s="174">
        <f t="shared" ref="AF191:AF195" si="413">AG191*AH191</f>
        <v>0</v>
      </c>
      <c r="AG191" s="174">
        <v>1</v>
      </c>
      <c r="AH191" s="298">
        <f>自有人工预算!F29/AG191</f>
        <v>0</v>
      </c>
      <c r="AI191" s="174">
        <f t="shared" ref="AI191:AI195" si="414">AJ191*AK191</f>
        <v>0</v>
      </c>
      <c r="AJ191" s="174">
        <v>1</v>
      </c>
      <c r="AK191" s="298">
        <f>自有人工预算!G29/AJ191</f>
        <v>0</v>
      </c>
      <c r="AL191" s="174">
        <f t="shared" ref="AL191:AL195" si="415">AM191*AN191</f>
        <v>0</v>
      </c>
      <c r="AM191" s="174">
        <v>1</v>
      </c>
      <c r="AN191" s="298">
        <f>自有人工预算!H29/AM191</f>
        <v>0</v>
      </c>
      <c r="AO191" s="174">
        <f t="shared" ref="AO191:AO195" si="416">AP191*AQ191</f>
        <v>0</v>
      </c>
      <c r="AP191" s="174">
        <v>1</v>
      </c>
      <c r="AQ191" s="298">
        <f>自有人工预算!I29/AP191</f>
        <v>0</v>
      </c>
      <c r="AR191" s="174">
        <f t="shared" ref="AR191:AR195" si="417">AS191*AT191</f>
        <v>0</v>
      </c>
      <c r="AS191" s="174">
        <v>1</v>
      </c>
      <c r="AT191" s="298">
        <f>自有人工预算!J29/AS191</f>
        <v>0</v>
      </c>
      <c r="AU191" s="174">
        <f t="shared" ref="AU191:AU195" si="418">AV191*AW191</f>
        <v>0</v>
      </c>
      <c r="AV191" s="174">
        <v>1</v>
      </c>
      <c r="AW191" s="298">
        <f>自有人工预算!K29/AV191</f>
        <v>0</v>
      </c>
      <c r="AX191" s="174">
        <f t="shared" ref="AX191:AX195" si="419">AY191*AZ191</f>
        <v>0</v>
      </c>
      <c r="AY191" s="174">
        <v>1</v>
      </c>
      <c r="AZ191" s="298">
        <f>自有人工预算!L29/AY191</f>
        <v>0</v>
      </c>
      <c r="BA191" s="174">
        <f t="shared" ref="BA191:BA195" si="420">BB191*BC191</f>
        <v>0</v>
      </c>
      <c r="BB191" s="174">
        <v>1</v>
      </c>
      <c r="BC191" s="298">
        <f>自有人工预算!M29/BB191</f>
        <v>0</v>
      </c>
      <c r="BD191" s="174">
        <f t="shared" ref="BD191:BD195" si="421">BE191*BF191</f>
        <v>0</v>
      </c>
      <c r="BE191" s="174">
        <v>1</v>
      </c>
      <c r="BF191" s="298">
        <f>自有人工预算!N29/BE191</f>
        <v>0</v>
      </c>
      <c r="BG191" s="174">
        <f t="shared" ref="BG191:BG195" si="422">BH191*BI191</f>
        <v>0</v>
      </c>
      <c r="BH191" s="174">
        <v>1</v>
      </c>
      <c r="BI191" s="298">
        <f>自有人工预算!O29/BH191</f>
        <v>0</v>
      </c>
      <c r="BJ191" s="174">
        <f t="shared" ref="BJ191:BJ195" si="423">BK191*BL191</f>
        <v>0</v>
      </c>
      <c r="BK191" s="174">
        <v>1</v>
      </c>
      <c r="BL191" s="298">
        <f>自有人工预算!P29/BK191</f>
        <v>0</v>
      </c>
      <c r="BM191" s="311"/>
      <c r="BN191" s="315"/>
    </row>
    <row r="192" s="263" customFormat="1" ht="33.95" hidden="1" customHeight="1" outlineLevel="5" spans="2:66">
      <c r="B192" s="174" t="s">
        <v>799</v>
      </c>
      <c r="C192" s="283" t="s">
        <v>1125</v>
      </c>
      <c r="D192" s="263" t="s">
        <v>1126</v>
      </c>
      <c r="E192" s="174" t="s">
        <v>1124</v>
      </c>
      <c r="F192" s="174"/>
      <c r="G192" s="174" t="s">
        <v>803</v>
      </c>
      <c r="H192" s="174">
        <f t="shared" si="407"/>
        <v>0</v>
      </c>
      <c r="I192" s="174" t="s">
        <v>804</v>
      </c>
      <c r="J192" s="174" t="e">
        <f t="shared" si="408"/>
        <v>#DIV/0!</v>
      </c>
      <c r="K192" s="174" t="s">
        <v>805</v>
      </c>
      <c r="L192" s="174" t="e">
        <f t="shared" si="409"/>
        <v>#DIV/0!</v>
      </c>
      <c r="M192" s="174" t="s">
        <v>806</v>
      </c>
      <c r="N192" s="174">
        <f t="shared" si="410"/>
        <v>0</v>
      </c>
      <c r="O192" s="174"/>
      <c r="P192" s="290"/>
      <c r="Q192" s="290"/>
      <c r="R192" s="290"/>
      <c r="S192" s="290"/>
      <c r="T192" s="290"/>
      <c r="U192" s="290"/>
      <c r="V192" s="290"/>
      <c r="W192" s="290"/>
      <c r="X192" s="290"/>
      <c r="Y192" s="290"/>
      <c r="Z192" s="290"/>
      <c r="AA192" s="290"/>
      <c r="AB192" s="174">
        <f t="shared" si="411"/>
        <v>0</v>
      </c>
      <c r="AC192" s="174">
        <f t="shared" si="412"/>
        <v>0</v>
      </c>
      <c r="AD192" s="174">
        <f>SUMIFS('1-2 人员岗位信息'!F:F,'1-2 人员岗位信息'!$C:$C,"自有人员",'1-2 人员岗位信息'!$B:$B,$D192)</f>
        <v>0</v>
      </c>
      <c r="AE192" s="298"/>
      <c r="AF192" s="174">
        <f t="shared" si="413"/>
        <v>0</v>
      </c>
      <c r="AG192" s="174">
        <f>SUMIFS('1-2 人员岗位信息'!G:G,'1-2 人员岗位信息'!$C:$C,"自有人员",'1-2 人员岗位信息'!$B:$B,$D192)</f>
        <v>0</v>
      </c>
      <c r="AH192" s="298"/>
      <c r="AI192" s="174">
        <f t="shared" si="414"/>
        <v>0</v>
      </c>
      <c r="AJ192" s="174">
        <f>SUMIFS('1-2 人员岗位信息'!H:H,'1-2 人员岗位信息'!$C:$C,"自有人员",'1-2 人员岗位信息'!$B:$B,$D192)</f>
        <v>0</v>
      </c>
      <c r="AK192" s="298"/>
      <c r="AL192" s="174">
        <f t="shared" si="415"/>
        <v>0</v>
      </c>
      <c r="AM192" s="174">
        <f>SUMIFS('1-2 人员岗位信息'!I:I,'1-2 人员岗位信息'!$C:$C,"自有人员",'1-2 人员岗位信息'!$B:$B,$D192)</f>
        <v>0</v>
      </c>
      <c r="AN192" s="298"/>
      <c r="AO192" s="174">
        <f t="shared" si="416"/>
        <v>0</v>
      </c>
      <c r="AP192" s="174">
        <f>SUMIFS('1-2 人员岗位信息'!J:J,'1-2 人员岗位信息'!$C:$C,"自有人员",'1-2 人员岗位信息'!$B:$B,$D192)</f>
        <v>0</v>
      </c>
      <c r="AQ192" s="298"/>
      <c r="AR192" s="174">
        <f t="shared" si="417"/>
        <v>0</v>
      </c>
      <c r="AS192" s="174">
        <f>SUMIFS('1-2 人员岗位信息'!K:K,'1-2 人员岗位信息'!$C:$C,"自有人员",'1-2 人员岗位信息'!$B:$B,$D192)</f>
        <v>0</v>
      </c>
      <c r="AT192" s="298"/>
      <c r="AU192" s="174">
        <f t="shared" si="418"/>
        <v>0</v>
      </c>
      <c r="AV192" s="174">
        <f>SUMIFS('1-2 人员岗位信息'!L:L,'1-2 人员岗位信息'!$C:$C,"自有人员",'1-2 人员岗位信息'!$B:$B,$D192)</f>
        <v>0</v>
      </c>
      <c r="AW192" s="298"/>
      <c r="AX192" s="174">
        <f t="shared" si="419"/>
        <v>0</v>
      </c>
      <c r="AY192" s="174">
        <f>SUMIFS('1-2 人员岗位信息'!M:M,'1-2 人员岗位信息'!$C:$C,"自有人员",'1-2 人员岗位信息'!$B:$B,$D192)</f>
        <v>0</v>
      </c>
      <c r="AZ192" s="298"/>
      <c r="BA192" s="174">
        <f t="shared" si="420"/>
        <v>0</v>
      </c>
      <c r="BB192" s="174">
        <f>SUMIFS('1-2 人员岗位信息'!N:N,'1-2 人员岗位信息'!$C:$C,"自有人员",'1-2 人员岗位信息'!$B:$B,$D192)</f>
        <v>0</v>
      </c>
      <c r="BC192" s="298"/>
      <c r="BD192" s="174">
        <f t="shared" si="421"/>
        <v>0</v>
      </c>
      <c r="BE192" s="174">
        <f>SUMIFS('1-2 人员岗位信息'!O:O,'1-2 人员岗位信息'!$C:$C,"自有人员",'1-2 人员岗位信息'!$B:$B,$D192)</f>
        <v>0</v>
      </c>
      <c r="BF192" s="298"/>
      <c r="BG192" s="174">
        <f t="shared" si="422"/>
        <v>0</v>
      </c>
      <c r="BH192" s="174">
        <f>SUMIFS('1-2 人员岗位信息'!P:P,'1-2 人员岗位信息'!$C:$C,"自有人员",'1-2 人员岗位信息'!$B:$B,$D192)</f>
        <v>0</v>
      </c>
      <c r="BI192" s="298"/>
      <c r="BJ192" s="174">
        <f t="shared" si="423"/>
        <v>0</v>
      </c>
      <c r="BK192" s="174">
        <f>SUMIFS('1-2 人员岗位信息'!Q:Q,'1-2 人员岗位信息'!$C:$C,"自有人员",'1-2 人员岗位信息'!$B:$B,$D192)</f>
        <v>0</v>
      </c>
      <c r="BL192" s="307"/>
      <c r="BM192" s="311"/>
      <c r="BN192" s="315"/>
    </row>
    <row r="193" s="263" customFormat="1" ht="33.95" hidden="1" customHeight="1" outlineLevel="5" spans="2:66">
      <c r="B193" s="174" t="s">
        <v>799</v>
      </c>
      <c r="C193" s="283" t="s">
        <v>1127</v>
      </c>
      <c r="D193" s="263" t="s">
        <v>1128</v>
      </c>
      <c r="E193" s="174" t="s">
        <v>1124</v>
      </c>
      <c r="F193" s="174"/>
      <c r="G193" s="174" t="s">
        <v>803</v>
      </c>
      <c r="H193" s="174">
        <f t="shared" si="407"/>
        <v>0</v>
      </c>
      <c r="I193" s="174" t="s">
        <v>804</v>
      </c>
      <c r="J193" s="174" t="e">
        <f t="shared" si="408"/>
        <v>#DIV/0!</v>
      </c>
      <c r="K193" s="174" t="s">
        <v>805</v>
      </c>
      <c r="L193" s="174" t="e">
        <f t="shared" si="409"/>
        <v>#DIV/0!</v>
      </c>
      <c r="M193" s="174" t="s">
        <v>806</v>
      </c>
      <c r="N193" s="174">
        <f t="shared" si="410"/>
        <v>0</v>
      </c>
      <c r="O193" s="174"/>
      <c r="P193" s="290"/>
      <c r="Q193" s="290"/>
      <c r="R193" s="290"/>
      <c r="S193" s="290"/>
      <c r="T193" s="290"/>
      <c r="U193" s="290"/>
      <c r="V193" s="290"/>
      <c r="W193" s="290"/>
      <c r="X193" s="290"/>
      <c r="Y193" s="290"/>
      <c r="Z193" s="290"/>
      <c r="AA193" s="290"/>
      <c r="AB193" s="174">
        <f t="shared" si="411"/>
        <v>0</v>
      </c>
      <c r="AC193" s="174">
        <f t="shared" si="412"/>
        <v>0</v>
      </c>
      <c r="AD193" s="174">
        <f>SUMIFS('1-2 人员岗位信息'!F:F,'1-2 人员岗位信息'!$C:$C,"自有人员",'1-2 人员岗位信息'!$B:$B,$D193)</f>
        <v>0</v>
      </c>
      <c r="AE193" s="298"/>
      <c r="AF193" s="174">
        <f t="shared" si="413"/>
        <v>0</v>
      </c>
      <c r="AG193" s="174">
        <f>SUMIFS('1-2 人员岗位信息'!G:G,'1-2 人员岗位信息'!$C:$C,"自有人员",'1-2 人员岗位信息'!$B:$B,$D193)</f>
        <v>0</v>
      </c>
      <c r="AH193" s="298"/>
      <c r="AI193" s="174">
        <f t="shared" si="414"/>
        <v>0</v>
      </c>
      <c r="AJ193" s="174">
        <f>SUMIFS('1-2 人员岗位信息'!H:H,'1-2 人员岗位信息'!$C:$C,"自有人员",'1-2 人员岗位信息'!$B:$B,$D193)</f>
        <v>0</v>
      </c>
      <c r="AK193" s="298"/>
      <c r="AL193" s="174">
        <f t="shared" si="415"/>
        <v>0</v>
      </c>
      <c r="AM193" s="174">
        <f>SUMIFS('1-2 人员岗位信息'!I:I,'1-2 人员岗位信息'!$C:$C,"自有人员",'1-2 人员岗位信息'!$B:$B,$D193)</f>
        <v>0</v>
      </c>
      <c r="AN193" s="298"/>
      <c r="AO193" s="174">
        <f t="shared" si="416"/>
        <v>0</v>
      </c>
      <c r="AP193" s="174">
        <f>SUMIFS('1-2 人员岗位信息'!J:J,'1-2 人员岗位信息'!$C:$C,"自有人员",'1-2 人员岗位信息'!$B:$B,$D193)</f>
        <v>0</v>
      </c>
      <c r="AQ193" s="298"/>
      <c r="AR193" s="174">
        <f t="shared" si="417"/>
        <v>0</v>
      </c>
      <c r="AS193" s="174">
        <f>SUMIFS('1-2 人员岗位信息'!K:K,'1-2 人员岗位信息'!$C:$C,"自有人员",'1-2 人员岗位信息'!$B:$B,$D193)</f>
        <v>0</v>
      </c>
      <c r="AT193" s="298"/>
      <c r="AU193" s="174">
        <f t="shared" si="418"/>
        <v>0</v>
      </c>
      <c r="AV193" s="174">
        <f>SUMIFS('1-2 人员岗位信息'!L:L,'1-2 人员岗位信息'!$C:$C,"自有人员",'1-2 人员岗位信息'!$B:$B,$D193)</f>
        <v>0</v>
      </c>
      <c r="AW193" s="298"/>
      <c r="AX193" s="174">
        <f t="shared" si="419"/>
        <v>0</v>
      </c>
      <c r="AY193" s="174">
        <f>SUMIFS('1-2 人员岗位信息'!M:M,'1-2 人员岗位信息'!$C:$C,"自有人员",'1-2 人员岗位信息'!$B:$B,$D193)</f>
        <v>0</v>
      </c>
      <c r="AZ193" s="298"/>
      <c r="BA193" s="174">
        <f t="shared" si="420"/>
        <v>0</v>
      </c>
      <c r="BB193" s="174">
        <f>SUMIFS('1-2 人员岗位信息'!N:N,'1-2 人员岗位信息'!$C:$C,"自有人员",'1-2 人员岗位信息'!$B:$B,$D193)</f>
        <v>0</v>
      </c>
      <c r="BC193" s="298"/>
      <c r="BD193" s="174">
        <f t="shared" si="421"/>
        <v>0</v>
      </c>
      <c r="BE193" s="174">
        <f>SUMIFS('1-2 人员岗位信息'!O:O,'1-2 人员岗位信息'!$C:$C,"自有人员",'1-2 人员岗位信息'!$B:$B,$D193)</f>
        <v>0</v>
      </c>
      <c r="BF193" s="298"/>
      <c r="BG193" s="174">
        <f t="shared" si="422"/>
        <v>0</v>
      </c>
      <c r="BH193" s="174">
        <f>SUMIFS('1-2 人员岗位信息'!P:P,'1-2 人员岗位信息'!$C:$C,"自有人员",'1-2 人员岗位信息'!$B:$B,$D193)</f>
        <v>0</v>
      </c>
      <c r="BI193" s="298"/>
      <c r="BJ193" s="174">
        <f t="shared" si="423"/>
        <v>0</v>
      </c>
      <c r="BK193" s="174">
        <f>SUMIFS('1-2 人员岗位信息'!Q:Q,'1-2 人员岗位信息'!$C:$C,"自有人员",'1-2 人员岗位信息'!$B:$B,$D193)</f>
        <v>0</v>
      </c>
      <c r="BL193" s="307"/>
      <c r="BM193" s="311"/>
      <c r="BN193" s="315"/>
    </row>
    <row r="194" s="263" customFormat="1" ht="33.95" hidden="1" customHeight="1" outlineLevel="5" spans="2:66">
      <c r="B194" s="174" t="s">
        <v>799</v>
      </c>
      <c r="C194" s="283" t="s">
        <v>1129</v>
      </c>
      <c r="D194" s="263" t="s">
        <v>1130</v>
      </c>
      <c r="E194" s="174" t="s">
        <v>1124</v>
      </c>
      <c r="F194" s="174"/>
      <c r="G194" s="174" t="s">
        <v>803</v>
      </c>
      <c r="H194" s="174">
        <f t="shared" si="407"/>
        <v>0</v>
      </c>
      <c r="I194" s="174" t="s">
        <v>804</v>
      </c>
      <c r="J194" s="174" t="e">
        <f t="shared" si="408"/>
        <v>#DIV/0!</v>
      </c>
      <c r="K194" s="174" t="s">
        <v>805</v>
      </c>
      <c r="L194" s="174" t="e">
        <f t="shared" si="409"/>
        <v>#DIV/0!</v>
      </c>
      <c r="M194" s="174" t="s">
        <v>806</v>
      </c>
      <c r="N194" s="174">
        <f t="shared" si="410"/>
        <v>0</v>
      </c>
      <c r="O194" s="174"/>
      <c r="P194" s="290"/>
      <c r="Q194" s="290"/>
      <c r="R194" s="290"/>
      <c r="S194" s="290"/>
      <c r="T194" s="290"/>
      <c r="U194" s="290"/>
      <c r="V194" s="290"/>
      <c r="W194" s="290"/>
      <c r="X194" s="290"/>
      <c r="Y194" s="290"/>
      <c r="Z194" s="290"/>
      <c r="AA194" s="290"/>
      <c r="AB194" s="174">
        <f t="shared" si="411"/>
        <v>0</v>
      </c>
      <c r="AC194" s="174">
        <f t="shared" si="412"/>
        <v>0</v>
      </c>
      <c r="AD194" s="174">
        <f>SUMIFS('1-2 人员岗位信息'!F:F,'1-2 人员岗位信息'!$C:$C,"自有人员",'1-2 人员岗位信息'!$B:$B,$D194)</f>
        <v>0</v>
      </c>
      <c r="AE194" s="298"/>
      <c r="AF194" s="174">
        <f t="shared" si="413"/>
        <v>0</v>
      </c>
      <c r="AG194" s="174">
        <f>SUMIFS('1-2 人员岗位信息'!G:G,'1-2 人员岗位信息'!$C:$C,"自有人员",'1-2 人员岗位信息'!$B:$B,$D194)</f>
        <v>0</v>
      </c>
      <c r="AH194" s="298"/>
      <c r="AI194" s="174">
        <f t="shared" si="414"/>
        <v>0</v>
      </c>
      <c r="AJ194" s="174">
        <f>SUMIFS('1-2 人员岗位信息'!H:H,'1-2 人员岗位信息'!$C:$C,"自有人员",'1-2 人员岗位信息'!$B:$B,$D194)</f>
        <v>0</v>
      </c>
      <c r="AK194" s="298"/>
      <c r="AL194" s="174">
        <f t="shared" si="415"/>
        <v>0</v>
      </c>
      <c r="AM194" s="174">
        <f>SUMIFS('1-2 人员岗位信息'!I:I,'1-2 人员岗位信息'!$C:$C,"自有人员",'1-2 人员岗位信息'!$B:$B,$D194)</f>
        <v>0</v>
      </c>
      <c r="AN194" s="298"/>
      <c r="AO194" s="174">
        <f t="shared" si="416"/>
        <v>0</v>
      </c>
      <c r="AP194" s="174">
        <f>SUMIFS('1-2 人员岗位信息'!J:J,'1-2 人员岗位信息'!$C:$C,"自有人员",'1-2 人员岗位信息'!$B:$B,$D194)</f>
        <v>0</v>
      </c>
      <c r="AQ194" s="298"/>
      <c r="AR194" s="174">
        <f t="shared" si="417"/>
        <v>0</v>
      </c>
      <c r="AS194" s="174">
        <f>SUMIFS('1-2 人员岗位信息'!K:K,'1-2 人员岗位信息'!$C:$C,"自有人员",'1-2 人员岗位信息'!$B:$B,$D194)</f>
        <v>0</v>
      </c>
      <c r="AT194" s="298"/>
      <c r="AU194" s="174">
        <f t="shared" si="418"/>
        <v>0</v>
      </c>
      <c r="AV194" s="174">
        <f>SUMIFS('1-2 人员岗位信息'!L:L,'1-2 人员岗位信息'!$C:$C,"自有人员",'1-2 人员岗位信息'!$B:$B,$D194)</f>
        <v>0</v>
      </c>
      <c r="AW194" s="298"/>
      <c r="AX194" s="174">
        <f t="shared" si="419"/>
        <v>0</v>
      </c>
      <c r="AY194" s="174">
        <f>SUMIFS('1-2 人员岗位信息'!M:M,'1-2 人员岗位信息'!$C:$C,"自有人员",'1-2 人员岗位信息'!$B:$B,$D194)</f>
        <v>0</v>
      </c>
      <c r="AZ194" s="298"/>
      <c r="BA194" s="174">
        <f t="shared" si="420"/>
        <v>0</v>
      </c>
      <c r="BB194" s="174">
        <f>SUMIFS('1-2 人员岗位信息'!N:N,'1-2 人员岗位信息'!$C:$C,"自有人员",'1-2 人员岗位信息'!$B:$B,$D194)</f>
        <v>0</v>
      </c>
      <c r="BC194" s="298"/>
      <c r="BD194" s="174">
        <f t="shared" si="421"/>
        <v>0</v>
      </c>
      <c r="BE194" s="174">
        <f>SUMIFS('1-2 人员岗位信息'!O:O,'1-2 人员岗位信息'!$C:$C,"自有人员",'1-2 人员岗位信息'!$B:$B,$D194)</f>
        <v>0</v>
      </c>
      <c r="BF194" s="298"/>
      <c r="BG194" s="174">
        <f t="shared" si="422"/>
        <v>0</v>
      </c>
      <c r="BH194" s="174">
        <f>SUMIFS('1-2 人员岗位信息'!P:P,'1-2 人员岗位信息'!$C:$C,"自有人员",'1-2 人员岗位信息'!$B:$B,$D194)</f>
        <v>0</v>
      </c>
      <c r="BI194" s="298"/>
      <c r="BJ194" s="174">
        <f t="shared" si="423"/>
        <v>0</v>
      </c>
      <c r="BK194" s="174">
        <f>SUMIFS('1-2 人员岗位信息'!Q:Q,'1-2 人员岗位信息'!$C:$C,"自有人员",'1-2 人员岗位信息'!$B:$B,$D194)</f>
        <v>0</v>
      </c>
      <c r="BL194" s="307"/>
      <c r="BM194" s="311"/>
      <c r="BN194" s="315"/>
    </row>
    <row r="195" s="263" customFormat="1" ht="33.95" hidden="1" customHeight="1" outlineLevel="5" spans="2:66">
      <c r="B195" s="174" t="s">
        <v>799</v>
      </c>
      <c r="C195" s="283" t="s">
        <v>1131</v>
      </c>
      <c r="D195" s="263" t="s">
        <v>1132</v>
      </c>
      <c r="E195" s="174" t="s">
        <v>1124</v>
      </c>
      <c r="F195" s="174"/>
      <c r="G195" s="174" t="s">
        <v>803</v>
      </c>
      <c r="H195" s="174">
        <f t="shared" si="407"/>
        <v>0</v>
      </c>
      <c r="I195" s="174" t="s">
        <v>804</v>
      </c>
      <c r="J195" s="174" t="e">
        <f t="shared" si="408"/>
        <v>#DIV/0!</v>
      </c>
      <c r="K195" s="174" t="s">
        <v>805</v>
      </c>
      <c r="L195" s="174" t="e">
        <f t="shared" si="409"/>
        <v>#DIV/0!</v>
      </c>
      <c r="M195" s="174" t="s">
        <v>806</v>
      </c>
      <c r="N195" s="174">
        <f t="shared" si="410"/>
        <v>0</v>
      </c>
      <c r="O195" s="174"/>
      <c r="P195" s="290"/>
      <c r="Q195" s="290"/>
      <c r="R195" s="290"/>
      <c r="S195" s="290"/>
      <c r="T195" s="290"/>
      <c r="U195" s="290"/>
      <c r="V195" s="290"/>
      <c r="W195" s="290"/>
      <c r="X195" s="290"/>
      <c r="Y195" s="290"/>
      <c r="Z195" s="290"/>
      <c r="AA195" s="290"/>
      <c r="AB195" s="174">
        <f t="shared" si="411"/>
        <v>0</v>
      </c>
      <c r="AC195" s="174">
        <f t="shared" si="412"/>
        <v>0</v>
      </c>
      <c r="AD195" s="174">
        <f>SUMIFS('1-2 人员岗位信息'!F:F,'1-2 人员岗位信息'!$C:$C,"自有人员",'1-2 人员岗位信息'!$B:$B,$D195)</f>
        <v>0</v>
      </c>
      <c r="AE195" s="298"/>
      <c r="AF195" s="174">
        <f t="shared" si="413"/>
        <v>0</v>
      </c>
      <c r="AG195" s="174">
        <f>SUMIFS('1-2 人员岗位信息'!G:G,'1-2 人员岗位信息'!$C:$C,"自有人员",'1-2 人员岗位信息'!$B:$B,$D195)</f>
        <v>0</v>
      </c>
      <c r="AH195" s="298"/>
      <c r="AI195" s="174">
        <f t="shared" si="414"/>
        <v>0</v>
      </c>
      <c r="AJ195" s="174">
        <f>SUMIFS('1-2 人员岗位信息'!H:H,'1-2 人员岗位信息'!$C:$C,"自有人员",'1-2 人员岗位信息'!$B:$B,$D195)</f>
        <v>0</v>
      </c>
      <c r="AK195" s="298"/>
      <c r="AL195" s="174">
        <f t="shared" si="415"/>
        <v>0</v>
      </c>
      <c r="AM195" s="174">
        <f>SUMIFS('1-2 人员岗位信息'!I:I,'1-2 人员岗位信息'!$C:$C,"自有人员",'1-2 人员岗位信息'!$B:$B,$D195)</f>
        <v>0</v>
      </c>
      <c r="AN195" s="298"/>
      <c r="AO195" s="174">
        <f t="shared" si="416"/>
        <v>0</v>
      </c>
      <c r="AP195" s="174">
        <f>SUMIFS('1-2 人员岗位信息'!J:J,'1-2 人员岗位信息'!$C:$C,"自有人员",'1-2 人员岗位信息'!$B:$B,$D195)</f>
        <v>0</v>
      </c>
      <c r="AQ195" s="298"/>
      <c r="AR195" s="174">
        <f t="shared" si="417"/>
        <v>0</v>
      </c>
      <c r="AS195" s="174">
        <f>SUMIFS('1-2 人员岗位信息'!K:K,'1-2 人员岗位信息'!$C:$C,"自有人员",'1-2 人员岗位信息'!$B:$B,$D195)</f>
        <v>0</v>
      </c>
      <c r="AT195" s="298"/>
      <c r="AU195" s="174">
        <f t="shared" si="418"/>
        <v>0</v>
      </c>
      <c r="AV195" s="174">
        <f>SUMIFS('1-2 人员岗位信息'!L:L,'1-2 人员岗位信息'!$C:$C,"自有人员",'1-2 人员岗位信息'!$B:$B,$D195)</f>
        <v>0</v>
      </c>
      <c r="AW195" s="298"/>
      <c r="AX195" s="174">
        <f t="shared" si="419"/>
        <v>0</v>
      </c>
      <c r="AY195" s="174">
        <f>SUMIFS('1-2 人员岗位信息'!M:M,'1-2 人员岗位信息'!$C:$C,"自有人员",'1-2 人员岗位信息'!$B:$B,$D195)</f>
        <v>0</v>
      </c>
      <c r="AZ195" s="298"/>
      <c r="BA195" s="174">
        <f t="shared" si="420"/>
        <v>0</v>
      </c>
      <c r="BB195" s="174">
        <f>SUMIFS('1-2 人员岗位信息'!N:N,'1-2 人员岗位信息'!$C:$C,"自有人员",'1-2 人员岗位信息'!$B:$B,$D195)</f>
        <v>0</v>
      </c>
      <c r="BC195" s="298"/>
      <c r="BD195" s="174">
        <f t="shared" si="421"/>
        <v>0</v>
      </c>
      <c r="BE195" s="174">
        <f>SUMIFS('1-2 人员岗位信息'!O:O,'1-2 人员岗位信息'!$C:$C,"自有人员",'1-2 人员岗位信息'!$B:$B,$D195)</f>
        <v>0</v>
      </c>
      <c r="BF195" s="298"/>
      <c r="BG195" s="174">
        <f t="shared" si="422"/>
        <v>0</v>
      </c>
      <c r="BH195" s="174">
        <f>SUMIFS('1-2 人员岗位信息'!P:P,'1-2 人员岗位信息'!$C:$C,"自有人员",'1-2 人员岗位信息'!$B:$B,$D195)</f>
        <v>0</v>
      </c>
      <c r="BI195" s="298"/>
      <c r="BJ195" s="174">
        <f t="shared" si="423"/>
        <v>0</v>
      </c>
      <c r="BK195" s="174">
        <f>SUMIFS('1-2 人员岗位信息'!Q:Q,'1-2 人员岗位信息'!$C:$C,"自有人员",'1-2 人员岗位信息'!$B:$B,$D195)</f>
        <v>0</v>
      </c>
      <c r="BL195" s="307"/>
      <c r="BM195" s="311"/>
      <c r="BN195" s="315"/>
    </row>
    <row r="196" s="117" customFormat="1" ht="33.95" hidden="1" customHeight="1" outlineLevel="4" collapsed="1" spans="2:66">
      <c r="B196" s="118" t="s">
        <v>794</v>
      </c>
      <c r="C196" s="119" t="s">
        <v>75</v>
      </c>
      <c r="D196" s="117" t="s">
        <v>68</v>
      </c>
      <c r="E196" s="118"/>
      <c r="F196" s="118"/>
      <c r="G196" s="118"/>
      <c r="H196" s="118">
        <f>SUM(H197:H201)</f>
        <v>0</v>
      </c>
      <c r="I196" s="118"/>
      <c r="J196" s="118"/>
      <c r="K196" s="118"/>
      <c r="L196" s="118"/>
      <c r="M196" s="118"/>
      <c r="N196" s="118"/>
      <c r="O196" s="118"/>
      <c r="P196" s="289"/>
      <c r="Q196" s="289"/>
      <c r="R196" s="289"/>
      <c r="S196" s="289"/>
      <c r="T196" s="289"/>
      <c r="U196" s="289"/>
      <c r="V196" s="289"/>
      <c r="W196" s="289"/>
      <c r="X196" s="289"/>
      <c r="Y196" s="289"/>
      <c r="Z196" s="289"/>
      <c r="AA196" s="289"/>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6"/>
      <c r="BM196" s="311"/>
      <c r="BN196" s="314"/>
    </row>
    <row r="197" s="263" customFormat="1" ht="33.95" hidden="1" customHeight="1" outlineLevel="5" spans="2:66">
      <c r="B197" s="174" t="s">
        <v>799</v>
      </c>
      <c r="C197" s="283" t="s">
        <v>1133</v>
      </c>
      <c r="D197" s="263" t="s">
        <v>1123</v>
      </c>
      <c r="E197" s="174" t="s">
        <v>1134</v>
      </c>
      <c r="F197" s="174"/>
      <c r="G197" s="174" t="s">
        <v>803</v>
      </c>
      <c r="H197" s="174">
        <f t="shared" ref="H197:H201" si="425">AB197</f>
        <v>0</v>
      </c>
      <c r="I197" s="174" t="s">
        <v>804</v>
      </c>
      <c r="J197" s="174" t="e">
        <f t="shared" ref="J197:J201" si="426">SUM(AD197,AG197,AJ197,AM197,AP197,AS197,AV197,AY197,BB197,BE197,BH197,BK197)/N197</f>
        <v>#DIV/0!</v>
      </c>
      <c r="K197" s="174" t="s">
        <v>805</v>
      </c>
      <c r="L197" s="174" t="e">
        <f t="shared" ref="L197:L201" si="427">H197/N197/J197</f>
        <v>#DIV/0!</v>
      </c>
      <c r="M197" s="174" t="s">
        <v>806</v>
      </c>
      <c r="N197" s="174">
        <f t="shared" ref="N197:N201" si="428">COUNTIF(AD197,"&gt;0")+COUNTIF(AG197,"&gt;0")+COUNTIF(AJ197,"&gt;0")+COUNTIF(AM197,"&gt;0")+COUNTIF(AP197,"&gt;0")+COUNTIF(AS197,"&gt;0")+COUNTIF(AV197,"&gt;0")+COUNTIF(AY197,"&gt;0")+COUNTIF(BB197,"&gt;0")+COUNTIF(BE197,"&gt;0")+COUNTIF(BH197,"&gt;0")+COUNTIF(BK197,"&gt;0")</f>
        <v>0</v>
      </c>
      <c r="O197" s="174"/>
      <c r="P197" s="290"/>
      <c r="Q197" s="290"/>
      <c r="R197" s="290"/>
      <c r="S197" s="290"/>
      <c r="T197" s="290"/>
      <c r="U197" s="290"/>
      <c r="V197" s="290"/>
      <c r="W197" s="290"/>
      <c r="X197" s="290"/>
      <c r="Y197" s="290"/>
      <c r="Z197" s="290"/>
      <c r="AA197" s="290"/>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8"/>
      <c r="AF197" s="174">
        <f t="shared" ref="AF197:AF201" si="431">AG197*AH197</f>
        <v>0</v>
      </c>
      <c r="AG197" s="174">
        <f>SUMIFS('1-2 人员岗位信息'!G:G,'1-2 人员岗位信息'!$C:$C,"劳务派遣",'1-2 人员岗位信息'!$B:$B,$D197)</f>
        <v>0</v>
      </c>
      <c r="AH197" s="298"/>
      <c r="AI197" s="174">
        <f t="shared" ref="AI197:AI201" si="432">AJ197*AK197</f>
        <v>0</v>
      </c>
      <c r="AJ197" s="174">
        <f>SUMIFS('1-2 人员岗位信息'!H:H,'1-2 人员岗位信息'!$C:$C,"劳务派遣",'1-2 人员岗位信息'!$B:$B,$D197)</f>
        <v>0</v>
      </c>
      <c r="AK197" s="298"/>
      <c r="AL197" s="174">
        <f t="shared" ref="AL197:AL201" si="433">AM197*AN197</f>
        <v>0</v>
      </c>
      <c r="AM197" s="174">
        <f>SUMIFS('1-2 人员岗位信息'!I:I,'1-2 人员岗位信息'!$C:$C,"劳务派遣",'1-2 人员岗位信息'!$B:$B,$D197)</f>
        <v>0</v>
      </c>
      <c r="AN197" s="298"/>
      <c r="AO197" s="174">
        <f t="shared" ref="AO197:AO201" si="434">AP197*AQ197</f>
        <v>0</v>
      </c>
      <c r="AP197" s="174">
        <f>SUMIFS('1-2 人员岗位信息'!J:J,'1-2 人员岗位信息'!$C:$C,"劳务派遣",'1-2 人员岗位信息'!$B:$B,$D197)</f>
        <v>0</v>
      </c>
      <c r="AQ197" s="298"/>
      <c r="AR197" s="174">
        <f t="shared" ref="AR197:AR201" si="435">AS197*AT197</f>
        <v>0</v>
      </c>
      <c r="AS197" s="174">
        <f>SUMIFS('1-2 人员岗位信息'!K:K,'1-2 人员岗位信息'!$C:$C,"劳务派遣",'1-2 人员岗位信息'!$B:$B,$D197)</f>
        <v>0</v>
      </c>
      <c r="AT197" s="298"/>
      <c r="AU197" s="174">
        <f t="shared" ref="AU197:AU201" si="436">AV197*AW197</f>
        <v>0</v>
      </c>
      <c r="AV197" s="174">
        <f>SUMIFS('1-2 人员岗位信息'!L:L,'1-2 人员岗位信息'!$C:$C,"劳务派遣",'1-2 人员岗位信息'!$B:$B,$D197)</f>
        <v>0</v>
      </c>
      <c r="AW197" s="298"/>
      <c r="AX197" s="174">
        <f t="shared" ref="AX197:AX201" si="437">AY197*AZ197</f>
        <v>0</v>
      </c>
      <c r="AY197" s="174">
        <f>SUMIFS('1-2 人员岗位信息'!M:M,'1-2 人员岗位信息'!$C:$C,"劳务派遣",'1-2 人员岗位信息'!$B:$B,$D197)</f>
        <v>0</v>
      </c>
      <c r="AZ197" s="298"/>
      <c r="BA197" s="174">
        <f t="shared" ref="BA197:BA201" si="438">BB197*BC197</f>
        <v>0</v>
      </c>
      <c r="BB197" s="174">
        <f>SUMIFS('1-2 人员岗位信息'!N:N,'1-2 人员岗位信息'!$C:$C,"劳务派遣",'1-2 人员岗位信息'!$B:$B,$D197)</f>
        <v>0</v>
      </c>
      <c r="BC197" s="298"/>
      <c r="BD197" s="174">
        <f t="shared" ref="BD197:BD201" si="439">BE197*BF197</f>
        <v>0</v>
      </c>
      <c r="BE197" s="174">
        <f>SUMIFS('1-2 人员岗位信息'!O:O,'1-2 人员岗位信息'!$C:$C,"劳务派遣",'1-2 人员岗位信息'!$B:$B,$D197)</f>
        <v>0</v>
      </c>
      <c r="BF197" s="298"/>
      <c r="BG197" s="174">
        <f t="shared" ref="BG197:BG201" si="440">BH197*BI197</f>
        <v>0</v>
      </c>
      <c r="BH197" s="174">
        <f>SUMIFS('1-2 人员岗位信息'!P:P,'1-2 人员岗位信息'!$C:$C,"劳务派遣",'1-2 人员岗位信息'!$B:$B,$D197)</f>
        <v>0</v>
      </c>
      <c r="BI197" s="298"/>
      <c r="BJ197" s="174">
        <f t="shared" ref="BJ197:BJ201" si="441">BK197*BL197</f>
        <v>0</v>
      </c>
      <c r="BK197" s="174">
        <f>SUMIFS('1-2 人员岗位信息'!Q:Q,'1-2 人员岗位信息'!$C:$C,"劳务派遣",'1-2 人员岗位信息'!$B:$B,$D197)</f>
        <v>0</v>
      </c>
      <c r="BL197" s="307"/>
      <c r="BM197" s="311"/>
      <c r="BN197" s="315"/>
    </row>
    <row r="198" s="263" customFormat="1" ht="33.95" hidden="1" customHeight="1" outlineLevel="5" spans="2:66">
      <c r="B198" s="174" t="s">
        <v>799</v>
      </c>
      <c r="C198" s="283" t="s">
        <v>1135</v>
      </c>
      <c r="D198" s="263" t="s">
        <v>1126</v>
      </c>
      <c r="E198" s="174" t="s">
        <v>1134</v>
      </c>
      <c r="F198" s="174"/>
      <c r="G198" s="174" t="s">
        <v>803</v>
      </c>
      <c r="H198" s="174">
        <f t="shared" si="425"/>
        <v>0</v>
      </c>
      <c r="I198" s="174" t="s">
        <v>804</v>
      </c>
      <c r="J198" s="174" t="e">
        <f t="shared" si="426"/>
        <v>#DIV/0!</v>
      </c>
      <c r="K198" s="174" t="s">
        <v>805</v>
      </c>
      <c r="L198" s="174" t="e">
        <f t="shared" si="427"/>
        <v>#DIV/0!</v>
      </c>
      <c r="M198" s="174" t="s">
        <v>806</v>
      </c>
      <c r="N198" s="174">
        <f t="shared" si="428"/>
        <v>0</v>
      </c>
      <c r="O198" s="174"/>
      <c r="P198" s="290"/>
      <c r="Q198" s="290"/>
      <c r="R198" s="290"/>
      <c r="S198" s="290"/>
      <c r="T198" s="290"/>
      <c r="U198" s="290"/>
      <c r="V198" s="290"/>
      <c r="W198" s="290"/>
      <c r="X198" s="290"/>
      <c r="Y198" s="290"/>
      <c r="Z198" s="290"/>
      <c r="AA198" s="290"/>
      <c r="AB198" s="174">
        <f t="shared" si="429"/>
        <v>0</v>
      </c>
      <c r="AC198" s="174">
        <f t="shared" si="430"/>
        <v>0</v>
      </c>
      <c r="AD198" s="174">
        <f>SUMIFS('1-2 人员岗位信息'!F:F,'1-2 人员岗位信息'!$C:$C,"劳务派遣",'1-2 人员岗位信息'!$B:$B,$D198)</f>
        <v>0</v>
      </c>
      <c r="AE198" s="298"/>
      <c r="AF198" s="174">
        <f t="shared" si="431"/>
        <v>0</v>
      </c>
      <c r="AG198" s="174">
        <f>SUMIFS('1-2 人员岗位信息'!G:G,'1-2 人员岗位信息'!$C:$C,"劳务派遣",'1-2 人员岗位信息'!$B:$B,$D198)</f>
        <v>0</v>
      </c>
      <c r="AH198" s="298"/>
      <c r="AI198" s="174">
        <f t="shared" si="432"/>
        <v>0</v>
      </c>
      <c r="AJ198" s="174">
        <f>SUMIFS('1-2 人员岗位信息'!H:H,'1-2 人员岗位信息'!$C:$C,"劳务派遣",'1-2 人员岗位信息'!$B:$B,$D198)</f>
        <v>0</v>
      </c>
      <c r="AK198" s="298"/>
      <c r="AL198" s="174">
        <f t="shared" si="433"/>
        <v>0</v>
      </c>
      <c r="AM198" s="174">
        <f>SUMIFS('1-2 人员岗位信息'!I:I,'1-2 人员岗位信息'!$C:$C,"劳务派遣",'1-2 人员岗位信息'!$B:$B,$D198)</f>
        <v>0</v>
      </c>
      <c r="AN198" s="298"/>
      <c r="AO198" s="174">
        <f t="shared" si="434"/>
        <v>0</v>
      </c>
      <c r="AP198" s="174">
        <f>SUMIFS('1-2 人员岗位信息'!J:J,'1-2 人员岗位信息'!$C:$C,"劳务派遣",'1-2 人员岗位信息'!$B:$B,$D198)</f>
        <v>0</v>
      </c>
      <c r="AQ198" s="298"/>
      <c r="AR198" s="174">
        <f t="shared" si="435"/>
        <v>0</v>
      </c>
      <c r="AS198" s="174">
        <f>SUMIFS('1-2 人员岗位信息'!K:K,'1-2 人员岗位信息'!$C:$C,"劳务派遣",'1-2 人员岗位信息'!$B:$B,$D198)</f>
        <v>0</v>
      </c>
      <c r="AT198" s="298"/>
      <c r="AU198" s="174">
        <f t="shared" si="436"/>
        <v>0</v>
      </c>
      <c r="AV198" s="174">
        <f>SUMIFS('1-2 人员岗位信息'!L:L,'1-2 人员岗位信息'!$C:$C,"劳务派遣",'1-2 人员岗位信息'!$B:$B,$D198)</f>
        <v>0</v>
      </c>
      <c r="AW198" s="298"/>
      <c r="AX198" s="174">
        <f t="shared" si="437"/>
        <v>0</v>
      </c>
      <c r="AY198" s="174">
        <f>SUMIFS('1-2 人员岗位信息'!M:M,'1-2 人员岗位信息'!$C:$C,"劳务派遣",'1-2 人员岗位信息'!$B:$B,$D198)</f>
        <v>0</v>
      </c>
      <c r="AZ198" s="298"/>
      <c r="BA198" s="174">
        <f t="shared" si="438"/>
        <v>0</v>
      </c>
      <c r="BB198" s="174">
        <f>SUMIFS('1-2 人员岗位信息'!N:N,'1-2 人员岗位信息'!$C:$C,"劳务派遣",'1-2 人员岗位信息'!$B:$B,$D198)</f>
        <v>0</v>
      </c>
      <c r="BC198" s="298"/>
      <c r="BD198" s="174">
        <f t="shared" si="439"/>
        <v>0</v>
      </c>
      <c r="BE198" s="174">
        <f>SUMIFS('1-2 人员岗位信息'!O:O,'1-2 人员岗位信息'!$C:$C,"劳务派遣",'1-2 人员岗位信息'!$B:$B,$D198)</f>
        <v>0</v>
      </c>
      <c r="BF198" s="298"/>
      <c r="BG198" s="174">
        <f t="shared" si="440"/>
        <v>0</v>
      </c>
      <c r="BH198" s="174">
        <f>SUMIFS('1-2 人员岗位信息'!P:P,'1-2 人员岗位信息'!$C:$C,"劳务派遣",'1-2 人员岗位信息'!$B:$B,$D198)</f>
        <v>0</v>
      </c>
      <c r="BI198" s="298"/>
      <c r="BJ198" s="174">
        <f t="shared" si="441"/>
        <v>0</v>
      </c>
      <c r="BK198" s="174">
        <f>SUMIFS('1-2 人员岗位信息'!Q:Q,'1-2 人员岗位信息'!$C:$C,"劳务派遣",'1-2 人员岗位信息'!$B:$B,$D198)</f>
        <v>0</v>
      </c>
      <c r="BL198" s="307"/>
      <c r="BM198" s="311"/>
      <c r="BN198" s="315"/>
    </row>
    <row r="199" s="263" customFormat="1" ht="33.95" hidden="1" customHeight="1" outlineLevel="5" spans="2:66">
      <c r="B199" s="174" t="s">
        <v>799</v>
      </c>
      <c r="C199" s="283" t="s">
        <v>1136</v>
      </c>
      <c r="D199" s="263" t="s">
        <v>1128</v>
      </c>
      <c r="E199" s="174" t="s">
        <v>1134</v>
      </c>
      <c r="F199" s="174"/>
      <c r="G199" s="174" t="s">
        <v>803</v>
      </c>
      <c r="H199" s="174">
        <f t="shared" si="425"/>
        <v>0</v>
      </c>
      <c r="I199" s="174" t="s">
        <v>804</v>
      </c>
      <c r="J199" s="174" t="e">
        <f t="shared" si="426"/>
        <v>#DIV/0!</v>
      </c>
      <c r="K199" s="174" t="s">
        <v>805</v>
      </c>
      <c r="L199" s="174" t="e">
        <f t="shared" si="427"/>
        <v>#DIV/0!</v>
      </c>
      <c r="M199" s="174" t="s">
        <v>806</v>
      </c>
      <c r="N199" s="174">
        <f t="shared" si="428"/>
        <v>0</v>
      </c>
      <c r="O199" s="174"/>
      <c r="P199" s="290"/>
      <c r="Q199" s="290"/>
      <c r="R199" s="290"/>
      <c r="S199" s="290"/>
      <c r="T199" s="290"/>
      <c r="U199" s="290"/>
      <c r="V199" s="290"/>
      <c r="W199" s="290"/>
      <c r="X199" s="290"/>
      <c r="Y199" s="290"/>
      <c r="Z199" s="290"/>
      <c r="AA199" s="290"/>
      <c r="AB199" s="174">
        <f t="shared" si="429"/>
        <v>0</v>
      </c>
      <c r="AC199" s="174">
        <f t="shared" si="430"/>
        <v>0</v>
      </c>
      <c r="AD199" s="174">
        <f>SUMIFS('1-2 人员岗位信息'!F:F,'1-2 人员岗位信息'!$C:$C,"劳务派遣",'1-2 人员岗位信息'!$B:$B,$D199)</f>
        <v>0</v>
      </c>
      <c r="AE199" s="298"/>
      <c r="AF199" s="174">
        <f t="shared" si="431"/>
        <v>0</v>
      </c>
      <c r="AG199" s="174">
        <f>SUMIFS('1-2 人员岗位信息'!G:G,'1-2 人员岗位信息'!$C:$C,"劳务派遣",'1-2 人员岗位信息'!$B:$B,$D199)</f>
        <v>0</v>
      </c>
      <c r="AH199" s="298"/>
      <c r="AI199" s="174">
        <f t="shared" si="432"/>
        <v>0</v>
      </c>
      <c r="AJ199" s="174">
        <f>SUMIFS('1-2 人员岗位信息'!H:H,'1-2 人员岗位信息'!$C:$C,"劳务派遣",'1-2 人员岗位信息'!$B:$B,$D199)</f>
        <v>0</v>
      </c>
      <c r="AK199" s="298"/>
      <c r="AL199" s="174">
        <f t="shared" si="433"/>
        <v>0</v>
      </c>
      <c r="AM199" s="174">
        <f>SUMIFS('1-2 人员岗位信息'!I:I,'1-2 人员岗位信息'!$C:$C,"劳务派遣",'1-2 人员岗位信息'!$B:$B,$D199)</f>
        <v>0</v>
      </c>
      <c r="AN199" s="298"/>
      <c r="AO199" s="174">
        <f t="shared" si="434"/>
        <v>0</v>
      </c>
      <c r="AP199" s="174">
        <f>SUMIFS('1-2 人员岗位信息'!J:J,'1-2 人员岗位信息'!$C:$C,"劳务派遣",'1-2 人员岗位信息'!$B:$B,$D199)</f>
        <v>0</v>
      </c>
      <c r="AQ199" s="298"/>
      <c r="AR199" s="174">
        <f t="shared" si="435"/>
        <v>0</v>
      </c>
      <c r="AS199" s="174">
        <f>SUMIFS('1-2 人员岗位信息'!K:K,'1-2 人员岗位信息'!$C:$C,"劳务派遣",'1-2 人员岗位信息'!$B:$B,$D199)</f>
        <v>0</v>
      </c>
      <c r="AT199" s="298"/>
      <c r="AU199" s="174">
        <f t="shared" si="436"/>
        <v>0</v>
      </c>
      <c r="AV199" s="174">
        <f>SUMIFS('1-2 人员岗位信息'!L:L,'1-2 人员岗位信息'!$C:$C,"劳务派遣",'1-2 人员岗位信息'!$B:$B,$D199)</f>
        <v>0</v>
      </c>
      <c r="AW199" s="298"/>
      <c r="AX199" s="174">
        <f t="shared" si="437"/>
        <v>0</v>
      </c>
      <c r="AY199" s="174">
        <f>SUMIFS('1-2 人员岗位信息'!M:M,'1-2 人员岗位信息'!$C:$C,"劳务派遣",'1-2 人员岗位信息'!$B:$B,$D199)</f>
        <v>0</v>
      </c>
      <c r="AZ199" s="298"/>
      <c r="BA199" s="174">
        <f t="shared" si="438"/>
        <v>0</v>
      </c>
      <c r="BB199" s="174">
        <f>SUMIFS('1-2 人员岗位信息'!N:N,'1-2 人员岗位信息'!$C:$C,"劳务派遣",'1-2 人员岗位信息'!$B:$B,$D199)</f>
        <v>0</v>
      </c>
      <c r="BC199" s="298"/>
      <c r="BD199" s="174">
        <f t="shared" si="439"/>
        <v>0</v>
      </c>
      <c r="BE199" s="174">
        <f>SUMIFS('1-2 人员岗位信息'!O:O,'1-2 人员岗位信息'!$C:$C,"劳务派遣",'1-2 人员岗位信息'!$B:$B,$D199)</f>
        <v>0</v>
      </c>
      <c r="BF199" s="298"/>
      <c r="BG199" s="174">
        <f t="shared" si="440"/>
        <v>0</v>
      </c>
      <c r="BH199" s="174">
        <f>SUMIFS('1-2 人员岗位信息'!P:P,'1-2 人员岗位信息'!$C:$C,"劳务派遣",'1-2 人员岗位信息'!$B:$B,$D199)</f>
        <v>0</v>
      </c>
      <c r="BI199" s="298"/>
      <c r="BJ199" s="174">
        <f t="shared" si="441"/>
        <v>0</v>
      </c>
      <c r="BK199" s="174">
        <f>SUMIFS('1-2 人员岗位信息'!Q:Q,'1-2 人员岗位信息'!$C:$C,"劳务派遣",'1-2 人员岗位信息'!$B:$B,$D199)</f>
        <v>0</v>
      </c>
      <c r="BL199" s="307"/>
      <c r="BM199" s="311"/>
      <c r="BN199" s="315"/>
    </row>
    <row r="200" s="263" customFormat="1" ht="33.95" hidden="1" customHeight="1" outlineLevel="5" spans="2:66">
      <c r="B200" s="174" t="s">
        <v>799</v>
      </c>
      <c r="C200" s="283" t="s">
        <v>1137</v>
      </c>
      <c r="D200" s="263" t="s">
        <v>1130</v>
      </c>
      <c r="E200" s="174" t="s">
        <v>1134</v>
      </c>
      <c r="F200" s="174"/>
      <c r="G200" s="174" t="s">
        <v>803</v>
      </c>
      <c r="H200" s="174">
        <f t="shared" si="425"/>
        <v>0</v>
      </c>
      <c r="I200" s="174" t="s">
        <v>804</v>
      </c>
      <c r="J200" s="174" t="e">
        <f t="shared" si="426"/>
        <v>#DIV/0!</v>
      </c>
      <c r="K200" s="174" t="s">
        <v>805</v>
      </c>
      <c r="L200" s="174" t="e">
        <f t="shared" si="427"/>
        <v>#DIV/0!</v>
      </c>
      <c r="M200" s="174" t="s">
        <v>806</v>
      </c>
      <c r="N200" s="174">
        <f t="shared" si="428"/>
        <v>0</v>
      </c>
      <c r="O200" s="174"/>
      <c r="P200" s="290"/>
      <c r="Q200" s="290"/>
      <c r="R200" s="290"/>
      <c r="S200" s="290"/>
      <c r="T200" s="290"/>
      <c r="U200" s="290"/>
      <c r="V200" s="290"/>
      <c r="W200" s="290"/>
      <c r="X200" s="290"/>
      <c r="Y200" s="290"/>
      <c r="Z200" s="290"/>
      <c r="AA200" s="290"/>
      <c r="AB200" s="174">
        <f t="shared" si="429"/>
        <v>0</v>
      </c>
      <c r="AC200" s="174">
        <f t="shared" si="430"/>
        <v>0</v>
      </c>
      <c r="AD200" s="174">
        <f>SUMIFS('1-2 人员岗位信息'!F:F,'1-2 人员岗位信息'!$C:$C,"劳务派遣",'1-2 人员岗位信息'!$B:$B,$D200)</f>
        <v>0</v>
      </c>
      <c r="AE200" s="298"/>
      <c r="AF200" s="174">
        <f t="shared" si="431"/>
        <v>0</v>
      </c>
      <c r="AG200" s="174">
        <f>SUMIFS('1-2 人员岗位信息'!G:G,'1-2 人员岗位信息'!$C:$C,"劳务派遣",'1-2 人员岗位信息'!$B:$B,$D200)</f>
        <v>0</v>
      </c>
      <c r="AH200" s="298"/>
      <c r="AI200" s="174">
        <f t="shared" si="432"/>
        <v>0</v>
      </c>
      <c r="AJ200" s="174">
        <f>SUMIFS('1-2 人员岗位信息'!H:H,'1-2 人员岗位信息'!$C:$C,"劳务派遣",'1-2 人员岗位信息'!$B:$B,$D200)</f>
        <v>0</v>
      </c>
      <c r="AK200" s="298"/>
      <c r="AL200" s="174">
        <f t="shared" si="433"/>
        <v>0</v>
      </c>
      <c r="AM200" s="174">
        <f>SUMIFS('1-2 人员岗位信息'!I:I,'1-2 人员岗位信息'!$C:$C,"劳务派遣",'1-2 人员岗位信息'!$B:$B,$D200)</f>
        <v>0</v>
      </c>
      <c r="AN200" s="298"/>
      <c r="AO200" s="174">
        <f t="shared" si="434"/>
        <v>0</v>
      </c>
      <c r="AP200" s="174">
        <f>SUMIFS('1-2 人员岗位信息'!J:J,'1-2 人员岗位信息'!$C:$C,"劳务派遣",'1-2 人员岗位信息'!$B:$B,$D200)</f>
        <v>0</v>
      </c>
      <c r="AQ200" s="298"/>
      <c r="AR200" s="174">
        <f t="shared" si="435"/>
        <v>0</v>
      </c>
      <c r="AS200" s="174">
        <f>SUMIFS('1-2 人员岗位信息'!K:K,'1-2 人员岗位信息'!$C:$C,"劳务派遣",'1-2 人员岗位信息'!$B:$B,$D200)</f>
        <v>0</v>
      </c>
      <c r="AT200" s="298"/>
      <c r="AU200" s="174">
        <f t="shared" si="436"/>
        <v>0</v>
      </c>
      <c r="AV200" s="174">
        <f>SUMIFS('1-2 人员岗位信息'!L:L,'1-2 人员岗位信息'!$C:$C,"劳务派遣",'1-2 人员岗位信息'!$B:$B,$D200)</f>
        <v>0</v>
      </c>
      <c r="AW200" s="298"/>
      <c r="AX200" s="174">
        <f t="shared" si="437"/>
        <v>0</v>
      </c>
      <c r="AY200" s="174">
        <f>SUMIFS('1-2 人员岗位信息'!M:M,'1-2 人员岗位信息'!$C:$C,"劳务派遣",'1-2 人员岗位信息'!$B:$B,$D200)</f>
        <v>0</v>
      </c>
      <c r="AZ200" s="298"/>
      <c r="BA200" s="174">
        <f t="shared" si="438"/>
        <v>0</v>
      </c>
      <c r="BB200" s="174">
        <f>SUMIFS('1-2 人员岗位信息'!N:N,'1-2 人员岗位信息'!$C:$C,"劳务派遣",'1-2 人员岗位信息'!$B:$B,$D200)</f>
        <v>0</v>
      </c>
      <c r="BC200" s="298"/>
      <c r="BD200" s="174">
        <f t="shared" si="439"/>
        <v>0</v>
      </c>
      <c r="BE200" s="174">
        <f>SUMIFS('1-2 人员岗位信息'!O:O,'1-2 人员岗位信息'!$C:$C,"劳务派遣",'1-2 人员岗位信息'!$B:$B,$D200)</f>
        <v>0</v>
      </c>
      <c r="BF200" s="298"/>
      <c r="BG200" s="174">
        <f t="shared" si="440"/>
        <v>0</v>
      </c>
      <c r="BH200" s="174">
        <f>SUMIFS('1-2 人员岗位信息'!P:P,'1-2 人员岗位信息'!$C:$C,"劳务派遣",'1-2 人员岗位信息'!$B:$B,$D200)</f>
        <v>0</v>
      </c>
      <c r="BI200" s="298"/>
      <c r="BJ200" s="174">
        <f t="shared" si="441"/>
        <v>0</v>
      </c>
      <c r="BK200" s="174">
        <f>SUMIFS('1-2 人员岗位信息'!Q:Q,'1-2 人员岗位信息'!$C:$C,"劳务派遣",'1-2 人员岗位信息'!$B:$B,$D200)</f>
        <v>0</v>
      </c>
      <c r="BL200" s="307"/>
      <c r="BM200" s="311"/>
      <c r="BN200" s="315"/>
    </row>
    <row r="201" s="263" customFormat="1" ht="33.95" hidden="1" customHeight="1" outlineLevel="5" spans="2:66">
      <c r="B201" s="174" t="s">
        <v>799</v>
      </c>
      <c r="C201" s="283" t="s">
        <v>1138</v>
      </c>
      <c r="D201" s="263" t="s">
        <v>1132</v>
      </c>
      <c r="E201" s="174" t="s">
        <v>1134</v>
      </c>
      <c r="F201" s="174"/>
      <c r="G201" s="174" t="s">
        <v>803</v>
      </c>
      <c r="H201" s="174">
        <f t="shared" si="425"/>
        <v>0</v>
      </c>
      <c r="I201" s="174" t="s">
        <v>804</v>
      </c>
      <c r="J201" s="174" t="e">
        <f t="shared" si="426"/>
        <v>#DIV/0!</v>
      </c>
      <c r="K201" s="174" t="s">
        <v>805</v>
      </c>
      <c r="L201" s="174" t="e">
        <f t="shared" si="427"/>
        <v>#DIV/0!</v>
      </c>
      <c r="M201" s="174" t="s">
        <v>806</v>
      </c>
      <c r="N201" s="174">
        <f t="shared" si="428"/>
        <v>0</v>
      </c>
      <c r="O201" s="174"/>
      <c r="P201" s="290"/>
      <c r="Q201" s="290"/>
      <c r="R201" s="290"/>
      <c r="S201" s="290"/>
      <c r="T201" s="290"/>
      <c r="U201" s="290"/>
      <c r="V201" s="290"/>
      <c r="W201" s="290"/>
      <c r="X201" s="290"/>
      <c r="Y201" s="290"/>
      <c r="Z201" s="290"/>
      <c r="AA201" s="290"/>
      <c r="AB201" s="174">
        <f t="shared" si="429"/>
        <v>0</v>
      </c>
      <c r="AC201" s="174">
        <f t="shared" si="430"/>
        <v>0</v>
      </c>
      <c r="AD201" s="174">
        <f>SUMIFS('1-2 人员岗位信息'!F:F,'1-2 人员岗位信息'!$C:$C,"劳务派遣",'1-2 人员岗位信息'!$B:$B,$D201)</f>
        <v>0</v>
      </c>
      <c r="AE201" s="298"/>
      <c r="AF201" s="174">
        <f t="shared" si="431"/>
        <v>0</v>
      </c>
      <c r="AG201" s="174">
        <f>SUMIFS('1-2 人员岗位信息'!G:G,'1-2 人员岗位信息'!$C:$C,"劳务派遣",'1-2 人员岗位信息'!$B:$B,$D201)</f>
        <v>0</v>
      </c>
      <c r="AH201" s="298"/>
      <c r="AI201" s="174">
        <f t="shared" si="432"/>
        <v>0</v>
      </c>
      <c r="AJ201" s="174">
        <f>SUMIFS('1-2 人员岗位信息'!H:H,'1-2 人员岗位信息'!$C:$C,"劳务派遣",'1-2 人员岗位信息'!$B:$B,$D201)</f>
        <v>0</v>
      </c>
      <c r="AK201" s="298"/>
      <c r="AL201" s="174">
        <f t="shared" si="433"/>
        <v>0</v>
      </c>
      <c r="AM201" s="174">
        <f>SUMIFS('1-2 人员岗位信息'!I:I,'1-2 人员岗位信息'!$C:$C,"劳务派遣",'1-2 人员岗位信息'!$B:$B,$D201)</f>
        <v>0</v>
      </c>
      <c r="AN201" s="298"/>
      <c r="AO201" s="174">
        <f t="shared" si="434"/>
        <v>0</v>
      </c>
      <c r="AP201" s="174">
        <f>SUMIFS('1-2 人员岗位信息'!J:J,'1-2 人员岗位信息'!$C:$C,"劳务派遣",'1-2 人员岗位信息'!$B:$B,$D201)</f>
        <v>0</v>
      </c>
      <c r="AQ201" s="298"/>
      <c r="AR201" s="174">
        <f t="shared" si="435"/>
        <v>0</v>
      </c>
      <c r="AS201" s="174">
        <f>SUMIFS('1-2 人员岗位信息'!K:K,'1-2 人员岗位信息'!$C:$C,"劳务派遣",'1-2 人员岗位信息'!$B:$B,$D201)</f>
        <v>0</v>
      </c>
      <c r="AT201" s="298"/>
      <c r="AU201" s="174">
        <f t="shared" si="436"/>
        <v>0</v>
      </c>
      <c r="AV201" s="174">
        <f>SUMIFS('1-2 人员岗位信息'!L:L,'1-2 人员岗位信息'!$C:$C,"劳务派遣",'1-2 人员岗位信息'!$B:$B,$D201)</f>
        <v>0</v>
      </c>
      <c r="AW201" s="298"/>
      <c r="AX201" s="174">
        <f t="shared" si="437"/>
        <v>0</v>
      </c>
      <c r="AY201" s="174">
        <f>SUMIFS('1-2 人员岗位信息'!M:M,'1-2 人员岗位信息'!$C:$C,"劳务派遣",'1-2 人员岗位信息'!$B:$B,$D201)</f>
        <v>0</v>
      </c>
      <c r="AZ201" s="298"/>
      <c r="BA201" s="174">
        <f t="shared" si="438"/>
        <v>0</v>
      </c>
      <c r="BB201" s="174">
        <f>SUMIFS('1-2 人员岗位信息'!N:N,'1-2 人员岗位信息'!$C:$C,"劳务派遣",'1-2 人员岗位信息'!$B:$B,$D201)</f>
        <v>0</v>
      </c>
      <c r="BC201" s="298"/>
      <c r="BD201" s="174">
        <f t="shared" si="439"/>
        <v>0</v>
      </c>
      <c r="BE201" s="174">
        <f>SUMIFS('1-2 人员岗位信息'!O:O,'1-2 人员岗位信息'!$C:$C,"劳务派遣",'1-2 人员岗位信息'!$B:$B,$D201)</f>
        <v>0</v>
      </c>
      <c r="BF201" s="298"/>
      <c r="BG201" s="174">
        <f t="shared" si="440"/>
        <v>0</v>
      </c>
      <c r="BH201" s="174">
        <f>SUMIFS('1-2 人员岗位信息'!P:P,'1-2 人员岗位信息'!$C:$C,"劳务派遣",'1-2 人员岗位信息'!$B:$B,$D201)</f>
        <v>0</v>
      </c>
      <c r="BI201" s="298"/>
      <c r="BJ201" s="174">
        <f t="shared" si="441"/>
        <v>0</v>
      </c>
      <c r="BK201" s="174">
        <f>SUMIFS('1-2 人员岗位信息'!Q:Q,'1-2 人员岗位信息'!$C:$C,"劳务派遣",'1-2 人员岗位信息'!$B:$B,$D201)</f>
        <v>0</v>
      </c>
      <c r="BL201" s="307"/>
      <c r="BM201" s="311"/>
      <c r="BN201" s="315"/>
    </row>
    <row r="202" s="117" customFormat="1" ht="33.95" hidden="1" customHeight="1" outlineLevel="4" collapsed="1" spans="2:66">
      <c r="B202" s="118" t="s">
        <v>794</v>
      </c>
      <c r="C202" s="119" t="s">
        <v>1139</v>
      </c>
      <c r="D202" s="117" t="s">
        <v>19</v>
      </c>
      <c r="E202" s="118"/>
      <c r="F202" s="118"/>
      <c r="G202" s="118"/>
      <c r="H202" s="118">
        <f>SUM(H203:H207)</f>
        <v>0</v>
      </c>
      <c r="I202" s="118"/>
      <c r="J202" s="118"/>
      <c r="K202" s="118"/>
      <c r="L202" s="118"/>
      <c r="M202" s="118"/>
      <c r="N202" s="118"/>
      <c r="O202" s="118"/>
      <c r="P202" s="289"/>
      <c r="Q202" s="289"/>
      <c r="R202" s="289"/>
      <c r="S202" s="289"/>
      <c r="T202" s="289"/>
      <c r="U202" s="289"/>
      <c r="V202" s="289"/>
      <c r="W202" s="289"/>
      <c r="X202" s="289"/>
      <c r="Y202" s="289"/>
      <c r="Z202" s="289"/>
      <c r="AA202" s="289"/>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6"/>
      <c r="BM202" s="311"/>
      <c r="BN202" s="314"/>
    </row>
    <row r="203" s="263" customFormat="1" ht="33.95" hidden="1" customHeight="1" outlineLevel="5" spans="2:66">
      <c r="B203" s="174" t="s">
        <v>799</v>
      </c>
      <c r="C203" s="283" t="s">
        <v>1140</v>
      </c>
      <c r="D203" s="263" t="s">
        <v>1123</v>
      </c>
      <c r="E203" s="174" t="s">
        <v>1141</v>
      </c>
      <c r="F203" s="174"/>
      <c r="G203" s="174" t="s">
        <v>803</v>
      </c>
      <c r="H203" s="174">
        <f t="shared" ref="H203:H207" si="443">AB203</f>
        <v>0</v>
      </c>
      <c r="I203" s="174" t="s">
        <v>804</v>
      </c>
      <c r="J203" s="174" t="e">
        <f t="shared" ref="J203:J207" si="444">SUM(AD203,AG203,AJ203,AM203,AP203,AS203,AV203,AY203,BB203,BE203,BH203,BK203)/N203</f>
        <v>#DIV/0!</v>
      </c>
      <c r="K203" s="174" t="s">
        <v>805</v>
      </c>
      <c r="L203" s="174" t="e">
        <f t="shared" ref="L203:L207" si="445">H203/N203/J203</f>
        <v>#DIV/0!</v>
      </c>
      <c r="M203" s="174" t="s">
        <v>806</v>
      </c>
      <c r="N203" s="174">
        <f t="shared" ref="N203:N207" si="446">COUNTIF(AD203,"&gt;0")+COUNTIF(AG203,"&gt;0")+COUNTIF(AJ203,"&gt;0")+COUNTIF(AM203,"&gt;0")+COUNTIF(AP203,"&gt;0")+COUNTIF(AS203,"&gt;0")+COUNTIF(AV203,"&gt;0")+COUNTIF(AY203,"&gt;0")+COUNTIF(BB203,"&gt;0")+COUNTIF(BE203,"&gt;0")+COUNTIF(BH203,"&gt;0")+COUNTIF(BK203,"&gt;0")</f>
        <v>0</v>
      </c>
      <c r="O203" s="174"/>
      <c r="P203" s="290"/>
      <c r="Q203" s="290"/>
      <c r="R203" s="290"/>
      <c r="S203" s="290"/>
      <c r="T203" s="290"/>
      <c r="U203" s="290"/>
      <c r="V203" s="290"/>
      <c r="W203" s="290"/>
      <c r="X203" s="290"/>
      <c r="Y203" s="290"/>
      <c r="Z203" s="290"/>
      <c r="AA203" s="290"/>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8"/>
      <c r="AF203" s="174">
        <f t="shared" ref="AF203:AF207" si="449">AG203*AH203</f>
        <v>0</v>
      </c>
      <c r="AG203" s="174">
        <f>SUMIFS('1-2 人员岗位信息'!G:G,'1-2 人员岗位信息'!$C:$C,"专业外包",'1-2 人员岗位信息'!$B:$B,$D203)</f>
        <v>0</v>
      </c>
      <c r="AH203" s="298"/>
      <c r="AI203" s="174">
        <f t="shared" ref="AI203:AI207" si="450">AJ203*AK203</f>
        <v>0</v>
      </c>
      <c r="AJ203" s="174">
        <f>SUMIFS('1-2 人员岗位信息'!H:H,'1-2 人员岗位信息'!$C:$C,"专业外包",'1-2 人员岗位信息'!$B:$B,$D203)</f>
        <v>0</v>
      </c>
      <c r="AK203" s="298"/>
      <c r="AL203" s="174">
        <f t="shared" ref="AL203:AL207" si="451">AM203*AN203</f>
        <v>0</v>
      </c>
      <c r="AM203" s="174">
        <f>SUMIFS('1-2 人员岗位信息'!I:I,'1-2 人员岗位信息'!$C:$C,"专业外包",'1-2 人员岗位信息'!$B:$B,$D203)</f>
        <v>0</v>
      </c>
      <c r="AN203" s="298"/>
      <c r="AO203" s="174">
        <f t="shared" ref="AO203:AO207" si="452">AP203*AQ203</f>
        <v>0</v>
      </c>
      <c r="AP203" s="174">
        <f>SUMIFS('1-2 人员岗位信息'!J:J,'1-2 人员岗位信息'!$C:$C,"专业外包",'1-2 人员岗位信息'!$B:$B,$D203)</f>
        <v>0</v>
      </c>
      <c r="AQ203" s="298"/>
      <c r="AR203" s="174">
        <f t="shared" ref="AR203:AR207" si="453">AS203*AT203</f>
        <v>0</v>
      </c>
      <c r="AS203" s="174">
        <f>SUMIFS('1-2 人员岗位信息'!K:K,'1-2 人员岗位信息'!$C:$C,"专业外包",'1-2 人员岗位信息'!$B:$B,$D203)</f>
        <v>0</v>
      </c>
      <c r="AT203" s="298"/>
      <c r="AU203" s="174">
        <f t="shared" ref="AU203:AU207" si="454">AV203*AW203</f>
        <v>0</v>
      </c>
      <c r="AV203" s="174">
        <f>SUMIFS('1-2 人员岗位信息'!L:L,'1-2 人员岗位信息'!$C:$C,"专业外包",'1-2 人员岗位信息'!$B:$B,$D203)</f>
        <v>0</v>
      </c>
      <c r="AW203" s="298"/>
      <c r="AX203" s="174">
        <f t="shared" ref="AX203:AX207" si="455">AY203*AZ203</f>
        <v>0</v>
      </c>
      <c r="AY203" s="174">
        <f>SUMIFS('1-2 人员岗位信息'!M:M,'1-2 人员岗位信息'!$C:$C,"专业外包",'1-2 人员岗位信息'!$B:$B,$D203)</f>
        <v>0</v>
      </c>
      <c r="AZ203" s="298"/>
      <c r="BA203" s="174">
        <f t="shared" ref="BA203:BA207" si="456">BB203*BC203</f>
        <v>0</v>
      </c>
      <c r="BB203" s="174">
        <f>SUMIFS('1-2 人员岗位信息'!N:N,'1-2 人员岗位信息'!$C:$C,"专业外包",'1-2 人员岗位信息'!$B:$B,$D203)</f>
        <v>0</v>
      </c>
      <c r="BC203" s="298"/>
      <c r="BD203" s="174">
        <f t="shared" ref="BD203:BD207" si="457">BE203*BF203</f>
        <v>0</v>
      </c>
      <c r="BE203" s="174">
        <f>SUMIFS('1-2 人员岗位信息'!O:O,'1-2 人员岗位信息'!$C:$C,"专业外包",'1-2 人员岗位信息'!$B:$B,$D203)</f>
        <v>0</v>
      </c>
      <c r="BF203" s="298"/>
      <c r="BG203" s="174">
        <f t="shared" ref="BG203:BG207" si="458">BH203*BI203</f>
        <v>0</v>
      </c>
      <c r="BH203" s="174">
        <f>SUMIFS('1-2 人员岗位信息'!P:P,'1-2 人员岗位信息'!$C:$C,"专业外包",'1-2 人员岗位信息'!$B:$B,$D203)</f>
        <v>0</v>
      </c>
      <c r="BI203" s="298"/>
      <c r="BJ203" s="174">
        <f t="shared" ref="BJ203:BJ207" si="459">BK203*BL203</f>
        <v>0</v>
      </c>
      <c r="BK203" s="174">
        <f>SUMIFS('1-2 人员岗位信息'!Q:Q,'1-2 人员岗位信息'!$C:$C,"专业外包",'1-2 人员岗位信息'!$B:$B,$D203)</f>
        <v>0</v>
      </c>
      <c r="BL203" s="298"/>
      <c r="BM203" s="311"/>
      <c r="BN203" s="315"/>
    </row>
    <row r="204" s="263" customFormat="1" ht="33.95" hidden="1" customHeight="1" outlineLevel="5" spans="2:66">
      <c r="B204" s="174" t="s">
        <v>799</v>
      </c>
      <c r="C204" s="283" t="s">
        <v>1142</v>
      </c>
      <c r="D204" s="263" t="s">
        <v>1126</v>
      </c>
      <c r="E204" s="174" t="s">
        <v>1141</v>
      </c>
      <c r="F204" s="174"/>
      <c r="G204" s="174" t="s">
        <v>803</v>
      </c>
      <c r="H204" s="174">
        <f t="shared" si="443"/>
        <v>0</v>
      </c>
      <c r="I204" s="174" t="s">
        <v>804</v>
      </c>
      <c r="J204" s="174" t="e">
        <f t="shared" si="444"/>
        <v>#DIV/0!</v>
      </c>
      <c r="K204" s="174" t="s">
        <v>805</v>
      </c>
      <c r="L204" s="174" t="e">
        <f t="shared" si="445"/>
        <v>#DIV/0!</v>
      </c>
      <c r="M204" s="174" t="s">
        <v>806</v>
      </c>
      <c r="N204" s="174">
        <f t="shared" si="446"/>
        <v>0</v>
      </c>
      <c r="O204" s="174"/>
      <c r="P204" s="290"/>
      <c r="Q204" s="290"/>
      <c r="R204" s="290"/>
      <c r="S204" s="290"/>
      <c r="T204" s="290"/>
      <c r="U204" s="290"/>
      <c r="V204" s="290"/>
      <c r="W204" s="290"/>
      <c r="X204" s="290"/>
      <c r="Y204" s="290"/>
      <c r="Z204" s="290"/>
      <c r="AA204" s="290"/>
      <c r="AB204" s="174">
        <f t="shared" si="447"/>
        <v>0</v>
      </c>
      <c r="AC204" s="174">
        <f t="shared" si="448"/>
        <v>0</v>
      </c>
      <c r="AD204" s="174">
        <f>SUMIFS('1-2 人员岗位信息'!F:F,'1-2 人员岗位信息'!$C:$C,"专业外包",'1-2 人员岗位信息'!$B:$B,$D204)</f>
        <v>0</v>
      </c>
      <c r="AE204" s="298"/>
      <c r="AF204" s="174">
        <f t="shared" si="449"/>
        <v>0</v>
      </c>
      <c r="AG204" s="174">
        <f>SUMIFS('1-2 人员岗位信息'!G:G,'1-2 人员岗位信息'!$C:$C,"专业外包",'1-2 人员岗位信息'!$B:$B,$D204)</f>
        <v>0</v>
      </c>
      <c r="AH204" s="298"/>
      <c r="AI204" s="174">
        <f t="shared" si="450"/>
        <v>0</v>
      </c>
      <c r="AJ204" s="174">
        <f>SUMIFS('1-2 人员岗位信息'!H:H,'1-2 人员岗位信息'!$C:$C,"专业外包",'1-2 人员岗位信息'!$B:$B,$D204)</f>
        <v>0</v>
      </c>
      <c r="AK204" s="298"/>
      <c r="AL204" s="174">
        <f t="shared" si="451"/>
        <v>0</v>
      </c>
      <c r="AM204" s="174">
        <f>SUMIFS('1-2 人员岗位信息'!I:I,'1-2 人员岗位信息'!$C:$C,"专业外包",'1-2 人员岗位信息'!$B:$B,$D204)</f>
        <v>0</v>
      </c>
      <c r="AN204" s="298"/>
      <c r="AO204" s="174">
        <f t="shared" si="452"/>
        <v>0</v>
      </c>
      <c r="AP204" s="174">
        <f>SUMIFS('1-2 人员岗位信息'!J:J,'1-2 人员岗位信息'!$C:$C,"专业外包",'1-2 人员岗位信息'!$B:$B,$D204)</f>
        <v>0</v>
      </c>
      <c r="AQ204" s="298"/>
      <c r="AR204" s="174">
        <f t="shared" si="453"/>
        <v>0</v>
      </c>
      <c r="AS204" s="174">
        <f>SUMIFS('1-2 人员岗位信息'!K:K,'1-2 人员岗位信息'!$C:$C,"专业外包",'1-2 人员岗位信息'!$B:$B,$D204)</f>
        <v>0</v>
      </c>
      <c r="AT204" s="298"/>
      <c r="AU204" s="174">
        <f t="shared" si="454"/>
        <v>0</v>
      </c>
      <c r="AV204" s="174">
        <f>SUMIFS('1-2 人员岗位信息'!L:L,'1-2 人员岗位信息'!$C:$C,"专业外包",'1-2 人员岗位信息'!$B:$B,$D204)</f>
        <v>0</v>
      </c>
      <c r="AW204" s="298"/>
      <c r="AX204" s="174">
        <f t="shared" si="455"/>
        <v>0</v>
      </c>
      <c r="AY204" s="174">
        <f>SUMIFS('1-2 人员岗位信息'!M:M,'1-2 人员岗位信息'!$C:$C,"专业外包",'1-2 人员岗位信息'!$B:$B,$D204)</f>
        <v>0</v>
      </c>
      <c r="AZ204" s="298"/>
      <c r="BA204" s="174">
        <f t="shared" si="456"/>
        <v>0</v>
      </c>
      <c r="BB204" s="174">
        <f>SUMIFS('1-2 人员岗位信息'!N:N,'1-2 人员岗位信息'!$C:$C,"专业外包",'1-2 人员岗位信息'!$B:$B,$D204)</f>
        <v>0</v>
      </c>
      <c r="BC204" s="298"/>
      <c r="BD204" s="174">
        <f t="shared" si="457"/>
        <v>0</v>
      </c>
      <c r="BE204" s="174">
        <f>SUMIFS('1-2 人员岗位信息'!O:O,'1-2 人员岗位信息'!$C:$C,"专业外包",'1-2 人员岗位信息'!$B:$B,$D204)</f>
        <v>0</v>
      </c>
      <c r="BF204" s="298"/>
      <c r="BG204" s="174">
        <f t="shared" si="458"/>
        <v>0</v>
      </c>
      <c r="BH204" s="174">
        <f>SUMIFS('1-2 人员岗位信息'!P:P,'1-2 人员岗位信息'!$C:$C,"专业外包",'1-2 人员岗位信息'!$B:$B,$D204)</f>
        <v>0</v>
      </c>
      <c r="BI204" s="298"/>
      <c r="BJ204" s="174">
        <f t="shared" si="459"/>
        <v>0</v>
      </c>
      <c r="BK204" s="174">
        <f>SUMIFS('1-2 人员岗位信息'!Q:Q,'1-2 人员岗位信息'!$C:$C,"专业外包",'1-2 人员岗位信息'!$B:$B,$D204)</f>
        <v>0</v>
      </c>
      <c r="BL204" s="307"/>
      <c r="BM204" s="311"/>
      <c r="BN204" s="315"/>
    </row>
    <row r="205" s="263" customFormat="1" ht="33.95" hidden="1" customHeight="1" outlineLevel="5" spans="2:66">
      <c r="B205" s="174" t="s">
        <v>799</v>
      </c>
      <c r="C205" s="283" t="s">
        <v>1143</v>
      </c>
      <c r="D205" s="263" t="s">
        <v>1128</v>
      </c>
      <c r="E205" s="174" t="s">
        <v>1141</v>
      </c>
      <c r="F205" s="174"/>
      <c r="G205" s="174" t="s">
        <v>803</v>
      </c>
      <c r="H205" s="174">
        <f t="shared" si="443"/>
        <v>0</v>
      </c>
      <c r="I205" s="174" t="s">
        <v>804</v>
      </c>
      <c r="J205" s="174" t="e">
        <f t="shared" si="444"/>
        <v>#DIV/0!</v>
      </c>
      <c r="K205" s="174" t="s">
        <v>805</v>
      </c>
      <c r="L205" s="174" t="e">
        <f t="shared" si="445"/>
        <v>#DIV/0!</v>
      </c>
      <c r="M205" s="174" t="s">
        <v>806</v>
      </c>
      <c r="N205" s="174">
        <f t="shared" si="446"/>
        <v>0</v>
      </c>
      <c r="O205" s="174"/>
      <c r="P205" s="290"/>
      <c r="Q205" s="290"/>
      <c r="R205" s="290"/>
      <c r="S205" s="290"/>
      <c r="T205" s="290"/>
      <c r="U205" s="290"/>
      <c r="V205" s="290"/>
      <c r="W205" s="290"/>
      <c r="X205" s="290"/>
      <c r="Y205" s="290"/>
      <c r="Z205" s="290"/>
      <c r="AA205" s="290"/>
      <c r="AB205" s="174">
        <f t="shared" si="447"/>
        <v>0</v>
      </c>
      <c r="AC205" s="174">
        <f t="shared" si="448"/>
        <v>0</v>
      </c>
      <c r="AD205" s="174">
        <f>SUMIFS('1-2 人员岗位信息'!F:F,'1-2 人员岗位信息'!$C:$C,"专业外包",'1-2 人员岗位信息'!$B:$B,$D205)</f>
        <v>0</v>
      </c>
      <c r="AE205" s="298"/>
      <c r="AF205" s="174">
        <f t="shared" si="449"/>
        <v>0</v>
      </c>
      <c r="AG205" s="174">
        <f>SUMIFS('1-2 人员岗位信息'!G:G,'1-2 人员岗位信息'!$C:$C,"专业外包",'1-2 人员岗位信息'!$B:$B,$D205)</f>
        <v>0</v>
      </c>
      <c r="AH205" s="298"/>
      <c r="AI205" s="174">
        <f t="shared" si="450"/>
        <v>0</v>
      </c>
      <c r="AJ205" s="174">
        <f>SUMIFS('1-2 人员岗位信息'!H:H,'1-2 人员岗位信息'!$C:$C,"专业外包",'1-2 人员岗位信息'!$B:$B,$D205)</f>
        <v>0</v>
      </c>
      <c r="AK205" s="298"/>
      <c r="AL205" s="174">
        <f t="shared" si="451"/>
        <v>0</v>
      </c>
      <c r="AM205" s="174">
        <f>SUMIFS('1-2 人员岗位信息'!I:I,'1-2 人员岗位信息'!$C:$C,"专业外包",'1-2 人员岗位信息'!$B:$B,$D205)</f>
        <v>0</v>
      </c>
      <c r="AN205" s="298"/>
      <c r="AO205" s="174">
        <f t="shared" si="452"/>
        <v>0</v>
      </c>
      <c r="AP205" s="174">
        <f>SUMIFS('1-2 人员岗位信息'!J:J,'1-2 人员岗位信息'!$C:$C,"专业外包",'1-2 人员岗位信息'!$B:$B,$D205)</f>
        <v>0</v>
      </c>
      <c r="AQ205" s="298"/>
      <c r="AR205" s="174">
        <f t="shared" si="453"/>
        <v>0</v>
      </c>
      <c r="AS205" s="174">
        <f>SUMIFS('1-2 人员岗位信息'!K:K,'1-2 人员岗位信息'!$C:$C,"专业外包",'1-2 人员岗位信息'!$B:$B,$D205)</f>
        <v>0</v>
      </c>
      <c r="AT205" s="298"/>
      <c r="AU205" s="174">
        <f t="shared" si="454"/>
        <v>0</v>
      </c>
      <c r="AV205" s="174">
        <f>SUMIFS('1-2 人员岗位信息'!L:L,'1-2 人员岗位信息'!$C:$C,"专业外包",'1-2 人员岗位信息'!$B:$B,$D205)</f>
        <v>0</v>
      </c>
      <c r="AW205" s="298"/>
      <c r="AX205" s="174">
        <f t="shared" si="455"/>
        <v>0</v>
      </c>
      <c r="AY205" s="174">
        <f>SUMIFS('1-2 人员岗位信息'!M:M,'1-2 人员岗位信息'!$C:$C,"专业外包",'1-2 人员岗位信息'!$B:$B,$D205)</f>
        <v>0</v>
      </c>
      <c r="AZ205" s="298"/>
      <c r="BA205" s="174">
        <f t="shared" si="456"/>
        <v>0</v>
      </c>
      <c r="BB205" s="174">
        <f>SUMIFS('1-2 人员岗位信息'!N:N,'1-2 人员岗位信息'!$C:$C,"专业外包",'1-2 人员岗位信息'!$B:$B,$D205)</f>
        <v>0</v>
      </c>
      <c r="BC205" s="298"/>
      <c r="BD205" s="174">
        <f t="shared" si="457"/>
        <v>0</v>
      </c>
      <c r="BE205" s="174">
        <f>SUMIFS('1-2 人员岗位信息'!O:O,'1-2 人员岗位信息'!$C:$C,"专业外包",'1-2 人员岗位信息'!$B:$B,$D205)</f>
        <v>0</v>
      </c>
      <c r="BF205" s="298"/>
      <c r="BG205" s="174">
        <f t="shared" si="458"/>
        <v>0</v>
      </c>
      <c r="BH205" s="174">
        <f>SUMIFS('1-2 人员岗位信息'!P:P,'1-2 人员岗位信息'!$C:$C,"专业外包",'1-2 人员岗位信息'!$B:$B,$D205)</f>
        <v>0</v>
      </c>
      <c r="BI205" s="298"/>
      <c r="BJ205" s="174">
        <f t="shared" si="459"/>
        <v>0</v>
      </c>
      <c r="BK205" s="174">
        <f>SUMIFS('1-2 人员岗位信息'!Q:Q,'1-2 人员岗位信息'!$C:$C,"专业外包",'1-2 人员岗位信息'!$B:$B,$D205)</f>
        <v>0</v>
      </c>
      <c r="BL205" s="307"/>
      <c r="BM205" s="311"/>
      <c r="BN205" s="315"/>
    </row>
    <row r="206" s="263" customFormat="1" ht="33.95" hidden="1" customHeight="1" outlineLevel="5" spans="2:66">
      <c r="B206" s="174" t="s">
        <v>799</v>
      </c>
      <c r="C206" s="283" t="s">
        <v>1144</v>
      </c>
      <c r="D206" s="263" t="s">
        <v>1130</v>
      </c>
      <c r="E206" s="174" t="s">
        <v>1141</v>
      </c>
      <c r="F206" s="174"/>
      <c r="G206" s="174" t="s">
        <v>803</v>
      </c>
      <c r="H206" s="174">
        <f t="shared" si="443"/>
        <v>0</v>
      </c>
      <c r="I206" s="174" t="s">
        <v>804</v>
      </c>
      <c r="J206" s="174" t="e">
        <f t="shared" si="444"/>
        <v>#DIV/0!</v>
      </c>
      <c r="K206" s="174" t="s">
        <v>805</v>
      </c>
      <c r="L206" s="174" t="e">
        <f t="shared" si="445"/>
        <v>#DIV/0!</v>
      </c>
      <c r="M206" s="174" t="s">
        <v>806</v>
      </c>
      <c r="N206" s="174">
        <f t="shared" si="446"/>
        <v>0</v>
      </c>
      <c r="O206" s="174"/>
      <c r="P206" s="290"/>
      <c r="Q206" s="290"/>
      <c r="R206" s="290"/>
      <c r="S206" s="290"/>
      <c r="T206" s="290"/>
      <c r="U206" s="290"/>
      <c r="V206" s="290"/>
      <c r="W206" s="290"/>
      <c r="X206" s="290"/>
      <c r="Y206" s="290"/>
      <c r="Z206" s="290"/>
      <c r="AA206" s="290"/>
      <c r="AB206" s="174">
        <f t="shared" si="447"/>
        <v>0</v>
      </c>
      <c r="AC206" s="174">
        <f t="shared" si="448"/>
        <v>0</v>
      </c>
      <c r="AD206" s="174">
        <f>SUMIFS('1-2 人员岗位信息'!F:F,'1-2 人员岗位信息'!$C:$C,"专业外包",'1-2 人员岗位信息'!$B:$B,$D206)</f>
        <v>0</v>
      </c>
      <c r="AE206" s="298"/>
      <c r="AF206" s="174">
        <f t="shared" si="449"/>
        <v>0</v>
      </c>
      <c r="AG206" s="174">
        <f>SUMIFS('1-2 人员岗位信息'!G:G,'1-2 人员岗位信息'!$C:$C,"专业外包",'1-2 人员岗位信息'!$B:$B,$D206)</f>
        <v>0</v>
      </c>
      <c r="AH206" s="298"/>
      <c r="AI206" s="174">
        <f t="shared" si="450"/>
        <v>0</v>
      </c>
      <c r="AJ206" s="174">
        <f>SUMIFS('1-2 人员岗位信息'!H:H,'1-2 人员岗位信息'!$C:$C,"专业外包",'1-2 人员岗位信息'!$B:$B,$D206)</f>
        <v>0</v>
      </c>
      <c r="AK206" s="298"/>
      <c r="AL206" s="174">
        <f t="shared" si="451"/>
        <v>0</v>
      </c>
      <c r="AM206" s="174">
        <f>SUMIFS('1-2 人员岗位信息'!I:I,'1-2 人员岗位信息'!$C:$C,"专业外包",'1-2 人员岗位信息'!$B:$B,$D206)</f>
        <v>0</v>
      </c>
      <c r="AN206" s="298"/>
      <c r="AO206" s="174">
        <f t="shared" si="452"/>
        <v>0</v>
      </c>
      <c r="AP206" s="174">
        <f>SUMIFS('1-2 人员岗位信息'!J:J,'1-2 人员岗位信息'!$C:$C,"专业外包",'1-2 人员岗位信息'!$B:$B,$D206)</f>
        <v>0</v>
      </c>
      <c r="AQ206" s="298"/>
      <c r="AR206" s="174">
        <f t="shared" si="453"/>
        <v>0</v>
      </c>
      <c r="AS206" s="174">
        <f>SUMIFS('1-2 人员岗位信息'!K:K,'1-2 人员岗位信息'!$C:$C,"专业外包",'1-2 人员岗位信息'!$B:$B,$D206)</f>
        <v>0</v>
      </c>
      <c r="AT206" s="298"/>
      <c r="AU206" s="174">
        <f t="shared" si="454"/>
        <v>0</v>
      </c>
      <c r="AV206" s="174">
        <f>SUMIFS('1-2 人员岗位信息'!L:L,'1-2 人员岗位信息'!$C:$C,"专业外包",'1-2 人员岗位信息'!$B:$B,$D206)</f>
        <v>0</v>
      </c>
      <c r="AW206" s="298"/>
      <c r="AX206" s="174">
        <f t="shared" si="455"/>
        <v>0</v>
      </c>
      <c r="AY206" s="174">
        <f>SUMIFS('1-2 人员岗位信息'!M:M,'1-2 人员岗位信息'!$C:$C,"专业外包",'1-2 人员岗位信息'!$B:$B,$D206)</f>
        <v>0</v>
      </c>
      <c r="AZ206" s="298"/>
      <c r="BA206" s="174">
        <f t="shared" si="456"/>
        <v>0</v>
      </c>
      <c r="BB206" s="174">
        <f>SUMIFS('1-2 人员岗位信息'!N:N,'1-2 人员岗位信息'!$C:$C,"专业外包",'1-2 人员岗位信息'!$B:$B,$D206)</f>
        <v>0</v>
      </c>
      <c r="BC206" s="298"/>
      <c r="BD206" s="174">
        <f t="shared" si="457"/>
        <v>0</v>
      </c>
      <c r="BE206" s="174">
        <f>SUMIFS('1-2 人员岗位信息'!O:O,'1-2 人员岗位信息'!$C:$C,"专业外包",'1-2 人员岗位信息'!$B:$B,$D206)</f>
        <v>0</v>
      </c>
      <c r="BF206" s="298"/>
      <c r="BG206" s="174">
        <f t="shared" si="458"/>
        <v>0</v>
      </c>
      <c r="BH206" s="174">
        <f>SUMIFS('1-2 人员岗位信息'!P:P,'1-2 人员岗位信息'!$C:$C,"专业外包",'1-2 人员岗位信息'!$B:$B,$D206)</f>
        <v>0</v>
      </c>
      <c r="BI206" s="298"/>
      <c r="BJ206" s="174">
        <f t="shared" si="459"/>
        <v>0</v>
      </c>
      <c r="BK206" s="174">
        <f>SUMIFS('1-2 人员岗位信息'!Q:Q,'1-2 人员岗位信息'!$C:$C,"专业外包",'1-2 人员岗位信息'!$B:$B,$D206)</f>
        <v>0</v>
      </c>
      <c r="BL206" s="307"/>
      <c r="BM206" s="311"/>
      <c r="BN206" s="315"/>
    </row>
    <row r="207" s="263" customFormat="1" ht="33.95" hidden="1" customHeight="1" outlineLevel="5" spans="2:66">
      <c r="B207" s="174" t="s">
        <v>799</v>
      </c>
      <c r="C207" s="283" t="s">
        <v>1145</v>
      </c>
      <c r="D207" s="263" t="s">
        <v>1132</v>
      </c>
      <c r="E207" s="174" t="s">
        <v>1141</v>
      </c>
      <c r="F207" s="174"/>
      <c r="G207" s="174" t="s">
        <v>803</v>
      </c>
      <c r="H207" s="174">
        <f t="shared" si="443"/>
        <v>0</v>
      </c>
      <c r="I207" s="174" t="s">
        <v>804</v>
      </c>
      <c r="J207" s="174" t="e">
        <f t="shared" si="444"/>
        <v>#DIV/0!</v>
      </c>
      <c r="K207" s="174" t="s">
        <v>805</v>
      </c>
      <c r="L207" s="174" t="e">
        <f t="shared" si="445"/>
        <v>#DIV/0!</v>
      </c>
      <c r="M207" s="174" t="s">
        <v>806</v>
      </c>
      <c r="N207" s="174">
        <f t="shared" si="446"/>
        <v>0</v>
      </c>
      <c r="O207" s="174"/>
      <c r="P207" s="290"/>
      <c r="Q207" s="290"/>
      <c r="R207" s="290"/>
      <c r="S207" s="290"/>
      <c r="T207" s="290"/>
      <c r="U207" s="290"/>
      <c r="V207" s="290"/>
      <c r="W207" s="290"/>
      <c r="X207" s="290"/>
      <c r="Y207" s="290"/>
      <c r="Z207" s="290"/>
      <c r="AA207" s="290"/>
      <c r="AB207" s="174">
        <f t="shared" si="447"/>
        <v>0</v>
      </c>
      <c r="AC207" s="174">
        <f t="shared" si="448"/>
        <v>0</v>
      </c>
      <c r="AD207" s="174">
        <f>SUMIFS('1-2 人员岗位信息'!F:F,'1-2 人员岗位信息'!$C:$C,"专业外包",'1-2 人员岗位信息'!$B:$B,$D207)</f>
        <v>0</v>
      </c>
      <c r="AE207" s="298"/>
      <c r="AF207" s="174">
        <f t="shared" si="449"/>
        <v>0</v>
      </c>
      <c r="AG207" s="174">
        <f>SUMIFS('1-2 人员岗位信息'!G:G,'1-2 人员岗位信息'!$C:$C,"专业外包",'1-2 人员岗位信息'!$B:$B,$D207)</f>
        <v>0</v>
      </c>
      <c r="AH207" s="298"/>
      <c r="AI207" s="174">
        <f t="shared" si="450"/>
        <v>0</v>
      </c>
      <c r="AJ207" s="174">
        <f>SUMIFS('1-2 人员岗位信息'!H:H,'1-2 人员岗位信息'!$C:$C,"专业外包",'1-2 人员岗位信息'!$B:$B,$D207)</f>
        <v>0</v>
      </c>
      <c r="AK207" s="298"/>
      <c r="AL207" s="174">
        <f t="shared" si="451"/>
        <v>0</v>
      </c>
      <c r="AM207" s="174">
        <f>SUMIFS('1-2 人员岗位信息'!I:I,'1-2 人员岗位信息'!$C:$C,"专业外包",'1-2 人员岗位信息'!$B:$B,$D207)</f>
        <v>0</v>
      </c>
      <c r="AN207" s="298"/>
      <c r="AO207" s="174">
        <f t="shared" si="452"/>
        <v>0</v>
      </c>
      <c r="AP207" s="174">
        <f>SUMIFS('1-2 人员岗位信息'!J:J,'1-2 人员岗位信息'!$C:$C,"专业外包",'1-2 人员岗位信息'!$B:$B,$D207)</f>
        <v>0</v>
      </c>
      <c r="AQ207" s="298"/>
      <c r="AR207" s="174">
        <f t="shared" si="453"/>
        <v>0</v>
      </c>
      <c r="AS207" s="174">
        <f>SUMIFS('1-2 人员岗位信息'!K:K,'1-2 人员岗位信息'!$C:$C,"专业外包",'1-2 人员岗位信息'!$B:$B,$D207)</f>
        <v>0</v>
      </c>
      <c r="AT207" s="298"/>
      <c r="AU207" s="174">
        <f t="shared" si="454"/>
        <v>0</v>
      </c>
      <c r="AV207" s="174">
        <f>SUMIFS('1-2 人员岗位信息'!L:L,'1-2 人员岗位信息'!$C:$C,"专业外包",'1-2 人员岗位信息'!$B:$B,$D207)</f>
        <v>0</v>
      </c>
      <c r="AW207" s="298"/>
      <c r="AX207" s="174">
        <f t="shared" si="455"/>
        <v>0</v>
      </c>
      <c r="AY207" s="174">
        <f>SUMIFS('1-2 人员岗位信息'!M:M,'1-2 人员岗位信息'!$C:$C,"专业外包",'1-2 人员岗位信息'!$B:$B,$D207)</f>
        <v>0</v>
      </c>
      <c r="AZ207" s="298"/>
      <c r="BA207" s="174">
        <f t="shared" si="456"/>
        <v>0</v>
      </c>
      <c r="BB207" s="174">
        <f>SUMIFS('1-2 人员岗位信息'!N:N,'1-2 人员岗位信息'!$C:$C,"专业外包",'1-2 人员岗位信息'!$B:$B,$D207)</f>
        <v>0</v>
      </c>
      <c r="BC207" s="298"/>
      <c r="BD207" s="174">
        <f t="shared" si="457"/>
        <v>0</v>
      </c>
      <c r="BE207" s="174">
        <f>SUMIFS('1-2 人员岗位信息'!O:O,'1-2 人员岗位信息'!$C:$C,"专业外包",'1-2 人员岗位信息'!$B:$B,$D207)</f>
        <v>0</v>
      </c>
      <c r="BF207" s="298"/>
      <c r="BG207" s="174">
        <f t="shared" si="458"/>
        <v>0</v>
      </c>
      <c r="BH207" s="174">
        <f>SUMIFS('1-2 人员岗位信息'!P:P,'1-2 人员岗位信息'!$C:$C,"专业外包",'1-2 人员岗位信息'!$B:$B,$D207)</f>
        <v>0</v>
      </c>
      <c r="BI207" s="298"/>
      <c r="BJ207" s="174">
        <f t="shared" si="459"/>
        <v>0</v>
      </c>
      <c r="BK207" s="174">
        <f>SUMIFS('1-2 人员岗位信息'!Q:Q,'1-2 人员岗位信息'!$C:$C,"专业外包",'1-2 人员岗位信息'!$B:$B,$D207)</f>
        <v>0</v>
      </c>
      <c r="BL207" s="307"/>
      <c r="BM207" s="311"/>
      <c r="BN207" s="315"/>
    </row>
    <row r="208" s="29" customFormat="1" ht="33.95" hidden="1" customHeight="1" outlineLevel="2" collapsed="1" spans="2:66">
      <c r="B208" s="111" t="s">
        <v>794</v>
      </c>
      <c r="C208" s="112" t="s">
        <v>220</v>
      </c>
      <c r="D208" s="29" t="s">
        <v>221</v>
      </c>
      <c r="E208" s="111"/>
      <c r="F208" s="111"/>
      <c r="G208" s="111"/>
      <c r="H208" s="111">
        <f>H209+H223+H224+H236+H239+H247+H262+H291+H303+H307</f>
        <v>4716.98113207547</v>
      </c>
      <c r="I208" s="111"/>
      <c r="J208" s="111"/>
      <c r="K208" s="111"/>
      <c r="L208" s="111"/>
      <c r="M208" s="111"/>
      <c r="N208" s="111"/>
      <c r="O208" s="111"/>
      <c r="P208" s="287"/>
      <c r="Q208" s="287"/>
      <c r="R208" s="287"/>
      <c r="S208" s="287"/>
      <c r="T208" s="287"/>
      <c r="U208" s="287"/>
      <c r="V208" s="287"/>
      <c r="W208" s="287"/>
      <c r="X208" s="287"/>
      <c r="Y208" s="287"/>
      <c r="Z208" s="287"/>
      <c r="AA208" s="287"/>
      <c r="AB208" s="111">
        <f t="shared" ref="AB208:AF208" si="460">AB209+AB223+AB224+AB236+AB239+AB247+AB262+AB291+AB303+AB307</f>
        <v>4716.98113207547</v>
      </c>
      <c r="AC208" s="111">
        <f t="shared" si="460"/>
        <v>4716.98113207547</v>
      </c>
      <c r="AD208" s="111"/>
      <c r="AE208" s="111"/>
      <c r="AF208" s="111">
        <f t="shared" si="460"/>
        <v>0</v>
      </c>
      <c r="AG208" s="111"/>
      <c r="AH208" s="111"/>
      <c r="AI208" s="111">
        <f>AI209+AI223+AI224+AI236+AI239+AI247+AI262+AI291+AI303+AI307</f>
        <v>0</v>
      </c>
      <c r="AJ208" s="111"/>
      <c r="AK208" s="111"/>
      <c r="AL208" s="111">
        <f>AL209+AL223+AL224+AL236+AL239+AL247+AL262+AL291+AL303+AL307</f>
        <v>0</v>
      </c>
      <c r="AM208" s="111"/>
      <c r="AN208" s="111"/>
      <c r="AO208" s="111">
        <f>AO209+AO223+AO224+AO236+AO239+AO247+AO262+AO291+AO303+AO307</f>
        <v>0</v>
      </c>
      <c r="AP208" s="111"/>
      <c r="AQ208" s="111"/>
      <c r="AR208" s="111">
        <f>AR209+AR223+AR224+AR236+AR239+AR247+AR262+AR291+AR303+AR307</f>
        <v>0</v>
      </c>
      <c r="AS208" s="111"/>
      <c r="AT208" s="111"/>
      <c r="AU208" s="111">
        <f>AU209+AU223+AU224+AU236+AU239+AU247+AU262+AU291+AU303+AU307</f>
        <v>0</v>
      </c>
      <c r="AV208" s="111"/>
      <c r="AW208" s="111"/>
      <c r="AX208" s="111">
        <f>AX209+AX223+AX224+AX236+AX239+AX247+AX262+AX291+AX303+AX307</f>
        <v>0</v>
      </c>
      <c r="AY208" s="111"/>
      <c r="AZ208" s="111"/>
      <c r="BA208" s="111">
        <f>BA209+BA223+BA224+BA236+BA239+BA247+BA262+BA291+BA303+BA307</f>
        <v>0</v>
      </c>
      <c r="BB208" s="111"/>
      <c r="BC208" s="111"/>
      <c r="BD208" s="111">
        <f>BD209+BD223+BD224+BD236+BD239+BD247+BD262+BD291+BD303+BD307</f>
        <v>0</v>
      </c>
      <c r="BE208" s="111"/>
      <c r="BF208" s="111"/>
      <c r="BG208" s="111">
        <f>BG209+BG223+BG224+BG236+BG239+BG247+BG262+BG291+BG303+BG307</f>
        <v>0</v>
      </c>
      <c r="BH208" s="111"/>
      <c r="BI208" s="111"/>
      <c r="BJ208" s="111">
        <f>BJ209+BJ223+BJ224+BJ236+BJ239+BJ247+BJ262+BJ291+BJ303+BJ307</f>
        <v>0</v>
      </c>
      <c r="BK208" s="111"/>
      <c r="BL208" s="304"/>
      <c r="BM208" s="311"/>
      <c r="BN208" s="312"/>
    </row>
    <row r="209" s="48" customFormat="1" ht="33.95" hidden="1" customHeight="1" outlineLevel="3" collapsed="1" spans="2:66">
      <c r="B209" s="114" t="s">
        <v>794</v>
      </c>
      <c r="C209" s="115" t="s">
        <v>32</v>
      </c>
      <c r="D209" s="48" t="s">
        <v>33</v>
      </c>
      <c r="E209" s="114" t="s">
        <v>1146</v>
      </c>
      <c r="F209" s="114"/>
      <c r="G209" s="114"/>
      <c r="H209" s="114">
        <f>SUM(H210:H222)</f>
        <v>0</v>
      </c>
      <c r="I209" s="114"/>
      <c r="J209" s="114"/>
      <c r="K209" s="114"/>
      <c r="L209" s="114"/>
      <c r="M209" s="114"/>
      <c r="N209" s="114"/>
      <c r="O209" s="114"/>
      <c r="P209" s="288"/>
      <c r="Q209" s="288"/>
      <c r="R209" s="288"/>
      <c r="S209" s="288"/>
      <c r="T209" s="288"/>
      <c r="U209" s="288"/>
      <c r="V209" s="288"/>
      <c r="W209" s="288"/>
      <c r="X209" s="288"/>
      <c r="Y209" s="288"/>
      <c r="Z209" s="288"/>
      <c r="AA209" s="288"/>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5"/>
      <c r="BM209" s="311"/>
      <c r="BN209" s="313"/>
    </row>
    <row r="210" s="117" customFormat="1" ht="33.95" hidden="1" customHeight="1" outlineLevel="5" spans="2:66">
      <c r="B210" s="118" t="s">
        <v>799</v>
      </c>
      <c r="C210" s="119" t="s">
        <v>1147</v>
      </c>
      <c r="D210" s="117" t="s">
        <v>1148</v>
      </c>
      <c r="E210" s="118"/>
      <c r="F210" s="118"/>
      <c r="G210" s="118" t="s">
        <v>803</v>
      </c>
      <c r="H210" s="118">
        <f t="shared" ref="H210:H222" si="462">AB210</f>
        <v>0</v>
      </c>
      <c r="I210" s="118" t="s">
        <v>1149</v>
      </c>
      <c r="J210" s="118" t="e">
        <f t="shared" ref="J210:J222" si="463">SUM(AD210,AG210,AJ210,AM210,AP210,AS210,AV210,AY210,BB210,BE210,BH210,BK210)/N210</f>
        <v>#DIV/0!</v>
      </c>
      <c r="K210" s="118" t="s">
        <v>1150</v>
      </c>
      <c r="L210" s="118" t="e">
        <f t="shared" ref="L210:L222" si="464">H210/N210/J210</f>
        <v>#DIV/0!</v>
      </c>
      <c r="M210" s="118" t="s">
        <v>1151</v>
      </c>
      <c r="N210" s="118">
        <f t="shared" ref="N210:N222" si="465">COUNTIF(AD210,"&gt;0")+COUNTIF(AG210,"&gt;0")+COUNTIF(AJ210,"&gt;0")+COUNTIF(AM210,"&gt;0")+COUNTIF(AP210,"&gt;0")+COUNTIF(AS210,"&gt;0")+COUNTIF(AV210,"&gt;0")+COUNTIF(AY210,"&gt;0")+COUNTIF(BB210,"&gt;0")+COUNTIF(BE210,"&gt;0")+COUNTIF(BH210,"&gt;0")+COUNTIF(BK210,"&gt;0")</f>
        <v>0</v>
      </c>
      <c r="O210" s="118"/>
      <c r="P210" s="289"/>
      <c r="Q210" s="289"/>
      <c r="R210" s="289"/>
      <c r="S210" s="289"/>
      <c r="T210" s="289"/>
      <c r="U210" s="289"/>
      <c r="V210" s="289"/>
      <c r="W210" s="289"/>
      <c r="X210" s="289"/>
      <c r="Y210" s="289"/>
      <c r="Z210" s="289"/>
      <c r="AA210" s="289"/>
      <c r="AB210" s="118">
        <f t="shared" ref="AB210:AB223" si="466">SUM(AC210,AF210,AI210,AL210,AO210,AR210,AU210,AX210,BA210,BD210,BG210,BJ210)</f>
        <v>0</v>
      </c>
      <c r="AC210" s="118">
        <f t="shared" ref="AC210:AC223" si="467">AD210*AE210</f>
        <v>0</v>
      </c>
      <c r="AD210" s="118">
        <f>'1-1 项目基础信息'!H21</f>
        <v>0</v>
      </c>
      <c r="AE210" s="289">
        <f>SUMIFS('附表1-数据库'!$F30:$EA30,'附表1-数据库'!$F$26:$EA$26,'1-1 项目基础信息'!$D$19,'附表1-数据库'!$F$28:$EA$28,'1-1 项目基础信息'!$D$20,'附表1-数据库'!$F$27:$EA$27,'1-1 项目基础信息'!$D$21,'附表1-数据库'!$F$29:$EA$29,'1-1 项目基础信息'!$D$18)</f>
        <v>330</v>
      </c>
      <c r="AF210" s="118">
        <f t="shared" ref="AF210:AF223" si="468">AG210*AH210</f>
        <v>0</v>
      </c>
      <c r="AG210" s="118">
        <f>'1-1 项目基础信息'!I21</f>
        <v>0</v>
      </c>
      <c r="AH210" s="318">
        <f t="shared" ref="AH210:AH222" si="469">AE210</f>
        <v>330</v>
      </c>
      <c r="AI210" s="118">
        <f t="shared" ref="AI210:AI223" si="470">AJ210*AK210</f>
        <v>0</v>
      </c>
      <c r="AJ210" s="118">
        <f>'1-1 项目基础信息'!J21</f>
        <v>0</v>
      </c>
      <c r="AK210" s="318">
        <f t="shared" ref="AK210:AK222" si="471">AH210</f>
        <v>330</v>
      </c>
      <c r="AL210" s="118">
        <f t="shared" ref="AL210:AL223" si="472">AM210*AN210</f>
        <v>0</v>
      </c>
      <c r="AM210" s="118">
        <f>'1-1 项目基础信息'!K21</f>
        <v>0</v>
      </c>
      <c r="AN210" s="318">
        <f t="shared" ref="AN210:AN222" si="473">AK210</f>
        <v>330</v>
      </c>
      <c r="AO210" s="118">
        <f t="shared" ref="AO210:AO223" si="474">AP210*AQ210</f>
        <v>0</v>
      </c>
      <c r="AP210" s="118">
        <f>'1-1 项目基础信息'!L21</f>
        <v>0</v>
      </c>
      <c r="AQ210" s="318">
        <f t="shared" ref="AQ210:AQ222" si="475">AN210</f>
        <v>330</v>
      </c>
      <c r="AR210" s="118">
        <f t="shared" ref="AR210:AR223" si="476">AS210*AT210</f>
        <v>0</v>
      </c>
      <c r="AS210" s="118">
        <f>'1-1 项目基础信息'!M21</f>
        <v>0</v>
      </c>
      <c r="AT210" s="318">
        <f t="shared" ref="AT210:AT222" si="477">AQ210</f>
        <v>330</v>
      </c>
      <c r="AU210" s="118">
        <f t="shared" ref="AU210:AU223" si="478">AV210*AW210</f>
        <v>0</v>
      </c>
      <c r="AV210" s="118">
        <f>'1-1 项目基础信息'!N21</f>
        <v>0</v>
      </c>
      <c r="AW210" s="318">
        <f t="shared" ref="AW210:AW222" si="479">AT210</f>
        <v>330</v>
      </c>
      <c r="AX210" s="118">
        <f t="shared" ref="AX210:AX223" si="480">AY210*AZ210</f>
        <v>0</v>
      </c>
      <c r="AY210" s="118">
        <f>'1-1 项目基础信息'!O21</f>
        <v>0</v>
      </c>
      <c r="AZ210" s="318">
        <f t="shared" ref="AZ210:AZ222" si="481">AW210</f>
        <v>330</v>
      </c>
      <c r="BA210" s="118">
        <f t="shared" ref="BA210:BA223" si="482">BB210*BC210</f>
        <v>0</v>
      </c>
      <c r="BB210" s="118">
        <f>'1-1 项目基础信息'!P21</f>
        <v>0</v>
      </c>
      <c r="BC210" s="318">
        <f t="shared" ref="BC210:BC222" si="483">AZ210</f>
        <v>330</v>
      </c>
      <c r="BD210" s="118">
        <f t="shared" ref="BD210:BD223" si="484">BE210*BF210</f>
        <v>0</v>
      </c>
      <c r="BE210" s="118">
        <f>'1-1 项目基础信息'!Q21</f>
        <v>0</v>
      </c>
      <c r="BF210" s="318">
        <f t="shared" ref="BF210:BF222" si="485">BC210</f>
        <v>330</v>
      </c>
      <c r="BG210" s="118">
        <f t="shared" ref="BG210:BG223" si="486">BH210*BI210</f>
        <v>0</v>
      </c>
      <c r="BH210" s="118">
        <f>'1-1 项目基础信息'!R21</f>
        <v>0</v>
      </c>
      <c r="BI210" s="318">
        <f t="shared" ref="BI210:BI222" si="487">BF210</f>
        <v>330</v>
      </c>
      <c r="BJ210" s="118">
        <f t="shared" ref="BJ210:BJ223" si="488">BK210*BL210</f>
        <v>0</v>
      </c>
      <c r="BK210" s="118">
        <f>'1-1 项目基础信息'!S21</f>
        <v>0</v>
      </c>
      <c r="BL210" s="319">
        <f t="shared" ref="BL210:BL222" si="489">BI210</f>
        <v>330</v>
      </c>
      <c r="BM210" s="311"/>
      <c r="BN210" s="314"/>
    </row>
    <row r="211" s="117" customFormat="1" ht="33.95" hidden="1" customHeight="1" outlineLevel="5" spans="2:66">
      <c r="B211" s="118" t="s">
        <v>799</v>
      </c>
      <c r="C211" s="119" t="s">
        <v>1152</v>
      </c>
      <c r="D211" s="117" t="s">
        <v>1153</v>
      </c>
      <c r="E211" s="118"/>
      <c r="F211" s="118"/>
      <c r="G211" s="118" t="s">
        <v>803</v>
      </c>
      <c r="H211" s="118">
        <f t="shared" si="462"/>
        <v>0</v>
      </c>
      <c r="I211" s="118" t="s">
        <v>1149</v>
      </c>
      <c r="J211" s="118" t="e">
        <f t="shared" si="463"/>
        <v>#DIV/0!</v>
      </c>
      <c r="K211" s="118" t="s">
        <v>1150</v>
      </c>
      <c r="L211" s="118" t="e">
        <f t="shared" si="464"/>
        <v>#DIV/0!</v>
      </c>
      <c r="M211" s="118" t="s">
        <v>1151</v>
      </c>
      <c r="N211" s="118">
        <f t="shared" si="465"/>
        <v>0</v>
      </c>
      <c r="O211" s="118"/>
      <c r="P211" s="289"/>
      <c r="Q211" s="289"/>
      <c r="R211" s="289"/>
      <c r="S211" s="289"/>
      <c r="T211" s="289"/>
      <c r="U211" s="289"/>
      <c r="V211" s="289"/>
      <c r="W211" s="289"/>
      <c r="X211" s="289"/>
      <c r="Y211" s="289"/>
      <c r="Z211" s="289"/>
      <c r="AA211" s="289"/>
      <c r="AB211" s="118">
        <f t="shared" si="466"/>
        <v>0</v>
      </c>
      <c r="AC211" s="118">
        <f t="shared" si="467"/>
        <v>0</v>
      </c>
      <c r="AD211" s="118">
        <f>'1-1 项目基础信息'!H22</f>
        <v>0</v>
      </c>
      <c r="AE211" s="289">
        <f>SUMIFS('附表1-数据库'!$F31:$EA31,'附表1-数据库'!$F$26:$EA$26,'1-1 项目基础信息'!$D$19,'附表1-数据库'!$F$28:$EA$28,'1-1 项目基础信息'!$D$20,'附表1-数据库'!$F$27:$EA$27,'1-1 项目基础信息'!$D$21,'附表1-数据库'!$F$29:$EA$29,'1-1 项目基础信息'!$D$18)</f>
        <v>330</v>
      </c>
      <c r="AF211" s="118">
        <f t="shared" si="468"/>
        <v>0</v>
      </c>
      <c r="AG211" s="118">
        <f>'1-1 项目基础信息'!I22</f>
        <v>0</v>
      </c>
      <c r="AH211" s="318">
        <f t="shared" si="469"/>
        <v>330</v>
      </c>
      <c r="AI211" s="118">
        <f t="shared" si="470"/>
        <v>0</v>
      </c>
      <c r="AJ211" s="118">
        <f>'1-1 项目基础信息'!J22</f>
        <v>0</v>
      </c>
      <c r="AK211" s="318">
        <f t="shared" si="471"/>
        <v>330</v>
      </c>
      <c r="AL211" s="118">
        <f t="shared" si="472"/>
        <v>0</v>
      </c>
      <c r="AM211" s="118">
        <f>'1-1 项目基础信息'!K22</f>
        <v>0</v>
      </c>
      <c r="AN211" s="318">
        <f t="shared" si="473"/>
        <v>330</v>
      </c>
      <c r="AO211" s="118">
        <f t="shared" si="474"/>
        <v>0</v>
      </c>
      <c r="AP211" s="118">
        <f>'1-1 项目基础信息'!L22</f>
        <v>0</v>
      </c>
      <c r="AQ211" s="318">
        <f t="shared" si="475"/>
        <v>330</v>
      </c>
      <c r="AR211" s="118">
        <f t="shared" si="476"/>
        <v>0</v>
      </c>
      <c r="AS211" s="118">
        <f>'1-1 项目基础信息'!M22</f>
        <v>0</v>
      </c>
      <c r="AT211" s="318">
        <f t="shared" si="477"/>
        <v>330</v>
      </c>
      <c r="AU211" s="118">
        <f t="shared" si="478"/>
        <v>0</v>
      </c>
      <c r="AV211" s="118">
        <f>'1-1 项目基础信息'!N22</f>
        <v>0</v>
      </c>
      <c r="AW211" s="318">
        <f t="shared" si="479"/>
        <v>330</v>
      </c>
      <c r="AX211" s="118">
        <f t="shared" si="480"/>
        <v>0</v>
      </c>
      <c r="AY211" s="118">
        <f>'1-1 项目基础信息'!O22</f>
        <v>0</v>
      </c>
      <c r="AZ211" s="318">
        <f t="shared" si="481"/>
        <v>330</v>
      </c>
      <c r="BA211" s="118">
        <f t="shared" si="482"/>
        <v>0</v>
      </c>
      <c r="BB211" s="118">
        <f>'1-1 项目基础信息'!P22</f>
        <v>0</v>
      </c>
      <c r="BC211" s="318">
        <f t="shared" si="483"/>
        <v>330</v>
      </c>
      <c r="BD211" s="118">
        <f t="shared" si="484"/>
        <v>0</v>
      </c>
      <c r="BE211" s="118">
        <f>'1-1 项目基础信息'!Q22</f>
        <v>0</v>
      </c>
      <c r="BF211" s="318">
        <f t="shared" si="485"/>
        <v>330</v>
      </c>
      <c r="BG211" s="118">
        <f t="shared" si="486"/>
        <v>0</v>
      </c>
      <c r="BH211" s="118">
        <f>'1-1 项目基础信息'!R22</f>
        <v>0</v>
      </c>
      <c r="BI211" s="318">
        <f t="shared" si="487"/>
        <v>330</v>
      </c>
      <c r="BJ211" s="118">
        <f t="shared" si="488"/>
        <v>0</v>
      </c>
      <c r="BK211" s="118">
        <f>'1-1 项目基础信息'!S22</f>
        <v>0</v>
      </c>
      <c r="BL211" s="319">
        <f t="shared" si="489"/>
        <v>330</v>
      </c>
      <c r="BM211" s="311"/>
      <c r="BN211" s="314"/>
    </row>
    <row r="212" s="117" customFormat="1" ht="33.95" hidden="1" customHeight="1" outlineLevel="5" spans="2:66">
      <c r="B212" s="118" t="s">
        <v>799</v>
      </c>
      <c r="C212" s="119" t="s">
        <v>1154</v>
      </c>
      <c r="D212" s="117" t="s">
        <v>1155</v>
      </c>
      <c r="E212" s="118"/>
      <c r="F212" s="118"/>
      <c r="G212" s="118" t="s">
        <v>803</v>
      </c>
      <c r="H212" s="118">
        <f t="shared" si="462"/>
        <v>0</v>
      </c>
      <c r="I212" s="118" t="s">
        <v>1149</v>
      </c>
      <c r="J212" s="118" t="e">
        <f t="shared" si="463"/>
        <v>#DIV/0!</v>
      </c>
      <c r="K212" s="118" t="s">
        <v>1150</v>
      </c>
      <c r="L212" s="118" t="e">
        <f t="shared" si="464"/>
        <v>#DIV/0!</v>
      </c>
      <c r="M212" s="118" t="s">
        <v>1151</v>
      </c>
      <c r="N212" s="118">
        <f t="shared" si="465"/>
        <v>0</v>
      </c>
      <c r="O212" s="118"/>
      <c r="P212" s="289"/>
      <c r="Q212" s="289"/>
      <c r="R212" s="289"/>
      <c r="S212" s="289"/>
      <c r="T212" s="289"/>
      <c r="U212" s="289"/>
      <c r="V212" s="289"/>
      <c r="W212" s="289"/>
      <c r="X212" s="289"/>
      <c r="Y212" s="289"/>
      <c r="Z212" s="289"/>
      <c r="AA212" s="289"/>
      <c r="AB212" s="118">
        <f t="shared" si="466"/>
        <v>0</v>
      </c>
      <c r="AC212" s="118">
        <f t="shared" si="467"/>
        <v>0</v>
      </c>
      <c r="AD212" s="118">
        <f>'1-1 项目基础信息'!H23</f>
        <v>0</v>
      </c>
      <c r="AE212" s="289">
        <f>SUMIFS('附表1-数据库'!$F32:$EA32,'附表1-数据库'!$F$26:$EA$26,'1-1 项目基础信息'!$D$19,'附表1-数据库'!$F$28:$EA$28,'1-1 项目基础信息'!$D$20,'附表1-数据库'!$F$27:$EA$27,'1-1 项目基础信息'!$D$21,'附表1-数据库'!$F$29:$EA$29,'1-1 项目基础信息'!$D$18)</f>
        <v>380</v>
      </c>
      <c r="AF212" s="118">
        <f t="shared" si="468"/>
        <v>0</v>
      </c>
      <c r="AG212" s="118">
        <f>'1-1 项目基础信息'!I23</f>
        <v>0</v>
      </c>
      <c r="AH212" s="318">
        <f t="shared" si="469"/>
        <v>380</v>
      </c>
      <c r="AI212" s="118">
        <f t="shared" si="470"/>
        <v>0</v>
      </c>
      <c r="AJ212" s="118">
        <f>'1-1 项目基础信息'!J23</f>
        <v>0</v>
      </c>
      <c r="AK212" s="318">
        <f t="shared" si="471"/>
        <v>380</v>
      </c>
      <c r="AL212" s="118">
        <f t="shared" si="472"/>
        <v>0</v>
      </c>
      <c r="AM212" s="118">
        <f>'1-1 项目基础信息'!K23</f>
        <v>0</v>
      </c>
      <c r="AN212" s="318">
        <f t="shared" si="473"/>
        <v>380</v>
      </c>
      <c r="AO212" s="118">
        <f t="shared" si="474"/>
        <v>0</v>
      </c>
      <c r="AP212" s="118">
        <f>'1-1 项目基础信息'!L23</f>
        <v>0</v>
      </c>
      <c r="AQ212" s="318">
        <f t="shared" si="475"/>
        <v>380</v>
      </c>
      <c r="AR212" s="118">
        <f t="shared" si="476"/>
        <v>0</v>
      </c>
      <c r="AS212" s="118">
        <f>'1-1 项目基础信息'!M23</f>
        <v>0</v>
      </c>
      <c r="AT212" s="318">
        <f t="shared" si="477"/>
        <v>380</v>
      </c>
      <c r="AU212" s="118">
        <f t="shared" si="478"/>
        <v>0</v>
      </c>
      <c r="AV212" s="118">
        <f>'1-1 项目基础信息'!N23</f>
        <v>0</v>
      </c>
      <c r="AW212" s="318">
        <f t="shared" si="479"/>
        <v>380</v>
      </c>
      <c r="AX212" s="118">
        <f t="shared" si="480"/>
        <v>0</v>
      </c>
      <c r="AY212" s="118">
        <f>'1-1 项目基础信息'!O23</f>
        <v>0</v>
      </c>
      <c r="AZ212" s="318">
        <f t="shared" si="481"/>
        <v>380</v>
      </c>
      <c r="BA212" s="118">
        <f t="shared" si="482"/>
        <v>0</v>
      </c>
      <c r="BB212" s="118">
        <f>'1-1 项目基础信息'!P23</f>
        <v>0</v>
      </c>
      <c r="BC212" s="318">
        <f t="shared" si="483"/>
        <v>380</v>
      </c>
      <c r="BD212" s="118">
        <f t="shared" si="484"/>
        <v>0</v>
      </c>
      <c r="BE212" s="118">
        <f>'1-1 项目基础信息'!Q23</f>
        <v>0</v>
      </c>
      <c r="BF212" s="318">
        <f t="shared" si="485"/>
        <v>380</v>
      </c>
      <c r="BG212" s="118">
        <f t="shared" si="486"/>
        <v>0</v>
      </c>
      <c r="BH212" s="118">
        <f>'1-1 项目基础信息'!R23</f>
        <v>0</v>
      </c>
      <c r="BI212" s="318">
        <f t="shared" si="487"/>
        <v>380</v>
      </c>
      <c r="BJ212" s="118">
        <f t="shared" si="488"/>
        <v>0</v>
      </c>
      <c r="BK212" s="118">
        <f>'1-1 项目基础信息'!S23</f>
        <v>0</v>
      </c>
      <c r="BL212" s="319">
        <f t="shared" si="489"/>
        <v>380</v>
      </c>
      <c r="BM212" s="311"/>
      <c r="BN212" s="314"/>
    </row>
    <row r="213" s="117" customFormat="1" ht="33.95" hidden="1" customHeight="1" outlineLevel="5" spans="2:66">
      <c r="B213" s="118" t="s">
        <v>799</v>
      </c>
      <c r="C213" s="119" t="s">
        <v>1156</v>
      </c>
      <c r="D213" s="117" t="s">
        <v>1157</v>
      </c>
      <c r="E213" s="118"/>
      <c r="F213" s="118"/>
      <c r="G213" s="118" t="s">
        <v>803</v>
      </c>
      <c r="H213" s="118">
        <f t="shared" si="462"/>
        <v>0</v>
      </c>
      <c r="I213" s="118" t="s">
        <v>1149</v>
      </c>
      <c r="J213" s="118" t="e">
        <f t="shared" si="463"/>
        <v>#DIV/0!</v>
      </c>
      <c r="K213" s="118" t="s">
        <v>1150</v>
      </c>
      <c r="L213" s="118" t="e">
        <f t="shared" si="464"/>
        <v>#DIV/0!</v>
      </c>
      <c r="M213" s="118" t="s">
        <v>1151</v>
      </c>
      <c r="N213" s="118">
        <f t="shared" si="465"/>
        <v>0</v>
      </c>
      <c r="O213" s="118"/>
      <c r="P213" s="289"/>
      <c r="Q213" s="289"/>
      <c r="R213" s="289"/>
      <c r="S213" s="289"/>
      <c r="T213" s="289"/>
      <c r="U213" s="289"/>
      <c r="V213" s="289"/>
      <c r="W213" s="289"/>
      <c r="X213" s="289"/>
      <c r="Y213" s="289"/>
      <c r="Z213" s="289"/>
      <c r="AA213" s="289"/>
      <c r="AB213" s="118">
        <f t="shared" si="466"/>
        <v>0</v>
      </c>
      <c r="AC213" s="118">
        <f t="shared" si="467"/>
        <v>0</v>
      </c>
      <c r="AD213" s="118">
        <f>'1-1 项目基础信息'!H24</f>
        <v>0</v>
      </c>
      <c r="AE213" s="289">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8">
        <f t="shared" si="469"/>
        <v>440</v>
      </c>
      <c r="AI213" s="118">
        <f t="shared" si="470"/>
        <v>0</v>
      </c>
      <c r="AJ213" s="118">
        <f>'1-1 项目基础信息'!J24</f>
        <v>0</v>
      </c>
      <c r="AK213" s="318">
        <f t="shared" si="471"/>
        <v>440</v>
      </c>
      <c r="AL213" s="118">
        <f t="shared" si="472"/>
        <v>0</v>
      </c>
      <c r="AM213" s="118">
        <f>'1-1 项目基础信息'!K24</f>
        <v>0</v>
      </c>
      <c r="AN213" s="318">
        <f t="shared" si="473"/>
        <v>440</v>
      </c>
      <c r="AO213" s="118">
        <f t="shared" si="474"/>
        <v>0</v>
      </c>
      <c r="AP213" s="118">
        <f>'1-1 项目基础信息'!L24</f>
        <v>0</v>
      </c>
      <c r="AQ213" s="318">
        <f t="shared" si="475"/>
        <v>440</v>
      </c>
      <c r="AR213" s="118">
        <f t="shared" si="476"/>
        <v>0</v>
      </c>
      <c r="AS213" s="118">
        <f>'1-1 项目基础信息'!M24</f>
        <v>0</v>
      </c>
      <c r="AT213" s="318">
        <f t="shared" si="477"/>
        <v>440</v>
      </c>
      <c r="AU213" s="118">
        <f t="shared" si="478"/>
        <v>0</v>
      </c>
      <c r="AV213" s="118">
        <f>'1-1 项目基础信息'!N24</f>
        <v>0</v>
      </c>
      <c r="AW213" s="318">
        <f t="shared" si="479"/>
        <v>440</v>
      </c>
      <c r="AX213" s="118">
        <f t="shared" si="480"/>
        <v>0</v>
      </c>
      <c r="AY213" s="118">
        <f>'1-1 项目基础信息'!O24</f>
        <v>0</v>
      </c>
      <c r="AZ213" s="318">
        <f t="shared" si="481"/>
        <v>440</v>
      </c>
      <c r="BA213" s="118">
        <f t="shared" si="482"/>
        <v>0</v>
      </c>
      <c r="BB213" s="118">
        <f>'1-1 项目基础信息'!P24</f>
        <v>0</v>
      </c>
      <c r="BC213" s="318">
        <f t="shared" si="483"/>
        <v>440</v>
      </c>
      <c r="BD213" s="118">
        <f t="shared" si="484"/>
        <v>0</v>
      </c>
      <c r="BE213" s="118">
        <f>'1-1 项目基础信息'!Q24</f>
        <v>0</v>
      </c>
      <c r="BF213" s="318">
        <f t="shared" si="485"/>
        <v>440</v>
      </c>
      <c r="BG213" s="118">
        <f t="shared" si="486"/>
        <v>0</v>
      </c>
      <c r="BH213" s="118">
        <f>'1-1 项目基础信息'!R24</f>
        <v>0</v>
      </c>
      <c r="BI213" s="318">
        <f t="shared" si="487"/>
        <v>440</v>
      </c>
      <c r="BJ213" s="118">
        <f t="shared" si="488"/>
        <v>0</v>
      </c>
      <c r="BK213" s="118">
        <f>'1-1 项目基础信息'!S24</f>
        <v>0</v>
      </c>
      <c r="BL213" s="319">
        <f t="shared" si="489"/>
        <v>440</v>
      </c>
      <c r="BM213" s="311"/>
      <c r="BN213" s="314"/>
    </row>
    <row r="214" s="117" customFormat="1" ht="33.95" hidden="1" customHeight="1" outlineLevel="5" spans="2:66">
      <c r="B214" s="118" t="s">
        <v>799</v>
      </c>
      <c r="C214" s="119" t="s">
        <v>1158</v>
      </c>
      <c r="D214" s="117" t="s">
        <v>1159</v>
      </c>
      <c r="E214" s="118"/>
      <c r="F214" s="118"/>
      <c r="G214" s="118" t="s">
        <v>803</v>
      </c>
      <c r="H214" s="118">
        <f t="shared" si="462"/>
        <v>0</v>
      </c>
      <c r="I214" s="118" t="s">
        <v>1149</v>
      </c>
      <c r="J214" s="118" t="e">
        <f t="shared" si="463"/>
        <v>#DIV/0!</v>
      </c>
      <c r="K214" s="118" t="s">
        <v>1150</v>
      </c>
      <c r="L214" s="118" t="e">
        <f t="shared" si="464"/>
        <v>#DIV/0!</v>
      </c>
      <c r="M214" s="118" t="s">
        <v>1151</v>
      </c>
      <c r="N214" s="118">
        <f t="shared" si="465"/>
        <v>0</v>
      </c>
      <c r="O214" s="118"/>
      <c r="P214" s="289"/>
      <c r="Q214" s="289"/>
      <c r="R214" s="289"/>
      <c r="S214" s="289"/>
      <c r="T214" s="289"/>
      <c r="U214" s="289"/>
      <c r="V214" s="289"/>
      <c r="W214" s="289"/>
      <c r="X214" s="289"/>
      <c r="Y214" s="289"/>
      <c r="Z214" s="289"/>
      <c r="AA214" s="289"/>
      <c r="AB214" s="118">
        <f t="shared" si="466"/>
        <v>0</v>
      </c>
      <c r="AC214" s="118">
        <f t="shared" si="467"/>
        <v>0</v>
      </c>
      <c r="AD214" s="118">
        <f>'1-1 项目基础信息'!H25</f>
        <v>0</v>
      </c>
      <c r="AE214" s="289">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8">
        <f t="shared" si="469"/>
        <v>624</v>
      </c>
      <c r="AI214" s="118">
        <f t="shared" si="470"/>
        <v>0</v>
      </c>
      <c r="AJ214" s="118">
        <f>'1-1 项目基础信息'!J25</f>
        <v>0</v>
      </c>
      <c r="AK214" s="318">
        <f t="shared" si="471"/>
        <v>624</v>
      </c>
      <c r="AL214" s="118">
        <f t="shared" si="472"/>
        <v>0</v>
      </c>
      <c r="AM214" s="118">
        <f>'1-1 项目基础信息'!K25</f>
        <v>0</v>
      </c>
      <c r="AN214" s="318">
        <f t="shared" si="473"/>
        <v>624</v>
      </c>
      <c r="AO214" s="118">
        <f t="shared" si="474"/>
        <v>0</v>
      </c>
      <c r="AP214" s="118">
        <f>'1-1 项目基础信息'!L25</f>
        <v>0</v>
      </c>
      <c r="AQ214" s="318">
        <f t="shared" si="475"/>
        <v>624</v>
      </c>
      <c r="AR214" s="118">
        <f t="shared" si="476"/>
        <v>0</v>
      </c>
      <c r="AS214" s="118">
        <f>'1-1 项目基础信息'!M25</f>
        <v>0</v>
      </c>
      <c r="AT214" s="318">
        <f t="shared" si="477"/>
        <v>624</v>
      </c>
      <c r="AU214" s="118">
        <f t="shared" si="478"/>
        <v>0</v>
      </c>
      <c r="AV214" s="118">
        <f>'1-1 项目基础信息'!N25</f>
        <v>0</v>
      </c>
      <c r="AW214" s="318">
        <f t="shared" si="479"/>
        <v>624</v>
      </c>
      <c r="AX214" s="118">
        <f t="shared" si="480"/>
        <v>0</v>
      </c>
      <c r="AY214" s="118">
        <f>'1-1 项目基础信息'!O25</f>
        <v>0</v>
      </c>
      <c r="AZ214" s="318">
        <f t="shared" si="481"/>
        <v>624</v>
      </c>
      <c r="BA214" s="118">
        <f t="shared" si="482"/>
        <v>0</v>
      </c>
      <c r="BB214" s="118">
        <f>'1-1 项目基础信息'!P25</f>
        <v>0</v>
      </c>
      <c r="BC214" s="318">
        <f t="shared" si="483"/>
        <v>624</v>
      </c>
      <c r="BD214" s="118">
        <f t="shared" si="484"/>
        <v>0</v>
      </c>
      <c r="BE214" s="118">
        <f>'1-1 项目基础信息'!Q25</f>
        <v>0</v>
      </c>
      <c r="BF214" s="318">
        <f t="shared" si="485"/>
        <v>624</v>
      </c>
      <c r="BG214" s="118">
        <f t="shared" si="486"/>
        <v>0</v>
      </c>
      <c r="BH214" s="118">
        <f>'1-1 项目基础信息'!R25</f>
        <v>0</v>
      </c>
      <c r="BI214" s="318">
        <f t="shared" si="487"/>
        <v>624</v>
      </c>
      <c r="BJ214" s="118">
        <f t="shared" si="488"/>
        <v>0</v>
      </c>
      <c r="BK214" s="118">
        <f>'1-1 项目基础信息'!S25</f>
        <v>0</v>
      </c>
      <c r="BL214" s="319">
        <f t="shared" si="489"/>
        <v>624</v>
      </c>
      <c r="BM214" s="311"/>
      <c r="BN214" s="314"/>
    </row>
    <row r="215" s="117" customFormat="1" ht="33.95" hidden="1" customHeight="1" outlineLevel="5" spans="2:66">
      <c r="B215" s="118" t="s">
        <v>799</v>
      </c>
      <c r="C215" s="119" t="s">
        <v>1160</v>
      </c>
      <c r="D215" s="117" t="s">
        <v>1161</v>
      </c>
      <c r="E215" s="118"/>
      <c r="F215" s="118"/>
      <c r="G215" s="118" t="s">
        <v>803</v>
      </c>
      <c r="H215" s="118">
        <f t="shared" si="462"/>
        <v>0</v>
      </c>
      <c r="I215" s="118" t="s">
        <v>1149</v>
      </c>
      <c r="J215" s="118" t="e">
        <f t="shared" si="463"/>
        <v>#DIV/0!</v>
      </c>
      <c r="K215" s="118" t="s">
        <v>1150</v>
      </c>
      <c r="L215" s="118" t="e">
        <f t="shared" si="464"/>
        <v>#DIV/0!</v>
      </c>
      <c r="M215" s="118" t="s">
        <v>1151</v>
      </c>
      <c r="N215" s="118">
        <f t="shared" si="465"/>
        <v>0</v>
      </c>
      <c r="O215" s="118"/>
      <c r="P215" s="289"/>
      <c r="Q215" s="289"/>
      <c r="R215" s="289"/>
      <c r="S215" s="289"/>
      <c r="T215" s="289"/>
      <c r="U215" s="289"/>
      <c r="V215" s="289"/>
      <c r="W215" s="289"/>
      <c r="X215" s="289"/>
      <c r="Y215" s="289"/>
      <c r="Z215" s="289"/>
      <c r="AA215" s="289"/>
      <c r="AB215" s="118">
        <f t="shared" si="466"/>
        <v>0</v>
      </c>
      <c r="AC215" s="118">
        <f t="shared" si="467"/>
        <v>0</v>
      </c>
      <c r="AD215" s="118">
        <f>'1-1 项目基础信息'!H26</f>
        <v>0</v>
      </c>
      <c r="AE215" s="289">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8">
        <f t="shared" si="469"/>
        <v>780</v>
      </c>
      <c r="AI215" s="118">
        <f t="shared" si="470"/>
        <v>0</v>
      </c>
      <c r="AJ215" s="118">
        <f>'1-1 项目基础信息'!J26</f>
        <v>0</v>
      </c>
      <c r="AK215" s="318">
        <f t="shared" si="471"/>
        <v>780</v>
      </c>
      <c r="AL215" s="118">
        <f t="shared" si="472"/>
        <v>0</v>
      </c>
      <c r="AM215" s="118">
        <f>'1-1 项目基础信息'!K26</f>
        <v>0</v>
      </c>
      <c r="AN215" s="318">
        <f t="shared" si="473"/>
        <v>780</v>
      </c>
      <c r="AO215" s="118">
        <f t="shared" si="474"/>
        <v>0</v>
      </c>
      <c r="AP215" s="118">
        <f>'1-1 项目基础信息'!L26</f>
        <v>0</v>
      </c>
      <c r="AQ215" s="318">
        <f t="shared" si="475"/>
        <v>780</v>
      </c>
      <c r="AR215" s="118">
        <f t="shared" si="476"/>
        <v>0</v>
      </c>
      <c r="AS215" s="118">
        <f>'1-1 项目基础信息'!M26</f>
        <v>0</v>
      </c>
      <c r="AT215" s="318">
        <f t="shared" si="477"/>
        <v>780</v>
      </c>
      <c r="AU215" s="118">
        <f t="shared" si="478"/>
        <v>0</v>
      </c>
      <c r="AV215" s="118">
        <f>'1-1 项目基础信息'!N26</f>
        <v>0</v>
      </c>
      <c r="AW215" s="318">
        <f t="shared" si="479"/>
        <v>780</v>
      </c>
      <c r="AX215" s="118">
        <f t="shared" si="480"/>
        <v>0</v>
      </c>
      <c r="AY215" s="118">
        <f>'1-1 项目基础信息'!O26</f>
        <v>0</v>
      </c>
      <c r="AZ215" s="318">
        <f t="shared" si="481"/>
        <v>780</v>
      </c>
      <c r="BA215" s="118">
        <f t="shared" si="482"/>
        <v>0</v>
      </c>
      <c r="BB215" s="118">
        <f>'1-1 项目基础信息'!P26</f>
        <v>0</v>
      </c>
      <c r="BC215" s="318">
        <f t="shared" si="483"/>
        <v>780</v>
      </c>
      <c r="BD215" s="118">
        <f t="shared" si="484"/>
        <v>0</v>
      </c>
      <c r="BE215" s="118">
        <f>'1-1 项目基础信息'!Q26</f>
        <v>0</v>
      </c>
      <c r="BF215" s="318">
        <f t="shared" si="485"/>
        <v>780</v>
      </c>
      <c r="BG215" s="118">
        <f t="shared" si="486"/>
        <v>0</v>
      </c>
      <c r="BH215" s="118">
        <f>'1-1 项目基础信息'!R26</f>
        <v>0</v>
      </c>
      <c r="BI215" s="318">
        <f t="shared" si="487"/>
        <v>780</v>
      </c>
      <c r="BJ215" s="118">
        <f t="shared" si="488"/>
        <v>0</v>
      </c>
      <c r="BK215" s="118">
        <f>'1-1 项目基础信息'!S26</f>
        <v>0</v>
      </c>
      <c r="BL215" s="319">
        <f t="shared" si="489"/>
        <v>780</v>
      </c>
      <c r="BM215" s="311"/>
      <c r="BN215" s="314"/>
    </row>
    <row r="216" s="117" customFormat="1" ht="33.95" hidden="1" customHeight="1" outlineLevel="5" spans="2:66">
      <c r="B216" s="118" t="s">
        <v>799</v>
      </c>
      <c r="C216" s="119" t="s">
        <v>1162</v>
      </c>
      <c r="D216" s="117" t="s">
        <v>1163</v>
      </c>
      <c r="E216" s="118"/>
      <c r="F216" s="118"/>
      <c r="G216" s="118" t="s">
        <v>803</v>
      </c>
      <c r="H216" s="118">
        <f t="shared" si="462"/>
        <v>0</v>
      </c>
      <c r="I216" s="118" t="s">
        <v>1149</v>
      </c>
      <c r="J216" s="118" t="e">
        <f t="shared" si="463"/>
        <v>#DIV/0!</v>
      </c>
      <c r="K216" s="118" t="s">
        <v>1150</v>
      </c>
      <c r="L216" s="118" t="e">
        <f t="shared" si="464"/>
        <v>#DIV/0!</v>
      </c>
      <c r="M216" s="118" t="s">
        <v>1151</v>
      </c>
      <c r="N216" s="118">
        <f t="shared" si="465"/>
        <v>0</v>
      </c>
      <c r="O216" s="118"/>
      <c r="P216" s="289"/>
      <c r="Q216" s="289"/>
      <c r="R216" s="289"/>
      <c r="S216" s="289"/>
      <c r="T216" s="289"/>
      <c r="U216" s="289"/>
      <c r="V216" s="289"/>
      <c r="W216" s="289"/>
      <c r="X216" s="289"/>
      <c r="Y216" s="289"/>
      <c r="Z216" s="289"/>
      <c r="AA216" s="289"/>
      <c r="AB216" s="118">
        <f t="shared" si="466"/>
        <v>0</v>
      </c>
      <c r="AC216" s="118">
        <f t="shared" si="467"/>
        <v>0</v>
      </c>
      <c r="AD216" s="118">
        <f>'1-1 项目基础信息'!H27</f>
        <v>0</v>
      </c>
      <c r="AE216" s="289">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8">
        <f t="shared" si="469"/>
        <v>912</v>
      </c>
      <c r="AI216" s="118">
        <f t="shared" si="470"/>
        <v>0</v>
      </c>
      <c r="AJ216" s="118">
        <f>'1-1 项目基础信息'!J27</f>
        <v>0</v>
      </c>
      <c r="AK216" s="318">
        <f t="shared" si="471"/>
        <v>912</v>
      </c>
      <c r="AL216" s="118">
        <f t="shared" si="472"/>
        <v>0</v>
      </c>
      <c r="AM216" s="118">
        <f>'1-1 项目基础信息'!K27</f>
        <v>0</v>
      </c>
      <c r="AN216" s="318">
        <f t="shared" si="473"/>
        <v>912</v>
      </c>
      <c r="AO216" s="118">
        <f t="shared" si="474"/>
        <v>0</v>
      </c>
      <c r="AP216" s="118">
        <f>'1-1 项目基础信息'!L27</f>
        <v>0</v>
      </c>
      <c r="AQ216" s="318">
        <f t="shared" si="475"/>
        <v>912</v>
      </c>
      <c r="AR216" s="118">
        <f t="shared" si="476"/>
        <v>0</v>
      </c>
      <c r="AS216" s="118">
        <f>'1-1 项目基础信息'!M27</f>
        <v>0</v>
      </c>
      <c r="AT216" s="318">
        <f t="shared" si="477"/>
        <v>912</v>
      </c>
      <c r="AU216" s="118">
        <f t="shared" si="478"/>
        <v>0</v>
      </c>
      <c r="AV216" s="118">
        <f>'1-1 项目基础信息'!N27</f>
        <v>0</v>
      </c>
      <c r="AW216" s="318">
        <f t="shared" si="479"/>
        <v>912</v>
      </c>
      <c r="AX216" s="118">
        <f t="shared" si="480"/>
        <v>0</v>
      </c>
      <c r="AY216" s="118">
        <f>'1-1 项目基础信息'!O27</f>
        <v>0</v>
      </c>
      <c r="AZ216" s="318">
        <f t="shared" si="481"/>
        <v>912</v>
      </c>
      <c r="BA216" s="118">
        <f t="shared" si="482"/>
        <v>0</v>
      </c>
      <c r="BB216" s="118">
        <f>'1-1 项目基础信息'!P27</f>
        <v>0</v>
      </c>
      <c r="BC216" s="318">
        <f t="shared" si="483"/>
        <v>912</v>
      </c>
      <c r="BD216" s="118">
        <f t="shared" si="484"/>
        <v>0</v>
      </c>
      <c r="BE216" s="118">
        <f>'1-1 项目基础信息'!Q27</f>
        <v>0</v>
      </c>
      <c r="BF216" s="318">
        <f t="shared" si="485"/>
        <v>912</v>
      </c>
      <c r="BG216" s="118">
        <f t="shared" si="486"/>
        <v>0</v>
      </c>
      <c r="BH216" s="118">
        <f>'1-1 项目基础信息'!R27</f>
        <v>0</v>
      </c>
      <c r="BI216" s="318">
        <f t="shared" si="487"/>
        <v>912</v>
      </c>
      <c r="BJ216" s="118">
        <f t="shared" si="488"/>
        <v>0</v>
      </c>
      <c r="BK216" s="118">
        <f>'1-1 项目基础信息'!S27</f>
        <v>0</v>
      </c>
      <c r="BL216" s="319">
        <f t="shared" si="489"/>
        <v>912</v>
      </c>
      <c r="BM216" s="311"/>
      <c r="BN216" s="314"/>
    </row>
    <row r="217" s="117" customFormat="1" ht="33.95" hidden="1" customHeight="1" outlineLevel="5" spans="2:66">
      <c r="B217" s="118" t="s">
        <v>799</v>
      </c>
      <c r="C217" s="119" t="s">
        <v>1164</v>
      </c>
      <c r="D217" s="117" t="s">
        <v>1165</v>
      </c>
      <c r="E217" s="118"/>
      <c r="F217" s="118"/>
      <c r="G217" s="118" t="s">
        <v>803</v>
      </c>
      <c r="H217" s="118">
        <f t="shared" si="462"/>
        <v>0</v>
      </c>
      <c r="I217" s="118" t="s">
        <v>1149</v>
      </c>
      <c r="J217" s="118" t="e">
        <f t="shared" si="463"/>
        <v>#DIV/0!</v>
      </c>
      <c r="K217" s="118" t="s">
        <v>1150</v>
      </c>
      <c r="L217" s="118" t="e">
        <f t="shared" si="464"/>
        <v>#DIV/0!</v>
      </c>
      <c r="M217" s="118" t="s">
        <v>1151</v>
      </c>
      <c r="N217" s="118">
        <f t="shared" si="465"/>
        <v>0</v>
      </c>
      <c r="O217" s="118"/>
      <c r="P217" s="289"/>
      <c r="Q217" s="289"/>
      <c r="R217" s="289"/>
      <c r="S217" s="289"/>
      <c r="T217" s="289"/>
      <c r="U217" s="289"/>
      <c r="V217" s="289"/>
      <c r="W217" s="289"/>
      <c r="X217" s="289"/>
      <c r="Y217" s="289"/>
      <c r="Z217" s="289"/>
      <c r="AA217" s="289"/>
      <c r="AB217" s="118">
        <f t="shared" si="466"/>
        <v>0</v>
      </c>
      <c r="AC217" s="118">
        <f t="shared" si="467"/>
        <v>0</v>
      </c>
      <c r="AD217" s="118">
        <f>'1-1 项目基础信息'!H28</f>
        <v>0</v>
      </c>
      <c r="AE217" s="289">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8">
        <f t="shared" si="469"/>
        <v>1030</v>
      </c>
      <c r="AI217" s="118">
        <f t="shared" si="470"/>
        <v>0</v>
      </c>
      <c r="AJ217" s="118">
        <f>'1-1 项目基础信息'!J28</f>
        <v>0</v>
      </c>
      <c r="AK217" s="318">
        <f t="shared" si="471"/>
        <v>1030</v>
      </c>
      <c r="AL217" s="118">
        <f t="shared" si="472"/>
        <v>0</v>
      </c>
      <c r="AM217" s="118">
        <f>'1-1 项目基础信息'!K28</f>
        <v>0</v>
      </c>
      <c r="AN217" s="318">
        <f t="shared" si="473"/>
        <v>1030</v>
      </c>
      <c r="AO217" s="118">
        <f t="shared" si="474"/>
        <v>0</v>
      </c>
      <c r="AP217" s="118">
        <f>'1-1 项目基础信息'!L28</f>
        <v>0</v>
      </c>
      <c r="AQ217" s="318">
        <f t="shared" si="475"/>
        <v>1030</v>
      </c>
      <c r="AR217" s="118">
        <f t="shared" si="476"/>
        <v>0</v>
      </c>
      <c r="AS217" s="118">
        <f>'1-1 项目基础信息'!M28</f>
        <v>0</v>
      </c>
      <c r="AT217" s="318">
        <f t="shared" si="477"/>
        <v>1030</v>
      </c>
      <c r="AU217" s="118">
        <f t="shared" si="478"/>
        <v>0</v>
      </c>
      <c r="AV217" s="118">
        <f>'1-1 项目基础信息'!N28</f>
        <v>0</v>
      </c>
      <c r="AW217" s="318">
        <f t="shared" si="479"/>
        <v>1030</v>
      </c>
      <c r="AX217" s="118">
        <f t="shared" si="480"/>
        <v>0</v>
      </c>
      <c r="AY217" s="118">
        <f>'1-1 项目基础信息'!O28</f>
        <v>0</v>
      </c>
      <c r="AZ217" s="318">
        <f t="shared" si="481"/>
        <v>1030</v>
      </c>
      <c r="BA217" s="118">
        <f t="shared" si="482"/>
        <v>0</v>
      </c>
      <c r="BB217" s="118">
        <f>'1-1 项目基础信息'!P28</f>
        <v>0</v>
      </c>
      <c r="BC217" s="318">
        <f t="shared" si="483"/>
        <v>1030</v>
      </c>
      <c r="BD217" s="118">
        <f t="shared" si="484"/>
        <v>0</v>
      </c>
      <c r="BE217" s="118">
        <f>'1-1 项目基础信息'!Q28</f>
        <v>0</v>
      </c>
      <c r="BF217" s="318">
        <f t="shared" si="485"/>
        <v>1030</v>
      </c>
      <c r="BG217" s="118">
        <f t="shared" si="486"/>
        <v>0</v>
      </c>
      <c r="BH217" s="118">
        <f>'1-1 项目基础信息'!R28</f>
        <v>0</v>
      </c>
      <c r="BI217" s="318">
        <f t="shared" si="487"/>
        <v>1030</v>
      </c>
      <c r="BJ217" s="118">
        <f t="shared" si="488"/>
        <v>0</v>
      </c>
      <c r="BK217" s="118">
        <f>'1-1 项目基础信息'!S28</f>
        <v>0</v>
      </c>
      <c r="BL217" s="319">
        <f t="shared" si="489"/>
        <v>1030</v>
      </c>
      <c r="BM217" s="311"/>
      <c r="BN217" s="314"/>
    </row>
    <row r="218" s="117" customFormat="1" ht="33.95" hidden="1" customHeight="1" outlineLevel="5" spans="2:66">
      <c r="B218" s="118" t="s">
        <v>799</v>
      </c>
      <c r="C218" s="119" t="s">
        <v>1166</v>
      </c>
      <c r="D218" s="117" t="s">
        <v>1167</v>
      </c>
      <c r="E218" s="118"/>
      <c r="F218" s="118"/>
      <c r="G218" s="118" t="s">
        <v>803</v>
      </c>
      <c r="H218" s="118">
        <f t="shared" si="462"/>
        <v>0</v>
      </c>
      <c r="I218" s="118" t="s">
        <v>1149</v>
      </c>
      <c r="J218" s="118" t="e">
        <f t="shared" si="463"/>
        <v>#DIV/0!</v>
      </c>
      <c r="K218" s="118" t="s">
        <v>1150</v>
      </c>
      <c r="L218" s="118" t="e">
        <f t="shared" si="464"/>
        <v>#DIV/0!</v>
      </c>
      <c r="M218" s="118" t="s">
        <v>1151</v>
      </c>
      <c r="N218" s="118">
        <f t="shared" si="465"/>
        <v>0</v>
      </c>
      <c r="O218" s="118"/>
      <c r="P218" s="289"/>
      <c r="Q218" s="289"/>
      <c r="R218" s="289"/>
      <c r="S218" s="289"/>
      <c r="T218" s="289"/>
      <c r="U218" s="289"/>
      <c r="V218" s="289"/>
      <c r="W218" s="289"/>
      <c r="X218" s="289"/>
      <c r="Y218" s="289"/>
      <c r="Z218" s="289"/>
      <c r="AA218" s="289"/>
      <c r="AB218" s="118">
        <f t="shared" si="466"/>
        <v>0</v>
      </c>
      <c r="AC218" s="118">
        <f t="shared" si="467"/>
        <v>0</v>
      </c>
      <c r="AD218" s="118">
        <f>'1-1 项目基础信息'!H29</f>
        <v>0</v>
      </c>
      <c r="AE218" s="289">
        <f>SUMIFS('附表1-数据库'!$F38:$EA38,'附表1-数据库'!$F$26:$EA$26,'1-1 项目基础信息'!$D$19,'附表1-数据库'!$F$28:$EA$28,'1-1 项目基础信息'!$D$20,'附表1-数据库'!$F$27:$EA$27,'1-1 项目基础信息'!$D$21,'附表1-数据库'!$F$29:$EA$29,'1-1 项目基础信息'!$D$18)</f>
        <v>828</v>
      </c>
      <c r="AF218" s="118">
        <f t="shared" si="468"/>
        <v>0</v>
      </c>
      <c r="AG218" s="118">
        <f>'1-1 项目基础信息'!I29</f>
        <v>0</v>
      </c>
      <c r="AH218" s="318">
        <f t="shared" si="469"/>
        <v>828</v>
      </c>
      <c r="AI218" s="118">
        <f t="shared" si="470"/>
        <v>0</v>
      </c>
      <c r="AJ218" s="118">
        <f>'1-1 项目基础信息'!J29</f>
        <v>0</v>
      </c>
      <c r="AK218" s="318">
        <f t="shared" si="471"/>
        <v>828</v>
      </c>
      <c r="AL218" s="118">
        <f t="shared" si="472"/>
        <v>0</v>
      </c>
      <c r="AM218" s="118">
        <f>'1-1 项目基础信息'!K29</f>
        <v>0</v>
      </c>
      <c r="AN218" s="318">
        <f t="shared" si="473"/>
        <v>828</v>
      </c>
      <c r="AO218" s="118">
        <f t="shared" si="474"/>
        <v>0</v>
      </c>
      <c r="AP218" s="118">
        <f>'1-1 项目基础信息'!L29</f>
        <v>0</v>
      </c>
      <c r="AQ218" s="318">
        <f t="shared" si="475"/>
        <v>828</v>
      </c>
      <c r="AR218" s="118">
        <f t="shared" si="476"/>
        <v>0</v>
      </c>
      <c r="AS218" s="118">
        <f>'1-1 项目基础信息'!M29</f>
        <v>0</v>
      </c>
      <c r="AT218" s="318">
        <f t="shared" si="477"/>
        <v>828</v>
      </c>
      <c r="AU218" s="118">
        <f t="shared" si="478"/>
        <v>0</v>
      </c>
      <c r="AV218" s="118">
        <f>'1-1 项目基础信息'!N29</f>
        <v>0</v>
      </c>
      <c r="AW218" s="318">
        <f t="shared" si="479"/>
        <v>828</v>
      </c>
      <c r="AX218" s="118">
        <f t="shared" si="480"/>
        <v>0</v>
      </c>
      <c r="AY218" s="118">
        <f>'1-1 项目基础信息'!O29</f>
        <v>0</v>
      </c>
      <c r="AZ218" s="318">
        <f t="shared" si="481"/>
        <v>828</v>
      </c>
      <c r="BA218" s="118">
        <f t="shared" si="482"/>
        <v>0</v>
      </c>
      <c r="BB218" s="118">
        <f>'1-1 项目基础信息'!P29</f>
        <v>0</v>
      </c>
      <c r="BC218" s="318">
        <f t="shared" si="483"/>
        <v>828</v>
      </c>
      <c r="BD218" s="118">
        <f t="shared" si="484"/>
        <v>0</v>
      </c>
      <c r="BE218" s="118">
        <f>'1-1 项目基础信息'!Q29</f>
        <v>0</v>
      </c>
      <c r="BF218" s="318">
        <f t="shared" si="485"/>
        <v>828</v>
      </c>
      <c r="BG218" s="118">
        <f t="shared" si="486"/>
        <v>0</v>
      </c>
      <c r="BH218" s="118">
        <f>'1-1 项目基础信息'!R29</f>
        <v>0</v>
      </c>
      <c r="BI218" s="318">
        <f t="shared" si="487"/>
        <v>828</v>
      </c>
      <c r="BJ218" s="118">
        <f t="shared" si="488"/>
        <v>0</v>
      </c>
      <c r="BK218" s="118">
        <f>'1-1 项目基础信息'!S29</f>
        <v>0</v>
      </c>
      <c r="BL218" s="319">
        <f t="shared" si="489"/>
        <v>828</v>
      </c>
      <c r="BM218" s="311"/>
      <c r="BN218" s="314"/>
    </row>
    <row r="219" s="117" customFormat="1" ht="33.95" hidden="1" customHeight="1" outlineLevel="5" spans="2:66">
      <c r="B219" s="118" t="s">
        <v>799</v>
      </c>
      <c r="C219" s="119" t="s">
        <v>1168</v>
      </c>
      <c r="D219" s="117" t="s">
        <v>1169</v>
      </c>
      <c r="E219" s="118"/>
      <c r="F219" s="118"/>
      <c r="G219" s="118" t="s">
        <v>803</v>
      </c>
      <c r="H219" s="118">
        <f t="shared" si="462"/>
        <v>0</v>
      </c>
      <c r="I219" s="118" t="s">
        <v>1149</v>
      </c>
      <c r="J219" s="118" t="e">
        <f t="shared" si="463"/>
        <v>#DIV/0!</v>
      </c>
      <c r="K219" s="118" t="s">
        <v>1150</v>
      </c>
      <c r="L219" s="118" t="e">
        <f t="shared" si="464"/>
        <v>#DIV/0!</v>
      </c>
      <c r="M219" s="118" t="s">
        <v>1151</v>
      </c>
      <c r="N219" s="118">
        <f t="shared" si="465"/>
        <v>0</v>
      </c>
      <c r="O219" s="118"/>
      <c r="P219" s="289"/>
      <c r="Q219" s="289"/>
      <c r="R219" s="289"/>
      <c r="S219" s="289"/>
      <c r="T219" s="289"/>
      <c r="U219" s="289"/>
      <c r="V219" s="289"/>
      <c r="W219" s="289"/>
      <c r="X219" s="289"/>
      <c r="Y219" s="289"/>
      <c r="Z219" s="289"/>
      <c r="AA219" s="289"/>
      <c r="AB219" s="118">
        <f t="shared" si="466"/>
        <v>0</v>
      </c>
      <c r="AC219" s="118">
        <f t="shared" si="467"/>
        <v>0</v>
      </c>
      <c r="AD219" s="118">
        <f>'1-1 项目基础信息'!H30</f>
        <v>0</v>
      </c>
      <c r="AE219" s="289">
        <f>SUMIFS('附表1-数据库'!$F39:$EA39,'附表1-数据库'!$F$26:$EA$26,'1-1 项目基础信息'!$D$19,'附表1-数据库'!$F$28:$EA$28,'1-1 项目基础信息'!$D$20,'附表1-数据库'!$F$27:$EA$27,'1-1 项目基础信息'!$D$21,'附表1-数据库'!$F$29:$EA$29,'1-1 项目基础信息'!$D$18)</f>
        <v>972</v>
      </c>
      <c r="AF219" s="118">
        <f t="shared" si="468"/>
        <v>0</v>
      </c>
      <c r="AG219" s="118">
        <f>'1-1 项目基础信息'!I30</f>
        <v>0</v>
      </c>
      <c r="AH219" s="318">
        <f t="shared" si="469"/>
        <v>972</v>
      </c>
      <c r="AI219" s="118">
        <f t="shared" si="470"/>
        <v>0</v>
      </c>
      <c r="AJ219" s="118">
        <f>'1-1 项目基础信息'!J30</f>
        <v>0</v>
      </c>
      <c r="AK219" s="318">
        <f t="shared" si="471"/>
        <v>972</v>
      </c>
      <c r="AL219" s="118">
        <f t="shared" si="472"/>
        <v>0</v>
      </c>
      <c r="AM219" s="118">
        <f>'1-1 项目基础信息'!K30</f>
        <v>0</v>
      </c>
      <c r="AN219" s="318">
        <f t="shared" si="473"/>
        <v>972</v>
      </c>
      <c r="AO219" s="118">
        <f t="shared" si="474"/>
        <v>0</v>
      </c>
      <c r="AP219" s="118">
        <f>'1-1 项目基础信息'!L30</f>
        <v>0</v>
      </c>
      <c r="AQ219" s="318">
        <f t="shared" si="475"/>
        <v>972</v>
      </c>
      <c r="AR219" s="118">
        <f t="shared" si="476"/>
        <v>0</v>
      </c>
      <c r="AS219" s="118">
        <f>'1-1 项目基础信息'!M30</f>
        <v>0</v>
      </c>
      <c r="AT219" s="318">
        <f t="shared" si="477"/>
        <v>972</v>
      </c>
      <c r="AU219" s="118">
        <f t="shared" si="478"/>
        <v>0</v>
      </c>
      <c r="AV219" s="118">
        <f>'1-1 项目基础信息'!N30</f>
        <v>0</v>
      </c>
      <c r="AW219" s="318">
        <f t="shared" si="479"/>
        <v>972</v>
      </c>
      <c r="AX219" s="118">
        <f t="shared" si="480"/>
        <v>0</v>
      </c>
      <c r="AY219" s="118">
        <f>'1-1 项目基础信息'!O30</f>
        <v>0</v>
      </c>
      <c r="AZ219" s="318">
        <f t="shared" si="481"/>
        <v>972</v>
      </c>
      <c r="BA219" s="118">
        <f t="shared" si="482"/>
        <v>0</v>
      </c>
      <c r="BB219" s="118">
        <f>'1-1 项目基础信息'!P30</f>
        <v>0</v>
      </c>
      <c r="BC219" s="318">
        <f t="shared" si="483"/>
        <v>972</v>
      </c>
      <c r="BD219" s="118">
        <f t="shared" si="484"/>
        <v>0</v>
      </c>
      <c r="BE219" s="118">
        <f>'1-1 项目基础信息'!Q30</f>
        <v>0</v>
      </c>
      <c r="BF219" s="318">
        <f t="shared" si="485"/>
        <v>972</v>
      </c>
      <c r="BG219" s="118">
        <f t="shared" si="486"/>
        <v>0</v>
      </c>
      <c r="BH219" s="118">
        <f>'1-1 项目基础信息'!R30</f>
        <v>0</v>
      </c>
      <c r="BI219" s="318">
        <f t="shared" si="487"/>
        <v>972</v>
      </c>
      <c r="BJ219" s="118">
        <f t="shared" si="488"/>
        <v>0</v>
      </c>
      <c r="BK219" s="118">
        <f>'1-1 项目基础信息'!S30</f>
        <v>0</v>
      </c>
      <c r="BL219" s="319">
        <f t="shared" si="489"/>
        <v>972</v>
      </c>
      <c r="BM219" s="311"/>
      <c r="BN219" s="314"/>
    </row>
    <row r="220" s="117" customFormat="1" ht="33.95" hidden="1" customHeight="1" outlineLevel="5" spans="2:66">
      <c r="B220" s="118" t="s">
        <v>799</v>
      </c>
      <c r="C220" s="119" t="s">
        <v>1170</v>
      </c>
      <c r="D220" s="117" t="s">
        <v>1171</v>
      </c>
      <c r="E220" s="118"/>
      <c r="F220" s="118"/>
      <c r="G220" s="118" t="s">
        <v>803</v>
      </c>
      <c r="H220" s="118">
        <f t="shared" si="462"/>
        <v>0</v>
      </c>
      <c r="I220" s="118" t="s">
        <v>1149</v>
      </c>
      <c r="J220" s="118" t="e">
        <f t="shared" si="463"/>
        <v>#DIV/0!</v>
      </c>
      <c r="K220" s="118" t="s">
        <v>1150</v>
      </c>
      <c r="L220" s="118" t="e">
        <f t="shared" si="464"/>
        <v>#DIV/0!</v>
      </c>
      <c r="M220" s="118" t="s">
        <v>1151</v>
      </c>
      <c r="N220" s="118">
        <f t="shared" si="465"/>
        <v>0</v>
      </c>
      <c r="O220" s="118"/>
      <c r="P220" s="289"/>
      <c r="Q220" s="289"/>
      <c r="R220" s="289"/>
      <c r="S220" s="289"/>
      <c r="T220" s="289"/>
      <c r="U220" s="289"/>
      <c r="V220" s="289"/>
      <c r="W220" s="289"/>
      <c r="X220" s="289"/>
      <c r="Y220" s="289"/>
      <c r="Z220" s="289"/>
      <c r="AA220" s="289"/>
      <c r="AB220" s="118">
        <f t="shared" si="466"/>
        <v>0</v>
      </c>
      <c r="AC220" s="118">
        <f t="shared" si="467"/>
        <v>0</v>
      </c>
      <c r="AD220" s="118">
        <f>'1-1 项目基础信息'!H31</f>
        <v>0</v>
      </c>
      <c r="AE220" s="289">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8">
        <f t="shared" si="469"/>
        <v>1152</v>
      </c>
      <c r="AI220" s="118">
        <f t="shared" si="470"/>
        <v>0</v>
      </c>
      <c r="AJ220" s="118">
        <f>'1-1 项目基础信息'!J31</f>
        <v>0</v>
      </c>
      <c r="AK220" s="318">
        <f t="shared" si="471"/>
        <v>1152</v>
      </c>
      <c r="AL220" s="118">
        <f t="shared" si="472"/>
        <v>0</v>
      </c>
      <c r="AM220" s="118">
        <f>'1-1 项目基础信息'!K31</f>
        <v>0</v>
      </c>
      <c r="AN220" s="318">
        <f t="shared" si="473"/>
        <v>1152</v>
      </c>
      <c r="AO220" s="118">
        <f t="shared" si="474"/>
        <v>0</v>
      </c>
      <c r="AP220" s="118">
        <f>'1-1 项目基础信息'!L31</f>
        <v>0</v>
      </c>
      <c r="AQ220" s="318">
        <f t="shared" si="475"/>
        <v>1152</v>
      </c>
      <c r="AR220" s="118">
        <f t="shared" si="476"/>
        <v>0</v>
      </c>
      <c r="AS220" s="118">
        <f>'1-1 项目基础信息'!M31</f>
        <v>0</v>
      </c>
      <c r="AT220" s="318">
        <f t="shared" si="477"/>
        <v>1152</v>
      </c>
      <c r="AU220" s="118">
        <f t="shared" si="478"/>
        <v>0</v>
      </c>
      <c r="AV220" s="118">
        <f>'1-1 项目基础信息'!N31</f>
        <v>0</v>
      </c>
      <c r="AW220" s="318">
        <f t="shared" si="479"/>
        <v>1152</v>
      </c>
      <c r="AX220" s="118">
        <f t="shared" si="480"/>
        <v>0</v>
      </c>
      <c r="AY220" s="118">
        <f>'1-1 项目基础信息'!O31</f>
        <v>0</v>
      </c>
      <c r="AZ220" s="318">
        <f t="shared" si="481"/>
        <v>1152</v>
      </c>
      <c r="BA220" s="118">
        <f t="shared" si="482"/>
        <v>0</v>
      </c>
      <c r="BB220" s="118">
        <f>'1-1 项目基础信息'!P31</f>
        <v>0</v>
      </c>
      <c r="BC220" s="318">
        <f t="shared" si="483"/>
        <v>1152</v>
      </c>
      <c r="BD220" s="118">
        <f t="shared" si="484"/>
        <v>0</v>
      </c>
      <c r="BE220" s="118">
        <f>'1-1 项目基础信息'!Q31</f>
        <v>0</v>
      </c>
      <c r="BF220" s="318">
        <f t="shared" si="485"/>
        <v>1152</v>
      </c>
      <c r="BG220" s="118">
        <f t="shared" si="486"/>
        <v>0</v>
      </c>
      <c r="BH220" s="118">
        <f>'1-1 项目基础信息'!R31</f>
        <v>0</v>
      </c>
      <c r="BI220" s="318">
        <f t="shared" si="487"/>
        <v>1152</v>
      </c>
      <c r="BJ220" s="118">
        <f t="shared" si="488"/>
        <v>0</v>
      </c>
      <c r="BK220" s="118">
        <f>'1-1 项目基础信息'!S31</f>
        <v>0</v>
      </c>
      <c r="BL220" s="319">
        <f t="shared" si="489"/>
        <v>1152</v>
      </c>
      <c r="BM220" s="311"/>
      <c r="BN220" s="314"/>
    </row>
    <row r="221" s="117" customFormat="1" ht="33.95" hidden="1" customHeight="1" outlineLevel="5" spans="2:66">
      <c r="B221" s="118" t="s">
        <v>799</v>
      </c>
      <c r="C221" s="119" t="s">
        <v>1172</v>
      </c>
      <c r="D221" s="117" t="s">
        <v>1173</v>
      </c>
      <c r="E221" s="118"/>
      <c r="F221" s="118"/>
      <c r="G221" s="118" t="s">
        <v>803</v>
      </c>
      <c r="H221" s="118">
        <f t="shared" si="462"/>
        <v>0</v>
      </c>
      <c r="I221" s="118" t="s">
        <v>1149</v>
      </c>
      <c r="J221" s="118" t="e">
        <f t="shared" si="463"/>
        <v>#DIV/0!</v>
      </c>
      <c r="K221" s="118" t="s">
        <v>1150</v>
      </c>
      <c r="L221" s="118" t="e">
        <f t="shared" si="464"/>
        <v>#DIV/0!</v>
      </c>
      <c r="M221" s="118" t="s">
        <v>1151</v>
      </c>
      <c r="N221" s="118">
        <f t="shared" si="465"/>
        <v>0</v>
      </c>
      <c r="O221" s="118"/>
      <c r="P221" s="289"/>
      <c r="Q221" s="289"/>
      <c r="R221" s="289"/>
      <c r="S221" s="289"/>
      <c r="T221" s="289"/>
      <c r="U221" s="289"/>
      <c r="V221" s="289"/>
      <c r="W221" s="289"/>
      <c r="X221" s="289"/>
      <c r="Y221" s="289"/>
      <c r="Z221" s="289"/>
      <c r="AA221" s="289"/>
      <c r="AB221" s="118">
        <f t="shared" si="466"/>
        <v>0</v>
      </c>
      <c r="AC221" s="118">
        <f t="shared" si="467"/>
        <v>0</v>
      </c>
      <c r="AD221" s="118">
        <f>'1-1 项目基础信息'!H32</f>
        <v>0</v>
      </c>
      <c r="AE221" s="289">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8">
        <f t="shared" si="469"/>
        <v>0</v>
      </c>
      <c r="AI221" s="118">
        <f t="shared" si="470"/>
        <v>0</v>
      </c>
      <c r="AJ221" s="118">
        <f>'1-1 项目基础信息'!J32</f>
        <v>0</v>
      </c>
      <c r="AK221" s="318">
        <f t="shared" si="471"/>
        <v>0</v>
      </c>
      <c r="AL221" s="118">
        <f t="shared" si="472"/>
        <v>0</v>
      </c>
      <c r="AM221" s="118">
        <f>'1-1 项目基础信息'!K32</f>
        <v>0</v>
      </c>
      <c r="AN221" s="318">
        <f t="shared" si="473"/>
        <v>0</v>
      </c>
      <c r="AO221" s="118">
        <f t="shared" si="474"/>
        <v>0</v>
      </c>
      <c r="AP221" s="118">
        <f>'1-1 项目基础信息'!L32</f>
        <v>0</v>
      </c>
      <c r="AQ221" s="318">
        <f t="shared" si="475"/>
        <v>0</v>
      </c>
      <c r="AR221" s="118">
        <f t="shared" si="476"/>
        <v>0</v>
      </c>
      <c r="AS221" s="118">
        <f>'1-1 项目基础信息'!M32</f>
        <v>0</v>
      </c>
      <c r="AT221" s="318">
        <f t="shared" si="477"/>
        <v>0</v>
      </c>
      <c r="AU221" s="118">
        <f t="shared" si="478"/>
        <v>0</v>
      </c>
      <c r="AV221" s="118">
        <f>'1-1 项目基础信息'!N32</f>
        <v>0</v>
      </c>
      <c r="AW221" s="318">
        <f t="shared" si="479"/>
        <v>0</v>
      </c>
      <c r="AX221" s="118">
        <f t="shared" si="480"/>
        <v>0</v>
      </c>
      <c r="AY221" s="118">
        <f>'1-1 项目基础信息'!O32</f>
        <v>0</v>
      </c>
      <c r="AZ221" s="318">
        <f t="shared" si="481"/>
        <v>0</v>
      </c>
      <c r="BA221" s="118">
        <f t="shared" si="482"/>
        <v>0</v>
      </c>
      <c r="BB221" s="118">
        <f>'1-1 项目基础信息'!P32</f>
        <v>0</v>
      </c>
      <c r="BC221" s="318">
        <f t="shared" si="483"/>
        <v>0</v>
      </c>
      <c r="BD221" s="118">
        <f t="shared" si="484"/>
        <v>0</v>
      </c>
      <c r="BE221" s="118">
        <f>'1-1 项目基础信息'!Q32</f>
        <v>0</v>
      </c>
      <c r="BF221" s="318">
        <f t="shared" si="485"/>
        <v>0</v>
      </c>
      <c r="BG221" s="118">
        <f t="shared" si="486"/>
        <v>0</v>
      </c>
      <c r="BH221" s="118">
        <f>'1-1 项目基础信息'!R32</f>
        <v>0</v>
      </c>
      <c r="BI221" s="318">
        <f t="shared" si="487"/>
        <v>0</v>
      </c>
      <c r="BJ221" s="118">
        <f t="shared" si="488"/>
        <v>0</v>
      </c>
      <c r="BK221" s="118">
        <f>'1-1 项目基础信息'!S32</f>
        <v>0</v>
      </c>
      <c r="BL221" s="319">
        <f t="shared" si="489"/>
        <v>0</v>
      </c>
      <c r="BM221" s="311"/>
      <c r="BN221" s="314"/>
    </row>
    <row r="222" s="117" customFormat="1" ht="33.95" hidden="1" customHeight="1" outlineLevel="5" spans="2:66">
      <c r="B222" s="118" t="s">
        <v>799</v>
      </c>
      <c r="C222" s="119" t="s">
        <v>1174</v>
      </c>
      <c r="D222" s="117" t="s">
        <v>1175</v>
      </c>
      <c r="E222" s="118"/>
      <c r="F222" s="118"/>
      <c r="G222" s="118" t="s">
        <v>803</v>
      </c>
      <c r="H222" s="118">
        <f t="shared" si="462"/>
        <v>0</v>
      </c>
      <c r="I222" s="118" t="s">
        <v>1149</v>
      </c>
      <c r="J222" s="118" t="e">
        <f t="shared" si="463"/>
        <v>#DIV/0!</v>
      </c>
      <c r="K222" s="118" t="s">
        <v>1150</v>
      </c>
      <c r="L222" s="118" t="e">
        <f t="shared" si="464"/>
        <v>#DIV/0!</v>
      </c>
      <c r="M222" s="118" t="s">
        <v>1151</v>
      </c>
      <c r="N222" s="118">
        <f t="shared" si="465"/>
        <v>0</v>
      </c>
      <c r="O222" s="118"/>
      <c r="P222" s="289"/>
      <c r="Q222" s="289"/>
      <c r="R222" s="289"/>
      <c r="S222" s="289"/>
      <c r="T222" s="289"/>
      <c r="U222" s="289"/>
      <c r="V222" s="289"/>
      <c r="W222" s="289"/>
      <c r="X222" s="289"/>
      <c r="Y222" s="289"/>
      <c r="Z222" s="289"/>
      <c r="AA222" s="289"/>
      <c r="AB222" s="118">
        <f t="shared" si="466"/>
        <v>0</v>
      </c>
      <c r="AC222" s="118">
        <f t="shared" si="467"/>
        <v>0</v>
      </c>
      <c r="AD222" s="118">
        <f>'1-1 项目基础信息'!H33</f>
        <v>0</v>
      </c>
      <c r="AE222" s="289">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8">
        <f t="shared" si="469"/>
        <v>0</v>
      </c>
      <c r="AI222" s="118">
        <f t="shared" si="470"/>
        <v>0</v>
      </c>
      <c r="AJ222" s="118">
        <f>'1-1 项目基础信息'!J33</f>
        <v>0</v>
      </c>
      <c r="AK222" s="318">
        <f t="shared" si="471"/>
        <v>0</v>
      </c>
      <c r="AL222" s="118">
        <f t="shared" si="472"/>
        <v>0</v>
      </c>
      <c r="AM222" s="118">
        <f>'1-1 项目基础信息'!K33</f>
        <v>0</v>
      </c>
      <c r="AN222" s="318">
        <f t="shared" si="473"/>
        <v>0</v>
      </c>
      <c r="AO222" s="118">
        <f t="shared" si="474"/>
        <v>0</v>
      </c>
      <c r="AP222" s="118">
        <f>'1-1 项目基础信息'!L33</f>
        <v>0</v>
      </c>
      <c r="AQ222" s="318">
        <f t="shared" si="475"/>
        <v>0</v>
      </c>
      <c r="AR222" s="118">
        <f t="shared" si="476"/>
        <v>0</v>
      </c>
      <c r="AS222" s="118">
        <f>'1-1 项目基础信息'!M33</f>
        <v>0</v>
      </c>
      <c r="AT222" s="318">
        <f t="shared" si="477"/>
        <v>0</v>
      </c>
      <c r="AU222" s="118">
        <f t="shared" si="478"/>
        <v>0</v>
      </c>
      <c r="AV222" s="118">
        <f>'1-1 项目基础信息'!N33</f>
        <v>0</v>
      </c>
      <c r="AW222" s="318">
        <f t="shared" si="479"/>
        <v>0</v>
      </c>
      <c r="AX222" s="118">
        <f t="shared" si="480"/>
        <v>0</v>
      </c>
      <c r="AY222" s="118">
        <f>'1-1 项目基础信息'!O33</f>
        <v>0</v>
      </c>
      <c r="AZ222" s="318">
        <f t="shared" si="481"/>
        <v>0</v>
      </c>
      <c r="BA222" s="118">
        <f t="shared" si="482"/>
        <v>0</v>
      </c>
      <c r="BB222" s="118">
        <f>'1-1 项目基础信息'!P33</f>
        <v>0</v>
      </c>
      <c r="BC222" s="318">
        <f t="shared" si="483"/>
        <v>0</v>
      </c>
      <c r="BD222" s="118">
        <f t="shared" si="484"/>
        <v>0</v>
      </c>
      <c r="BE222" s="118">
        <f>'1-1 项目基础信息'!Q33</f>
        <v>0</v>
      </c>
      <c r="BF222" s="318">
        <f t="shared" si="485"/>
        <v>0</v>
      </c>
      <c r="BG222" s="118">
        <f t="shared" si="486"/>
        <v>0</v>
      </c>
      <c r="BH222" s="118">
        <f>'1-1 项目基础信息'!R33</f>
        <v>0</v>
      </c>
      <c r="BI222" s="318">
        <f t="shared" si="487"/>
        <v>0</v>
      </c>
      <c r="BJ222" s="118">
        <f t="shared" si="488"/>
        <v>0</v>
      </c>
      <c r="BK222" s="118">
        <f>'1-1 项目基础信息'!S33</f>
        <v>0</v>
      </c>
      <c r="BL222" s="319">
        <f t="shared" si="489"/>
        <v>0</v>
      </c>
      <c r="BM222" s="311"/>
      <c r="BN222" s="314"/>
    </row>
    <row r="223" s="48" customFormat="1" ht="33.95" hidden="1" customHeight="1" outlineLevel="3" spans="2:66">
      <c r="B223" s="114" t="s">
        <v>799</v>
      </c>
      <c r="C223" s="115" t="s">
        <v>46</v>
      </c>
      <c r="D223" s="48" t="s">
        <v>47</v>
      </c>
      <c r="E223" s="114" t="s">
        <v>1176</v>
      </c>
      <c r="F223" s="114"/>
      <c r="G223" s="114" t="s">
        <v>803</v>
      </c>
      <c r="H223" s="305">
        <f>IFERROR(J223*L223*N223,0)</f>
        <v>0</v>
      </c>
      <c r="I223" s="305" t="s">
        <v>1177</v>
      </c>
      <c r="J223" s="305">
        <f>AVERAGE(AD223,AG223,AJ223,AM223,AP223,AS223,AV223,AY223,BB223,BE223,BH223,BK223)</f>
        <v>9008</v>
      </c>
      <c r="K223" s="305" t="s">
        <v>1033</v>
      </c>
      <c r="L223" s="305">
        <f>AVERAGE(AE223,AH223,AK223,AN223,AQ223,AT223,AW223,AZ223,BC223,BF223,BI223,BL223)</f>
        <v>0</v>
      </c>
      <c r="M223" s="114" t="s">
        <v>806</v>
      </c>
      <c r="N223" s="114">
        <v>12</v>
      </c>
      <c r="O223" s="114"/>
      <c r="P223" s="288"/>
      <c r="Q223" s="288"/>
      <c r="R223" s="288"/>
      <c r="S223" s="288"/>
      <c r="T223" s="288"/>
      <c r="U223" s="288"/>
      <c r="V223" s="288"/>
      <c r="W223" s="288"/>
      <c r="X223" s="288"/>
      <c r="Y223" s="288"/>
      <c r="Z223" s="288"/>
      <c r="AA223" s="288"/>
      <c r="AB223" s="114">
        <f t="shared" si="466"/>
        <v>0</v>
      </c>
      <c r="AC223" s="114">
        <f t="shared" si="467"/>
        <v>0</v>
      </c>
      <c r="AD223" s="114">
        <f>VLOOKUP($I223,'1-1 项目基础信息'!$F:$S,3,FALSE)</f>
        <v>9008</v>
      </c>
      <c r="AE223" s="298">
        <f>预算主表!$P$85/(12*'1-1 项目基础信息'!$H$12)</f>
        <v>0</v>
      </c>
      <c r="AF223" s="114">
        <f t="shared" si="468"/>
        <v>0</v>
      </c>
      <c r="AG223" s="114">
        <f>VLOOKUP($I223,'1-1 项目基础信息'!$F:$S,4,FALSE)</f>
        <v>9008</v>
      </c>
      <c r="AH223" s="298">
        <f>预算主表!$P$85/(12*'1-1 项目基础信息'!$H$12)</f>
        <v>0</v>
      </c>
      <c r="AI223" s="114">
        <f t="shared" si="470"/>
        <v>0</v>
      </c>
      <c r="AJ223" s="114">
        <f>VLOOKUP($I223,'1-1 项目基础信息'!$F:$S,5,FALSE)</f>
        <v>9008</v>
      </c>
      <c r="AK223" s="298">
        <f>预算主表!$P$85/(12*'1-1 项目基础信息'!$H$12)</f>
        <v>0</v>
      </c>
      <c r="AL223" s="114">
        <f t="shared" si="472"/>
        <v>0</v>
      </c>
      <c r="AM223" s="114">
        <f>VLOOKUP($I223,'1-1 项目基础信息'!$F:$S,6,FALSE)</f>
        <v>9008</v>
      </c>
      <c r="AN223" s="298">
        <f>预算主表!$P$85/(12*'1-1 项目基础信息'!$H$12)</f>
        <v>0</v>
      </c>
      <c r="AO223" s="114">
        <f t="shared" si="474"/>
        <v>0</v>
      </c>
      <c r="AP223" s="114">
        <f>VLOOKUP($I223,'1-1 项目基础信息'!$F:$S,7,FALSE)</f>
        <v>9008</v>
      </c>
      <c r="AQ223" s="298">
        <f>预算主表!$P$85/(12*'1-1 项目基础信息'!$H$12)</f>
        <v>0</v>
      </c>
      <c r="AR223" s="114">
        <f t="shared" si="476"/>
        <v>0</v>
      </c>
      <c r="AS223" s="114">
        <f>VLOOKUP($I223,'1-1 项目基础信息'!$F:$S,8,FALSE)</f>
        <v>9008</v>
      </c>
      <c r="AT223" s="298">
        <f>预算主表!$P$85/(12*'1-1 项目基础信息'!$H$12)</f>
        <v>0</v>
      </c>
      <c r="AU223" s="114">
        <f t="shared" si="478"/>
        <v>0</v>
      </c>
      <c r="AV223" s="114">
        <f>VLOOKUP($I223,'1-1 项目基础信息'!$F:$S,9,FALSE)</f>
        <v>9008</v>
      </c>
      <c r="AW223" s="298">
        <f>预算主表!$P$85/(12*'1-1 项目基础信息'!$H$12)</f>
        <v>0</v>
      </c>
      <c r="AX223" s="114">
        <f t="shared" si="480"/>
        <v>0</v>
      </c>
      <c r="AY223" s="114">
        <f>VLOOKUP($I223,'1-1 项目基础信息'!$F:$S,10,FALSE)</f>
        <v>9008</v>
      </c>
      <c r="AZ223" s="298">
        <f>预算主表!$P$85/(12*'1-1 项目基础信息'!$H$12)</f>
        <v>0</v>
      </c>
      <c r="BA223" s="114">
        <f t="shared" si="482"/>
        <v>0</v>
      </c>
      <c r="BB223" s="114">
        <f>VLOOKUP($I223,'1-1 项目基础信息'!$F:$S,11,FALSE)</f>
        <v>9008</v>
      </c>
      <c r="BC223" s="298">
        <f>预算主表!$P$85/(12*'1-1 项目基础信息'!$H$12)</f>
        <v>0</v>
      </c>
      <c r="BD223" s="114">
        <f t="shared" si="484"/>
        <v>0</v>
      </c>
      <c r="BE223" s="114">
        <f>VLOOKUP($I223,'1-1 项目基础信息'!$F:$S,12,FALSE)</f>
        <v>9008</v>
      </c>
      <c r="BF223" s="298">
        <f>预算主表!$P$85/(12*'1-1 项目基础信息'!$H$12)</f>
        <v>0</v>
      </c>
      <c r="BG223" s="114">
        <f t="shared" si="486"/>
        <v>0</v>
      </c>
      <c r="BH223" s="114">
        <f>VLOOKUP($I223,'1-1 项目基础信息'!$F:$S,13,FALSE)</f>
        <v>9008</v>
      </c>
      <c r="BI223" s="298">
        <f>预算主表!$P$85/(12*'1-1 项目基础信息'!$H$12)</f>
        <v>0</v>
      </c>
      <c r="BJ223" s="114">
        <f t="shared" si="488"/>
        <v>0</v>
      </c>
      <c r="BK223" s="114">
        <f>VLOOKUP($I223,'1-1 项目基础信息'!$F:$S,14,FALSE)</f>
        <v>9008</v>
      </c>
      <c r="BL223" s="298">
        <f>预算主表!$P$85/(12*'1-1 项目基础信息'!$H$12)</f>
        <v>0</v>
      </c>
      <c r="BM223" s="311"/>
      <c r="BN223" s="313"/>
    </row>
    <row r="224" s="48" customFormat="1" ht="33.95" hidden="1" customHeight="1" outlineLevel="3" collapsed="1" spans="2:66">
      <c r="B224" s="114" t="s">
        <v>794</v>
      </c>
      <c r="C224" s="115" t="s">
        <v>36</v>
      </c>
      <c r="D224" s="48" t="s">
        <v>37</v>
      </c>
      <c r="E224" s="114"/>
      <c r="F224" s="114"/>
      <c r="G224" s="114"/>
      <c r="H224" s="114">
        <f>H225+H230+H231+H232+H233+H234+H235</f>
        <v>0</v>
      </c>
      <c r="I224" s="114"/>
      <c r="J224" s="114"/>
      <c r="K224" s="114"/>
      <c r="L224" s="114"/>
      <c r="M224" s="114"/>
      <c r="N224" s="114"/>
      <c r="O224" s="114"/>
      <c r="P224" s="288"/>
      <c r="Q224" s="288"/>
      <c r="R224" s="288"/>
      <c r="S224" s="288"/>
      <c r="T224" s="288"/>
      <c r="U224" s="288"/>
      <c r="V224" s="288"/>
      <c r="W224" s="288"/>
      <c r="X224" s="288"/>
      <c r="Y224" s="288"/>
      <c r="Z224" s="288"/>
      <c r="AA224" s="288"/>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5"/>
      <c r="BM224" s="311"/>
      <c r="BN224" s="313"/>
    </row>
    <row r="225" s="117" customFormat="1" ht="33.95" hidden="1" customHeight="1" outlineLevel="4" collapsed="1" spans="2:66">
      <c r="B225" s="118" t="s">
        <v>794</v>
      </c>
      <c r="C225" s="119" t="s">
        <v>1178</v>
      </c>
      <c r="D225" s="117" t="s">
        <v>1179</v>
      </c>
      <c r="E225" s="118" t="s">
        <v>1180</v>
      </c>
      <c r="F225" s="118"/>
      <c r="G225" s="118"/>
      <c r="H225" s="118">
        <f>SUM(H226:H229)</f>
        <v>0</v>
      </c>
      <c r="I225" s="118"/>
      <c r="J225" s="118"/>
      <c r="K225" s="118"/>
      <c r="L225" s="118"/>
      <c r="M225" s="118"/>
      <c r="N225" s="118"/>
      <c r="O225" s="118"/>
      <c r="P225" s="289"/>
      <c r="Q225" s="289"/>
      <c r="R225" s="289"/>
      <c r="S225" s="289"/>
      <c r="T225" s="289"/>
      <c r="U225" s="289"/>
      <c r="V225" s="289"/>
      <c r="W225" s="289"/>
      <c r="X225" s="289"/>
      <c r="Y225" s="289"/>
      <c r="Z225" s="289"/>
      <c r="AA225" s="289"/>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6"/>
      <c r="BM225" s="311"/>
      <c r="BN225" s="314"/>
    </row>
    <row r="226" s="263" customFormat="1" ht="33.95" hidden="1" customHeight="1" outlineLevel="5" spans="2:66">
      <c r="B226" s="174" t="s">
        <v>799</v>
      </c>
      <c r="C226" s="283" t="s">
        <v>1178</v>
      </c>
      <c r="D226" s="263" t="s">
        <v>1181</v>
      </c>
      <c r="E226" s="174"/>
      <c r="F226" s="174"/>
      <c r="G226" s="174" t="s">
        <v>803</v>
      </c>
      <c r="H226" s="174">
        <f t="shared" ref="H226:H235" si="492">IFERROR(J226*L226*N226,0)</f>
        <v>0</v>
      </c>
      <c r="I226" s="174" t="s">
        <v>1182</v>
      </c>
      <c r="J226" s="174" t="e">
        <f t="shared" ref="J226:J229" si="493">AVERAGE(AD226,AG226,AJ226,AM226,AP226,AS226,AV226,AY226,BB226,BE226,BH226,BK226)</f>
        <v>#DIV/0!</v>
      </c>
      <c r="K226" s="174" t="s">
        <v>1150</v>
      </c>
      <c r="L226" s="174" t="e">
        <f t="shared" ref="L226:L229" si="494">AVERAGE(AE226,AH226,AK226,AN226,AQ226,AT226,AW226,AZ226,BC226,BF226,BI226,BL226)</f>
        <v>#DIV/0!</v>
      </c>
      <c r="M226" s="174" t="s">
        <v>1183</v>
      </c>
      <c r="N226" s="174">
        <v>1</v>
      </c>
      <c r="O226" s="174"/>
      <c r="P226" s="290"/>
      <c r="Q226" s="290"/>
      <c r="R226" s="290"/>
      <c r="S226" s="290"/>
      <c r="T226" s="290"/>
      <c r="U226" s="290"/>
      <c r="V226" s="290"/>
      <c r="W226" s="290"/>
      <c r="X226" s="290"/>
      <c r="Y226" s="290"/>
      <c r="Z226" s="290"/>
      <c r="AA226" s="290"/>
      <c r="AB226" s="174">
        <f t="shared" ref="AB226:AB235" si="495">SUM(AC226,AF226,AI226,AL226,AO226,AR226,AU226,AX226,BA226,BD226,BG226,BJ226)</f>
        <v>0</v>
      </c>
      <c r="AC226" s="174">
        <f>AD226*AE226</f>
        <v>0</v>
      </c>
      <c r="AD226" s="298"/>
      <c r="AE226" s="298"/>
      <c r="AF226" s="174">
        <f>AG226*AH226</f>
        <v>0</v>
      </c>
      <c r="AG226" s="298"/>
      <c r="AH226" s="298"/>
      <c r="AI226" s="174">
        <f>AJ226*AK226</f>
        <v>0</v>
      </c>
      <c r="AJ226" s="298"/>
      <c r="AK226" s="298"/>
      <c r="AL226" s="174">
        <f>AM226*AN226</f>
        <v>0</v>
      </c>
      <c r="AM226" s="298"/>
      <c r="AN226" s="298"/>
      <c r="AO226" s="174">
        <f>AP226*AQ226</f>
        <v>0</v>
      </c>
      <c r="AP226" s="298"/>
      <c r="AQ226" s="298"/>
      <c r="AR226" s="174">
        <f>AS226*AT226</f>
        <v>0</v>
      </c>
      <c r="AS226" s="298"/>
      <c r="AT226" s="298"/>
      <c r="AU226" s="174">
        <f>AV226*AW226</f>
        <v>0</v>
      </c>
      <c r="AV226" s="298"/>
      <c r="AW226" s="298"/>
      <c r="AX226" s="174">
        <f>AY226*AZ226</f>
        <v>0</v>
      </c>
      <c r="AY226" s="298"/>
      <c r="AZ226" s="298"/>
      <c r="BA226" s="174">
        <f>BB226*BC226</f>
        <v>0</v>
      </c>
      <c r="BB226" s="298"/>
      <c r="BC226" s="298"/>
      <c r="BD226" s="174">
        <f>BE226*BF226</f>
        <v>0</v>
      </c>
      <c r="BE226" s="298"/>
      <c r="BF226" s="298"/>
      <c r="BG226" s="174">
        <f>BH226*BI226</f>
        <v>0</v>
      </c>
      <c r="BH226" s="298"/>
      <c r="BI226" s="298"/>
      <c r="BJ226" s="174">
        <f>BK226*BL226</f>
        <v>0</v>
      </c>
      <c r="BK226" s="298"/>
      <c r="BL226" s="307"/>
      <c r="BM226" s="311"/>
      <c r="BN226" s="315"/>
    </row>
    <row r="227" s="263" customFormat="1" ht="33.95" hidden="1" customHeight="1" outlineLevel="5" spans="2:66">
      <c r="B227" s="174" t="s">
        <v>799</v>
      </c>
      <c r="C227" s="283" t="s">
        <v>1184</v>
      </c>
      <c r="D227" s="263" t="s">
        <v>1185</v>
      </c>
      <c r="E227" s="174"/>
      <c r="F227" s="174"/>
      <c r="G227" s="174" t="s">
        <v>803</v>
      </c>
      <c r="H227" s="174">
        <f t="shared" si="492"/>
        <v>0</v>
      </c>
      <c r="I227" s="174" t="s">
        <v>1182</v>
      </c>
      <c r="J227" s="174" t="e">
        <f t="shared" si="493"/>
        <v>#DIV/0!</v>
      </c>
      <c r="K227" s="174" t="s">
        <v>1150</v>
      </c>
      <c r="L227" s="174" t="e">
        <f t="shared" si="494"/>
        <v>#DIV/0!</v>
      </c>
      <c r="M227" s="174" t="s">
        <v>1183</v>
      </c>
      <c r="N227" s="174">
        <v>1</v>
      </c>
      <c r="O227" s="174"/>
      <c r="P227" s="290"/>
      <c r="Q227" s="290"/>
      <c r="R227" s="290"/>
      <c r="S227" s="290"/>
      <c r="T227" s="290"/>
      <c r="U227" s="290"/>
      <c r="V227" s="290"/>
      <c r="W227" s="290"/>
      <c r="X227" s="290"/>
      <c r="Y227" s="290"/>
      <c r="Z227" s="290"/>
      <c r="AA227" s="290"/>
      <c r="AB227" s="174">
        <f t="shared" si="495"/>
        <v>0</v>
      </c>
      <c r="AC227" s="174">
        <f>AD227*AE227</f>
        <v>0</v>
      </c>
      <c r="AD227" s="298"/>
      <c r="AE227" s="298"/>
      <c r="AF227" s="174">
        <f>AG227*AH227</f>
        <v>0</v>
      </c>
      <c r="AG227" s="298"/>
      <c r="AH227" s="298"/>
      <c r="AI227" s="174">
        <f>AJ227*AK227</f>
        <v>0</v>
      </c>
      <c r="AJ227" s="298"/>
      <c r="AK227" s="298"/>
      <c r="AL227" s="174">
        <f>AM227*AN227</f>
        <v>0</v>
      </c>
      <c r="AM227" s="298"/>
      <c r="AN227" s="298"/>
      <c r="AO227" s="174">
        <f>AP227*AQ227</f>
        <v>0</v>
      </c>
      <c r="AP227" s="298"/>
      <c r="AQ227" s="298"/>
      <c r="AR227" s="174">
        <f>AS227*AT227</f>
        <v>0</v>
      </c>
      <c r="AS227" s="298"/>
      <c r="AT227" s="298"/>
      <c r="AU227" s="174">
        <f>AV227*AW227</f>
        <v>0</v>
      </c>
      <c r="AV227" s="298"/>
      <c r="AW227" s="298"/>
      <c r="AX227" s="174">
        <f>AY227*AZ227</f>
        <v>0</v>
      </c>
      <c r="AY227" s="298"/>
      <c r="AZ227" s="298"/>
      <c r="BA227" s="174">
        <f>BB227*BC227</f>
        <v>0</v>
      </c>
      <c r="BB227" s="298"/>
      <c r="BC227" s="298"/>
      <c r="BD227" s="174">
        <f>BE227*BF227</f>
        <v>0</v>
      </c>
      <c r="BE227" s="298"/>
      <c r="BF227" s="298"/>
      <c r="BG227" s="174">
        <f>BH227*BI227</f>
        <v>0</v>
      </c>
      <c r="BH227" s="298"/>
      <c r="BI227" s="298"/>
      <c r="BJ227" s="174">
        <f>BK227*BL227</f>
        <v>0</v>
      </c>
      <c r="BK227" s="298"/>
      <c r="BL227" s="307"/>
      <c r="BM227" s="311"/>
      <c r="BN227" s="315"/>
    </row>
    <row r="228" s="263" customFormat="1" ht="33.95" hidden="1" customHeight="1" outlineLevel="5" spans="2:66">
      <c r="B228" s="174" t="s">
        <v>799</v>
      </c>
      <c r="C228" s="283" t="s">
        <v>1186</v>
      </c>
      <c r="D228" s="263" t="s">
        <v>1187</v>
      </c>
      <c r="E228" s="174"/>
      <c r="F228" s="174"/>
      <c r="G228" s="174" t="s">
        <v>803</v>
      </c>
      <c r="H228" s="174">
        <f t="shared" si="492"/>
        <v>0</v>
      </c>
      <c r="I228" s="174" t="s">
        <v>1182</v>
      </c>
      <c r="J228" s="174" t="e">
        <f t="shared" si="493"/>
        <v>#DIV/0!</v>
      </c>
      <c r="K228" s="174" t="s">
        <v>1150</v>
      </c>
      <c r="L228" s="174" t="e">
        <f t="shared" si="494"/>
        <v>#DIV/0!</v>
      </c>
      <c r="M228" s="174" t="s">
        <v>1183</v>
      </c>
      <c r="N228" s="174">
        <v>1</v>
      </c>
      <c r="O228" s="174"/>
      <c r="P228" s="290"/>
      <c r="Q228" s="290"/>
      <c r="R228" s="290"/>
      <c r="S228" s="290"/>
      <c r="T228" s="290"/>
      <c r="U228" s="290"/>
      <c r="V228" s="290"/>
      <c r="W228" s="290"/>
      <c r="X228" s="290"/>
      <c r="Y228" s="290"/>
      <c r="Z228" s="290"/>
      <c r="AA228" s="290"/>
      <c r="AB228" s="174">
        <f t="shared" si="495"/>
        <v>0</v>
      </c>
      <c r="AC228" s="174">
        <f>AD228*AE228</f>
        <v>0</v>
      </c>
      <c r="AD228" s="298"/>
      <c r="AE228" s="298"/>
      <c r="AF228" s="174">
        <f>AG228*AH228</f>
        <v>0</v>
      </c>
      <c r="AG228" s="298"/>
      <c r="AH228" s="298"/>
      <c r="AI228" s="174">
        <f>AJ228*AK228</f>
        <v>0</v>
      </c>
      <c r="AJ228" s="298"/>
      <c r="AK228" s="298"/>
      <c r="AL228" s="174">
        <f>AM228*AN228</f>
        <v>0</v>
      </c>
      <c r="AM228" s="298"/>
      <c r="AN228" s="298"/>
      <c r="AO228" s="174">
        <f>AP228*AQ228</f>
        <v>0</v>
      </c>
      <c r="AP228" s="298"/>
      <c r="AQ228" s="298"/>
      <c r="AR228" s="174">
        <f>AS228*AT228</f>
        <v>0</v>
      </c>
      <c r="AS228" s="298"/>
      <c r="AT228" s="298"/>
      <c r="AU228" s="174">
        <f>AV228*AW228</f>
        <v>0</v>
      </c>
      <c r="AV228" s="298"/>
      <c r="AW228" s="298"/>
      <c r="AX228" s="174">
        <f>AY228*AZ228</f>
        <v>0</v>
      </c>
      <c r="AY228" s="298"/>
      <c r="AZ228" s="298"/>
      <c r="BA228" s="174">
        <f>BB228*BC228</f>
        <v>0</v>
      </c>
      <c r="BB228" s="298"/>
      <c r="BC228" s="298"/>
      <c r="BD228" s="174">
        <f>BE228*BF228</f>
        <v>0</v>
      </c>
      <c r="BE228" s="298"/>
      <c r="BF228" s="298"/>
      <c r="BG228" s="174">
        <f>BH228*BI228</f>
        <v>0</v>
      </c>
      <c r="BH228" s="298"/>
      <c r="BI228" s="298"/>
      <c r="BJ228" s="174">
        <f>BK228*BL228</f>
        <v>0</v>
      </c>
      <c r="BK228" s="298"/>
      <c r="BL228" s="307"/>
      <c r="BM228" s="311"/>
      <c r="BN228" s="315"/>
    </row>
    <row r="229" s="263" customFormat="1" ht="33.95" hidden="1" customHeight="1" outlineLevel="5" spans="2:66">
      <c r="B229" s="174" t="s">
        <v>799</v>
      </c>
      <c r="C229" s="283" t="s">
        <v>1188</v>
      </c>
      <c r="D229" s="263" t="s">
        <v>1189</v>
      </c>
      <c r="E229" s="174"/>
      <c r="F229" s="174"/>
      <c r="G229" s="174" t="s">
        <v>803</v>
      </c>
      <c r="H229" s="174">
        <f t="shared" si="492"/>
        <v>0</v>
      </c>
      <c r="I229" s="174" t="s">
        <v>1182</v>
      </c>
      <c r="J229" s="174" t="e">
        <f t="shared" si="493"/>
        <v>#DIV/0!</v>
      </c>
      <c r="K229" s="174" t="s">
        <v>1150</v>
      </c>
      <c r="L229" s="174" t="e">
        <f t="shared" si="494"/>
        <v>#DIV/0!</v>
      </c>
      <c r="M229" s="174" t="s">
        <v>1183</v>
      </c>
      <c r="N229" s="174">
        <v>1</v>
      </c>
      <c r="O229" s="174"/>
      <c r="P229" s="290"/>
      <c r="Q229" s="290"/>
      <c r="R229" s="290"/>
      <c r="S229" s="290"/>
      <c r="T229" s="290"/>
      <c r="U229" s="290"/>
      <c r="V229" s="290"/>
      <c r="W229" s="290"/>
      <c r="X229" s="290"/>
      <c r="Y229" s="290"/>
      <c r="Z229" s="290"/>
      <c r="AA229" s="290"/>
      <c r="AB229" s="174">
        <f t="shared" si="495"/>
        <v>0</v>
      </c>
      <c r="AC229" s="174">
        <f>AD229*AE229</f>
        <v>0</v>
      </c>
      <c r="AD229" s="298"/>
      <c r="AE229" s="298"/>
      <c r="AF229" s="174">
        <f>AG229*AH229</f>
        <v>0</v>
      </c>
      <c r="AG229" s="298"/>
      <c r="AH229" s="298"/>
      <c r="AI229" s="174">
        <f>AJ229*AK229</f>
        <v>0</v>
      </c>
      <c r="AJ229" s="298"/>
      <c r="AK229" s="298"/>
      <c r="AL229" s="174">
        <f>AM229*AN229</f>
        <v>0</v>
      </c>
      <c r="AM229" s="298"/>
      <c r="AN229" s="298"/>
      <c r="AO229" s="174">
        <f>AP229*AQ229</f>
        <v>0</v>
      </c>
      <c r="AP229" s="298"/>
      <c r="AQ229" s="298"/>
      <c r="AR229" s="174">
        <f>AS229*AT229</f>
        <v>0</v>
      </c>
      <c r="AS229" s="298"/>
      <c r="AT229" s="298"/>
      <c r="AU229" s="174">
        <f>AV229*AW229</f>
        <v>0</v>
      </c>
      <c r="AV229" s="298"/>
      <c r="AW229" s="298"/>
      <c r="AX229" s="174">
        <f>AY229*AZ229</f>
        <v>0</v>
      </c>
      <c r="AY229" s="298"/>
      <c r="AZ229" s="298"/>
      <c r="BA229" s="174">
        <f>BB229*BC229</f>
        <v>0</v>
      </c>
      <c r="BB229" s="298"/>
      <c r="BC229" s="298"/>
      <c r="BD229" s="174">
        <f>BE229*BF229</f>
        <v>0</v>
      </c>
      <c r="BE229" s="298"/>
      <c r="BF229" s="298"/>
      <c r="BG229" s="174">
        <f>BH229*BI229</f>
        <v>0</v>
      </c>
      <c r="BH229" s="298"/>
      <c r="BI229" s="298"/>
      <c r="BJ229" s="174">
        <f>BK229*BL229</f>
        <v>0</v>
      </c>
      <c r="BK229" s="298"/>
      <c r="BL229" s="307"/>
      <c r="BM229" s="311"/>
      <c r="BN229" s="315"/>
    </row>
    <row r="230" s="117" customFormat="1" ht="33.95" hidden="1" customHeight="1" outlineLevel="4" spans="2:66">
      <c r="B230" s="118" t="s">
        <v>799</v>
      </c>
      <c r="C230" s="119" t="s">
        <v>1184</v>
      </c>
      <c r="D230" s="117" t="s">
        <v>1190</v>
      </c>
      <c r="E230" s="118" t="s">
        <v>1191</v>
      </c>
      <c r="F230" s="118"/>
      <c r="G230" s="118" t="s">
        <v>943</v>
      </c>
      <c r="H230" s="118">
        <f t="shared" si="492"/>
        <v>0</v>
      </c>
      <c r="I230" s="118" t="s">
        <v>1032</v>
      </c>
      <c r="J230" s="118">
        <f>AVERAGE('1-1 项目基础信息'!$H$9:$S$9)</f>
        <v>9008</v>
      </c>
      <c r="K230" s="118" t="s">
        <v>1033</v>
      </c>
      <c r="L230" s="298"/>
      <c r="M230" s="118" t="s">
        <v>806</v>
      </c>
      <c r="N230" s="118">
        <f>COUNTA(O230:Z230)</f>
        <v>0</v>
      </c>
      <c r="O230" s="298"/>
      <c r="P230" s="298"/>
      <c r="Q230" s="298"/>
      <c r="R230" s="298"/>
      <c r="S230" s="298"/>
      <c r="T230" s="298"/>
      <c r="U230" s="298"/>
      <c r="V230" s="298"/>
      <c r="W230" s="298"/>
      <c r="X230" s="298"/>
      <c r="Y230" s="298"/>
      <c r="Z230" s="298"/>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6"/>
      <c r="BM230" s="311"/>
      <c r="BN230" s="314"/>
    </row>
    <row r="231" s="117" customFormat="1" ht="33.95" hidden="1" customHeight="1" outlineLevel="4" spans="2:66">
      <c r="B231" s="118" t="s">
        <v>799</v>
      </c>
      <c r="C231" s="119" t="s">
        <v>1186</v>
      </c>
      <c r="D231" s="117" t="s">
        <v>1192</v>
      </c>
      <c r="E231" s="118" t="s">
        <v>1193</v>
      </c>
      <c r="F231" s="118"/>
      <c r="G231" s="118" t="s">
        <v>943</v>
      </c>
      <c r="H231" s="118">
        <f t="shared" si="492"/>
        <v>0</v>
      </c>
      <c r="I231" s="118" t="s">
        <v>1032</v>
      </c>
      <c r="J231" s="118">
        <f>AVERAGE('1-1 项目基础信息'!$H$9:$S$9)</f>
        <v>9008</v>
      </c>
      <c r="K231" s="118" t="s">
        <v>1033</v>
      </c>
      <c r="L231" s="298"/>
      <c r="M231" s="118" t="s">
        <v>806</v>
      </c>
      <c r="N231" s="118">
        <f>COUNTA(O231:Z231)</f>
        <v>0</v>
      </c>
      <c r="O231" s="298"/>
      <c r="P231" s="298"/>
      <c r="Q231" s="298"/>
      <c r="R231" s="298"/>
      <c r="S231" s="298"/>
      <c r="T231" s="298"/>
      <c r="U231" s="298"/>
      <c r="V231" s="298"/>
      <c r="W231" s="298"/>
      <c r="X231" s="298"/>
      <c r="Y231" s="298"/>
      <c r="Z231" s="298"/>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6"/>
      <c r="BM231" s="311"/>
      <c r="BN231" s="314"/>
    </row>
    <row r="232" s="117" customFormat="1" ht="33.95" hidden="1" customHeight="1" outlineLevel="4" spans="2:66">
      <c r="B232" s="118" t="s">
        <v>799</v>
      </c>
      <c r="C232" s="119" t="s">
        <v>1188</v>
      </c>
      <c r="D232" s="117" t="s">
        <v>1194</v>
      </c>
      <c r="E232" s="118" t="s">
        <v>1195</v>
      </c>
      <c r="F232" s="118"/>
      <c r="G232" s="118" t="s">
        <v>943</v>
      </c>
      <c r="H232" s="118">
        <f t="shared" si="492"/>
        <v>0</v>
      </c>
      <c r="I232" s="118" t="s">
        <v>1032</v>
      </c>
      <c r="J232" s="118">
        <f>AVERAGE('1-1 项目基础信息'!$H$9:$S$9)</f>
        <v>9008</v>
      </c>
      <c r="K232" s="118" t="s">
        <v>1033</v>
      </c>
      <c r="L232" s="298"/>
      <c r="M232" s="118" t="s">
        <v>1196</v>
      </c>
      <c r="N232" s="118">
        <f t="shared" ref="N232:N235" si="508">COUNTA(O232:Z232)</f>
        <v>0</v>
      </c>
      <c r="O232" s="298"/>
      <c r="P232" s="298"/>
      <c r="Q232" s="298"/>
      <c r="R232" s="298"/>
      <c r="S232" s="298"/>
      <c r="T232" s="298"/>
      <c r="U232" s="298"/>
      <c r="V232" s="298"/>
      <c r="W232" s="298"/>
      <c r="X232" s="298"/>
      <c r="Y232" s="298"/>
      <c r="Z232" s="298"/>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6"/>
      <c r="BM232" s="311"/>
      <c r="BN232" s="314"/>
    </row>
    <row r="233" s="117" customFormat="1" ht="33.95" hidden="1" customHeight="1" outlineLevel="4" spans="2:66">
      <c r="B233" s="118" t="s">
        <v>799</v>
      </c>
      <c r="C233" s="119" t="s">
        <v>1197</v>
      </c>
      <c r="D233" s="117" t="s">
        <v>1198</v>
      </c>
      <c r="E233" s="118" t="s">
        <v>1199</v>
      </c>
      <c r="F233" s="118"/>
      <c r="G233" s="118" t="s">
        <v>943</v>
      </c>
      <c r="H233" s="118">
        <f t="shared" si="492"/>
        <v>0</v>
      </c>
      <c r="I233" s="118" t="s">
        <v>1200</v>
      </c>
      <c r="J233" s="298"/>
      <c r="K233" s="118" t="s">
        <v>1201</v>
      </c>
      <c r="L233" s="298"/>
      <c r="M233" s="118" t="s">
        <v>1202</v>
      </c>
      <c r="N233" s="118">
        <f t="shared" si="508"/>
        <v>0</v>
      </c>
      <c r="O233" s="298"/>
      <c r="P233" s="298"/>
      <c r="Q233" s="298"/>
      <c r="R233" s="298"/>
      <c r="S233" s="298"/>
      <c r="T233" s="298"/>
      <c r="U233" s="298"/>
      <c r="V233" s="298"/>
      <c r="W233" s="298"/>
      <c r="X233" s="298"/>
      <c r="Y233" s="298"/>
      <c r="Z233" s="298"/>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6"/>
      <c r="BM233" s="311"/>
      <c r="BN233" s="314"/>
    </row>
    <row r="234" s="117" customFormat="1" ht="33.95" hidden="1" customHeight="1" outlineLevel="4" spans="2:66">
      <c r="B234" s="118" t="s">
        <v>799</v>
      </c>
      <c r="C234" s="119" t="s">
        <v>1203</v>
      </c>
      <c r="D234" s="117" t="s">
        <v>1204</v>
      </c>
      <c r="E234" s="118" t="s">
        <v>1205</v>
      </c>
      <c r="F234" s="118"/>
      <c r="G234" s="118" t="s">
        <v>943</v>
      </c>
      <c r="H234" s="118">
        <f t="shared" si="492"/>
        <v>0</v>
      </c>
      <c r="I234" s="118" t="s">
        <v>1200</v>
      </c>
      <c r="J234" s="298"/>
      <c r="K234" s="118" t="s">
        <v>1201</v>
      </c>
      <c r="L234" s="298"/>
      <c r="M234" s="118" t="s">
        <v>1202</v>
      </c>
      <c r="N234" s="118">
        <f t="shared" si="508"/>
        <v>0</v>
      </c>
      <c r="O234" s="298"/>
      <c r="P234" s="298"/>
      <c r="Q234" s="298"/>
      <c r="R234" s="298"/>
      <c r="S234" s="298"/>
      <c r="T234" s="298"/>
      <c r="U234" s="298"/>
      <c r="V234" s="298"/>
      <c r="W234" s="298"/>
      <c r="X234" s="298"/>
      <c r="Y234" s="298"/>
      <c r="Z234" s="298"/>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6"/>
      <c r="BM234" s="311"/>
      <c r="BN234" s="314"/>
    </row>
    <row r="235" s="117" customFormat="1" ht="33.95" hidden="1" customHeight="1" outlineLevel="4" spans="2:66">
      <c r="B235" s="118" t="s">
        <v>799</v>
      </c>
      <c r="C235" s="119" t="s">
        <v>1206</v>
      </c>
      <c r="D235" s="117" t="s">
        <v>1207</v>
      </c>
      <c r="E235" s="118" t="s">
        <v>1208</v>
      </c>
      <c r="F235" s="118"/>
      <c r="G235" s="118" t="s">
        <v>943</v>
      </c>
      <c r="H235" s="118">
        <f t="shared" si="492"/>
        <v>0</v>
      </c>
      <c r="I235" s="118" t="s">
        <v>1032</v>
      </c>
      <c r="J235" s="118">
        <f>AVERAGE('1-1 项目基础信息'!$H$9:$S$9)</f>
        <v>9008</v>
      </c>
      <c r="K235" s="118" t="s">
        <v>1033</v>
      </c>
      <c r="L235" s="298"/>
      <c r="M235" s="118" t="s">
        <v>806</v>
      </c>
      <c r="N235" s="118">
        <f t="shared" si="508"/>
        <v>0</v>
      </c>
      <c r="O235" s="298"/>
      <c r="P235" s="316"/>
      <c r="Q235" s="316"/>
      <c r="R235" s="316"/>
      <c r="S235" s="316"/>
      <c r="T235" s="316"/>
      <c r="U235" s="316"/>
      <c r="V235" s="316"/>
      <c r="W235" s="316"/>
      <c r="X235" s="316"/>
      <c r="Y235" s="316"/>
      <c r="Z235" s="316"/>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6"/>
      <c r="BM235" s="311"/>
      <c r="BN235" s="314"/>
    </row>
    <row r="236" s="48" customFormat="1" ht="33.95" hidden="1" customHeight="1" outlineLevel="3" collapsed="1" spans="2:66">
      <c r="B236" s="114" t="s">
        <v>794</v>
      </c>
      <c r="C236" s="115" t="s">
        <v>38</v>
      </c>
      <c r="D236" s="48" t="s">
        <v>39</v>
      </c>
      <c r="E236" s="114"/>
      <c r="F236" s="114"/>
      <c r="G236" s="114"/>
      <c r="H236" s="114">
        <f>H237+H238</f>
        <v>0</v>
      </c>
      <c r="I236" s="114"/>
      <c r="J236" s="114"/>
      <c r="K236" s="114"/>
      <c r="L236" s="114"/>
      <c r="M236" s="114"/>
      <c r="N236" s="114"/>
      <c r="O236" s="114"/>
      <c r="P236" s="288"/>
      <c r="Q236" s="288"/>
      <c r="R236" s="288"/>
      <c r="S236" s="288"/>
      <c r="T236" s="288"/>
      <c r="U236" s="288"/>
      <c r="V236" s="288"/>
      <c r="W236" s="288"/>
      <c r="X236" s="288"/>
      <c r="Y236" s="288"/>
      <c r="Z236" s="288"/>
      <c r="AA236" s="288"/>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5"/>
      <c r="BM236" s="311"/>
      <c r="BN236" s="313"/>
    </row>
    <row r="237" s="117" customFormat="1" ht="33.95" hidden="1" customHeight="1" outlineLevel="4" spans="2:66">
      <c r="B237" s="118" t="s">
        <v>799</v>
      </c>
      <c r="C237" s="119" t="s">
        <v>1209</v>
      </c>
      <c r="D237" s="117" t="s">
        <v>1210</v>
      </c>
      <c r="E237" s="118" t="s">
        <v>1211</v>
      </c>
      <c r="F237" s="118"/>
      <c r="G237" s="118" t="s">
        <v>943</v>
      </c>
      <c r="H237" s="118">
        <f t="shared" ref="H237:H240" si="510">IFERROR(J237*L237*N237,0)</f>
        <v>0</v>
      </c>
      <c r="I237" s="118" t="s">
        <v>1032</v>
      </c>
      <c r="J237" s="118">
        <f>AVERAGE('1-1 项目基础信息'!$H$9:$S$9)</f>
        <v>9008</v>
      </c>
      <c r="K237" s="118" t="s">
        <v>1033</v>
      </c>
      <c r="L237" s="298"/>
      <c r="M237" s="118" t="s">
        <v>806</v>
      </c>
      <c r="N237" s="118">
        <f t="shared" ref="N237:N240" si="511">COUNTA(O237:Z237)</f>
        <v>0</v>
      </c>
      <c r="O237" s="298"/>
      <c r="P237" s="317"/>
      <c r="Q237" s="317"/>
      <c r="R237" s="317"/>
      <c r="S237" s="317"/>
      <c r="T237" s="317"/>
      <c r="U237" s="317"/>
      <c r="V237" s="317"/>
      <c r="W237" s="317"/>
      <c r="X237" s="317"/>
      <c r="Y237" s="317"/>
      <c r="Z237" s="317"/>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6"/>
      <c r="BM237" s="311"/>
      <c r="BN237" s="314"/>
    </row>
    <row r="238" s="117" customFormat="1" ht="33.95" hidden="1" customHeight="1" outlineLevel="4" spans="2:66">
      <c r="B238" s="118" t="s">
        <v>799</v>
      </c>
      <c r="C238" s="119" t="s">
        <v>1212</v>
      </c>
      <c r="D238" s="117" t="s">
        <v>1213</v>
      </c>
      <c r="E238" s="118" t="s">
        <v>1214</v>
      </c>
      <c r="F238" s="118"/>
      <c r="G238" s="118" t="s">
        <v>943</v>
      </c>
      <c r="H238" s="118">
        <f t="shared" si="510"/>
        <v>0</v>
      </c>
      <c r="I238" s="118" t="s">
        <v>1032</v>
      </c>
      <c r="J238" s="118">
        <f>AVERAGE('1-1 项目基础信息'!$H$9:$S$9)</f>
        <v>9008</v>
      </c>
      <c r="K238" s="118" t="s">
        <v>1033</v>
      </c>
      <c r="L238" s="298"/>
      <c r="M238" s="118" t="s">
        <v>806</v>
      </c>
      <c r="N238" s="118">
        <f t="shared" si="511"/>
        <v>0</v>
      </c>
      <c r="O238" s="298"/>
      <c r="P238" s="298"/>
      <c r="Q238" s="298"/>
      <c r="R238" s="298"/>
      <c r="S238" s="298"/>
      <c r="T238" s="298"/>
      <c r="U238" s="298"/>
      <c r="V238" s="298"/>
      <c r="W238" s="298"/>
      <c r="X238" s="298"/>
      <c r="Y238" s="298"/>
      <c r="Z238" s="298"/>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6"/>
      <c r="BM238" s="311"/>
      <c r="BN238" s="314"/>
    </row>
    <row r="239" s="48" customFormat="1" ht="33.95" hidden="1" customHeight="1" outlineLevel="3" collapsed="1" spans="2:66">
      <c r="B239" s="114" t="s">
        <v>794</v>
      </c>
      <c r="C239" s="115" t="s">
        <v>40</v>
      </c>
      <c r="D239" s="48" t="s">
        <v>41</v>
      </c>
      <c r="E239" s="114"/>
      <c r="F239" s="114"/>
      <c r="G239" s="114"/>
      <c r="H239" s="114">
        <f>H240+H241</f>
        <v>0</v>
      </c>
      <c r="I239" s="114"/>
      <c r="J239" s="114"/>
      <c r="K239" s="114"/>
      <c r="L239" s="114"/>
      <c r="M239" s="114"/>
      <c r="N239" s="114"/>
      <c r="O239" s="114"/>
      <c r="P239" s="288"/>
      <c r="Q239" s="288"/>
      <c r="R239" s="288"/>
      <c r="S239" s="288"/>
      <c r="T239" s="288"/>
      <c r="U239" s="288"/>
      <c r="V239" s="288"/>
      <c r="W239" s="288"/>
      <c r="X239" s="288"/>
      <c r="Y239" s="288"/>
      <c r="Z239" s="288"/>
      <c r="AA239" s="288"/>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5"/>
      <c r="BM239" s="311"/>
      <c r="BN239" s="313"/>
    </row>
    <row r="240" s="117" customFormat="1" ht="33.95" hidden="1" customHeight="1" outlineLevel="4" spans="2:66">
      <c r="B240" s="118" t="s">
        <v>799</v>
      </c>
      <c r="C240" s="119" t="s">
        <v>1215</v>
      </c>
      <c r="D240" s="117" t="s">
        <v>1216</v>
      </c>
      <c r="E240" s="118" t="s">
        <v>1217</v>
      </c>
      <c r="F240" s="118"/>
      <c r="G240" s="118" t="s">
        <v>943</v>
      </c>
      <c r="H240" s="118">
        <f t="shared" si="510"/>
        <v>0</v>
      </c>
      <c r="I240" s="118" t="s">
        <v>1032</v>
      </c>
      <c r="J240" s="118">
        <f>AVERAGE('1-1 项目基础信息'!$H$9:$S$9)</f>
        <v>9008</v>
      </c>
      <c r="K240" s="118" t="s">
        <v>1033</v>
      </c>
      <c r="L240" s="298"/>
      <c r="M240" s="118" t="s">
        <v>806</v>
      </c>
      <c r="N240" s="118">
        <f t="shared" si="511"/>
        <v>0</v>
      </c>
      <c r="O240" s="298"/>
      <c r="P240" s="298"/>
      <c r="Q240" s="298"/>
      <c r="R240" s="298"/>
      <c r="S240" s="298"/>
      <c r="T240" s="298"/>
      <c r="U240" s="298"/>
      <c r="V240" s="298"/>
      <c r="W240" s="298"/>
      <c r="X240" s="298"/>
      <c r="Y240" s="298"/>
      <c r="Z240" s="298"/>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6"/>
      <c r="BM240" s="311"/>
      <c r="BN240" s="314"/>
    </row>
    <row r="241" s="117" customFormat="1" ht="33.95" hidden="1" customHeight="1" outlineLevel="4" collapsed="1" spans="2:66">
      <c r="B241" s="118" t="s">
        <v>794</v>
      </c>
      <c r="C241" s="119" t="s">
        <v>1218</v>
      </c>
      <c r="D241" s="117" t="s">
        <v>1219</v>
      </c>
      <c r="E241" s="118"/>
      <c r="F241" s="118"/>
      <c r="G241" s="118"/>
      <c r="H241" s="118">
        <f>SUM(H242:H246)</f>
        <v>0</v>
      </c>
      <c r="I241" s="118"/>
      <c r="J241" s="118"/>
      <c r="K241" s="118"/>
      <c r="L241" s="118"/>
      <c r="M241" s="118"/>
      <c r="N241" s="118"/>
      <c r="O241" s="118"/>
      <c r="P241" s="289"/>
      <c r="Q241" s="289"/>
      <c r="R241" s="289"/>
      <c r="S241" s="289"/>
      <c r="T241" s="289"/>
      <c r="U241" s="289"/>
      <c r="V241" s="289"/>
      <c r="W241" s="289"/>
      <c r="X241" s="289"/>
      <c r="Y241" s="289"/>
      <c r="Z241" s="289"/>
      <c r="AA241" s="289"/>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6"/>
      <c r="BM241" s="311"/>
      <c r="BN241" s="314"/>
    </row>
    <row r="242" s="263" customFormat="1" ht="33.95" hidden="1" customHeight="1" outlineLevel="5" spans="2:66">
      <c r="B242" s="174" t="s">
        <v>799</v>
      </c>
      <c r="C242" s="283" t="s">
        <v>1220</v>
      </c>
      <c r="D242" s="263" t="s">
        <v>1221</v>
      </c>
      <c r="E242" s="174" t="s">
        <v>1222</v>
      </c>
      <c r="F242" s="174"/>
      <c r="G242" s="174" t="s">
        <v>943</v>
      </c>
      <c r="H242" s="174">
        <f t="shared" ref="H242:H246" si="527">IFERROR(J242*L242*N242,0)</f>
        <v>0</v>
      </c>
      <c r="I242" s="174" t="s">
        <v>1223</v>
      </c>
      <c r="J242" s="298"/>
      <c r="K242" s="174" t="s">
        <v>1224</v>
      </c>
      <c r="L242" s="298"/>
      <c r="M242" s="174" t="s">
        <v>1225</v>
      </c>
      <c r="N242" s="174">
        <f t="shared" ref="N242:N246" si="528">COUNTA(O242:Z242)</f>
        <v>0</v>
      </c>
      <c r="O242" s="298"/>
      <c r="P242" s="317"/>
      <c r="Q242" s="317"/>
      <c r="R242" s="317"/>
      <c r="S242" s="317"/>
      <c r="T242" s="317"/>
      <c r="U242" s="317"/>
      <c r="V242" s="317"/>
      <c r="W242" s="317"/>
      <c r="X242" s="317"/>
      <c r="Y242" s="317"/>
      <c r="Z242" s="317"/>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20"/>
      <c r="BM242" s="311"/>
      <c r="BN242" s="315"/>
    </row>
    <row r="243" s="263" customFormat="1" ht="33.95" hidden="1" customHeight="1" outlineLevel="5" spans="2:66">
      <c r="B243" s="174" t="s">
        <v>799</v>
      </c>
      <c r="C243" s="283" t="s">
        <v>1226</v>
      </c>
      <c r="D243" s="263" t="s">
        <v>1227</v>
      </c>
      <c r="E243" s="174" t="s">
        <v>1228</v>
      </c>
      <c r="F243" s="174"/>
      <c r="G243" s="174" t="s">
        <v>943</v>
      </c>
      <c r="H243" s="174">
        <f t="shared" si="527"/>
        <v>0</v>
      </c>
      <c r="I243" s="174" t="s">
        <v>1229</v>
      </c>
      <c r="J243" s="298"/>
      <c r="K243" s="174" t="s">
        <v>1224</v>
      </c>
      <c r="L243" s="298"/>
      <c r="M243" s="174" t="s">
        <v>1225</v>
      </c>
      <c r="N243" s="174">
        <f t="shared" si="528"/>
        <v>0</v>
      </c>
      <c r="O243" s="298"/>
      <c r="P243" s="298"/>
      <c r="Q243" s="298"/>
      <c r="R243" s="298"/>
      <c r="S243" s="298"/>
      <c r="T243" s="298"/>
      <c r="U243" s="298"/>
      <c r="V243" s="298"/>
      <c r="W243" s="298"/>
      <c r="X243" s="298"/>
      <c r="Y243" s="298"/>
      <c r="Z243" s="298"/>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20"/>
      <c r="BM243" s="311"/>
      <c r="BN243" s="315"/>
    </row>
    <row r="244" s="263" customFormat="1" ht="33.95" hidden="1" customHeight="1" outlineLevel="5" spans="2:66">
      <c r="B244" s="174" t="s">
        <v>799</v>
      </c>
      <c r="C244" s="283" t="s">
        <v>1230</v>
      </c>
      <c r="D244" s="263" t="s">
        <v>1231</v>
      </c>
      <c r="E244" s="174" t="s">
        <v>1232</v>
      </c>
      <c r="F244" s="174"/>
      <c r="G244" s="174" t="s">
        <v>943</v>
      </c>
      <c r="H244" s="174">
        <f t="shared" si="527"/>
        <v>0</v>
      </c>
      <c r="I244" s="174" t="s">
        <v>1233</v>
      </c>
      <c r="J244" s="298"/>
      <c r="K244" s="174" t="s">
        <v>1234</v>
      </c>
      <c r="L244" s="298"/>
      <c r="M244" s="174" t="s">
        <v>1235</v>
      </c>
      <c r="N244" s="174">
        <f t="shared" si="528"/>
        <v>0</v>
      </c>
      <c r="O244" s="298"/>
      <c r="P244" s="298"/>
      <c r="Q244" s="298"/>
      <c r="R244" s="298"/>
      <c r="S244" s="298"/>
      <c r="T244" s="298"/>
      <c r="U244" s="298"/>
      <c r="V244" s="298"/>
      <c r="W244" s="298"/>
      <c r="X244" s="298"/>
      <c r="Y244" s="298"/>
      <c r="Z244" s="298"/>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20"/>
      <c r="BM244" s="311"/>
      <c r="BN244" s="315"/>
    </row>
    <row r="245" s="263" customFormat="1" ht="33.95" hidden="1" customHeight="1" outlineLevel="5" spans="2:66">
      <c r="B245" s="174" t="s">
        <v>799</v>
      </c>
      <c r="C245" s="283" t="s">
        <v>1236</v>
      </c>
      <c r="D245" s="263" t="s">
        <v>1237</v>
      </c>
      <c r="E245" s="174" t="s">
        <v>1238</v>
      </c>
      <c r="F245" s="174"/>
      <c r="G245" s="174" t="s">
        <v>943</v>
      </c>
      <c r="H245" s="174">
        <f t="shared" si="527"/>
        <v>0</v>
      </c>
      <c r="I245" s="174" t="s">
        <v>1233</v>
      </c>
      <c r="J245" s="298"/>
      <c r="K245" s="174" t="s">
        <v>1234</v>
      </c>
      <c r="L245" s="298"/>
      <c r="M245" s="174" t="s">
        <v>1235</v>
      </c>
      <c r="N245" s="174">
        <f t="shared" si="528"/>
        <v>0</v>
      </c>
      <c r="O245" s="298"/>
      <c r="P245" s="298"/>
      <c r="Q245" s="298"/>
      <c r="R245" s="298"/>
      <c r="S245" s="298"/>
      <c r="T245" s="298"/>
      <c r="U245" s="298"/>
      <c r="V245" s="298"/>
      <c r="W245" s="298"/>
      <c r="X245" s="298"/>
      <c r="Y245" s="298"/>
      <c r="Z245" s="298"/>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20"/>
      <c r="BM245" s="311"/>
      <c r="BN245" s="315"/>
    </row>
    <row r="246" s="263" customFormat="1" ht="33.95" hidden="1" customHeight="1" outlineLevel="5" spans="2:66">
      <c r="B246" s="174" t="s">
        <v>799</v>
      </c>
      <c r="C246" s="283" t="s">
        <v>1239</v>
      </c>
      <c r="D246" s="263" t="s">
        <v>1240</v>
      </c>
      <c r="E246" s="174" t="s">
        <v>1241</v>
      </c>
      <c r="F246" s="174"/>
      <c r="G246" s="174" t="s">
        <v>943</v>
      </c>
      <c r="H246" s="174">
        <f t="shared" si="527"/>
        <v>0</v>
      </c>
      <c r="I246" s="174" t="s">
        <v>1242</v>
      </c>
      <c r="J246" s="174">
        <v>1</v>
      </c>
      <c r="K246" s="174" t="s">
        <v>1243</v>
      </c>
      <c r="L246" s="298"/>
      <c r="M246" s="174" t="s">
        <v>1244</v>
      </c>
      <c r="N246" s="174">
        <f t="shared" si="528"/>
        <v>0</v>
      </c>
      <c r="O246" s="298"/>
      <c r="P246" s="316"/>
      <c r="Q246" s="316"/>
      <c r="R246" s="316"/>
      <c r="S246" s="316"/>
      <c r="T246" s="316"/>
      <c r="U246" s="316"/>
      <c r="V246" s="316"/>
      <c r="W246" s="316"/>
      <c r="X246" s="316"/>
      <c r="Y246" s="316"/>
      <c r="Z246" s="316"/>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20"/>
      <c r="BM246" s="311"/>
      <c r="BN246" s="315"/>
    </row>
    <row r="247" s="48" customFormat="1" ht="33.95" hidden="1" customHeight="1" outlineLevel="3" collapsed="1" spans="2:66">
      <c r="B247" s="114" t="s">
        <v>794</v>
      </c>
      <c r="C247" s="115" t="s">
        <v>42</v>
      </c>
      <c r="D247" s="48" t="s">
        <v>43</v>
      </c>
      <c r="E247" s="114"/>
      <c r="F247" s="114"/>
      <c r="G247" s="114"/>
      <c r="H247" s="114">
        <f>H248+H249+H250+H251+H252+H253+H254+H255+H256+H257</f>
        <v>0</v>
      </c>
      <c r="I247" s="114"/>
      <c r="J247" s="114"/>
      <c r="K247" s="114"/>
      <c r="L247" s="114"/>
      <c r="M247" s="114"/>
      <c r="N247" s="114"/>
      <c r="O247" s="114"/>
      <c r="P247" s="288"/>
      <c r="Q247" s="288"/>
      <c r="R247" s="288"/>
      <c r="S247" s="288"/>
      <c r="T247" s="288"/>
      <c r="U247" s="288"/>
      <c r="V247" s="288"/>
      <c r="W247" s="288"/>
      <c r="X247" s="288"/>
      <c r="Y247" s="288"/>
      <c r="Z247" s="288"/>
      <c r="AA247" s="288"/>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5"/>
      <c r="BM247" s="311"/>
      <c r="BN247" s="313"/>
    </row>
    <row r="248" s="117" customFormat="1" ht="33.95" hidden="1" customHeight="1" outlineLevel="4" spans="2:66">
      <c r="B248" s="118" t="s">
        <v>799</v>
      </c>
      <c r="C248" s="119" t="s">
        <v>1245</v>
      </c>
      <c r="D248" s="117" t="s">
        <v>1246</v>
      </c>
      <c r="E248" s="118" t="s">
        <v>1247</v>
      </c>
      <c r="F248" s="118"/>
      <c r="G248" s="118" t="s">
        <v>943</v>
      </c>
      <c r="H248" s="118">
        <f t="shared" ref="H248:H256" si="543">IFERROR(J248*L248*N248,0)</f>
        <v>0</v>
      </c>
      <c r="I248" s="118" t="s">
        <v>1032</v>
      </c>
      <c r="J248" s="118">
        <f>AVERAGE('1-1 项目基础信息'!$H$9:$S$9)</f>
        <v>9008</v>
      </c>
      <c r="K248" s="118" t="s">
        <v>1033</v>
      </c>
      <c r="L248" s="298"/>
      <c r="M248" s="118" t="s">
        <v>806</v>
      </c>
      <c r="N248" s="118">
        <f t="shared" ref="N248:N256" si="544">COUNTA(O248:Z248)</f>
        <v>0</v>
      </c>
      <c r="O248" s="298"/>
      <c r="P248" s="298"/>
      <c r="Q248" s="298"/>
      <c r="R248" s="298"/>
      <c r="S248" s="298"/>
      <c r="T248" s="298"/>
      <c r="U248" s="298"/>
      <c r="V248" s="298"/>
      <c r="W248" s="298"/>
      <c r="X248" s="298"/>
      <c r="Y248" s="298"/>
      <c r="Z248" s="298"/>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6"/>
      <c r="BM248" s="311"/>
      <c r="BN248" s="314"/>
    </row>
    <row r="249" s="117" customFormat="1" ht="33.95" hidden="1" customHeight="1" outlineLevel="4" spans="2:66">
      <c r="B249" s="118" t="s">
        <v>799</v>
      </c>
      <c r="C249" s="119" t="s">
        <v>1248</v>
      </c>
      <c r="D249" s="117" t="s">
        <v>1249</v>
      </c>
      <c r="E249" s="118" t="s">
        <v>1250</v>
      </c>
      <c r="F249" s="118"/>
      <c r="G249" s="118" t="s">
        <v>943</v>
      </c>
      <c r="H249" s="118">
        <f t="shared" si="543"/>
        <v>0</v>
      </c>
      <c r="I249" s="118" t="s">
        <v>1032</v>
      </c>
      <c r="J249" s="118">
        <f>AVERAGE('1-1 项目基础信息'!$H$9:$S$9)</f>
        <v>9008</v>
      </c>
      <c r="K249" s="118" t="s">
        <v>1033</v>
      </c>
      <c r="L249" s="298"/>
      <c r="M249" s="118" t="s">
        <v>806</v>
      </c>
      <c r="N249" s="118">
        <f t="shared" si="544"/>
        <v>0</v>
      </c>
      <c r="O249" s="298"/>
      <c r="P249" s="298"/>
      <c r="Q249" s="298"/>
      <c r="R249" s="298"/>
      <c r="S249" s="298"/>
      <c r="T249" s="298"/>
      <c r="U249" s="298"/>
      <c r="V249" s="298"/>
      <c r="W249" s="298"/>
      <c r="X249" s="298"/>
      <c r="Y249" s="298"/>
      <c r="Z249" s="298"/>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6"/>
      <c r="BM249" s="311"/>
      <c r="BN249" s="314"/>
    </row>
    <row r="250" s="117" customFormat="1" ht="33.95" hidden="1" customHeight="1" outlineLevel="4" spans="2:66">
      <c r="B250" s="118" t="s">
        <v>799</v>
      </c>
      <c r="C250" s="119" t="s">
        <v>1251</v>
      </c>
      <c r="D250" s="117" t="s">
        <v>1252</v>
      </c>
      <c r="E250" s="118"/>
      <c r="F250" s="118"/>
      <c r="G250" s="118" t="s">
        <v>943</v>
      </c>
      <c r="H250" s="118">
        <f t="shared" si="543"/>
        <v>0</v>
      </c>
      <c r="I250" s="118" t="s">
        <v>1032</v>
      </c>
      <c r="J250" s="118">
        <f>AVERAGE('1-1 项目基础信息'!$H$9:$S$9)</f>
        <v>9008</v>
      </c>
      <c r="K250" s="118" t="s">
        <v>1033</v>
      </c>
      <c r="L250" s="298"/>
      <c r="M250" s="118" t="s">
        <v>806</v>
      </c>
      <c r="N250" s="118">
        <f t="shared" si="544"/>
        <v>0</v>
      </c>
      <c r="O250" s="298"/>
      <c r="P250" s="298"/>
      <c r="Q250" s="298"/>
      <c r="R250" s="298"/>
      <c r="S250" s="298"/>
      <c r="T250" s="298"/>
      <c r="U250" s="298"/>
      <c r="V250" s="298"/>
      <c r="W250" s="298"/>
      <c r="X250" s="298"/>
      <c r="Y250" s="298"/>
      <c r="Z250" s="298"/>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6"/>
      <c r="BM250" s="311"/>
      <c r="BN250" s="314"/>
    </row>
    <row r="251" s="117" customFormat="1" ht="33.95" hidden="1" customHeight="1" outlineLevel="4" spans="2:66">
      <c r="B251" s="118" t="s">
        <v>799</v>
      </c>
      <c r="C251" s="119" t="s">
        <v>1253</v>
      </c>
      <c r="D251" s="117" t="s">
        <v>1254</v>
      </c>
      <c r="E251" s="118" t="s">
        <v>1255</v>
      </c>
      <c r="F251" s="118"/>
      <c r="G251" s="118" t="s">
        <v>943</v>
      </c>
      <c r="H251" s="118">
        <f t="shared" si="543"/>
        <v>0</v>
      </c>
      <c r="I251" s="118" t="s">
        <v>1032</v>
      </c>
      <c r="J251" s="118">
        <f>AVERAGE('1-1 项目基础信息'!$H$9:$S$9)</f>
        <v>9008</v>
      </c>
      <c r="K251" s="118" t="s">
        <v>1033</v>
      </c>
      <c r="L251" s="298"/>
      <c r="M251" s="118" t="s">
        <v>806</v>
      </c>
      <c r="N251" s="118">
        <f t="shared" si="544"/>
        <v>0</v>
      </c>
      <c r="O251" s="298"/>
      <c r="P251" s="298"/>
      <c r="Q251" s="298"/>
      <c r="R251" s="298"/>
      <c r="S251" s="298"/>
      <c r="T251" s="298"/>
      <c r="U251" s="298"/>
      <c r="V251" s="298"/>
      <c r="W251" s="298"/>
      <c r="X251" s="298"/>
      <c r="Y251" s="298"/>
      <c r="Z251" s="298"/>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6"/>
      <c r="BM251" s="311"/>
      <c r="BN251" s="314"/>
    </row>
    <row r="252" s="117" customFormat="1" ht="33.95" hidden="1" customHeight="1" outlineLevel="4" spans="2:66">
      <c r="B252" s="118" t="s">
        <v>799</v>
      </c>
      <c r="C252" s="119" t="s">
        <v>1256</v>
      </c>
      <c r="D252" s="117" t="s">
        <v>1257</v>
      </c>
      <c r="E252" s="118" t="s">
        <v>1258</v>
      </c>
      <c r="F252" s="118"/>
      <c r="G252" s="118" t="s">
        <v>943</v>
      </c>
      <c r="H252" s="118">
        <f t="shared" si="543"/>
        <v>0</v>
      </c>
      <c r="I252" s="118" t="s">
        <v>1032</v>
      </c>
      <c r="J252" s="118">
        <f>AVERAGE('1-1 项目基础信息'!$H$9:$S$9)</f>
        <v>9008</v>
      </c>
      <c r="K252" s="118" t="s">
        <v>1033</v>
      </c>
      <c r="L252" s="298"/>
      <c r="M252" s="118" t="s">
        <v>806</v>
      </c>
      <c r="N252" s="118">
        <f t="shared" si="544"/>
        <v>0</v>
      </c>
      <c r="O252" s="298"/>
      <c r="P252" s="298"/>
      <c r="Q252" s="298"/>
      <c r="R252" s="298"/>
      <c r="S252" s="298"/>
      <c r="T252" s="298"/>
      <c r="U252" s="298"/>
      <c r="V252" s="298"/>
      <c r="W252" s="298"/>
      <c r="X252" s="298"/>
      <c r="Y252" s="298"/>
      <c r="Z252" s="298"/>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6"/>
      <c r="BM252" s="311"/>
      <c r="BN252" s="314"/>
    </row>
    <row r="253" s="117" customFormat="1" ht="33.95" hidden="1" customHeight="1" outlineLevel="4" spans="2:66">
      <c r="B253" s="118" t="s">
        <v>799</v>
      </c>
      <c r="C253" s="119" t="s">
        <v>1259</v>
      </c>
      <c r="D253" s="117" t="s">
        <v>1260</v>
      </c>
      <c r="E253" s="118" t="s">
        <v>1261</v>
      </c>
      <c r="F253" s="118"/>
      <c r="G253" s="118" t="s">
        <v>943</v>
      </c>
      <c r="H253" s="118">
        <f t="shared" si="543"/>
        <v>0</v>
      </c>
      <c r="I253" s="118" t="s">
        <v>1032</v>
      </c>
      <c r="J253" s="118">
        <f>AVERAGE('1-1 项目基础信息'!$H$9:$S$9)</f>
        <v>9008</v>
      </c>
      <c r="K253" s="118" t="s">
        <v>1033</v>
      </c>
      <c r="L253" s="298"/>
      <c r="M253" s="118" t="s">
        <v>806</v>
      </c>
      <c r="N253" s="118">
        <f t="shared" si="544"/>
        <v>0</v>
      </c>
      <c r="O253" s="298"/>
      <c r="P253" s="298"/>
      <c r="Q253" s="298"/>
      <c r="R253" s="298"/>
      <c r="S253" s="298"/>
      <c r="T253" s="298"/>
      <c r="U253" s="298"/>
      <c r="V253" s="298"/>
      <c r="W253" s="298"/>
      <c r="X253" s="298"/>
      <c r="Y253" s="298"/>
      <c r="Z253" s="298"/>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6"/>
      <c r="BM253" s="311"/>
      <c r="BN253" s="314"/>
    </row>
    <row r="254" s="117" customFormat="1" ht="33.95" hidden="1" customHeight="1" outlineLevel="4" spans="2:66">
      <c r="B254" s="118" t="s">
        <v>799</v>
      </c>
      <c r="C254" s="119" t="s">
        <v>1262</v>
      </c>
      <c r="D254" s="117" t="s">
        <v>1263</v>
      </c>
      <c r="E254" s="118" t="s">
        <v>1264</v>
      </c>
      <c r="F254" s="118"/>
      <c r="G254" s="118" t="s">
        <v>943</v>
      </c>
      <c r="H254" s="118">
        <f t="shared" si="543"/>
        <v>0</v>
      </c>
      <c r="I254" s="118" t="s">
        <v>1032</v>
      </c>
      <c r="J254" s="118">
        <f>AVERAGE('1-1 项目基础信息'!$H$9:$S$9)</f>
        <v>9008</v>
      </c>
      <c r="K254" s="118" t="s">
        <v>1033</v>
      </c>
      <c r="L254" s="298"/>
      <c r="M254" s="118" t="s">
        <v>806</v>
      </c>
      <c r="N254" s="118">
        <f t="shared" si="544"/>
        <v>0</v>
      </c>
      <c r="O254" s="298"/>
      <c r="P254" s="298"/>
      <c r="Q254" s="298"/>
      <c r="R254" s="298"/>
      <c r="S254" s="298"/>
      <c r="T254" s="298"/>
      <c r="U254" s="298"/>
      <c r="V254" s="298"/>
      <c r="W254" s="298"/>
      <c r="X254" s="298"/>
      <c r="Y254" s="298"/>
      <c r="Z254" s="298"/>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6"/>
      <c r="BM254" s="311"/>
      <c r="BN254" s="314"/>
    </row>
    <row r="255" s="117" customFormat="1" ht="33.95" hidden="1" customHeight="1" outlineLevel="4" spans="2:66">
      <c r="B255" s="118" t="s">
        <v>799</v>
      </c>
      <c r="C255" s="119" t="s">
        <v>1265</v>
      </c>
      <c r="D255" s="117" t="s">
        <v>1266</v>
      </c>
      <c r="E255" s="118" t="s">
        <v>1264</v>
      </c>
      <c r="F255" s="118"/>
      <c r="G255" s="118" t="s">
        <v>943</v>
      </c>
      <c r="H255" s="118">
        <f t="shared" si="543"/>
        <v>0</v>
      </c>
      <c r="I255" s="118" t="s">
        <v>1032</v>
      </c>
      <c r="J255" s="118">
        <f>AVERAGE('1-1 项目基础信息'!$H$9:$S$9)</f>
        <v>9008</v>
      </c>
      <c r="K255" s="118" t="s">
        <v>1033</v>
      </c>
      <c r="L255" s="298"/>
      <c r="M255" s="118" t="s">
        <v>806</v>
      </c>
      <c r="N255" s="118">
        <f t="shared" si="544"/>
        <v>0</v>
      </c>
      <c r="O255" s="298"/>
      <c r="P255" s="298"/>
      <c r="Q255" s="298"/>
      <c r="R255" s="298"/>
      <c r="S255" s="298"/>
      <c r="T255" s="298"/>
      <c r="U255" s="298"/>
      <c r="V255" s="298"/>
      <c r="W255" s="298"/>
      <c r="X255" s="298"/>
      <c r="Y255" s="298"/>
      <c r="Z255" s="298"/>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6"/>
      <c r="BM255" s="311"/>
      <c r="BN255" s="314"/>
    </row>
    <row r="256" s="117" customFormat="1" ht="33.95" hidden="1" customHeight="1" outlineLevel="4" spans="2:66">
      <c r="B256" s="118" t="s">
        <v>799</v>
      </c>
      <c r="C256" s="119" t="s">
        <v>1267</v>
      </c>
      <c r="D256" s="117" t="s">
        <v>1268</v>
      </c>
      <c r="E256" s="118" t="s">
        <v>1269</v>
      </c>
      <c r="F256" s="118"/>
      <c r="G256" s="118" t="s">
        <v>943</v>
      </c>
      <c r="H256" s="118">
        <f t="shared" si="543"/>
        <v>0</v>
      </c>
      <c r="I256" s="118" t="s">
        <v>1032</v>
      </c>
      <c r="J256" s="118">
        <f>AVERAGE('1-1 项目基础信息'!$H$9:$S$9)</f>
        <v>9008</v>
      </c>
      <c r="K256" s="118" t="s">
        <v>1033</v>
      </c>
      <c r="L256" s="298"/>
      <c r="M256" s="118" t="s">
        <v>806</v>
      </c>
      <c r="N256" s="118">
        <f t="shared" si="544"/>
        <v>0</v>
      </c>
      <c r="O256" s="298"/>
      <c r="P256" s="316"/>
      <c r="Q256" s="316"/>
      <c r="R256" s="316"/>
      <c r="S256" s="316"/>
      <c r="T256" s="316"/>
      <c r="U256" s="316"/>
      <c r="V256" s="316"/>
      <c r="W256" s="316"/>
      <c r="X256" s="316"/>
      <c r="Y256" s="316"/>
      <c r="Z256" s="316"/>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6"/>
      <c r="BM256" s="311"/>
      <c r="BN256" s="314"/>
    </row>
    <row r="257" s="117" customFormat="1" ht="33.95" hidden="1" customHeight="1" outlineLevel="4" collapsed="1" spans="2:66">
      <c r="B257" s="118" t="s">
        <v>794</v>
      </c>
      <c r="C257" s="119" t="s">
        <v>1270</v>
      </c>
      <c r="D257" s="117" t="s">
        <v>1271</v>
      </c>
      <c r="E257" s="118"/>
      <c r="F257" s="118"/>
      <c r="G257" s="118"/>
      <c r="H257" s="118">
        <f>SUM(H258:H261)</f>
        <v>0</v>
      </c>
      <c r="I257" s="118"/>
      <c r="J257" s="118"/>
      <c r="K257" s="118"/>
      <c r="L257" s="118"/>
      <c r="M257" s="118"/>
      <c r="N257" s="118"/>
      <c r="O257" s="118"/>
      <c r="P257" s="289"/>
      <c r="Q257" s="289"/>
      <c r="R257" s="289"/>
      <c r="S257" s="289"/>
      <c r="T257" s="289"/>
      <c r="U257" s="289"/>
      <c r="V257" s="289"/>
      <c r="W257" s="289"/>
      <c r="X257" s="289"/>
      <c r="Y257" s="289"/>
      <c r="Z257" s="289"/>
      <c r="AA257" s="289"/>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6"/>
      <c r="BM257" s="311"/>
      <c r="BN257" s="314"/>
    </row>
    <row r="258" s="263" customFormat="1" ht="33.95" hidden="1" customHeight="1" outlineLevel="5" collapsed="1" spans="2:66">
      <c r="B258" s="174" t="s">
        <v>799</v>
      </c>
      <c r="C258" s="283" t="s">
        <v>1272</v>
      </c>
      <c r="D258" s="263" t="s">
        <v>1273</v>
      </c>
      <c r="E258" s="174" t="s">
        <v>1274</v>
      </c>
      <c r="F258" s="174"/>
      <c r="G258" s="174" t="s">
        <v>943</v>
      </c>
      <c r="H258" s="174">
        <f t="shared" ref="H258:H261" si="559">IFERROR(J258*L258*N258,0)</f>
        <v>0</v>
      </c>
      <c r="I258" s="174" t="s">
        <v>1275</v>
      </c>
      <c r="J258" s="298"/>
      <c r="K258" s="174" t="s">
        <v>1276</v>
      </c>
      <c r="L258" s="298"/>
      <c r="M258" s="174" t="s">
        <v>1277</v>
      </c>
      <c r="N258" s="174">
        <f t="shared" ref="N258:N261" si="560">COUNTA(O258:Z258)</f>
        <v>0</v>
      </c>
      <c r="O258" s="298"/>
      <c r="P258" s="317"/>
      <c r="Q258" s="317"/>
      <c r="R258" s="317"/>
      <c r="S258" s="317"/>
      <c r="T258" s="317"/>
      <c r="U258" s="317"/>
      <c r="V258" s="317"/>
      <c r="W258" s="317"/>
      <c r="X258" s="317"/>
      <c r="Y258" s="317"/>
      <c r="Z258" s="317"/>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20"/>
      <c r="BM258" s="311"/>
      <c r="BN258" s="315"/>
    </row>
    <row r="259" s="263" customFormat="1" ht="33.95" hidden="1" customHeight="1" outlineLevel="5" collapsed="1" spans="2:66">
      <c r="B259" s="174" t="s">
        <v>799</v>
      </c>
      <c r="C259" s="283" t="s">
        <v>1278</v>
      </c>
      <c r="D259" s="263" t="s">
        <v>1279</v>
      </c>
      <c r="E259" s="174" t="s">
        <v>1280</v>
      </c>
      <c r="F259" s="174"/>
      <c r="G259" s="174" t="s">
        <v>943</v>
      </c>
      <c r="H259" s="174">
        <f t="shared" si="559"/>
        <v>0</v>
      </c>
      <c r="I259" s="174" t="s">
        <v>1275</v>
      </c>
      <c r="J259" s="298"/>
      <c r="K259" s="174" t="s">
        <v>1276</v>
      </c>
      <c r="L259" s="298"/>
      <c r="M259" s="174" t="s">
        <v>1277</v>
      </c>
      <c r="N259" s="174">
        <f t="shared" si="560"/>
        <v>0</v>
      </c>
      <c r="O259" s="298"/>
      <c r="P259" s="298"/>
      <c r="Q259" s="298"/>
      <c r="R259" s="298"/>
      <c r="S259" s="298"/>
      <c r="T259" s="298"/>
      <c r="U259" s="298"/>
      <c r="V259" s="298"/>
      <c r="W259" s="298"/>
      <c r="X259" s="298"/>
      <c r="Y259" s="298"/>
      <c r="Z259" s="298"/>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20"/>
      <c r="BM259" s="311"/>
      <c r="BN259" s="315"/>
    </row>
    <row r="260" s="263" customFormat="1" ht="33.95" hidden="1" customHeight="1" outlineLevel="5" collapsed="1" spans="2:66">
      <c r="B260" s="174" t="s">
        <v>799</v>
      </c>
      <c r="C260" s="283" t="s">
        <v>1281</v>
      </c>
      <c r="D260" s="263" t="s">
        <v>1282</v>
      </c>
      <c r="E260" s="174" t="s">
        <v>1283</v>
      </c>
      <c r="F260" s="174"/>
      <c r="G260" s="174" t="s">
        <v>943</v>
      </c>
      <c r="H260" s="174">
        <f t="shared" si="559"/>
        <v>0</v>
      </c>
      <c r="I260" s="174" t="s">
        <v>1275</v>
      </c>
      <c r="J260" s="298"/>
      <c r="K260" s="174" t="s">
        <v>1276</v>
      </c>
      <c r="L260" s="298"/>
      <c r="M260" s="174" t="s">
        <v>1277</v>
      </c>
      <c r="N260" s="174">
        <f t="shared" si="560"/>
        <v>0</v>
      </c>
      <c r="O260" s="298"/>
      <c r="P260" s="298"/>
      <c r="Q260" s="298"/>
      <c r="R260" s="298"/>
      <c r="S260" s="298"/>
      <c r="T260" s="298"/>
      <c r="U260" s="298"/>
      <c r="V260" s="298"/>
      <c r="W260" s="298"/>
      <c r="X260" s="298"/>
      <c r="Y260" s="298"/>
      <c r="Z260" s="298"/>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20"/>
      <c r="BM260" s="311"/>
      <c r="BN260" s="315"/>
    </row>
    <row r="261" s="263" customFormat="1" ht="33.95" hidden="1" customHeight="1" outlineLevel="5" collapsed="1" spans="2:66">
      <c r="B261" s="174" t="s">
        <v>799</v>
      </c>
      <c r="C261" s="283" t="s">
        <v>1284</v>
      </c>
      <c r="D261" s="263" t="s">
        <v>1285</v>
      </c>
      <c r="E261" s="174" t="s">
        <v>1286</v>
      </c>
      <c r="F261" s="174"/>
      <c r="G261" s="174" t="s">
        <v>943</v>
      </c>
      <c r="H261" s="174">
        <f t="shared" si="559"/>
        <v>0</v>
      </c>
      <c r="I261" s="174" t="s">
        <v>1275</v>
      </c>
      <c r="J261" s="298"/>
      <c r="K261" s="174" t="s">
        <v>1276</v>
      </c>
      <c r="L261" s="298"/>
      <c r="M261" s="174" t="s">
        <v>1277</v>
      </c>
      <c r="N261" s="174">
        <f t="shared" si="560"/>
        <v>0</v>
      </c>
      <c r="O261" s="298"/>
      <c r="P261" s="316"/>
      <c r="Q261" s="316"/>
      <c r="R261" s="316"/>
      <c r="S261" s="316"/>
      <c r="T261" s="316"/>
      <c r="U261" s="316"/>
      <c r="V261" s="316"/>
      <c r="W261" s="316"/>
      <c r="X261" s="316"/>
      <c r="Y261" s="316"/>
      <c r="Z261" s="316"/>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20"/>
      <c r="BM261" s="311"/>
      <c r="BN261" s="315"/>
    </row>
    <row r="262" s="48" customFormat="1" ht="33.95" hidden="1" customHeight="1" outlineLevel="3" collapsed="1" spans="2:66">
      <c r="B262" s="114" t="s">
        <v>794</v>
      </c>
      <c r="C262" s="115" t="s">
        <v>1287</v>
      </c>
      <c r="D262" s="48" t="s">
        <v>1288</v>
      </c>
      <c r="E262" s="114" t="s">
        <v>1289</v>
      </c>
      <c r="F262" s="114"/>
      <c r="G262" s="114" t="s">
        <v>943</v>
      </c>
      <c r="H262" s="114">
        <f>H263+H264+H273+H274+H283+H287+H288+H289+H290</f>
        <v>0</v>
      </c>
      <c r="I262" s="114"/>
      <c r="J262" s="114"/>
      <c r="K262" s="114"/>
      <c r="L262" s="114"/>
      <c r="M262" s="114"/>
      <c r="N262" s="114"/>
      <c r="O262" s="114"/>
      <c r="P262" s="288"/>
      <c r="Q262" s="288"/>
      <c r="R262" s="288"/>
      <c r="S262" s="288"/>
      <c r="T262" s="288"/>
      <c r="U262" s="288"/>
      <c r="V262" s="288"/>
      <c r="W262" s="288"/>
      <c r="X262" s="288"/>
      <c r="Y262" s="288"/>
      <c r="Z262" s="288"/>
      <c r="AA262" s="288"/>
      <c r="AB262" s="114">
        <f>AB263+AB264+AB273+AB274+AB283+AB287+AB288+AB289+AB290</f>
        <v>0</v>
      </c>
      <c r="AC262" s="114">
        <f t="shared" ref="AC262:AF262" si="574">AC263+AC264+AC273+AC274+AC283+AC287+AC288+AC289+AC290</f>
        <v>0</v>
      </c>
      <c r="AD262" s="114"/>
      <c r="AE262" s="114"/>
      <c r="AF262" s="114">
        <f t="shared" si="574"/>
        <v>0</v>
      </c>
      <c r="AG262" s="114"/>
      <c r="AH262" s="114"/>
      <c r="AI262" s="114">
        <f>AI263+AI264+AI273+AI274+AI283+AI287+AI288+AI289+AI290</f>
        <v>0</v>
      </c>
      <c r="AJ262" s="114"/>
      <c r="AK262" s="114"/>
      <c r="AL262" s="114">
        <f>AL263+AL264+AL273+AL274+AL283+AL287+AL288+AL289+AL290</f>
        <v>0</v>
      </c>
      <c r="AM262" s="114"/>
      <c r="AN262" s="114"/>
      <c r="AO262" s="114">
        <f>AO263+AO264+AO273+AO274+AO283+AO287+AO288+AO289+AO290</f>
        <v>0</v>
      </c>
      <c r="AP262" s="114"/>
      <c r="AQ262" s="114"/>
      <c r="AR262" s="114">
        <f>AR263+AR264+AR273+AR274+AR283+AR287+AR288+AR289+AR290</f>
        <v>0</v>
      </c>
      <c r="AS262" s="114"/>
      <c r="AT262" s="114"/>
      <c r="AU262" s="114">
        <f>AU263+AU264+AU273+AU274+AU283+AU287+AU288+AU289+AU290</f>
        <v>0</v>
      </c>
      <c r="AV262" s="114"/>
      <c r="AW262" s="114"/>
      <c r="AX262" s="114">
        <f>AX263+AX264+AX273+AX274+AX283+AX287+AX288+AX289+AX290</f>
        <v>0</v>
      </c>
      <c r="AY262" s="114"/>
      <c r="AZ262" s="114"/>
      <c r="BA262" s="114">
        <f>BA263+BA264+BA273+BA274+BA283+BA287+BA288+BA289+BA290</f>
        <v>0</v>
      </c>
      <c r="BB262" s="114"/>
      <c r="BC262" s="114"/>
      <c r="BD262" s="114">
        <f>BD263+BD264+BD273+BD274+BD283+BD287+BD288+BD289+BD290</f>
        <v>0</v>
      </c>
      <c r="BE262" s="114"/>
      <c r="BF262" s="114"/>
      <c r="BG262" s="114">
        <f>BG263+BG264+BG273+BG274+BG283+BG287+BG288+BG289+BG290</f>
        <v>0</v>
      </c>
      <c r="BH262" s="114"/>
      <c r="BI262" s="114"/>
      <c r="BJ262" s="114">
        <f>BJ263+BJ264+BJ273+BJ274+BJ283+BJ287+BJ288+BJ289+BJ290</f>
        <v>0</v>
      </c>
      <c r="BK262" s="114"/>
      <c r="BL262" s="305"/>
      <c r="BM262" s="311"/>
      <c r="BN262" s="313"/>
    </row>
    <row r="263" s="117" customFormat="1" ht="33.95" hidden="1" customHeight="1" outlineLevel="4" spans="2:66">
      <c r="B263" s="118" t="s">
        <v>799</v>
      </c>
      <c r="C263" s="119" t="s">
        <v>28</v>
      </c>
      <c r="D263" s="117" t="s">
        <v>29</v>
      </c>
      <c r="E263" s="118" t="s">
        <v>1290</v>
      </c>
      <c r="F263" s="118"/>
      <c r="G263" s="118" t="s">
        <v>943</v>
      </c>
      <c r="H263" s="118">
        <f>IFERROR(J263*L263*N263,0)</f>
        <v>0</v>
      </c>
      <c r="I263" s="118" t="s">
        <v>1291</v>
      </c>
      <c r="J263" s="298">
        <f>预算主表!P82/12</f>
        <v>0</v>
      </c>
      <c r="K263" s="118" t="s">
        <v>1033</v>
      </c>
      <c r="L263" s="298">
        <v>1</v>
      </c>
      <c r="M263" s="118" t="s">
        <v>1196</v>
      </c>
      <c r="N263" s="118">
        <f t="shared" ref="N263:N273" si="575">COUNTA(O263:Z263)</f>
        <v>12</v>
      </c>
      <c r="O263" s="298" t="s">
        <v>1292</v>
      </c>
      <c r="P263" s="298" t="s">
        <v>1292</v>
      </c>
      <c r="Q263" s="298" t="s">
        <v>1292</v>
      </c>
      <c r="R263" s="298" t="s">
        <v>1292</v>
      </c>
      <c r="S263" s="298" t="s">
        <v>1292</v>
      </c>
      <c r="T263" s="298" t="s">
        <v>1292</v>
      </c>
      <c r="U263" s="298" t="s">
        <v>1292</v>
      </c>
      <c r="V263" s="298" t="s">
        <v>1292</v>
      </c>
      <c r="W263" s="298" t="s">
        <v>1292</v>
      </c>
      <c r="X263" s="298" t="s">
        <v>1292</v>
      </c>
      <c r="Y263" s="298" t="s">
        <v>1292</v>
      </c>
      <c r="Z263" s="298" t="s">
        <v>1292</v>
      </c>
      <c r="AA263" s="118"/>
      <c r="AB263" s="118">
        <f t="shared" ref="AB263:AB273" si="576">SUM(AC263,AF263,AI263,AL263,AO263,AR263,AU263,AX263,BA263,BD263,BG263,BJ263)</f>
        <v>0</v>
      </c>
      <c r="AC263" s="118">
        <f t="shared" ref="AC263:AC273" si="577">IF(O263="",0,$J263*$L263)</f>
        <v>0</v>
      </c>
      <c r="AD263" s="118"/>
      <c r="AE263" s="118"/>
      <c r="AF263" s="118">
        <f t="shared" ref="AF263:AF273" si="578">IF(P263="",0,$J263*$L263)</f>
        <v>0</v>
      </c>
      <c r="AG263" s="118"/>
      <c r="AH263" s="118"/>
      <c r="AI263" s="118">
        <f t="shared" ref="AI263:AI273" si="579">IF(Q263="",0,$J263*$L263)</f>
        <v>0</v>
      </c>
      <c r="AJ263" s="118"/>
      <c r="AK263" s="118"/>
      <c r="AL263" s="118">
        <f t="shared" ref="AL263:AL273" si="580">IF(R263="",0,$J263*$L263)</f>
        <v>0</v>
      </c>
      <c r="AM263" s="118"/>
      <c r="AN263" s="118"/>
      <c r="AO263" s="118">
        <f t="shared" ref="AO263:AO273" si="581">IF(S263="",0,$J263*$L263)</f>
        <v>0</v>
      </c>
      <c r="AP263" s="118"/>
      <c r="AQ263" s="118"/>
      <c r="AR263" s="118">
        <f t="shared" ref="AR263:AR273" si="582">IF(T263="",0,$J263*$L263)</f>
        <v>0</v>
      </c>
      <c r="AS263" s="118"/>
      <c r="AT263" s="118"/>
      <c r="AU263" s="118">
        <f t="shared" ref="AU263:AU273" si="583">IF(U263="",0,$J263*$L263)</f>
        <v>0</v>
      </c>
      <c r="AV263" s="118"/>
      <c r="AW263" s="118"/>
      <c r="AX263" s="118">
        <f t="shared" ref="AX263:AX273" si="584">IF(V263="",0,$J263*$L263)</f>
        <v>0</v>
      </c>
      <c r="AY263" s="118"/>
      <c r="AZ263" s="118"/>
      <c r="BA263" s="118">
        <f t="shared" ref="BA263:BA273" si="585">IF(W263="",0,$J263*$L263)</f>
        <v>0</v>
      </c>
      <c r="BB263" s="118"/>
      <c r="BC263" s="118"/>
      <c r="BD263" s="118">
        <f t="shared" ref="BD263:BD273" si="586">IF(X263="",0,$J263*$L263)</f>
        <v>0</v>
      </c>
      <c r="BE263" s="118"/>
      <c r="BF263" s="118"/>
      <c r="BG263" s="118">
        <f t="shared" ref="BG263:BG273" si="587">IF(Y263="",0,$J263*$L263)</f>
        <v>0</v>
      </c>
      <c r="BH263" s="118"/>
      <c r="BI263" s="118"/>
      <c r="BJ263" s="118">
        <f t="shared" ref="BJ263:BJ273" si="588">IF(Z263="",0,$J263*$L263)</f>
        <v>0</v>
      </c>
      <c r="BK263" s="118"/>
      <c r="BL263" s="306"/>
      <c r="BM263" s="311"/>
      <c r="BN263" s="314"/>
    </row>
    <row r="264" s="117" customFormat="1" ht="33.95" hidden="1" customHeight="1" outlineLevel="4" collapsed="1" spans="2:66">
      <c r="B264" s="118" t="s">
        <v>794</v>
      </c>
      <c r="C264" s="119" t="s">
        <v>1293</v>
      </c>
      <c r="D264" s="117" t="s">
        <v>1294</v>
      </c>
      <c r="E264" s="118"/>
      <c r="F264" s="118"/>
      <c r="G264" s="118"/>
      <c r="H264" s="118">
        <f>SUM(H265:H272)</f>
        <v>0</v>
      </c>
      <c r="I264" s="118"/>
      <c r="J264" s="118"/>
      <c r="K264" s="118"/>
      <c r="L264" s="118"/>
      <c r="M264" s="118"/>
      <c r="N264" s="118"/>
      <c r="O264" s="118"/>
      <c r="P264" s="289"/>
      <c r="Q264" s="289"/>
      <c r="R264" s="289"/>
      <c r="S264" s="289"/>
      <c r="T264" s="289"/>
      <c r="U264" s="289"/>
      <c r="V264" s="289"/>
      <c r="W264" s="289"/>
      <c r="X264" s="289"/>
      <c r="Y264" s="289"/>
      <c r="Z264" s="289"/>
      <c r="AA264" s="289"/>
      <c r="AB264" s="118">
        <f t="shared" ref="AB264:AF264" si="589">SUM(AB265:AB272)</f>
        <v>0</v>
      </c>
      <c r="AC264" s="118">
        <f t="shared" si="589"/>
        <v>0</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6"/>
      <c r="BM264" s="311"/>
      <c r="BN264" s="314"/>
    </row>
    <row r="265" s="263" customFormat="1" ht="33.95" hidden="1" customHeight="1" outlineLevel="5" spans="2:66">
      <c r="B265" s="174" t="s">
        <v>799</v>
      </c>
      <c r="C265" s="283" t="s">
        <v>56</v>
      </c>
      <c r="D265" s="263" t="s">
        <v>57</v>
      </c>
      <c r="E265" s="174" t="s">
        <v>1295</v>
      </c>
      <c r="F265" s="174"/>
      <c r="G265" s="174" t="s">
        <v>943</v>
      </c>
      <c r="H265" s="174">
        <f t="shared" ref="H265:H273" si="590">IFERROR(J265*L265*N265,0)</f>
        <v>0</v>
      </c>
      <c r="I265" s="174" t="s">
        <v>1296</v>
      </c>
      <c r="J265" s="298"/>
      <c r="K265" s="174" t="s">
        <v>1297</v>
      </c>
      <c r="L265" s="298"/>
      <c r="M265" s="174" t="s">
        <v>1298</v>
      </c>
      <c r="N265" s="174">
        <f t="shared" si="575"/>
        <v>0</v>
      </c>
      <c r="O265" s="298"/>
      <c r="P265" s="317"/>
      <c r="Q265" s="317"/>
      <c r="R265" s="317"/>
      <c r="S265" s="317"/>
      <c r="T265" s="317"/>
      <c r="U265" s="317"/>
      <c r="V265" s="317"/>
      <c r="W265" s="317"/>
      <c r="X265" s="317"/>
      <c r="Y265" s="317"/>
      <c r="Z265" s="317"/>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20"/>
      <c r="BM265" s="311"/>
      <c r="BN265" s="315"/>
    </row>
    <row r="266" s="263" customFormat="1" ht="33.95" hidden="1" customHeight="1" outlineLevel="5" spans="2:66">
      <c r="B266" s="174" t="s">
        <v>799</v>
      </c>
      <c r="C266" s="283" t="s">
        <v>58</v>
      </c>
      <c r="D266" s="263" t="s">
        <v>59</v>
      </c>
      <c r="E266" s="174" t="s">
        <v>1299</v>
      </c>
      <c r="F266" s="174"/>
      <c r="G266" s="174" t="s">
        <v>943</v>
      </c>
      <c r="H266" s="174">
        <f t="shared" si="590"/>
        <v>0</v>
      </c>
      <c r="I266" s="174" t="s">
        <v>1300</v>
      </c>
      <c r="J266" s="298">
        <f>预算主表!P87</f>
        <v>0</v>
      </c>
      <c r="K266" s="174" t="s">
        <v>1276</v>
      </c>
      <c r="L266" s="298">
        <v>1</v>
      </c>
      <c r="M266" s="174" t="s">
        <v>1301</v>
      </c>
      <c r="N266" s="174">
        <f t="shared" si="575"/>
        <v>1</v>
      </c>
      <c r="O266" s="298" t="s">
        <v>1292</v>
      </c>
      <c r="P266" s="298"/>
      <c r="Q266" s="298"/>
      <c r="R266" s="298"/>
      <c r="S266" s="298"/>
      <c r="T266" s="298"/>
      <c r="U266" s="298"/>
      <c r="V266" s="298"/>
      <c r="W266" s="298"/>
      <c r="X266" s="298"/>
      <c r="Y266" s="298"/>
      <c r="Z266" s="298"/>
      <c r="AA266" s="174"/>
      <c r="AB266" s="174">
        <f t="shared" si="576"/>
        <v>0</v>
      </c>
      <c r="AC266" s="174">
        <f t="shared" si="577"/>
        <v>0</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20"/>
      <c r="BM266" s="311"/>
      <c r="BN266" s="315"/>
    </row>
    <row r="267" s="263" customFormat="1" ht="33.95" hidden="1" customHeight="1" outlineLevel="5" spans="2:66">
      <c r="B267" s="174" t="s">
        <v>799</v>
      </c>
      <c r="C267" s="283" t="s">
        <v>60</v>
      </c>
      <c r="D267" s="263" t="s">
        <v>61</v>
      </c>
      <c r="E267" s="174" t="s">
        <v>1302</v>
      </c>
      <c r="F267" s="174"/>
      <c r="G267" s="174" t="s">
        <v>943</v>
      </c>
      <c r="H267" s="174">
        <f t="shared" si="590"/>
        <v>0</v>
      </c>
      <c r="I267" s="174" t="s">
        <v>1303</v>
      </c>
      <c r="J267" s="298"/>
      <c r="K267" s="174" t="s">
        <v>1304</v>
      </c>
      <c r="L267" s="298"/>
      <c r="M267" s="174" t="s">
        <v>1305</v>
      </c>
      <c r="N267" s="174">
        <f t="shared" si="575"/>
        <v>0</v>
      </c>
      <c r="O267" s="298"/>
      <c r="P267" s="298"/>
      <c r="Q267" s="298"/>
      <c r="R267" s="298"/>
      <c r="S267" s="298"/>
      <c r="T267" s="298"/>
      <c r="U267" s="298"/>
      <c r="V267" s="298"/>
      <c r="W267" s="298"/>
      <c r="X267" s="298"/>
      <c r="Y267" s="298"/>
      <c r="Z267" s="298"/>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20"/>
      <c r="BM267" s="311"/>
      <c r="BN267" s="315"/>
    </row>
    <row r="268" s="263" customFormat="1" ht="33.95" hidden="1" customHeight="1" outlineLevel="5" spans="2:66">
      <c r="B268" s="174" t="s">
        <v>799</v>
      </c>
      <c r="C268" s="283" t="s">
        <v>50</v>
      </c>
      <c r="D268" s="263" t="s">
        <v>51</v>
      </c>
      <c r="E268" s="174" t="s">
        <v>1299</v>
      </c>
      <c r="F268" s="174"/>
      <c r="G268" s="174" t="s">
        <v>943</v>
      </c>
      <c r="H268" s="174">
        <f t="shared" si="590"/>
        <v>0</v>
      </c>
      <c r="I268" s="174" t="s">
        <v>1242</v>
      </c>
      <c r="J268" s="298">
        <f>预算主表!P86</f>
        <v>0</v>
      </c>
      <c r="K268" s="174" t="s">
        <v>1276</v>
      </c>
      <c r="L268" s="298">
        <v>1</v>
      </c>
      <c r="M268" s="174" t="s">
        <v>1301</v>
      </c>
      <c r="N268" s="174">
        <f t="shared" si="575"/>
        <v>1</v>
      </c>
      <c r="O268" s="298" t="s">
        <v>1292</v>
      </c>
      <c r="P268" s="298"/>
      <c r="Q268" s="298"/>
      <c r="R268" s="298"/>
      <c r="S268" s="298"/>
      <c r="T268" s="298"/>
      <c r="U268" s="298"/>
      <c r="V268" s="298"/>
      <c r="W268" s="298"/>
      <c r="X268" s="298"/>
      <c r="Y268" s="298"/>
      <c r="Z268" s="298"/>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20"/>
      <c r="BM268" s="311"/>
      <c r="BN268" s="315"/>
    </row>
    <row r="269" s="263" customFormat="1" ht="33.95" hidden="1" customHeight="1" outlineLevel="5" spans="2:66">
      <c r="B269" s="174" t="s">
        <v>799</v>
      </c>
      <c r="C269" s="283" t="s">
        <v>52</v>
      </c>
      <c r="D269" s="263" t="s">
        <v>53</v>
      </c>
      <c r="E269" s="174" t="s">
        <v>1299</v>
      </c>
      <c r="F269" s="174"/>
      <c r="G269" s="174" t="s">
        <v>943</v>
      </c>
      <c r="H269" s="174">
        <f t="shared" si="590"/>
        <v>0</v>
      </c>
      <c r="I269" s="174" t="s">
        <v>1242</v>
      </c>
      <c r="J269" s="298"/>
      <c r="K269" s="174" t="s">
        <v>1276</v>
      </c>
      <c r="L269" s="298"/>
      <c r="M269" s="174" t="s">
        <v>1301</v>
      </c>
      <c r="N269" s="174">
        <f t="shared" si="575"/>
        <v>0</v>
      </c>
      <c r="O269" s="298"/>
      <c r="P269" s="298"/>
      <c r="Q269" s="298"/>
      <c r="R269" s="298"/>
      <c r="S269" s="298"/>
      <c r="T269" s="298"/>
      <c r="U269" s="298"/>
      <c r="V269" s="298"/>
      <c r="W269" s="298"/>
      <c r="X269" s="298"/>
      <c r="Y269" s="298"/>
      <c r="Z269" s="298"/>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20"/>
      <c r="BM269" s="311"/>
      <c r="BN269" s="315"/>
    </row>
    <row r="270" s="263" customFormat="1" ht="33.95" hidden="1" customHeight="1" outlineLevel="5" spans="2:66">
      <c r="B270" s="174" t="s">
        <v>799</v>
      </c>
      <c r="C270" s="283" t="s">
        <v>1306</v>
      </c>
      <c r="D270" s="263" t="s">
        <v>1307</v>
      </c>
      <c r="E270" s="174" t="s">
        <v>1299</v>
      </c>
      <c r="F270" s="174"/>
      <c r="G270" s="174" t="s">
        <v>943</v>
      </c>
      <c r="H270" s="174">
        <f t="shared" si="590"/>
        <v>0</v>
      </c>
      <c r="I270" s="174" t="s">
        <v>1242</v>
      </c>
      <c r="J270" s="298"/>
      <c r="K270" s="174" t="s">
        <v>1276</v>
      </c>
      <c r="L270" s="298"/>
      <c r="M270" s="174" t="s">
        <v>1301</v>
      </c>
      <c r="N270" s="174">
        <f t="shared" si="575"/>
        <v>0</v>
      </c>
      <c r="O270" s="298"/>
      <c r="P270" s="298"/>
      <c r="Q270" s="298"/>
      <c r="R270" s="298"/>
      <c r="S270" s="298"/>
      <c r="T270" s="298"/>
      <c r="U270" s="298"/>
      <c r="V270" s="298"/>
      <c r="W270" s="298"/>
      <c r="X270" s="298"/>
      <c r="Y270" s="298"/>
      <c r="Z270" s="298"/>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20"/>
      <c r="BM270" s="311"/>
      <c r="BN270" s="315"/>
    </row>
    <row r="271" s="263" customFormat="1" ht="33.95" hidden="1" customHeight="1" outlineLevel="5" spans="2:66">
      <c r="B271" s="174" t="s">
        <v>799</v>
      </c>
      <c r="C271" s="283" t="s">
        <v>1308</v>
      </c>
      <c r="D271" s="263" t="s">
        <v>1309</v>
      </c>
      <c r="E271" s="174" t="s">
        <v>1299</v>
      </c>
      <c r="F271" s="174"/>
      <c r="G271" s="174" t="s">
        <v>943</v>
      </c>
      <c r="H271" s="174">
        <f t="shared" si="590"/>
        <v>0</v>
      </c>
      <c r="I271" s="174" t="s">
        <v>1242</v>
      </c>
      <c r="J271" s="298"/>
      <c r="K271" s="174" t="s">
        <v>1276</v>
      </c>
      <c r="L271" s="298"/>
      <c r="M271" s="174" t="s">
        <v>1301</v>
      </c>
      <c r="N271" s="174">
        <f t="shared" si="575"/>
        <v>0</v>
      </c>
      <c r="O271" s="298"/>
      <c r="P271" s="298"/>
      <c r="Q271" s="298"/>
      <c r="R271" s="298"/>
      <c r="S271" s="298"/>
      <c r="T271" s="298"/>
      <c r="U271" s="298"/>
      <c r="V271" s="298"/>
      <c r="W271" s="298"/>
      <c r="X271" s="298"/>
      <c r="Y271" s="298"/>
      <c r="Z271" s="298"/>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20"/>
      <c r="BM271" s="311"/>
      <c r="BN271" s="315"/>
    </row>
    <row r="272" s="263" customFormat="1" ht="33.95" hidden="1" customHeight="1" outlineLevel="5" spans="2:66">
      <c r="B272" s="174" t="s">
        <v>799</v>
      </c>
      <c r="C272" s="283" t="s">
        <v>1310</v>
      </c>
      <c r="D272" s="263" t="s">
        <v>1311</v>
      </c>
      <c r="E272" s="174" t="s">
        <v>1299</v>
      </c>
      <c r="F272" s="174"/>
      <c r="G272" s="174" t="s">
        <v>943</v>
      </c>
      <c r="H272" s="174">
        <f t="shared" si="590"/>
        <v>0</v>
      </c>
      <c r="I272" s="174" t="s">
        <v>1242</v>
      </c>
      <c r="J272" s="298"/>
      <c r="K272" s="174" t="s">
        <v>1276</v>
      </c>
      <c r="L272" s="298"/>
      <c r="M272" s="174" t="s">
        <v>1301</v>
      </c>
      <c r="N272" s="174">
        <f t="shared" si="575"/>
        <v>0</v>
      </c>
      <c r="O272" s="298"/>
      <c r="P272" s="298"/>
      <c r="Q272" s="298"/>
      <c r="R272" s="298"/>
      <c r="S272" s="298"/>
      <c r="T272" s="298"/>
      <c r="U272" s="298"/>
      <c r="V272" s="298"/>
      <c r="W272" s="298"/>
      <c r="X272" s="298"/>
      <c r="Y272" s="298"/>
      <c r="Z272" s="298"/>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20"/>
      <c r="BM272" s="311"/>
      <c r="BN272" s="315"/>
    </row>
    <row r="273" s="117" customFormat="1" ht="33.95" hidden="1" customHeight="1" outlineLevel="4" spans="2:66">
      <c r="B273" s="118" t="s">
        <v>799</v>
      </c>
      <c r="C273" s="119" t="s">
        <v>1312</v>
      </c>
      <c r="D273" s="117" t="s">
        <v>1313</v>
      </c>
      <c r="E273" s="118"/>
      <c r="F273" s="118"/>
      <c r="G273" s="118" t="s">
        <v>943</v>
      </c>
      <c r="H273" s="118">
        <f t="shared" si="590"/>
        <v>0</v>
      </c>
      <c r="I273" s="118" t="s">
        <v>1243</v>
      </c>
      <c r="J273" s="118">
        <v>1</v>
      </c>
      <c r="K273" s="118" t="s">
        <v>1243</v>
      </c>
      <c r="L273" s="298"/>
      <c r="M273" s="118" t="s">
        <v>1235</v>
      </c>
      <c r="N273" s="118">
        <f t="shared" si="575"/>
        <v>0</v>
      </c>
      <c r="O273" s="298"/>
      <c r="P273" s="316"/>
      <c r="Q273" s="316"/>
      <c r="R273" s="316"/>
      <c r="S273" s="316"/>
      <c r="T273" s="316"/>
      <c r="U273" s="316"/>
      <c r="V273" s="316"/>
      <c r="W273" s="316"/>
      <c r="X273" s="316"/>
      <c r="Y273" s="316"/>
      <c r="Z273" s="316"/>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6"/>
      <c r="BM273" s="311"/>
      <c r="BN273" s="314"/>
    </row>
    <row r="274" s="117" customFormat="1" ht="33.95" hidden="1" customHeight="1" outlineLevel="4" collapsed="1" spans="2:66">
      <c r="B274" s="118" t="s">
        <v>794</v>
      </c>
      <c r="C274" s="119" t="s">
        <v>1314</v>
      </c>
      <c r="D274" s="117" t="s">
        <v>1315</v>
      </c>
      <c r="E274" s="118"/>
      <c r="F274" s="118"/>
      <c r="G274" s="118"/>
      <c r="H274" s="118">
        <f>SUM(H275:H282)</f>
        <v>0</v>
      </c>
      <c r="I274" s="118"/>
      <c r="J274" s="118"/>
      <c r="K274" s="118"/>
      <c r="L274" s="118"/>
      <c r="M274" s="118"/>
      <c r="N274" s="118"/>
      <c r="O274" s="118"/>
      <c r="P274" s="289"/>
      <c r="Q274" s="289"/>
      <c r="R274" s="289"/>
      <c r="S274" s="289"/>
      <c r="T274" s="289"/>
      <c r="U274" s="289"/>
      <c r="V274" s="289"/>
      <c r="W274" s="289"/>
      <c r="X274" s="289"/>
      <c r="Y274" s="289"/>
      <c r="Z274" s="289"/>
      <c r="AA274" s="289"/>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6"/>
      <c r="BM274" s="311"/>
      <c r="BN274" s="314"/>
    </row>
    <row r="275" s="263" customFormat="1" ht="33.95" hidden="1" customHeight="1" outlineLevel="5" spans="2:66">
      <c r="B275" s="174" t="s">
        <v>799</v>
      </c>
      <c r="C275" s="283" t="s">
        <v>1316</v>
      </c>
      <c r="D275" s="263" t="s">
        <v>1317</v>
      </c>
      <c r="E275" s="174" t="s">
        <v>1318</v>
      </c>
      <c r="F275" s="174"/>
      <c r="G275" s="174" t="s">
        <v>943</v>
      </c>
      <c r="H275" s="174">
        <f t="shared" ref="H275:H282" si="591">IFERROR(J275*L275*N275,0)</f>
        <v>0</v>
      </c>
      <c r="I275" s="174" t="s">
        <v>1319</v>
      </c>
      <c r="J275" s="298"/>
      <c r="K275" s="174" t="s">
        <v>1033</v>
      </c>
      <c r="L275" s="298"/>
      <c r="M275" s="174" t="s">
        <v>1196</v>
      </c>
      <c r="N275" s="174">
        <f t="shared" ref="N275:N282" si="592">COUNTA(O275:Z275)</f>
        <v>0</v>
      </c>
      <c r="O275" s="298"/>
      <c r="P275" s="317"/>
      <c r="Q275" s="317"/>
      <c r="R275" s="317"/>
      <c r="S275" s="317"/>
      <c r="T275" s="317"/>
      <c r="U275" s="317"/>
      <c r="V275" s="317"/>
      <c r="W275" s="317"/>
      <c r="X275" s="317"/>
      <c r="Y275" s="317"/>
      <c r="Z275" s="317"/>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20"/>
      <c r="BM275" s="311"/>
      <c r="BN275" s="315"/>
    </row>
    <row r="276" s="263" customFormat="1" ht="33.95" hidden="1" customHeight="1" outlineLevel="5" spans="2:66">
      <c r="B276" s="174" t="s">
        <v>799</v>
      </c>
      <c r="C276" s="283" t="s">
        <v>1320</v>
      </c>
      <c r="D276" s="263" t="s">
        <v>1321</v>
      </c>
      <c r="E276" s="174" t="s">
        <v>1322</v>
      </c>
      <c r="F276" s="174"/>
      <c r="G276" s="174" t="s">
        <v>943</v>
      </c>
      <c r="H276" s="174">
        <f t="shared" si="591"/>
        <v>0</v>
      </c>
      <c r="I276" s="174" t="s">
        <v>1319</v>
      </c>
      <c r="J276" s="298"/>
      <c r="K276" s="174" t="s">
        <v>1033</v>
      </c>
      <c r="L276" s="298"/>
      <c r="M276" s="174" t="s">
        <v>1196</v>
      </c>
      <c r="N276" s="174">
        <f t="shared" si="592"/>
        <v>0</v>
      </c>
      <c r="O276" s="298"/>
      <c r="P276" s="298"/>
      <c r="Q276" s="298"/>
      <c r="R276" s="298"/>
      <c r="S276" s="298"/>
      <c r="T276" s="298"/>
      <c r="U276" s="298"/>
      <c r="V276" s="298"/>
      <c r="W276" s="298"/>
      <c r="X276" s="298"/>
      <c r="Y276" s="298"/>
      <c r="Z276" s="298"/>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20"/>
      <c r="BM276" s="311"/>
      <c r="BN276" s="315"/>
    </row>
    <row r="277" s="263" customFormat="1" ht="33.95" hidden="1" customHeight="1" outlineLevel="5" spans="2:66">
      <c r="B277" s="174" t="s">
        <v>799</v>
      </c>
      <c r="C277" s="283" t="s">
        <v>1323</v>
      </c>
      <c r="D277" s="263" t="s">
        <v>1324</v>
      </c>
      <c r="E277" s="174" t="s">
        <v>1325</v>
      </c>
      <c r="F277" s="174"/>
      <c r="G277" s="174" t="s">
        <v>943</v>
      </c>
      <c r="H277" s="174">
        <f t="shared" si="591"/>
        <v>0</v>
      </c>
      <c r="I277" s="174" t="s">
        <v>1319</v>
      </c>
      <c r="J277" s="298"/>
      <c r="K277" s="174" t="s">
        <v>1033</v>
      </c>
      <c r="L277" s="298"/>
      <c r="M277" s="174" t="s">
        <v>1196</v>
      </c>
      <c r="N277" s="174">
        <f t="shared" si="592"/>
        <v>0</v>
      </c>
      <c r="O277" s="298"/>
      <c r="P277" s="298"/>
      <c r="Q277" s="298"/>
      <c r="R277" s="298"/>
      <c r="S277" s="298"/>
      <c r="T277" s="298"/>
      <c r="U277" s="298"/>
      <c r="V277" s="298"/>
      <c r="W277" s="298"/>
      <c r="X277" s="298"/>
      <c r="Y277" s="298"/>
      <c r="Z277" s="298"/>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20"/>
      <c r="BM277" s="311"/>
      <c r="BN277" s="315"/>
    </row>
    <row r="278" s="263" customFormat="1" ht="33.95" hidden="1" customHeight="1" outlineLevel="5" spans="2:66">
      <c r="B278" s="174" t="s">
        <v>799</v>
      </c>
      <c r="C278" s="283" t="s">
        <v>1326</v>
      </c>
      <c r="D278" s="263" t="s">
        <v>1327</v>
      </c>
      <c r="E278" s="174" t="s">
        <v>1328</v>
      </c>
      <c r="F278" s="174"/>
      <c r="G278" s="174" t="s">
        <v>943</v>
      </c>
      <c r="H278" s="174">
        <f t="shared" si="591"/>
        <v>0</v>
      </c>
      <c r="I278" s="174" t="s">
        <v>1319</v>
      </c>
      <c r="J278" s="298"/>
      <c r="K278" s="174" t="s">
        <v>1033</v>
      </c>
      <c r="L278" s="298"/>
      <c r="M278" s="174" t="s">
        <v>1196</v>
      </c>
      <c r="N278" s="174">
        <f t="shared" si="592"/>
        <v>0</v>
      </c>
      <c r="O278" s="298"/>
      <c r="P278" s="298"/>
      <c r="Q278" s="298"/>
      <c r="R278" s="298"/>
      <c r="S278" s="298"/>
      <c r="T278" s="298"/>
      <c r="U278" s="298"/>
      <c r="V278" s="298"/>
      <c r="W278" s="298"/>
      <c r="X278" s="298"/>
      <c r="Y278" s="298"/>
      <c r="Z278" s="298"/>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20"/>
      <c r="BM278" s="311"/>
      <c r="BN278" s="315"/>
    </row>
    <row r="279" s="263" customFormat="1" ht="33.95" hidden="1" customHeight="1" outlineLevel="5" spans="2:66">
      <c r="B279" s="174" t="s">
        <v>799</v>
      </c>
      <c r="C279" s="283" t="s">
        <v>1329</v>
      </c>
      <c r="D279" s="263" t="s">
        <v>1330</v>
      </c>
      <c r="E279" s="174" t="s">
        <v>1331</v>
      </c>
      <c r="F279" s="174"/>
      <c r="G279" s="174" t="s">
        <v>943</v>
      </c>
      <c r="H279" s="174">
        <f t="shared" si="591"/>
        <v>0</v>
      </c>
      <c r="I279" s="174" t="s">
        <v>1319</v>
      </c>
      <c r="J279" s="298"/>
      <c r="K279" s="174" t="s">
        <v>1033</v>
      </c>
      <c r="L279" s="298"/>
      <c r="M279" s="174" t="s">
        <v>1196</v>
      </c>
      <c r="N279" s="174">
        <f t="shared" si="592"/>
        <v>0</v>
      </c>
      <c r="O279" s="298"/>
      <c r="P279" s="298"/>
      <c r="Q279" s="298"/>
      <c r="R279" s="298"/>
      <c r="S279" s="298"/>
      <c r="T279" s="298"/>
      <c r="U279" s="298"/>
      <c r="V279" s="298"/>
      <c r="W279" s="298"/>
      <c r="X279" s="298"/>
      <c r="Y279" s="298"/>
      <c r="Z279" s="298"/>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20"/>
      <c r="BM279" s="311"/>
      <c r="BN279" s="315"/>
    </row>
    <row r="280" s="263" customFormat="1" ht="33.95" hidden="1" customHeight="1" outlineLevel="5" spans="2:66">
      <c r="B280" s="174" t="s">
        <v>799</v>
      </c>
      <c r="C280" s="283" t="s">
        <v>1332</v>
      </c>
      <c r="D280" s="263" t="s">
        <v>1333</v>
      </c>
      <c r="E280" s="174" t="s">
        <v>1334</v>
      </c>
      <c r="F280" s="174"/>
      <c r="G280" s="174" t="s">
        <v>943</v>
      </c>
      <c r="H280" s="174">
        <f t="shared" si="591"/>
        <v>0</v>
      </c>
      <c r="I280" s="174" t="s">
        <v>1319</v>
      </c>
      <c r="J280" s="298"/>
      <c r="K280" s="174" t="s">
        <v>1033</v>
      </c>
      <c r="L280" s="298"/>
      <c r="M280" s="174" t="s">
        <v>1196</v>
      </c>
      <c r="N280" s="174">
        <f t="shared" si="592"/>
        <v>0</v>
      </c>
      <c r="O280" s="298"/>
      <c r="P280" s="298"/>
      <c r="Q280" s="298"/>
      <c r="R280" s="298"/>
      <c r="S280" s="298"/>
      <c r="T280" s="298"/>
      <c r="U280" s="298"/>
      <c r="V280" s="298"/>
      <c r="W280" s="298"/>
      <c r="X280" s="298"/>
      <c r="Y280" s="298"/>
      <c r="Z280" s="298"/>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20"/>
      <c r="BM280" s="311"/>
      <c r="BN280" s="315"/>
    </row>
    <row r="281" s="263" customFormat="1" ht="33.95" hidden="1" customHeight="1" outlineLevel="5" spans="2:66">
      <c r="B281" s="174" t="s">
        <v>799</v>
      </c>
      <c r="C281" s="283" t="s">
        <v>1335</v>
      </c>
      <c r="D281" s="263" t="s">
        <v>1336</v>
      </c>
      <c r="E281" s="174" t="s">
        <v>1337</v>
      </c>
      <c r="F281" s="174"/>
      <c r="G281" s="174" t="s">
        <v>943</v>
      </c>
      <c r="H281" s="174">
        <f t="shared" si="591"/>
        <v>0</v>
      </c>
      <c r="I281" s="174" t="s">
        <v>1319</v>
      </c>
      <c r="J281" s="298"/>
      <c r="K281" s="174" t="s">
        <v>1033</v>
      </c>
      <c r="L281" s="298"/>
      <c r="M281" s="174" t="s">
        <v>1196</v>
      </c>
      <c r="N281" s="174">
        <f t="shared" si="592"/>
        <v>0</v>
      </c>
      <c r="O281" s="298"/>
      <c r="P281" s="298"/>
      <c r="Q281" s="298"/>
      <c r="R281" s="298"/>
      <c r="S281" s="298"/>
      <c r="T281" s="298"/>
      <c r="U281" s="298"/>
      <c r="V281" s="298"/>
      <c r="W281" s="298"/>
      <c r="X281" s="298"/>
      <c r="Y281" s="298"/>
      <c r="Z281" s="298"/>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20"/>
      <c r="BM281" s="311"/>
      <c r="BN281" s="315"/>
    </row>
    <row r="282" s="263" customFormat="1" ht="33.95" hidden="1" customHeight="1" outlineLevel="5" spans="2:66">
      <c r="B282" s="174" t="s">
        <v>799</v>
      </c>
      <c r="C282" s="283" t="s">
        <v>1338</v>
      </c>
      <c r="D282" s="263" t="s">
        <v>1339</v>
      </c>
      <c r="E282" s="174" t="s">
        <v>1340</v>
      </c>
      <c r="F282" s="174"/>
      <c r="G282" s="174" t="s">
        <v>943</v>
      </c>
      <c r="H282" s="174">
        <f t="shared" si="591"/>
        <v>0</v>
      </c>
      <c r="I282" s="174" t="s">
        <v>1319</v>
      </c>
      <c r="J282" s="298"/>
      <c r="K282" s="174" t="s">
        <v>1033</v>
      </c>
      <c r="L282" s="298"/>
      <c r="M282" s="174" t="s">
        <v>1196</v>
      </c>
      <c r="N282" s="174">
        <f t="shared" si="592"/>
        <v>0</v>
      </c>
      <c r="O282" s="298"/>
      <c r="P282" s="316"/>
      <c r="Q282" s="316"/>
      <c r="R282" s="316"/>
      <c r="S282" s="316"/>
      <c r="T282" s="316"/>
      <c r="U282" s="316"/>
      <c r="V282" s="316"/>
      <c r="W282" s="316"/>
      <c r="X282" s="316"/>
      <c r="Y282" s="316"/>
      <c r="Z282" s="316"/>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20"/>
      <c r="BM282" s="311"/>
      <c r="BN282" s="315"/>
    </row>
    <row r="283" s="117" customFormat="1" ht="33.95" hidden="1" customHeight="1" outlineLevel="4" collapsed="1" spans="2:66">
      <c r="B283" s="118" t="s">
        <v>794</v>
      </c>
      <c r="C283" s="119" t="s">
        <v>1341</v>
      </c>
      <c r="D283" s="117" t="s">
        <v>1342</v>
      </c>
      <c r="E283" s="118" t="s">
        <v>1343</v>
      </c>
      <c r="F283" s="118"/>
      <c r="G283" s="118"/>
      <c r="H283" s="118">
        <f>SUM(H284:H286)</f>
        <v>0</v>
      </c>
      <c r="I283" s="118"/>
      <c r="J283" s="118"/>
      <c r="K283" s="118"/>
      <c r="L283" s="118"/>
      <c r="M283" s="118"/>
      <c r="N283" s="118"/>
      <c r="O283" s="118"/>
      <c r="P283" s="289"/>
      <c r="Q283" s="289"/>
      <c r="R283" s="289"/>
      <c r="S283" s="289"/>
      <c r="T283" s="289"/>
      <c r="U283" s="289"/>
      <c r="V283" s="289"/>
      <c r="W283" s="289"/>
      <c r="X283" s="289"/>
      <c r="Y283" s="289"/>
      <c r="Z283" s="289"/>
      <c r="AA283" s="289"/>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6"/>
      <c r="BM283" s="311"/>
      <c r="BN283" s="314"/>
    </row>
    <row r="284" s="263" customFormat="1" ht="33.95" hidden="1" customHeight="1" outlineLevel="5" spans="2:66">
      <c r="B284" s="174" t="s">
        <v>799</v>
      </c>
      <c r="C284" s="283" t="s">
        <v>1344</v>
      </c>
      <c r="D284" s="263" t="s">
        <v>1345</v>
      </c>
      <c r="E284" s="174" t="s">
        <v>1346</v>
      </c>
      <c r="F284" s="174"/>
      <c r="G284" s="174" t="s">
        <v>943</v>
      </c>
      <c r="H284" s="174">
        <f t="shared" ref="H284:H290" si="607">IFERROR(J284*L284*N284,0)</f>
        <v>0</v>
      </c>
      <c r="I284" s="174" t="s">
        <v>1347</v>
      </c>
      <c r="J284" s="298"/>
      <c r="K284" s="174" t="s">
        <v>1348</v>
      </c>
      <c r="L284" s="298"/>
      <c r="M284" s="174" t="s">
        <v>1349</v>
      </c>
      <c r="N284" s="174">
        <f t="shared" ref="N284:N290" si="608">COUNTA(O284:Z284)</f>
        <v>0</v>
      </c>
      <c r="O284" s="298"/>
      <c r="P284" s="317"/>
      <c r="Q284" s="317"/>
      <c r="R284" s="317"/>
      <c r="S284" s="317"/>
      <c r="T284" s="317"/>
      <c r="U284" s="317"/>
      <c r="V284" s="317"/>
      <c r="W284" s="317"/>
      <c r="X284" s="317"/>
      <c r="Y284" s="317"/>
      <c r="Z284" s="317"/>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20"/>
      <c r="BM284" s="311"/>
      <c r="BN284" s="315"/>
    </row>
    <row r="285" s="263" customFormat="1" ht="33.95" hidden="1" customHeight="1" outlineLevel="5" spans="2:66">
      <c r="B285" s="174" t="s">
        <v>799</v>
      </c>
      <c r="C285" s="283" t="s">
        <v>1350</v>
      </c>
      <c r="D285" s="263" t="s">
        <v>1351</v>
      </c>
      <c r="E285" s="174" t="s">
        <v>1352</v>
      </c>
      <c r="F285" s="174"/>
      <c r="G285" s="174" t="s">
        <v>943</v>
      </c>
      <c r="H285" s="174">
        <f t="shared" si="607"/>
        <v>0</v>
      </c>
      <c r="I285" s="174" t="s">
        <v>1347</v>
      </c>
      <c r="J285" s="298"/>
      <c r="K285" s="174" t="s">
        <v>1348</v>
      </c>
      <c r="L285" s="298"/>
      <c r="M285" s="174" t="s">
        <v>1349</v>
      </c>
      <c r="N285" s="174">
        <f t="shared" si="608"/>
        <v>0</v>
      </c>
      <c r="O285" s="298"/>
      <c r="P285" s="298"/>
      <c r="Q285" s="298"/>
      <c r="R285" s="298"/>
      <c r="S285" s="298"/>
      <c r="T285" s="298"/>
      <c r="U285" s="298"/>
      <c r="V285" s="298"/>
      <c r="W285" s="298"/>
      <c r="X285" s="298"/>
      <c r="Y285" s="298"/>
      <c r="Z285" s="298"/>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20"/>
      <c r="BM285" s="311"/>
      <c r="BN285" s="315"/>
    </row>
    <row r="286" s="263" customFormat="1" ht="33.95" hidden="1" customHeight="1" outlineLevel="5" spans="2:66">
      <c r="B286" s="174" t="s">
        <v>799</v>
      </c>
      <c r="C286" s="283" t="s">
        <v>1353</v>
      </c>
      <c r="D286" s="263" t="s">
        <v>1354</v>
      </c>
      <c r="E286" s="174" t="s">
        <v>1355</v>
      </c>
      <c r="F286" s="174"/>
      <c r="G286" s="174" t="s">
        <v>943</v>
      </c>
      <c r="H286" s="174">
        <f t="shared" si="607"/>
        <v>0</v>
      </c>
      <c r="I286" s="174" t="s">
        <v>1347</v>
      </c>
      <c r="J286" s="298"/>
      <c r="K286" s="174" t="s">
        <v>1348</v>
      </c>
      <c r="L286" s="298"/>
      <c r="M286" s="174" t="s">
        <v>1349</v>
      </c>
      <c r="N286" s="174">
        <f t="shared" si="608"/>
        <v>0</v>
      </c>
      <c r="O286" s="298"/>
      <c r="P286" s="298"/>
      <c r="Q286" s="298"/>
      <c r="R286" s="298"/>
      <c r="S286" s="298"/>
      <c r="T286" s="298"/>
      <c r="U286" s="298"/>
      <c r="V286" s="298"/>
      <c r="W286" s="298"/>
      <c r="X286" s="298"/>
      <c r="Y286" s="298"/>
      <c r="Z286" s="298"/>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20"/>
      <c r="BM286" s="311"/>
      <c r="BN286" s="315"/>
    </row>
    <row r="287" s="117" customFormat="1" ht="33.95" hidden="1" customHeight="1" outlineLevel="4" spans="2:66">
      <c r="B287" s="118" t="s">
        <v>799</v>
      </c>
      <c r="C287" s="119" t="s">
        <v>1356</v>
      </c>
      <c r="D287" s="117" t="s">
        <v>1357</v>
      </c>
      <c r="E287" s="118" t="s">
        <v>1358</v>
      </c>
      <c r="F287" s="118"/>
      <c r="G287" s="118" t="s">
        <v>943</v>
      </c>
      <c r="H287" s="118">
        <f t="shared" si="607"/>
        <v>0</v>
      </c>
      <c r="I287" s="118" t="s">
        <v>1243</v>
      </c>
      <c r="J287" s="118">
        <v>1</v>
      </c>
      <c r="K287" s="118" t="s">
        <v>1243</v>
      </c>
      <c r="L287" s="298"/>
      <c r="M287" s="118" t="s">
        <v>1244</v>
      </c>
      <c r="N287" s="118">
        <f t="shared" si="608"/>
        <v>0</v>
      </c>
      <c r="O287" s="298"/>
      <c r="P287" s="298"/>
      <c r="Q287" s="298"/>
      <c r="R287" s="298"/>
      <c r="S287" s="298"/>
      <c r="T287" s="298"/>
      <c r="U287" s="298"/>
      <c r="V287" s="298"/>
      <c r="W287" s="298"/>
      <c r="X287" s="298"/>
      <c r="Y287" s="298"/>
      <c r="Z287" s="298"/>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6"/>
      <c r="BM287" s="311"/>
      <c r="BN287" s="314"/>
    </row>
    <row r="288" s="117" customFormat="1" ht="33.95" hidden="1" customHeight="1" outlineLevel="4" spans="2:66">
      <c r="B288" s="118" t="s">
        <v>799</v>
      </c>
      <c r="C288" s="119" t="s">
        <v>1359</v>
      </c>
      <c r="D288" s="117" t="s">
        <v>1360</v>
      </c>
      <c r="E288" s="118" t="s">
        <v>1361</v>
      </c>
      <c r="F288" s="118"/>
      <c r="G288" s="118" t="s">
        <v>943</v>
      </c>
      <c r="H288" s="118">
        <f t="shared" si="607"/>
        <v>0</v>
      </c>
      <c r="I288" s="118" t="s">
        <v>1362</v>
      </c>
      <c r="J288" s="298"/>
      <c r="K288" s="118" t="s">
        <v>1033</v>
      </c>
      <c r="L288" s="298"/>
      <c r="M288" s="118" t="s">
        <v>1196</v>
      </c>
      <c r="N288" s="118">
        <f t="shared" si="608"/>
        <v>0</v>
      </c>
      <c r="O288" s="298"/>
      <c r="P288" s="298"/>
      <c r="Q288" s="298"/>
      <c r="R288" s="298"/>
      <c r="S288" s="298"/>
      <c r="T288" s="298"/>
      <c r="U288" s="298"/>
      <c r="V288" s="298"/>
      <c r="W288" s="298"/>
      <c r="X288" s="298"/>
      <c r="Y288" s="298"/>
      <c r="Z288" s="298"/>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6"/>
      <c r="BM288" s="311"/>
      <c r="BN288" s="314"/>
    </row>
    <row r="289" s="117" customFormat="1" ht="33.95" hidden="1" customHeight="1" outlineLevel="4" spans="2:66">
      <c r="B289" s="118" t="s">
        <v>799</v>
      </c>
      <c r="C289" s="119" t="s">
        <v>1363</v>
      </c>
      <c r="D289" s="117" t="s">
        <v>1364</v>
      </c>
      <c r="E289" s="118" t="s">
        <v>1365</v>
      </c>
      <c r="F289" s="118"/>
      <c r="G289" s="118" t="s">
        <v>943</v>
      </c>
      <c r="H289" s="118">
        <f t="shared" si="607"/>
        <v>0</v>
      </c>
      <c r="I289" s="118" t="s">
        <v>1366</v>
      </c>
      <c r="J289" s="298"/>
      <c r="K289" s="118" t="s">
        <v>1033</v>
      </c>
      <c r="L289" s="298"/>
      <c r="M289" s="118" t="s">
        <v>1196</v>
      </c>
      <c r="N289" s="118">
        <f t="shared" si="608"/>
        <v>0</v>
      </c>
      <c r="O289" s="298"/>
      <c r="P289" s="298"/>
      <c r="Q289" s="298"/>
      <c r="R289" s="298"/>
      <c r="S289" s="298"/>
      <c r="T289" s="298"/>
      <c r="U289" s="298"/>
      <c r="V289" s="298"/>
      <c r="W289" s="298"/>
      <c r="X289" s="298"/>
      <c r="Y289" s="298"/>
      <c r="Z289" s="298"/>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6"/>
      <c r="BM289" s="311"/>
      <c r="BN289" s="314"/>
    </row>
    <row r="290" s="117" customFormat="1" ht="33.95" hidden="1" customHeight="1" outlineLevel="4" spans="2:66">
      <c r="B290" s="118" t="s">
        <v>799</v>
      </c>
      <c r="C290" s="119" t="s">
        <v>1367</v>
      </c>
      <c r="D290" s="117" t="s">
        <v>1368</v>
      </c>
      <c r="E290" s="118" t="s">
        <v>1369</v>
      </c>
      <c r="F290" s="118"/>
      <c r="G290" s="118" t="s">
        <v>943</v>
      </c>
      <c r="H290" s="118">
        <f t="shared" si="607"/>
        <v>0</v>
      </c>
      <c r="I290" s="118" t="s">
        <v>1370</v>
      </c>
      <c r="J290" s="298"/>
      <c r="K290" s="118" t="s">
        <v>1033</v>
      </c>
      <c r="L290" s="298"/>
      <c r="M290" s="118" t="s">
        <v>1196</v>
      </c>
      <c r="N290" s="118">
        <f t="shared" si="608"/>
        <v>0</v>
      </c>
      <c r="O290" s="298"/>
      <c r="P290" s="316"/>
      <c r="Q290" s="316"/>
      <c r="R290" s="316"/>
      <c r="S290" s="316"/>
      <c r="T290" s="316"/>
      <c r="U290" s="316"/>
      <c r="V290" s="316"/>
      <c r="W290" s="316"/>
      <c r="X290" s="316"/>
      <c r="Y290" s="316"/>
      <c r="Z290" s="316"/>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6"/>
      <c r="BM290" s="311"/>
      <c r="BN290" s="314"/>
    </row>
    <row r="291" s="48" customFormat="1" ht="33.95" hidden="1" customHeight="1" outlineLevel="3" collapsed="1" spans="2:66">
      <c r="B291" s="114" t="s">
        <v>794</v>
      </c>
      <c r="C291" s="115" t="s">
        <v>1371</v>
      </c>
      <c r="D291" s="48" t="s">
        <v>1372</v>
      </c>
      <c r="E291" s="114"/>
      <c r="F291" s="114"/>
      <c r="G291" s="114"/>
      <c r="H291" s="114">
        <f>H292+H293+H294+H299</f>
        <v>4716.98113207547</v>
      </c>
      <c r="I291" s="114"/>
      <c r="J291" s="114"/>
      <c r="K291" s="114"/>
      <c r="L291" s="114"/>
      <c r="M291" s="114"/>
      <c r="N291" s="114"/>
      <c r="O291" s="114"/>
      <c r="P291" s="288"/>
      <c r="Q291" s="288"/>
      <c r="R291" s="288"/>
      <c r="S291" s="288"/>
      <c r="T291" s="288"/>
      <c r="U291" s="288"/>
      <c r="V291" s="288"/>
      <c r="W291" s="288"/>
      <c r="X291" s="288"/>
      <c r="Y291" s="288"/>
      <c r="Z291" s="288"/>
      <c r="AA291" s="288"/>
      <c r="AB291" s="114">
        <f t="shared" ref="AB291:AF291" si="622">AB292+AB293+AB294+AB299</f>
        <v>4716.98113207547</v>
      </c>
      <c r="AC291" s="114">
        <f t="shared" si="622"/>
        <v>4716.98113207547</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5"/>
      <c r="BM291" s="311"/>
      <c r="BN291" s="313"/>
    </row>
    <row r="292" s="117" customFormat="1" ht="33.95" hidden="1" customHeight="1" outlineLevel="4" spans="2:66">
      <c r="B292" s="118" t="s">
        <v>799</v>
      </c>
      <c r="C292" s="119" t="s">
        <v>1373</v>
      </c>
      <c r="D292" s="117" t="s">
        <v>1374</v>
      </c>
      <c r="E292" s="118" t="s">
        <v>1375</v>
      </c>
      <c r="F292" s="118"/>
      <c r="G292" s="118" t="s">
        <v>943</v>
      </c>
      <c r="H292" s="118">
        <f t="shared" ref="H292:H298" si="623">IFERROR(J292*L292*N292,0)</f>
        <v>0</v>
      </c>
      <c r="I292" s="118" t="s">
        <v>1376</v>
      </c>
      <c r="J292" s="298"/>
      <c r="K292" s="118" t="s">
        <v>1377</v>
      </c>
      <c r="L292" s="321">
        <f>0.379248/1000</f>
        <v>0.000379248</v>
      </c>
      <c r="M292" s="118" t="s">
        <v>1378</v>
      </c>
      <c r="N292" s="118">
        <f>COUNTA(O292:Z292)</f>
        <v>0</v>
      </c>
      <c r="O292" s="298"/>
      <c r="P292" s="317"/>
      <c r="Q292" s="317"/>
      <c r="R292" s="317"/>
      <c r="S292" s="317"/>
      <c r="T292" s="317"/>
      <c r="U292" s="317"/>
      <c r="V292" s="317"/>
      <c r="W292" s="317"/>
      <c r="X292" s="317"/>
      <c r="Y292" s="317"/>
      <c r="Z292" s="317"/>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6"/>
      <c r="BM292" s="311"/>
      <c r="BN292" s="314"/>
    </row>
    <row r="293" s="117" customFormat="1" ht="33.95" hidden="1" customHeight="1" outlineLevel="4" spans="2:66">
      <c r="B293" s="118" t="s">
        <v>799</v>
      </c>
      <c r="C293" s="119" t="s">
        <v>1379</v>
      </c>
      <c r="D293" s="117" t="s">
        <v>1380</v>
      </c>
      <c r="E293" s="118" t="s">
        <v>1375</v>
      </c>
      <c r="F293" s="118"/>
      <c r="G293" s="118" t="s">
        <v>943</v>
      </c>
      <c r="H293" s="118">
        <f t="shared" si="623"/>
        <v>4716.98113207547</v>
      </c>
      <c r="I293" s="118" t="s">
        <v>1381</v>
      </c>
      <c r="J293" s="298">
        <f>预算主表!P140/L293</f>
        <v>4.71698113207547</v>
      </c>
      <c r="K293" s="118" t="s">
        <v>1382</v>
      </c>
      <c r="L293" s="118">
        <v>1000</v>
      </c>
      <c r="M293" s="118" t="s">
        <v>1383</v>
      </c>
      <c r="N293" s="118">
        <f>COUNTA(O293:Z293)</f>
        <v>1</v>
      </c>
      <c r="O293" s="298" t="s">
        <v>1292</v>
      </c>
      <c r="P293" s="316"/>
      <c r="Q293" s="316"/>
      <c r="R293" s="316"/>
      <c r="S293" s="316"/>
      <c r="T293" s="316"/>
      <c r="U293" s="316"/>
      <c r="V293" s="316"/>
      <c r="W293" s="316"/>
      <c r="X293" s="316"/>
      <c r="Y293" s="316"/>
      <c r="Z293" s="316"/>
      <c r="AA293" s="118"/>
      <c r="AB293" s="118">
        <f>SUM(AC293,AF293,AI293,AL293,AO293,AR293,AU293,AX293,BA293,BD293,BG293,BJ293)</f>
        <v>4716.98113207547</v>
      </c>
      <c r="AC293" s="118">
        <f>IF(O293="",0,$J293*$L293)</f>
        <v>4716.98113207547</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6"/>
      <c r="BM293" s="311"/>
      <c r="BN293" s="314"/>
    </row>
    <row r="294" s="117" customFormat="1" ht="33.95" hidden="1" customHeight="1" outlineLevel="4" collapsed="1" spans="2:66">
      <c r="B294" s="118" t="s">
        <v>794</v>
      </c>
      <c r="C294" s="119" t="s">
        <v>1384</v>
      </c>
      <c r="D294" s="117" t="s">
        <v>1385</v>
      </c>
      <c r="E294" s="118"/>
      <c r="F294" s="118"/>
      <c r="G294" s="118"/>
      <c r="H294" s="118">
        <f>SUM(H295:H298)</f>
        <v>0</v>
      </c>
      <c r="I294" s="118"/>
      <c r="J294" s="118"/>
      <c r="K294" s="118"/>
      <c r="L294" s="118"/>
      <c r="M294" s="118"/>
      <c r="N294" s="118"/>
      <c r="O294" s="118"/>
      <c r="P294" s="289"/>
      <c r="Q294" s="289"/>
      <c r="R294" s="289"/>
      <c r="S294" s="289"/>
      <c r="T294" s="289"/>
      <c r="U294" s="289"/>
      <c r="V294" s="289"/>
      <c r="W294" s="289"/>
      <c r="X294" s="289"/>
      <c r="Y294" s="289"/>
      <c r="Z294" s="289"/>
      <c r="AA294" s="289"/>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6"/>
      <c r="BM294" s="311"/>
      <c r="BN294" s="314"/>
    </row>
    <row r="295" s="263" customFormat="1" ht="33.95" hidden="1" customHeight="1" outlineLevel="5" spans="2:66">
      <c r="B295" s="174" t="s">
        <v>799</v>
      </c>
      <c r="C295" s="283" t="s">
        <v>1386</v>
      </c>
      <c r="D295" s="263" t="s">
        <v>1387</v>
      </c>
      <c r="E295" s="174"/>
      <c r="F295" s="174"/>
      <c r="G295" s="174" t="s">
        <v>943</v>
      </c>
      <c r="H295" s="174">
        <f t="shared" si="623"/>
        <v>0</v>
      </c>
      <c r="I295" s="174" t="s">
        <v>1242</v>
      </c>
      <c r="J295" s="174">
        <v>1</v>
      </c>
      <c r="K295" s="174" t="s">
        <v>1243</v>
      </c>
      <c r="L295" s="174">
        <f>IF('1-1 项目基础信息'!K9&gt;200000,7500,5000)</f>
        <v>5000</v>
      </c>
      <c r="M295" s="174" t="s">
        <v>1388</v>
      </c>
      <c r="N295" s="174">
        <f>COUNTA(O295:Z295)</f>
        <v>0</v>
      </c>
      <c r="O295" s="298"/>
      <c r="P295" s="317"/>
      <c r="Q295" s="317"/>
      <c r="R295" s="317"/>
      <c r="S295" s="317"/>
      <c r="T295" s="317"/>
      <c r="U295" s="317"/>
      <c r="V295" s="317"/>
      <c r="W295" s="317"/>
      <c r="X295" s="317"/>
      <c r="Y295" s="317"/>
      <c r="Z295" s="317"/>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20"/>
      <c r="BM295" s="311"/>
      <c r="BN295" s="315"/>
    </row>
    <row r="296" s="263" customFormat="1" ht="33.95" hidden="1" customHeight="1" outlineLevel="5" spans="2:66">
      <c r="B296" s="174" t="s">
        <v>799</v>
      </c>
      <c r="C296" s="283" t="s">
        <v>1389</v>
      </c>
      <c r="D296" s="263" t="s">
        <v>1390</v>
      </c>
      <c r="E296" s="174"/>
      <c r="F296" s="174"/>
      <c r="G296" s="174" t="s">
        <v>943</v>
      </c>
      <c r="H296" s="174">
        <f t="shared" si="623"/>
        <v>0</v>
      </c>
      <c r="I296" s="174" t="s">
        <v>1242</v>
      </c>
      <c r="J296" s="174">
        <v>1</v>
      </c>
      <c r="K296" s="174" t="s">
        <v>1243</v>
      </c>
      <c r="L296" s="174">
        <v>750</v>
      </c>
      <c r="M296" s="174" t="s">
        <v>1388</v>
      </c>
      <c r="N296" s="174">
        <f>COUNTA(O296:Z296)</f>
        <v>0</v>
      </c>
      <c r="O296" s="298"/>
      <c r="P296" s="298"/>
      <c r="Q296" s="298"/>
      <c r="R296" s="298"/>
      <c r="S296" s="298"/>
      <c r="T296" s="298"/>
      <c r="U296" s="298"/>
      <c r="V296" s="298"/>
      <c r="W296" s="298"/>
      <c r="X296" s="298"/>
      <c r="Y296" s="298"/>
      <c r="Z296" s="298"/>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20"/>
      <c r="BM296" s="311"/>
      <c r="BN296" s="315"/>
    </row>
    <row r="297" s="263" customFormat="1" ht="33.95" hidden="1" customHeight="1" outlineLevel="5" spans="2:66">
      <c r="B297" s="174" t="s">
        <v>799</v>
      </c>
      <c r="C297" s="283" t="s">
        <v>1391</v>
      </c>
      <c r="D297" s="263" t="s">
        <v>1392</v>
      </c>
      <c r="E297" s="174"/>
      <c r="F297" s="174"/>
      <c r="G297" s="174" t="s">
        <v>943</v>
      </c>
      <c r="H297" s="174">
        <f t="shared" si="623"/>
        <v>0</v>
      </c>
      <c r="I297" s="174" t="s">
        <v>1242</v>
      </c>
      <c r="J297" s="174">
        <v>1</v>
      </c>
      <c r="K297" s="174" t="s">
        <v>1243</v>
      </c>
      <c r="L297" s="174">
        <v>1780</v>
      </c>
      <c r="M297" s="174" t="s">
        <v>1388</v>
      </c>
      <c r="N297" s="174">
        <f>COUNTA(O297:Z297)</f>
        <v>0</v>
      </c>
      <c r="O297" s="298"/>
      <c r="P297" s="298"/>
      <c r="Q297" s="298"/>
      <c r="R297" s="298"/>
      <c r="S297" s="298"/>
      <c r="T297" s="298"/>
      <c r="U297" s="298"/>
      <c r="V297" s="298"/>
      <c r="W297" s="298"/>
      <c r="X297" s="298"/>
      <c r="Y297" s="298"/>
      <c r="Z297" s="298"/>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20"/>
      <c r="BM297" s="311"/>
      <c r="BN297" s="315"/>
    </row>
    <row r="298" s="263" customFormat="1" ht="33.95" hidden="1" customHeight="1" outlineLevel="5" spans="2:66">
      <c r="B298" s="174" t="s">
        <v>799</v>
      </c>
      <c r="C298" s="283" t="s">
        <v>1393</v>
      </c>
      <c r="D298" s="263" t="s">
        <v>1394</v>
      </c>
      <c r="E298" s="174"/>
      <c r="F298" s="174"/>
      <c r="G298" s="174"/>
      <c r="H298" s="174">
        <f t="shared" si="623"/>
        <v>0</v>
      </c>
      <c r="I298" s="174" t="s">
        <v>1395</v>
      </c>
      <c r="J298" s="298"/>
      <c r="K298" s="174" t="s">
        <v>1396</v>
      </c>
      <c r="L298" s="174">
        <v>780</v>
      </c>
      <c r="M298" s="174" t="s">
        <v>1397</v>
      </c>
      <c r="N298" s="174">
        <f>COUNTA(O298:Z298)</f>
        <v>0</v>
      </c>
      <c r="O298" s="298"/>
      <c r="P298" s="316"/>
      <c r="Q298" s="316"/>
      <c r="R298" s="316"/>
      <c r="S298" s="316"/>
      <c r="T298" s="316"/>
      <c r="U298" s="316"/>
      <c r="V298" s="316"/>
      <c r="W298" s="316"/>
      <c r="X298" s="316"/>
      <c r="Y298" s="316"/>
      <c r="Z298" s="316"/>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20"/>
      <c r="BM298" s="311"/>
      <c r="BN298" s="315"/>
    </row>
    <row r="299" s="117" customFormat="1" ht="33.95" hidden="1" customHeight="1" outlineLevel="4" collapsed="1" spans="2:66">
      <c r="B299" s="118" t="s">
        <v>794</v>
      </c>
      <c r="C299" s="119" t="s">
        <v>1398</v>
      </c>
      <c r="D299" s="117" t="s">
        <v>1399</v>
      </c>
      <c r="E299" s="118"/>
      <c r="F299" s="118"/>
      <c r="G299" s="118"/>
      <c r="H299" s="118">
        <f>SUM(H300:H302)</f>
        <v>0</v>
      </c>
      <c r="I299" s="118"/>
      <c r="J299" s="118"/>
      <c r="K299" s="118"/>
      <c r="L299" s="118"/>
      <c r="M299" s="118"/>
      <c r="N299" s="118"/>
      <c r="O299" s="118"/>
      <c r="P299" s="289"/>
      <c r="Q299" s="289"/>
      <c r="R299" s="289"/>
      <c r="S299" s="289"/>
      <c r="T299" s="289"/>
      <c r="U299" s="289"/>
      <c r="V299" s="289"/>
      <c r="W299" s="289"/>
      <c r="X299" s="289"/>
      <c r="Y299" s="289"/>
      <c r="Z299" s="289"/>
      <c r="AA299" s="289"/>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6"/>
      <c r="BM299" s="311"/>
      <c r="BN299" s="314"/>
    </row>
    <row r="300" s="263" customFormat="1" ht="33.95" hidden="1" customHeight="1" outlineLevel="5" spans="2:66">
      <c r="B300" s="174" t="s">
        <v>799</v>
      </c>
      <c r="C300" s="283" t="s">
        <v>1400</v>
      </c>
      <c r="D300" s="263" t="s">
        <v>1401</v>
      </c>
      <c r="E300" s="174"/>
      <c r="F300" s="174"/>
      <c r="G300" s="174" t="s">
        <v>943</v>
      </c>
      <c r="H300" s="174">
        <f t="shared" ref="H300:H302" si="626">IFERROR(J300*L300*N300,0)</f>
        <v>0</v>
      </c>
      <c r="I300" s="174" t="s">
        <v>1381</v>
      </c>
      <c r="J300" s="298"/>
      <c r="K300" s="174" t="s">
        <v>1382</v>
      </c>
      <c r="L300" s="174">
        <v>5000</v>
      </c>
      <c r="M300" s="174" t="s">
        <v>1235</v>
      </c>
      <c r="N300" s="174">
        <f t="shared" ref="N300:N306" si="627">COUNTA(O300:Z300)</f>
        <v>0</v>
      </c>
      <c r="O300" s="298"/>
      <c r="P300" s="317"/>
      <c r="Q300" s="317"/>
      <c r="R300" s="317"/>
      <c r="S300" s="317"/>
      <c r="T300" s="317"/>
      <c r="U300" s="317"/>
      <c r="V300" s="317"/>
      <c r="W300" s="317"/>
      <c r="X300" s="317"/>
      <c r="Y300" s="317"/>
      <c r="Z300" s="317"/>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20"/>
      <c r="BM300" s="311"/>
      <c r="BN300" s="315"/>
    </row>
    <row r="301" s="263" customFormat="1" ht="33.95" hidden="1" customHeight="1" outlineLevel="5" spans="2:66">
      <c r="B301" s="174" t="s">
        <v>799</v>
      </c>
      <c r="C301" s="283" t="s">
        <v>1402</v>
      </c>
      <c r="D301" s="263" t="s">
        <v>1403</v>
      </c>
      <c r="E301" s="174"/>
      <c r="F301" s="174"/>
      <c r="G301" s="174" t="s">
        <v>943</v>
      </c>
      <c r="H301" s="174">
        <f t="shared" si="626"/>
        <v>0</v>
      </c>
      <c r="I301" s="174" t="s">
        <v>1381</v>
      </c>
      <c r="J301" s="298">
        <f>预算主表!P134/(12*L301)</f>
        <v>0</v>
      </c>
      <c r="K301" s="174" t="s">
        <v>1382</v>
      </c>
      <c r="L301" s="174">
        <v>1000</v>
      </c>
      <c r="M301" s="174" t="s">
        <v>1235</v>
      </c>
      <c r="N301" s="174">
        <f t="shared" si="627"/>
        <v>12</v>
      </c>
      <c r="O301" s="298" t="s">
        <v>1292</v>
      </c>
      <c r="P301" s="298" t="s">
        <v>1292</v>
      </c>
      <c r="Q301" s="298" t="s">
        <v>1292</v>
      </c>
      <c r="R301" s="298" t="s">
        <v>1292</v>
      </c>
      <c r="S301" s="298" t="s">
        <v>1292</v>
      </c>
      <c r="T301" s="298" t="s">
        <v>1292</v>
      </c>
      <c r="U301" s="298" t="s">
        <v>1292</v>
      </c>
      <c r="V301" s="298" t="s">
        <v>1292</v>
      </c>
      <c r="W301" s="298" t="s">
        <v>1292</v>
      </c>
      <c r="X301" s="298" t="s">
        <v>1292</v>
      </c>
      <c r="Y301" s="298" t="s">
        <v>1292</v>
      </c>
      <c r="Z301" s="298" t="s">
        <v>1292</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20"/>
      <c r="BM301" s="311"/>
      <c r="BN301" s="315"/>
    </row>
    <row r="302" s="263" customFormat="1" ht="33.95" hidden="1" customHeight="1" outlineLevel="5" spans="2:66">
      <c r="B302" s="174" t="s">
        <v>799</v>
      </c>
      <c r="C302" s="283" t="s">
        <v>1404</v>
      </c>
      <c r="D302" s="263" t="s">
        <v>1405</v>
      </c>
      <c r="E302" s="174"/>
      <c r="F302" s="174"/>
      <c r="G302" s="174" t="s">
        <v>943</v>
      </c>
      <c r="H302" s="174">
        <f t="shared" si="626"/>
        <v>0</v>
      </c>
      <c r="I302" s="174" t="s">
        <v>1406</v>
      </c>
      <c r="J302" s="298"/>
      <c r="K302" s="174" t="s">
        <v>1377</v>
      </c>
      <c r="L302" s="174">
        <v>0.2</v>
      </c>
      <c r="M302" s="174" t="s">
        <v>1378</v>
      </c>
      <c r="N302" s="174">
        <f t="shared" si="627"/>
        <v>0</v>
      </c>
      <c r="O302" s="298"/>
      <c r="P302" s="316"/>
      <c r="Q302" s="316"/>
      <c r="R302" s="316"/>
      <c r="S302" s="316"/>
      <c r="T302" s="316"/>
      <c r="U302" s="316"/>
      <c r="V302" s="316"/>
      <c r="W302" s="316"/>
      <c r="X302" s="316"/>
      <c r="Y302" s="316"/>
      <c r="Z302" s="316"/>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20"/>
      <c r="BM302" s="311"/>
      <c r="BN302" s="315"/>
    </row>
    <row r="303" s="48" customFormat="1" ht="33.95" hidden="1" customHeight="1" outlineLevel="3" collapsed="1" spans="2:66">
      <c r="B303" s="114" t="s">
        <v>794</v>
      </c>
      <c r="C303" s="115" t="s">
        <v>1407</v>
      </c>
      <c r="D303" s="48" t="s">
        <v>1408</v>
      </c>
      <c r="E303" s="114"/>
      <c r="F303" s="114"/>
      <c r="G303" s="114"/>
      <c r="H303" s="114">
        <f>SUM(H304:H306)</f>
        <v>0</v>
      </c>
      <c r="I303" s="114"/>
      <c r="J303" s="114"/>
      <c r="K303" s="114"/>
      <c r="L303" s="114"/>
      <c r="M303" s="114"/>
      <c r="N303" s="114"/>
      <c r="O303" s="114"/>
      <c r="P303" s="288"/>
      <c r="Q303" s="288"/>
      <c r="R303" s="288"/>
      <c r="S303" s="288"/>
      <c r="T303" s="288"/>
      <c r="U303" s="288"/>
      <c r="V303" s="288"/>
      <c r="W303" s="288"/>
      <c r="X303" s="288"/>
      <c r="Y303" s="288"/>
      <c r="Z303" s="288"/>
      <c r="AA303" s="288"/>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5"/>
      <c r="BM303" s="311"/>
      <c r="BN303" s="313"/>
    </row>
    <row r="304" s="117" customFormat="1" ht="33.95" hidden="1" customHeight="1" outlineLevel="4" spans="2:66">
      <c r="B304" s="118" t="s">
        <v>799</v>
      </c>
      <c r="C304" s="119" t="s">
        <v>1409</v>
      </c>
      <c r="D304" s="117" t="s">
        <v>1410</v>
      </c>
      <c r="E304" s="118" t="s">
        <v>1411</v>
      </c>
      <c r="F304" s="118"/>
      <c r="G304" s="118" t="s">
        <v>943</v>
      </c>
      <c r="H304" s="118">
        <f t="shared" ref="H304:H306" si="642">IFERROR(J304*L304*N304,0)</f>
        <v>0</v>
      </c>
      <c r="I304" s="118" t="s">
        <v>1412</v>
      </c>
      <c r="J304" s="298"/>
      <c r="K304" s="118" t="s">
        <v>1377</v>
      </c>
      <c r="L304" s="298"/>
      <c r="M304" s="118" t="s">
        <v>1378</v>
      </c>
      <c r="N304" s="118">
        <f t="shared" si="627"/>
        <v>0</v>
      </c>
      <c r="O304" s="298"/>
      <c r="P304" s="317"/>
      <c r="Q304" s="317"/>
      <c r="R304" s="317"/>
      <c r="S304" s="317"/>
      <c r="T304" s="317"/>
      <c r="U304" s="317"/>
      <c r="V304" s="317"/>
      <c r="W304" s="317"/>
      <c r="X304" s="317"/>
      <c r="Y304" s="317"/>
      <c r="Z304" s="317"/>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6"/>
      <c r="BM304" s="311"/>
      <c r="BN304" s="314"/>
    </row>
    <row r="305" s="117" customFormat="1" ht="33.95" hidden="1" customHeight="1" outlineLevel="4" spans="2:66">
      <c r="B305" s="118" t="s">
        <v>799</v>
      </c>
      <c r="C305" s="119" t="s">
        <v>1413</v>
      </c>
      <c r="D305" s="117" t="s">
        <v>1414</v>
      </c>
      <c r="E305" s="118" t="s">
        <v>1415</v>
      </c>
      <c r="F305" s="118"/>
      <c r="G305" s="118" t="s">
        <v>943</v>
      </c>
      <c r="H305" s="118">
        <f t="shared" si="642"/>
        <v>0</v>
      </c>
      <c r="I305" s="118" t="s">
        <v>1416</v>
      </c>
      <c r="J305" s="298"/>
      <c r="K305" s="118" t="s">
        <v>1396</v>
      </c>
      <c r="L305" s="298"/>
      <c r="M305" s="118" t="s">
        <v>1417</v>
      </c>
      <c r="N305" s="118">
        <f t="shared" si="627"/>
        <v>0</v>
      </c>
      <c r="O305" s="298"/>
      <c r="P305" s="298"/>
      <c r="Q305" s="298"/>
      <c r="R305" s="298"/>
      <c r="S305" s="298"/>
      <c r="T305" s="298"/>
      <c r="U305" s="298"/>
      <c r="V305" s="298"/>
      <c r="W305" s="298"/>
      <c r="X305" s="298"/>
      <c r="Y305" s="298"/>
      <c r="Z305" s="298"/>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6"/>
      <c r="BM305" s="311"/>
      <c r="BN305" s="314"/>
    </row>
    <row r="306" s="117" customFormat="1" ht="33.95" hidden="1" customHeight="1" outlineLevel="4" spans="2:66">
      <c r="B306" s="118" t="s">
        <v>799</v>
      </c>
      <c r="C306" s="119" t="s">
        <v>1418</v>
      </c>
      <c r="D306" s="117" t="s">
        <v>1419</v>
      </c>
      <c r="E306" s="118" t="s">
        <v>1420</v>
      </c>
      <c r="F306" s="118"/>
      <c r="G306" s="118" t="s">
        <v>943</v>
      </c>
      <c r="H306" s="118">
        <f t="shared" si="642"/>
        <v>0</v>
      </c>
      <c r="I306" s="118" t="s">
        <v>1421</v>
      </c>
      <c r="J306" s="118">
        <v>1</v>
      </c>
      <c r="K306" s="118" t="s">
        <v>1243</v>
      </c>
      <c r="L306" s="298"/>
      <c r="M306" s="118" t="s">
        <v>1235</v>
      </c>
      <c r="N306" s="118">
        <f t="shared" si="627"/>
        <v>0</v>
      </c>
      <c r="O306" s="298"/>
      <c r="P306" s="316"/>
      <c r="Q306" s="316"/>
      <c r="R306" s="316"/>
      <c r="S306" s="316"/>
      <c r="T306" s="316"/>
      <c r="U306" s="316"/>
      <c r="V306" s="316"/>
      <c r="W306" s="316"/>
      <c r="X306" s="316"/>
      <c r="Y306" s="316"/>
      <c r="Z306" s="316"/>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6"/>
      <c r="BM306" s="311"/>
      <c r="BN306" s="314"/>
    </row>
    <row r="307" s="48" customFormat="1" ht="33.95" hidden="1" customHeight="1" outlineLevel="3" spans="2:66">
      <c r="B307" s="114" t="s">
        <v>799</v>
      </c>
      <c r="C307" s="115" t="s">
        <v>1422</v>
      </c>
      <c r="D307" s="48" t="s">
        <v>1423</v>
      </c>
      <c r="E307" s="114" t="s">
        <v>1289</v>
      </c>
      <c r="F307" s="114"/>
      <c r="G307" s="114" t="s">
        <v>1424</v>
      </c>
      <c r="H307" s="114">
        <f>AB307</f>
        <v>0</v>
      </c>
      <c r="I307" s="114" t="s">
        <v>1032</v>
      </c>
      <c r="J307" s="114">
        <f>AVERAGE('1-1 项目基础信息'!$H$9:$S$9)</f>
        <v>9008</v>
      </c>
      <c r="K307" s="114" t="s">
        <v>1243</v>
      </c>
      <c r="L307" s="114">
        <f>H307/J307/N307</f>
        <v>0</v>
      </c>
      <c r="M307" s="114" t="s">
        <v>806</v>
      </c>
      <c r="N307" s="114">
        <v>12</v>
      </c>
      <c r="O307" s="114"/>
      <c r="P307" s="288"/>
      <c r="Q307" s="288"/>
      <c r="R307" s="288"/>
      <c r="S307" s="288"/>
      <c r="T307" s="288"/>
      <c r="U307" s="288"/>
      <c r="V307" s="288"/>
      <c r="W307" s="288"/>
      <c r="X307" s="288"/>
      <c r="Y307" s="288"/>
      <c r="Z307" s="288"/>
      <c r="AA307" s="288"/>
      <c r="AB307" s="114">
        <f t="shared" si="628"/>
        <v>0</v>
      </c>
      <c r="AC307" s="298"/>
      <c r="AD307" s="114"/>
      <c r="AE307" s="114"/>
      <c r="AF307" s="298"/>
      <c r="AG307" s="114"/>
      <c r="AH307" s="114"/>
      <c r="AI307" s="298"/>
      <c r="AJ307" s="114"/>
      <c r="AK307" s="114"/>
      <c r="AL307" s="298"/>
      <c r="AM307" s="114"/>
      <c r="AN307" s="114"/>
      <c r="AO307" s="298"/>
      <c r="AP307" s="114"/>
      <c r="AQ307" s="114"/>
      <c r="AR307" s="298"/>
      <c r="AS307" s="114"/>
      <c r="AT307" s="114"/>
      <c r="AU307" s="298"/>
      <c r="AV307" s="114"/>
      <c r="AW307" s="114"/>
      <c r="AX307" s="298"/>
      <c r="AY307" s="114"/>
      <c r="AZ307" s="114"/>
      <c r="BA307" s="298"/>
      <c r="BB307" s="114"/>
      <c r="BC307" s="114"/>
      <c r="BD307" s="298"/>
      <c r="BE307" s="114"/>
      <c r="BF307" s="114"/>
      <c r="BG307" s="298"/>
      <c r="BH307" s="114"/>
      <c r="BI307" s="114"/>
      <c r="BJ307" s="298"/>
      <c r="BK307" s="114"/>
      <c r="BL307" s="305"/>
      <c r="BM307" s="311"/>
      <c r="BN307" s="313"/>
    </row>
    <row r="308" s="29" customFormat="1" ht="33.95" hidden="1" customHeight="1" outlineLevel="2" collapsed="1" spans="2:66">
      <c r="B308" s="111" t="s">
        <v>794</v>
      </c>
      <c r="C308" s="112" t="s">
        <v>222</v>
      </c>
      <c r="D308" s="29" t="s">
        <v>223</v>
      </c>
      <c r="E308" s="111"/>
      <c r="F308" s="111"/>
      <c r="G308" s="111"/>
      <c r="H308" s="111">
        <f>H309+H314+H315+H335+H356+H362+H363+H364+H365+H371+H372+H373+H380</f>
        <v>0</v>
      </c>
      <c r="I308" s="111"/>
      <c r="J308" s="111"/>
      <c r="K308" s="111"/>
      <c r="L308" s="111"/>
      <c r="M308" s="111"/>
      <c r="N308" s="111"/>
      <c r="O308" s="111"/>
      <c r="P308" s="287"/>
      <c r="Q308" s="287"/>
      <c r="R308" s="287"/>
      <c r="S308" s="287"/>
      <c r="T308" s="287"/>
      <c r="U308" s="287"/>
      <c r="V308" s="287"/>
      <c r="W308" s="287"/>
      <c r="X308" s="287"/>
      <c r="Y308" s="287"/>
      <c r="Z308" s="287"/>
      <c r="AA308" s="287"/>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4"/>
      <c r="BM308" s="311"/>
      <c r="BN308" s="312"/>
    </row>
    <row r="309" s="48" customFormat="1" ht="33.95" hidden="1" customHeight="1" outlineLevel="3" collapsed="1" spans="2:66">
      <c r="B309" s="114" t="s">
        <v>794</v>
      </c>
      <c r="C309" s="115" t="s">
        <v>1425</v>
      </c>
      <c r="D309" s="48" t="s">
        <v>1426</v>
      </c>
      <c r="E309" s="114"/>
      <c r="F309" s="114"/>
      <c r="G309" s="114"/>
      <c r="H309" s="114">
        <f>SUM(H310:H313)</f>
        <v>0</v>
      </c>
      <c r="I309" s="114"/>
      <c r="J309" s="114"/>
      <c r="K309" s="114"/>
      <c r="L309" s="114"/>
      <c r="M309" s="114"/>
      <c r="N309" s="114"/>
      <c r="O309" s="114"/>
      <c r="P309" s="288"/>
      <c r="Q309" s="288"/>
      <c r="R309" s="288"/>
      <c r="S309" s="288"/>
      <c r="T309" s="288"/>
      <c r="U309" s="288"/>
      <c r="V309" s="288"/>
      <c r="W309" s="288"/>
      <c r="X309" s="288"/>
      <c r="Y309" s="288"/>
      <c r="Z309" s="288"/>
      <c r="AA309" s="288"/>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5"/>
      <c r="BM309" s="311"/>
      <c r="BN309" s="313"/>
    </row>
    <row r="310" s="117" customFormat="1" ht="33.95" hidden="1" customHeight="1" outlineLevel="4" spans="2:66">
      <c r="B310" s="118" t="s">
        <v>799</v>
      </c>
      <c r="C310" s="119" t="s">
        <v>1427</v>
      </c>
      <c r="D310" s="117" t="s">
        <v>1428</v>
      </c>
      <c r="E310" s="118" t="s">
        <v>1429</v>
      </c>
      <c r="F310" s="118"/>
      <c r="G310" s="118" t="s">
        <v>943</v>
      </c>
      <c r="H310" s="118">
        <f t="shared" ref="H310:H314" si="645">IFERROR(J310*L310*N310,0)</f>
        <v>0</v>
      </c>
      <c r="I310" s="118" t="s">
        <v>1430</v>
      </c>
      <c r="J310" s="298"/>
      <c r="K310" s="118" t="s">
        <v>1150</v>
      </c>
      <c r="L310" s="298"/>
      <c r="M310" s="118" t="s">
        <v>1183</v>
      </c>
      <c r="N310" s="118">
        <f t="shared" ref="N310:N313" si="646">COUNTA(O310:Z310)</f>
        <v>0</v>
      </c>
      <c r="O310" s="298"/>
      <c r="P310" s="317"/>
      <c r="Q310" s="317"/>
      <c r="R310" s="317"/>
      <c r="S310" s="317"/>
      <c r="T310" s="317"/>
      <c r="U310" s="317"/>
      <c r="V310" s="317"/>
      <c r="W310" s="317"/>
      <c r="X310" s="317"/>
      <c r="Y310" s="317"/>
      <c r="Z310" s="317"/>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6"/>
      <c r="BM310" s="311"/>
      <c r="BN310" s="314"/>
    </row>
    <row r="311" s="117" customFormat="1" ht="33.95" hidden="1" customHeight="1" outlineLevel="4" spans="2:66">
      <c r="B311" s="118" t="s">
        <v>799</v>
      </c>
      <c r="C311" s="119" t="s">
        <v>1431</v>
      </c>
      <c r="D311" s="117" t="s">
        <v>1432</v>
      </c>
      <c r="E311" s="118" t="s">
        <v>1433</v>
      </c>
      <c r="F311" s="118"/>
      <c r="G311" s="118" t="s">
        <v>943</v>
      </c>
      <c r="H311" s="118">
        <f t="shared" si="645"/>
        <v>0</v>
      </c>
      <c r="I311" s="118" t="s">
        <v>1430</v>
      </c>
      <c r="J311" s="298"/>
      <c r="K311" s="118" t="s">
        <v>1150</v>
      </c>
      <c r="L311" s="298"/>
      <c r="M311" s="118" t="s">
        <v>1183</v>
      </c>
      <c r="N311" s="118">
        <f t="shared" si="646"/>
        <v>0</v>
      </c>
      <c r="O311" s="298"/>
      <c r="P311" s="298"/>
      <c r="Q311" s="298"/>
      <c r="R311" s="298"/>
      <c r="S311" s="298"/>
      <c r="T311" s="298"/>
      <c r="U311" s="298"/>
      <c r="V311" s="298"/>
      <c r="W311" s="298"/>
      <c r="X311" s="298"/>
      <c r="Y311" s="298"/>
      <c r="Z311" s="298"/>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6"/>
      <c r="BM311" s="311"/>
      <c r="BN311" s="314"/>
    </row>
    <row r="312" s="117" customFormat="1" ht="33.95" hidden="1" customHeight="1" outlineLevel="4" spans="2:66">
      <c r="B312" s="118" t="s">
        <v>799</v>
      </c>
      <c r="C312" s="119" t="s">
        <v>1434</v>
      </c>
      <c r="D312" s="117" t="s">
        <v>1435</v>
      </c>
      <c r="E312" s="118" t="s">
        <v>1436</v>
      </c>
      <c r="F312" s="118"/>
      <c r="G312" s="118" t="s">
        <v>943</v>
      </c>
      <c r="H312" s="118">
        <f t="shared" si="645"/>
        <v>0</v>
      </c>
      <c r="I312" s="118" t="s">
        <v>1430</v>
      </c>
      <c r="J312" s="298"/>
      <c r="K312" s="118" t="s">
        <v>1150</v>
      </c>
      <c r="L312" s="298"/>
      <c r="M312" s="118" t="s">
        <v>1183</v>
      </c>
      <c r="N312" s="118">
        <f t="shared" si="646"/>
        <v>0</v>
      </c>
      <c r="O312" s="298"/>
      <c r="P312" s="298"/>
      <c r="Q312" s="298"/>
      <c r="R312" s="298"/>
      <c r="S312" s="298"/>
      <c r="T312" s="298"/>
      <c r="U312" s="298"/>
      <c r="V312" s="298"/>
      <c r="W312" s="298"/>
      <c r="X312" s="298"/>
      <c r="Y312" s="298"/>
      <c r="Z312" s="298"/>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6"/>
      <c r="BM312" s="311"/>
      <c r="BN312" s="314"/>
    </row>
    <row r="313" s="117" customFormat="1" ht="33.95" hidden="1" customHeight="1" outlineLevel="4" spans="2:66">
      <c r="B313" s="118" t="s">
        <v>799</v>
      </c>
      <c r="C313" s="119" t="s">
        <v>1437</v>
      </c>
      <c r="D313" s="117" t="s">
        <v>1438</v>
      </c>
      <c r="E313" s="118" t="s">
        <v>1439</v>
      </c>
      <c r="F313" s="118"/>
      <c r="G313" s="118" t="s">
        <v>943</v>
      </c>
      <c r="H313" s="118">
        <f t="shared" si="645"/>
        <v>0</v>
      </c>
      <c r="I313" s="118" t="s">
        <v>1430</v>
      </c>
      <c r="J313" s="298"/>
      <c r="K313" s="118" t="s">
        <v>1150</v>
      </c>
      <c r="L313" s="298"/>
      <c r="M313" s="118" t="s">
        <v>1183</v>
      </c>
      <c r="N313" s="118">
        <f t="shared" si="646"/>
        <v>0</v>
      </c>
      <c r="O313" s="298"/>
      <c r="P313" s="316"/>
      <c r="Q313" s="316"/>
      <c r="R313" s="316"/>
      <c r="S313" s="316"/>
      <c r="T313" s="316"/>
      <c r="U313" s="316"/>
      <c r="V313" s="316"/>
      <c r="W313" s="316"/>
      <c r="X313" s="316"/>
      <c r="Y313" s="316"/>
      <c r="Z313" s="316"/>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6"/>
      <c r="BM313" s="311"/>
      <c r="BN313" s="314"/>
    </row>
    <row r="314" s="48" customFormat="1" ht="33.95" hidden="1" customHeight="1" outlineLevel="3" spans="2:66">
      <c r="B314" s="114" t="s">
        <v>799</v>
      </c>
      <c r="C314" s="115" t="s">
        <v>1440</v>
      </c>
      <c r="D314" s="48" t="s">
        <v>1441</v>
      </c>
      <c r="E314" s="114"/>
      <c r="F314" s="114"/>
      <c r="G314" s="114" t="s">
        <v>943</v>
      </c>
      <c r="H314" s="305">
        <f t="shared" si="645"/>
        <v>0</v>
      </c>
      <c r="I314" s="305" t="s">
        <v>1177</v>
      </c>
      <c r="J314" s="305">
        <f>AVERAGE(AD314,AG314,AJ314,AM314,AP314,AS314,AV314,AY314,BB314,BE314,BH314,BK314)</f>
        <v>9008</v>
      </c>
      <c r="K314" s="305" t="s">
        <v>1033</v>
      </c>
      <c r="L314" s="305" t="e">
        <f>AVERAGE(AE314,AH314,AK314,AN314,AQ314,AT314,AW314,AZ314,BC314,BF314,BI314,BL314)</f>
        <v>#DIV/0!</v>
      </c>
      <c r="M314" s="114" t="s">
        <v>806</v>
      </c>
      <c r="N314" s="114">
        <v>12</v>
      </c>
      <c r="O314" s="114"/>
      <c r="P314" s="288"/>
      <c r="Q314" s="288"/>
      <c r="R314" s="288"/>
      <c r="S314" s="288"/>
      <c r="T314" s="288"/>
      <c r="U314" s="288"/>
      <c r="V314" s="288"/>
      <c r="W314" s="288"/>
      <c r="X314" s="288"/>
      <c r="Y314" s="288"/>
      <c r="Z314" s="288"/>
      <c r="AA314" s="288"/>
      <c r="AB314" s="114">
        <f t="shared" si="647"/>
        <v>0</v>
      </c>
      <c r="AC314" s="114">
        <f>AD314*AE314</f>
        <v>0</v>
      </c>
      <c r="AD314" s="114">
        <f>VLOOKUP($I314,'1-1 项目基础信息'!$F:$S,3,FALSE)</f>
        <v>9008</v>
      </c>
      <c r="AE314" s="298"/>
      <c r="AF314" s="114">
        <f>AG314*AH314</f>
        <v>0</v>
      </c>
      <c r="AG314" s="114">
        <f>VLOOKUP($I314,'1-1 项目基础信息'!$F:$S,4,FALSE)</f>
        <v>9008</v>
      </c>
      <c r="AH314" s="298"/>
      <c r="AI314" s="114">
        <f>AJ314*AK314</f>
        <v>0</v>
      </c>
      <c r="AJ314" s="114">
        <f>VLOOKUP($I314,'1-1 项目基础信息'!$F:$S,5,FALSE)</f>
        <v>9008</v>
      </c>
      <c r="AK314" s="298"/>
      <c r="AL314" s="114">
        <f>AM314*AN314</f>
        <v>0</v>
      </c>
      <c r="AM314" s="114">
        <f>VLOOKUP($I314,'1-1 项目基础信息'!$F:$S,6,FALSE)</f>
        <v>9008</v>
      </c>
      <c r="AN314" s="298"/>
      <c r="AO314" s="114">
        <f>AP314*AQ314</f>
        <v>0</v>
      </c>
      <c r="AP314" s="114">
        <f>VLOOKUP($I314,'1-1 项目基础信息'!$F:$S,7,FALSE)</f>
        <v>9008</v>
      </c>
      <c r="AQ314" s="298"/>
      <c r="AR314" s="114">
        <f>AS314*AT314</f>
        <v>0</v>
      </c>
      <c r="AS314" s="114">
        <f>VLOOKUP($I314,'1-1 项目基础信息'!$F:$S,8,FALSE)</f>
        <v>9008</v>
      </c>
      <c r="AT314" s="298"/>
      <c r="AU314" s="114">
        <f>AV314*AW314</f>
        <v>0</v>
      </c>
      <c r="AV314" s="114">
        <f>VLOOKUP($I314,'1-1 项目基础信息'!$F:$S,9,FALSE)</f>
        <v>9008</v>
      </c>
      <c r="AW314" s="298"/>
      <c r="AX314" s="114">
        <f>AY314*AZ314</f>
        <v>0</v>
      </c>
      <c r="AY314" s="114">
        <f>VLOOKUP($I314,'1-1 项目基础信息'!$F:$S,10,FALSE)</f>
        <v>9008</v>
      </c>
      <c r="AZ314" s="298"/>
      <c r="BA314" s="114">
        <f>BB314*BC314</f>
        <v>0</v>
      </c>
      <c r="BB314" s="114">
        <f>VLOOKUP($I314,'1-1 项目基础信息'!$F:$S,11,FALSE)</f>
        <v>9008</v>
      </c>
      <c r="BC314" s="298"/>
      <c r="BD314" s="114">
        <f>BE314*BF314</f>
        <v>0</v>
      </c>
      <c r="BE314" s="114">
        <f>VLOOKUP($I314,'1-1 项目基础信息'!$F:$S,12,FALSE)</f>
        <v>9008</v>
      </c>
      <c r="BF314" s="298"/>
      <c r="BG314" s="114">
        <f>BH314*BI314</f>
        <v>0</v>
      </c>
      <c r="BH314" s="114">
        <f>VLOOKUP($I314,'1-1 项目基础信息'!$F:$S,13,FALSE)</f>
        <v>9008</v>
      </c>
      <c r="BI314" s="298"/>
      <c r="BJ314" s="114">
        <f>BK314*BL314</f>
        <v>0</v>
      </c>
      <c r="BK314" s="114">
        <f>VLOOKUP($I314,'1-1 项目基础信息'!$F:$S,14,FALSE)</f>
        <v>9008</v>
      </c>
      <c r="BL314" s="307"/>
      <c r="BM314" s="311"/>
      <c r="BN314" s="313"/>
    </row>
    <row r="315" s="48" customFormat="1" ht="33.95" hidden="1" customHeight="1" outlineLevel="3" collapsed="1" spans="2:66">
      <c r="B315" s="114" t="s">
        <v>794</v>
      </c>
      <c r="C315" s="115" t="s">
        <v>1442</v>
      </c>
      <c r="D315" s="48" t="s">
        <v>1443</v>
      </c>
      <c r="E315" s="114"/>
      <c r="F315" s="114"/>
      <c r="G315" s="114"/>
      <c r="H315" s="114">
        <f>SUM(H316:H334)</f>
        <v>0</v>
      </c>
      <c r="I315" s="114"/>
      <c r="J315" s="114"/>
      <c r="K315" s="114"/>
      <c r="L315" s="114"/>
      <c r="M315" s="114"/>
      <c r="N315" s="114"/>
      <c r="O315" s="114"/>
      <c r="P315" s="288"/>
      <c r="Q315" s="288"/>
      <c r="R315" s="288"/>
      <c r="S315" s="288"/>
      <c r="T315" s="288"/>
      <c r="U315" s="288"/>
      <c r="V315" s="288"/>
      <c r="W315" s="288"/>
      <c r="X315" s="288"/>
      <c r="Y315" s="288"/>
      <c r="Z315" s="288"/>
      <c r="AA315" s="288"/>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5"/>
      <c r="BM315" s="311"/>
      <c r="BN315" s="313"/>
    </row>
    <row r="316" s="117" customFormat="1" ht="33.95" hidden="1" customHeight="1" outlineLevel="4" spans="2:66">
      <c r="B316" s="118" t="s">
        <v>799</v>
      </c>
      <c r="C316" s="119" t="s">
        <v>1444</v>
      </c>
      <c r="D316" s="117" t="s">
        <v>1445</v>
      </c>
      <c r="E316" s="118" t="s">
        <v>1446</v>
      </c>
      <c r="F316" s="118"/>
      <c r="G316" s="118" t="s">
        <v>943</v>
      </c>
      <c r="H316" s="118">
        <f t="shared" ref="H316:H334" si="661">IFERROR(J316*L316*N316,0)</f>
        <v>0</v>
      </c>
      <c r="I316" s="118" t="s">
        <v>1447</v>
      </c>
      <c r="J316" s="298"/>
      <c r="K316" s="118" t="s">
        <v>1396</v>
      </c>
      <c r="L316" s="298"/>
      <c r="M316" s="118" t="s">
        <v>1448</v>
      </c>
      <c r="N316" s="118">
        <f t="shared" ref="N316:N334" si="662">COUNTA(O316:Z316)</f>
        <v>0</v>
      </c>
      <c r="O316" s="298"/>
      <c r="P316" s="317"/>
      <c r="Q316" s="317"/>
      <c r="R316" s="317"/>
      <c r="S316" s="317"/>
      <c r="T316" s="317"/>
      <c r="U316" s="317"/>
      <c r="V316" s="317"/>
      <c r="W316" s="317"/>
      <c r="X316" s="317"/>
      <c r="Y316" s="317"/>
      <c r="Z316" s="317"/>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6"/>
      <c r="BM316" s="311"/>
      <c r="BN316" s="314"/>
    </row>
    <row r="317" s="117" customFormat="1" ht="33.95" hidden="1" customHeight="1" outlineLevel="4" spans="2:66">
      <c r="B317" s="118" t="s">
        <v>799</v>
      </c>
      <c r="C317" s="119" t="s">
        <v>1449</v>
      </c>
      <c r="D317" s="117" t="s">
        <v>1450</v>
      </c>
      <c r="E317" s="118" t="s">
        <v>1451</v>
      </c>
      <c r="F317" s="118"/>
      <c r="G317" s="118" t="s">
        <v>943</v>
      </c>
      <c r="H317" s="118">
        <f t="shared" si="661"/>
        <v>0</v>
      </c>
      <c r="I317" s="118" t="s">
        <v>1447</v>
      </c>
      <c r="J317" s="298"/>
      <c r="K317" s="118" t="s">
        <v>1396</v>
      </c>
      <c r="L317" s="298"/>
      <c r="M317" s="118" t="s">
        <v>1448</v>
      </c>
      <c r="N317" s="118">
        <f t="shared" si="662"/>
        <v>0</v>
      </c>
      <c r="O317" s="298"/>
      <c r="P317" s="298"/>
      <c r="Q317" s="298"/>
      <c r="R317" s="298"/>
      <c r="S317" s="298"/>
      <c r="T317" s="298"/>
      <c r="U317" s="298"/>
      <c r="V317" s="298"/>
      <c r="W317" s="298"/>
      <c r="X317" s="298"/>
      <c r="Y317" s="298"/>
      <c r="Z317" s="298"/>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6"/>
      <c r="BM317" s="311"/>
      <c r="BN317" s="314"/>
    </row>
    <row r="318" s="117" customFormat="1" ht="33.95" hidden="1" customHeight="1" outlineLevel="4" spans="2:66">
      <c r="B318" s="118" t="s">
        <v>799</v>
      </c>
      <c r="C318" s="119" t="s">
        <v>1452</v>
      </c>
      <c r="D318" s="117" t="s">
        <v>1453</v>
      </c>
      <c r="E318" s="118" t="s">
        <v>1454</v>
      </c>
      <c r="F318" s="118"/>
      <c r="G318" s="118" t="s">
        <v>943</v>
      </c>
      <c r="H318" s="118">
        <f t="shared" si="661"/>
        <v>0</v>
      </c>
      <c r="I318" s="118" t="s">
        <v>1447</v>
      </c>
      <c r="J318" s="298"/>
      <c r="K318" s="118" t="s">
        <v>1396</v>
      </c>
      <c r="L318" s="298"/>
      <c r="M318" s="118" t="s">
        <v>1448</v>
      </c>
      <c r="N318" s="118">
        <f t="shared" si="662"/>
        <v>0</v>
      </c>
      <c r="O318" s="298"/>
      <c r="P318" s="298"/>
      <c r="Q318" s="298"/>
      <c r="R318" s="298"/>
      <c r="S318" s="298"/>
      <c r="T318" s="298"/>
      <c r="U318" s="298"/>
      <c r="V318" s="298"/>
      <c r="W318" s="298"/>
      <c r="X318" s="298"/>
      <c r="Y318" s="298"/>
      <c r="Z318" s="298"/>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6"/>
      <c r="BM318" s="311"/>
      <c r="BN318" s="314"/>
    </row>
    <row r="319" s="117" customFormat="1" ht="33.95" hidden="1" customHeight="1" outlineLevel="4" spans="2:66">
      <c r="B319" s="118" t="s">
        <v>799</v>
      </c>
      <c r="C319" s="119" t="s">
        <v>1455</v>
      </c>
      <c r="D319" s="117" t="s">
        <v>1456</v>
      </c>
      <c r="E319" s="118" t="s">
        <v>1457</v>
      </c>
      <c r="F319" s="118"/>
      <c r="G319" s="118" t="s">
        <v>943</v>
      </c>
      <c r="H319" s="118">
        <f t="shared" si="661"/>
        <v>0</v>
      </c>
      <c r="I319" s="118" t="s">
        <v>1447</v>
      </c>
      <c r="J319" s="298"/>
      <c r="K319" s="118" t="s">
        <v>1396</v>
      </c>
      <c r="L319" s="298"/>
      <c r="M319" s="118" t="s">
        <v>1448</v>
      </c>
      <c r="N319" s="118">
        <f t="shared" si="662"/>
        <v>0</v>
      </c>
      <c r="O319" s="298"/>
      <c r="P319" s="298"/>
      <c r="Q319" s="298"/>
      <c r="R319" s="298"/>
      <c r="S319" s="298"/>
      <c r="T319" s="298"/>
      <c r="U319" s="298"/>
      <c r="V319" s="298"/>
      <c r="W319" s="298"/>
      <c r="X319" s="298"/>
      <c r="Y319" s="298"/>
      <c r="Z319" s="298"/>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6"/>
      <c r="BM319" s="311"/>
      <c r="BN319" s="314"/>
    </row>
    <row r="320" s="117" customFormat="1" ht="33.95" hidden="1" customHeight="1" outlineLevel="4" spans="2:66">
      <c r="B320" s="118" t="s">
        <v>799</v>
      </c>
      <c r="C320" s="119" t="s">
        <v>1458</v>
      </c>
      <c r="D320" s="117" t="s">
        <v>1459</v>
      </c>
      <c r="E320" s="118" t="s">
        <v>1460</v>
      </c>
      <c r="F320" s="118"/>
      <c r="G320" s="118" t="s">
        <v>943</v>
      </c>
      <c r="H320" s="118">
        <f t="shared" si="661"/>
        <v>0</v>
      </c>
      <c r="I320" s="118" t="s">
        <v>1447</v>
      </c>
      <c r="J320" s="298"/>
      <c r="K320" s="118" t="s">
        <v>1396</v>
      </c>
      <c r="L320" s="298"/>
      <c r="M320" s="118" t="s">
        <v>1448</v>
      </c>
      <c r="N320" s="118">
        <f t="shared" si="662"/>
        <v>0</v>
      </c>
      <c r="O320" s="298"/>
      <c r="P320" s="298"/>
      <c r="Q320" s="298"/>
      <c r="R320" s="298"/>
      <c r="S320" s="298"/>
      <c r="T320" s="298"/>
      <c r="U320" s="298"/>
      <c r="V320" s="298"/>
      <c r="W320" s="298"/>
      <c r="X320" s="298"/>
      <c r="Y320" s="298"/>
      <c r="Z320" s="298"/>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6"/>
      <c r="BM320" s="311"/>
      <c r="BN320" s="314"/>
    </row>
    <row r="321" s="117" customFormat="1" ht="33.95" hidden="1" customHeight="1" outlineLevel="4" spans="2:66">
      <c r="B321" s="118" t="s">
        <v>799</v>
      </c>
      <c r="C321" s="119" t="s">
        <v>1461</v>
      </c>
      <c r="D321" s="117" t="s">
        <v>1462</v>
      </c>
      <c r="E321" s="118" t="s">
        <v>1463</v>
      </c>
      <c r="F321" s="118"/>
      <c r="G321" s="118" t="s">
        <v>943</v>
      </c>
      <c r="H321" s="118">
        <f t="shared" si="661"/>
        <v>0</v>
      </c>
      <c r="I321" s="118" t="s">
        <v>1447</v>
      </c>
      <c r="J321" s="298"/>
      <c r="K321" s="118" t="s">
        <v>1396</v>
      </c>
      <c r="L321" s="298"/>
      <c r="M321" s="118" t="s">
        <v>1448</v>
      </c>
      <c r="N321" s="118">
        <f t="shared" si="662"/>
        <v>0</v>
      </c>
      <c r="O321" s="298"/>
      <c r="P321" s="298"/>
      <c r="Q321" s="298"/>
      <c r="R321" s="298"/>
      <c r="S321" s="298"/>
      <c r="T321" s="298"/>
      <c r="U321" s="298"/>
      <c r="V321" s="298"/>
      <c r="W321" s="298"/>
      <c r="X321" s="298"/>
      <c r="Y321" s="298"/>
      <c r="Z321" s="298"/>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6"/>
      <c r="BM321" s="311"/>
      <c r="BN321" s="314"/>
    </row>
    <row r="322" s="117" customFormat="1" ht="33.95" hidden="1" customHeight="1" outlineLevel="4" spans="2:66">
      <c r="B322" s="118" t="s">
        <v>799</v>
      </c>
      <c r="C322" s="119" t="s">
        <v>1464</v>
      </c>
      <c r="D322" s="117" t="s">
        <v>1465</v>
      </c>
      <c r="E322" s="118" t="s">
        <v>1466</v>
      </c>
      <c r="F322" s="118"/>
      <c r="G322" s="118" t="s">
        <v>943</v>
      </c>
      <c r="H322" s="118">
        <f t="shared" si="661"/>
        <v>0</v>
      </c>
      <c r="I322" s="118" t="s">
        <v>1447</v>
      </c>
      <c r="J322" s="298"/>
      <c r="K322" s="118" t="s">
        <v>1396</v>
      </c>
      <c r="L322" s="298"/>
      <c r="M322" s="118" t="s">
        <v>1448</v>
      </c>
      <c r="N322" s="118">
        <f t="shared" si="662"/>
        <v>0</v>
      </c>
      <c r="O322" s="298"/>
      <c r="P322" s="298"/>
      <c r="Q322" s="298"/>
      <c r="R322" s="298"/>
      <c r="S322" s="298"/>
      <c r="T322" s="298"/>
      <c r="U322" s="298"/>
      <c r="V322" s="298"/>
      <c r="W322" s="298"/>
      <c r="X322" s="298"/>
      <c r="Y322" s="298"/>
      <c r="Z322" s="298"/>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6"/>
      <c r="BM322" s="311"/>
      <c r="BN322" s="314"/>
    </row>
    <row r="323" s="117" customFormat="1" ht="33.95" hidden="1" customHeight="1" outlineLevel="4" spans="2:66">
      <c r="B323" s="118" t="s">
        <v>799</v>
      </c>
      <c r="C323" s="119" t="s">
        <v>1467</v>
      </c>
      <c r="D323" s="117" t="s">
        <v>1468</v>
      </c>
      <c r="E323" s="118" t="s">
        <v>1469</v>
      </c>
      <c r="F323" s="118"/>
      <c r="G323" s="118" t="s">
        <v>943</v>
      </c>
      <c r="H323" s="118">
        <f t="shared" si="661"/>
        <v>0</v>
      </c>
      <c r="I323" s="118" t="s">
        <v>1447</v>
      </c>
      <c r="J323" s="298"/>
      <c r="K323" s="118" t="s">
        <v>1396</v>
      </c>
      <c r="L323" s="298"/>
      <c r="M323" s="118" t="s">
        <v>1448</v>
      </c>
      <c r="N323" s="118">
        <f t="shared" si="662"/>
        <v>0</v>
      </c>
      <c r="O323" s="298"/>
      <c r="P323" s="298"/>
      <c r="Q323" s="298"/>
      <c r="R323" s="298"/>
      <c r="S323" s="298"/>
      <c r="T323" s="298"/>
      <c r="U323" s="298"/>
      <c r="V323" s="298"/>
      <c r="W323" s="298"/>
      <c r="X323" s="298"/>
      <c r="Y323" s="298"/>
      <c r="Z323" s="298"/>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6"/>
      <c r="BM323" s="311"/>
      <c r="BN323" s="314"/>
    </row>
    <row r="324" s="117" customFormat="1" ht="33.95" hidden="1" customHeight="1" outlineLevel="4" spans="2:66">
      <c r="B324" s="118" t="s">
        <v>799</v>
      </c>
      <c r="C324" s="119" t="s">
        <v>1470</v>
      </c>
      <c r="D324" s="117" t="s">
        <v>1471</v>
      </c>
      <c r="E324" s="118" t="s">
        <v>1472</v>
      </c>
      <c r="F324" s="118"/>
      <c r="G324" s="118" t="s">
        <v>943</v>
      </c>
      <c r="H324" s="118">
        <f t="shared" si="661"/>
        <v>0</v>
      </c>
      <c r="I324" s="118" t="s">
        <v>1447</v>
      </c>
      <c r="J324" s="298"/>
      <c r="K324" s="118" t="s">
        <v>1396</v>
      </c>
      <c r="L324" s="298"/>
      <c r="M324" s="118" t="s">
        <v>1448</v>
      </c>
      <c r="N324" s="118">
        <f t="shared" si="662"/>
        <v>0</v>
      </c>
      <c r="O324" s="298"/>
      <c r="P324" s="298"/>
      <c r="Q324" s="298"/>
      <c r="R324" s="298"/>
      <c r="S324" s="298"/>
      <c r="T324" s="298"/>
      <c r="U324" s="298"/>
      <c r="V324" s="298"/>
      <c r="W324" s="298"/>
      <c r="X324" s="298"/>
      <c r="Y324" s="298"/>
      <c r="Z324" s="298"/>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6"/>
      <c r="BM324" s="311"/>
      <c r="BN324" s="314"/>
    </row>
    <row r="325" s="117" customFormat="1" ht="33.95" hidden="1" customHeight="1" outlineLevel="4" spans="2:66">
      <c r="B325" s="118" t="s">
        <v>799</v>
      </c>
      <c r="C325" s="119" t="s">
        <v>1473</v>
      </c>
      <c r="D325" s="117" t="s">
        <v>1474</v>
      </c>
      <c r="E325" s="118" t="s">
        <v>1475</v>
      </c>
      <c r="F325" s="118"/>
      <c r="G325" s="118" t="s">
        <v>943</v>
      </c>
      <c r="H325" s="118">
        <f t="shared" si="661"/>
        <v>0</v>
      </c>
      <c r="I325" s="118" t="s">
        <v>1447</v>
      </c>
      <c r="J325" s="298"/>
      <c r="K325" s="118" t="s">
        <v>1396</v>
      </c>
      <c r="L325" s="298"/>
      <c r="M325" s="118" t="s">
        <v>1448</v>
      </c>
      <c r="N325" s="118">
        <f t="shared" si="662"/>
        <v>0</v>
      </c>
      <c r="O325" s="298"/>
      <c r="P325" s="298"/>
      <c r="Q325" s="298"/>
      <c r="R325" s="298"/>
      <c r="S325" s="298"/>
      <c r="T325" s="298"/>
      <c r="U325" s="298"/>
      <c r="V325" s="298"/>
      <c r="W325" s="298"/>
      <c r="X325" s="298"/>
      <c r="Y325" s="298"/>
      <c r="Z325" s="298"/>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6"/>
      <c r="BM325" s="311"/>
      <c r="BN325" s="314"/>
    </row>
    <row r="326" s="117" customFormat="1" ht="33.95" hidden="1" customHeight="1" outlineLevel="4" spans="2:66">
      <c r="B326" s="118" t="s">
        <v>799</v>
      </c>
      <c r="C326" s="119" t="s">
        <v>1476</v>
      </c>
      <c r="D326" s="117" t="s">
        <v>1477</v>
      </c>
      <c r="E326" s="118" t="s">
        <v>1478</v>
      </c>
      <c r="F326" s="118"/>
      <c r="G326" s="118" t="s">
        <v>943</v>
      </c>
      <c r="H326" s="118">
        <f t="shared" si="661"/>
        <v>0</v>
      </c>
      <c r="I326" s="118" t="s">
        <v>1447</v>
      </c>
      <c r="J326" s="298"/>
      <c r="K326" s="118" t="s">
        <v>1396</v>
      </c>
      <c r="L326" s="298"/>
      <c r="M326" s="118" t="s">
        <v>1448</v>
      </c>
      <c r="N326" s="118">
        <f t="shared" si="662"/>
        <v>0</v>
      </c>
      <c r="O326" s="298"/>
      <c r="P326" s="298"/>
      <c r="Q326" s="298"/>
      <c r="R326" s="298"/>
      <c r="S326" s="298"/>
      <c r="T326" s="298"/>
      <c r="U326" s="298"/>
      <c r="V326" s="298"/>
      <c r="W326" s="298"/>
      <c r="X326" s="298"/>
      <c r="Y326" s="298"/>
      <c r="Z326" s="298"/>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6"/>
      <c r="BM326" s="311"/>
      <c r="BN326" s="314"/>
    </row>
    <row r="327" s="117" customFormat="1" ht="33.95" hidden="1" customHeight="1" outlineLevel="4" spans="2:66">
      <c r="B327" s="118" t="s">
        <v>799</v>
      </c>
      <c r="C327" s="119" t="s">
        <v>1479</v>
      </c>
      <c r="D327" s="117" t="s">
        <v>1480</v>
      </c>
      <c r="E327" s="118" t="s">
        <v>1481</v>
      </c>
      <c r="F327" s="118"/>
      <c r="G327" s="118" t="s">
        <v>943</v>
      </c>
      <c r="H327" s="118">
        <f t="shared" si="661"/>
        <v>0</v>
      </c>
      <c r="I327" s="118" t="s">
        <v>1447</v>
      </c>
      <c r="J327" s="298"/>
      <c r="K327" s="118" t="s">
        <v>1396</v>
      </c>
      <c r="L327" s="298"/>
      <c r="M327" s="118" t="s">
        <v>1448</v>
      </c>
      <c r="N327" s="118">
        <f t="shared" si="662"/>
        <v>0</v>
      </c>
      <c r="O327" s="298"/>
      <c r="P327" s="298"/>
      <c r="Q327" s="298"/>
      <c r="R327" s="298"/>
      <c r="S327" s="298"/>
      <c r="T327" s="298"/>
      <c r="U327" s="298"/>
      <c r="V327" s="298"/>
      <c r="W327" s="298"/>
      <c r="X327" s="298"/>
      <c r="Y327" s="298"/>
      <c r="Z327" s="298"/>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6"/>
      <c r="BM327" s="311"/>
      <c r="BN327" s="314"/>
    </row>
    <row r="328" s="117" customFormat="1" ht="33.95" hidden="1" customHeight="1" outlineLevel="4" spans="2:66">
      <c r="B328" s="118" t="s">
        <v>799</v>
      </c>
      <c r="C328" s="119" t="s">
        <v>1482</v>
      </c>
      <c r="D328" s="117" t="s">
        <v>1483</v>
      </c>
      <c r="E328" s="118" t="s">
        <v>1451</v>
      </c>
      <c r="F328" s="118"/>
      <c r="G328" s="118" t="s">
        <v>943</v>
      </c>
      <c r="H328" s="118">
        <f t="shared" si="661"/>
        <v>0</v>
      </c>
      <c r="I328" s="118" t="s">
        <v>1447</v>
      </c>
      <c r="J328" s="298"/>
      <c r="K328" s="118" t="s">
        <v>1396</v>
      </c>
      <c r="L328" s="298"/>
      <c r="M328" s="118" t="s">
        <v>1448</v>
      </c>
      <c r="N328" s="118">
        <f t="shared" si="662"/>
        <v>0</v>
      </c>
      <c r="O328" s="298"/>
      <c r="P328" s="298"/>
      <c r="Q328" s="298"/>
      <c r="R328" s="298"/>
      <c r="S328" s="298"/>
      <c r="T328" s="298"/>
      <c r="U328" s="298"/>
      <c r="V328" s="298"/>
      <c r="W328" s="298"/>
      <c r="X328" s="298"/>
      <c r="Y328" s="298"/>
      <c r="Z328" s="298"/>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6"/>
      <c r="BM328" s="311"/>
      <c r="BN328" s="314"/>
    </row>
    <row r="329" s="117" customFormat="1" ht="33.95" hidden="1" customHeight="1" outlineLevel="4" spans="2:66">
      <c r="B329" s="118" t="s">
        <v>799</v>
      </c>
      <c r="C329" s="119" t="s">
        <v>1484</v>
      </c>
      <c r="D329" s="117" t="s">
        <v>1485</v>
      </c>
      <c r="E329" s="118" t="s">
        <v>1454</v>
      </c>
      <c r="F329" s="118"/>
      <c r="G329" s="118" t="s">
        <v>943</v>
      </c>
      <c r="H329" s="118">
        <f t="shared" si="661"/>
        <v>0</v>
      </c>
      <c r="I329" s="118" t="s">
        <v>1447</v>
      </c>
      <c r="J329" s="298"/>
      <c r="K329" s="118" t="s">
        <v>1396</v>
      </c>
      <c r="L329" s="298"/>
      <c r="M329" s="118" t="s">
        <v>1448</v>
      </c>
      <c r="N329" s="118">
        <f t="shared" si="662"/>
        <v>0</v>
      </c>
      <c r="O329" s="298"/>
      <c r="P329" s="298"/>
      <c r="Q329" s="298"/>
      <c r="R329" s="298"/>
      <c r="S329" s="298"/>
      <c r="T329" s="298"/>
      <c r="U329" s="298"/>
      <c r="V329" s="298"/>
      <c r="W329" s="298"/>
      <c r="X329" s="298"/>
      <c r="Y329" s="298"/>
      <c r="Z329" s="298"/>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6"/>
      <c r="BM329" s="311"/>
      <c r="BN329" s="314"/>
    </row>
    <row r="330" s="117" customFormat="1" ht="33.95" hidden="1" customHeight="1" outlineLevel="4" spans="2:66">
      <c r="B330" s="118" t="s">
        <v>799</v>
      </c>
      <c r="C330" s="119" t="s">
        <v>1486</v>
      </c>
      <c r="D330" s="117" t="s">
        <v>1487</v>
      </c>
      <c r="E330" s="118" t="s">
        <v>1457</v>
      </c>
      <c r="F330" s="118"/>
      <c r="G330" s="118" t="s">
        <v>943</v>
      </c>
      <c r="H330" s="118">
        <f t="shared" si="661"/>
        <v>0</v>
      </c>
      <c r="I330" s="118" t="s">
        <v>1447</v>
      </c>
      <c r="J330" s="298"/>
      <c r="K330" s="118" t="s">
        <v>1396</v>
      </c>
      <c r="L330" s="298"/>
      <c r="M330" s="118" t="s">
        <v>1448</v>
      </c>
      <c r="N330" s="118">
        <f t="shared" si="662"/>
        <v>0</v>
      </c>
      <c r="O330" s="298"/>
      <c r="P330" s="298"/>
      <c r="Q330" s="298"/>
      <c r="R330" s="298"/>
      <c r="S330" s="298"/>
      <c r="T330" s="298"/>
      <c r="U330" s="298"/>
      <c r="V330" s="298"/>
      <c r="W330" s="298"/>
      <c r="X330" s="298"/>
      <c r="Y330" s="298"/>
      <c r="Z330" s="298"/>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6"/>
      <c r="BM330" s="311"/>
      <c r="BN330" s="314"/>
    </row>
    <row r="331" s="117" customFormat="1" ht="33.95" hidden="1" customHeight="1" outlineLevel="4" spans="2:66">
      <c r="B331" s="118" t="s">
        <v>799</v>
      </c>
      <c r="C331" s="119" t="s">
        <v>1488</v>
      </c>
      <c r="D331" s="117" t="s">
        <v>1489</v>
      </c>
      <c r="E331" s="118" t="s">
        <v>1460</v>
      </c>
      <c r="F331" s="118"/>
      <c r="G331" s="118" t="s">
        <v>943</v>
      </c>
      <c r="H331" s="118">
        <f t="shared" si="661"/>
        <v>0</v>
      </c>
      <c r="I331" s="118" t="s">
        <v>1447</v>
      </c>
      <c r="J331" s="298"/>
      <c r="K331" s="118" t="s">
        <v>1396</v>
      </c>
      <c r="L331" s="298"/>
      <c r="M331" s="118" t="s">
        <v>1448</v>
      </c>
      <c r="N331" s="118">
        <f t="shared" si="662"/>
        <v>0</v>
      </c>
      <c r="O331" s="298"/>
      <c r="P331" s="298"/>
      <c r="Q331" s="298"/>
      <c r="R331" s="298"/>
      <c r="S331" s="298"/>
      <c r="T331" s="298"/>
      <c r="U331" s="298"/>
      <c r="V331" s="298"/>
      <c r="W331" s="298"/>
      <c r="X331" s="298"/>
      <c r="Y331" s="298"/>
      <c r="Z331" s="298"/>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6"/>
      <c r="BM331" s="311"/>
      <c r="BN331" s="314"/>
    </row>
    <row r="332" s="117" customFormat="1" ht="33.95" hidden="1" customHeight="1" outlineLevel="4" spans="2:66">
      <c r="B332" s="118" t="s">
        <v>799</v>
      </c>
      <c r="C332" s="119" t="s">
        <v>1490</v>
      </c>
      <c r="D332" s="117" t="s">
        <v>1491</v>
      </c>
      <c r="E332" s="118" t="s">
        <v>1463</v>
      </c>
      <c r="F332" s="118"/>
      <c r="G332" s="118" t="s">
        <v>943</v>
      </c>
      <c r="H332" s="118">
        <f t="shared" si="661"/>
        <v>0</v>
      </c>
      <c r="I332" s="118" t="s">
        <v>1447</v>
      </c>
      <c r="J332" s="298"/>
      <c r="K332" s="118" t="s">
        <v>1396</v>
      </c>
      <c r="L332" s="298"/>
      <c r="M332" s="118" t="s">
        <v>1448</v>
      </c>
      <c r="N332" s="118">
        <f t="shared" si="662"/>
        <v>0</v>
      </c>
      <c r="O332" s="298"/>
      <c r="P332" s="298"/>
      <c r="Q332" s="298"/>
      <c r="R332" s="298"/>
      <c r="S332" s="298"/>
      <c r="T332" s="298"/>
      <c r="U332" s="298"/>
      <c r="V332" s="298"/>
      <c r="W332" s="298"/>
      <c r="X332" s="298"/>
      <c r="Y332" s="298"/>
      <c r="Z332" s="298"/>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6"/>
      <c r="BM332" s="311"/>
      <c r="BN332" s="314"/>
    </row>
    <row r="333" s="117" customFormat="1" ht="33.95" hidden="1" customHeight="1" outlineLevel="4" spans="2:66">
      <c r="B333" s="118" t="s">
        <v>799</v>
      </c>
      <c r="C333" s="119" t="s">
        <v>1492</v>
      </c>
      <c r="D333" s="117" t="s">
        <v>1493</v>
      </c>
      <c r="E333" s="118" t="s">
        <v>1494</v>
      </c>
      <c r="F333" s="118"/>
      <c r="G333" s="118" t="s">
        <v>943</v>
      </c>
      <c r="H333" s="118">
        <f t="shared" si="661"/>
        <v>0</v>
      </c>
      <c r="I333" s="118" t="s">
        <v>1447</v>
      </c>
      <c r="J333" s="298"/>
      <c r="K333" s="118" t="s">
        <v>1396</v>
      </c>
      <c r="L333" s="298"/>
      <c r="M333" s="118" t="s">
        <v>1448</v>
      </c>
      <c r="N333" s="118">
        <f t="shared" si="662"/>
        <v>0</v>
      </c>
      <c r="O333" s="298"/>
      <c r="P333" s="298"/>
      <c r="Q333" s="298"/>
      <c r="R333" s="298"/>
      <c r="S333" s="298"/>
      <c r="T333" s="298"/>
      <c r="U333" s="298"/>
      <c r="V333" s="298"/>
      <c r="W333" s="298"/>
      <c r="X333" s="298"/>
      <c r="Y333" s="298"/>
      <c r="Z333" s="298"/>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6"/>
      <c r="BM333" s="311"/>
      <c r="BN333" s="314"/>
    </row>
    <row r="334" s="117" customFormat="1" ht="33.95" hidden="1" customHeight="1" outlineLevel="4" spans="2:66">
      <c r="B334" s="118" t="s">
        <v>799</v>
      </c>
      <c r="C334" s="119" t="s">
        <v>1495</v>
      </c>
      <c r="D334" s="117" t="s">
        <v>1496</v>
      </c>
      <c r="E334" s="118" t="s">
        <v>1497</v>
      </c>
      <c r="F334" s="118"/>
      <c r="G334" s="118" t="s">
        <v>943</v>
      </c>
      <c r="H334" s="118">
        <f t="shared" si="661"/>
        <v>0</v>
      </c>
      <c r="I334" s="118" t="s">
        <v>1447</v>
      </c>
      <c r="J334" s="298"/>
      <c r="K334" s="118" t="s">
        <v>1396</v>
      </c>
      <c r="L334" s="298"/>
      <c r="M334" s="118" t="s">
        <v>1448</v>
      </c>
      <c r="N334" s="118">
        <f t="shared" si="662"/>
        <v>0</v>
      </c>
      <c r="O334" s="298"/>
      <c r="P334" s="316"/>
      <c r="Q334" s="316"/>
      <c r="R334" s="316"/>
      <c r="S334" s="316"/>
      <c r="T334" s="316"/>
      <c r="U334" s="316"/>
      <c r="V334" s="316"/>
      <c r="W334" s="316"/>
      <c r="X334" s="316"/>
      <c r="Y334" s="316"/>
      <c r="Z334" s="316"/>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6"/>
      <c r="BM334" s="311"/>
      <c r="BN334" s="314"/>
    </row>
    <row r="335" s="48" customFormat="1" ht="33.95" hidden="1" customHeight="1" outlineLevel="3" collapsed="1" spans="2:66">
      <c r="B335" s="114" t="s">
        <v>794</v>
      </c>
      <c r="C335" s="115" t="s">
        <v>1498</v>
      </c>
      <c r="D335" s="48" t="s">
        <v>1499</v>
      </c>
      <c r="E335" s="114"/>
      <c r="F335" s="114"/>
      <c r="G335" s="114"/>
      <c r="H335" s="114">
        <f>SUM(H336:H355)</f>
        <v>0</v>
      </c>
      <c r="I335" s="114"/>
      <c r="J335" s="114"/>
      <c r="K335" s="114"/>
      <c r="L335" s="114"/>
      <c r="M335" s="114"/>
      <c r="N335" s="114"/>
      <c r="O335" s="114"/>
      <c r="P335" s="288"/>
      <c r="Q335" s="288"/>
      <c r="R335" s="288"/>
      <c r="S335" s="288"/>
      <c r="T335" s="288"/>
      <c r="U335" s="288"/>
      <c r="V335" s="288"/>
      <c r="W335" s="288"/>
      <c r="X335" s="288"/>
      <c r="Y335" s="288"/>
      <c r="Z335" s="288"/>
      <c r="AA335" s="288"/>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5"/>
      <c r="BM335" s="311"/>
      <c r="BN335" s="313"/>
    </row>
    <row r="336" s="117" customFormat="1" ht="33.95" hidden="1" customHeight="1" outlineLevel="4" spans="2:66">
      <c r="B336" s="118" t="s">
        <v>799</v>
      </c>
      <c r="C336" s="119" t="s">
        <v>1500</v>
      </c>
      <c r="D336" s="117" t="s">
        <v>1501</v>
      </c>
      <c r="E336" s="118" t="s">
        <v>1502</v>
      </c>
      <c r="F336" s="118"/>
      <c r="G336" s="118" t="s">
        <v>943</v>
      </c>
      <c r="H336" s="118">
        <f t="shared" ref="H336:H355" si="677">IFERROR(J336*L336*N336,0)</f>
        <v>0</v>
      </c>
      <c r="I336" s="118" t="s">
        <v>1242</v>
      </c>
      <c r="J336" s="298"/>
      <c r="K336" s="118" t="s">
        <v>1150</v>
      </c>
      <c r="L336" s="298"/>
      <c r="M336" s="118" t="s">
        <v>1183</v>
      </c>
      <c r="N336" s="118">
        <f t="shared" ref="N336:N355" si="678">COUNTA(O336:Z336)</f>
        <v>0</v>
      </c>
      <c r="O336" s="298"/>
      <c r="P336" s="317"/>
      <c r="Q336" s="317"/>
      <c r="R336" s="317"/>
      <c r="S336" s="317"/>
      <c r="T336" s="317"/>
      <c r="U336" s="317"/>
      <c r="V336" s="317"/>
      <c r="W336" s="317"/>
      <c r="X336" s="317"/>
      <c r="Y336" s="317"/>
      <c r="Z336" s="317"/>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6"/>
      <c r="BM336" s="311"/>
      <c r="BN336" s="314"/>
    </row>
    <row r="337" s="117" customFormat="1" ht="33.95" hidden="1" customHeight="1" outlineLevel="4" spans="2:66">
      <c r="B337" s="118" t="s">
        <v>799</v>
      </c>
      <c r="C337" s="119" t="s">
        <v>1503</v>
      </c>
      <c r="D337" s="117" t="s">
        <v>1504</v>
      </c>
      <c r="E337" s="118" t="s">
        <v>1502</v>
      </c>
      <c r="F337" s="118"/>
      <c r="G337" s="118" t="s">
        <v>943</v>
      </c>
      <c r="H337" s="118">
        <f t="shared" si="677"/>
        <v>0</v>
      </c>
      <c r="I337" s="118" t="s">
        <v>1242</v>
      </c>
      <c r="J337" s="298"/>
      <c r="K337" s="118" t="s">
        <v>1150</v>
      </c>
      <c r="L337" s="298"/>
      <c r="M337" s="118" t="s">
        <v>1183</v>
      </c>
      <c r="N337" s="118">
        <f t="shared" si="678"/>
        <v>0</v>
      </c>
      <c r="O337" s="298"/>
      <c r="P337" s="298"/>
      <c r="Q337" s="298"/>
      <c r="R337" s="298"/>
      <c r="S337" s="298"/>
      <c r="T337" s="298"/>
      <c r="U337" s="298"/>
      <c r="V337" s="298"/>
      <c r="W337" s="298"/>
      <c r="X337" s="298"/>
      <c r="Y337" s="298"/>
      <c r="Z337" s="298"/>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6"/>
      <c r="BM337" s="311"/>
      <c r="BN337" s="314"/>
    </row>
    <row r="338" s="117" customFormat="1" ht="33.95" hidden="1" customHeight="1" outlineLevel="4" spans="2:66">
      <c r="B338" s="118" t="s">
        <v>799</v>
      </c>
      <c r="C338" s="119" t="s">
        <v>1505</v>
      </c>
      <c r="D338" s="117" t="s">
        <v>1506</v>
      </c>
      <c r="E338" s="118" t="s">
        <v>1502</v>
      </c>
      <c r="F338" s="118"/>
      <c r="G338" s="118" t="s">
        <v>943</v>
      </c>
      <c r="H338" s="118">
        <f t="shared" si="677"/>
        <v>0</v>
      </c>
      <c r="I338" s="118" t="s">
        <v>1242</v>
      </c>
      <c r="J338" s="298"/>
      <c r="K338" s="118" t="s">
        <v>1150</v>
      </c>
      <c r="L338" s="298"/>
      <c r="M338" s="118" t="s">
        <v>1183</v>
      </c>
      <c r="N338" s="118">
        <f t="shared" si="678"/>
        <v>0</v>
      </c>
      <c r="O338" s="298"/>
      <c r="P338" s="298"/>
      <c r="Q338" s="298"/>
      <c r="R338" s="298"/>
      <c r="S338" s="298"/>
      <c r="T338" s="298"/>
      <c r="U338" s="298"/>
      <c r="V338" s="298"/>
      <c r="W338" s="298"/>
      <c r="X338" s="298"/>
      <c r="Y338" s="298"/>
      <c r="Z338" s="298"/>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6"/>
      <c r="BM338" s="311"/>
      <c r="BN338" s="314"/>
    </row>
    <row r="339" s="117" customFormat="1" ht="33.95" hidden="1" customHeight="1" outlineLevel="4" spans="2:66">
      <c r="B339" s="118" t="s">
        <v>799</v>
      </c>
      <c r="C339" s="119" t="s">
        <v>1507</v>
      </c>
      <c r="D339" s="117" t="s">
        <v>1508</v>
      </c>
      <c r="E339" s="118" t="s">
        <v>1502</v>
      </c>
      <c r="F339" s="118"/>
      <c r="G339" s="118" t="s">
        <v>943</v>
      </c>
      <c r="H339" s="118">
        <f t="shared" si="677"/>
        <v>0</v>
      </c>
      <c r="I339" s="118" t="s">
        <v>1242</v>
      </c>
      <c r="J339" s="298"/>
      <c r="K339" s="118" t="s">
        <v>1150</v>
      </c>
      <c r="L339" s="298"/>
      <c r="M339" s="118" t="s">
        <v>1183</v>
      </c>
      <c r="N339" s="118">
        <f t="shared" si="678"/>
        <v>0</v>
      </c>
      <c r="O339" s="298"/>
      <c r="P339" s="298"/>
      <c r="Q339" s="298"/>
      <c r="R339" s="298"/>
      <c r="S339" s="298"/>
      <c r="T339" s="298"/>
      <c r="U339" s="298"/>
      <c r="V339" s="298"/>
      <c r="W339" s="298"/>
      <c r="X339" s="298"/>
      <c r="Y339" s="298"/>
      <c r="Z339" s="298"/>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6"/>
      <c r="BM339" s="311"/>
      <c r="BN339" s="314"/>
    </row>
    <row r="340" s="117" customFormat="1" ht="33.95" hidden="1" customHeight="1" outlineLevel="4" spans="2:66">
      <c r="B340" s="118" t="s">
        <v>799</v>
      </c>
      <c r="C340" s="119" t="s">
        <v>1509</v>
      </c>
      <c r="D340" s="117" t="s">
        <v>1510</v>
      </c>
      <c r="E340" s="118" t="s">
        <v>1502</v>
      </c>
      <c r="F340" s="118"/>
      <c r="G340" s="118" t="s">
        <v>943</v>
      </c>
      <c r="H340" s="118">
        <f t="shared" si="677"/>
        <v>0</v>
      </c>
      <c r="I340" s="118" t="s">
        <v>1242</v>
      </c>
      <c r="J340" s="298"/>
      <c r="K340" s="118" t="s">
        <v>1150</v>
      </c>
      <c r="L340" s="298"/>
      <c r="M340" s="118" t="s">
        <v>1183</v>
      </c>
      <c r="N340" s="118">
        <f t="shared" si="678"/>
        <v>0</v>
      </c>
      <c r="O340" s="298"/>
      <c r="P340" s="298"/>
      <c r="Q340" s="298"/>
      <c r="R340" s="298"/>
      <c r="S340" s="298"/>
      <c r="T340" s="298"/>
      <c r="U340" s="298"/>
      <c r="V340" s="298"/>
      <c r="W340" s="298"/>
      <c r="X340" s="298"/>
      <c r="Y340" s="298"/>
      <c r="Z340" s="298"/>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6"/>
      <c r="BM340" s="311"/>
      <c r="BN340" s="314"/>
    </row>
    <row r="341" s="117" customFormat="1" ht="33.95" hidden="1" customHeight="1" outlineLevel="4" spans="2:66">
      <c r="B341" s="118" t="s">
        <v>799</v>
      </c>
      <c r="C341" s="119" t="s">
        <v>1511</v>
      </c>
      <c r="D341" s="117" t="s">
        <v>1512</v>
      </c>
      <c r="E341" s="118" t="s">
        <v>1502</v>
      </c>
      <c r="F341" s="118"/>
      <c r="G341" s="118" t="s">
        <v>943</v>
      </c>
      <c r="H341" s="118">
        <f t="shared" si="677"/>
        <v>0</v>
      </c>
      <c r="I341" s="118" t="s">
        <v>1242</v>
      </c>
      <c r="J341" s="298"/>
      <c r="K341" s="118" t="s">
        <v>1150</v>
      </c>
      <c r="L341" s="298"/>
      <c r="M341" s="118" t="s">
        <v>1183</v>
      </c>
      <c r="N341" s="118">
        <f t="shared" si="678"/>
        <v>0</v>
      </c>
      <c r="O341" s="298"/>
      <c r="P341" s="298"/>
      <c r="Q341" s="298"/>
      <c r="R341" s="298"/>
      <c r="S341" s="298"/>
      <c r="T341" s="298"/>
      <c r="U341" s="298"/>
      <c r="V341" s="298"/>
      <c r="W341" s="298"/>
      <c r="X341" s="298"/>
      <c r="Y341" s="298"/>
      <c r="Z341" s="298"/>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6"/>
      <c r="BM341" s="311"/>
      <c r="BN341" s="314"/>
    </row>
    <row r="342" s="117" customFormat="1" ht="33.95" hidden="1" customHeight="1" outlineLevel="4" spans="2:66">
      <c r="B342" s="118" t="s">
        <v>799</v>
      </c>
      <c r="C342" s="119" t="s">
        <v>1513</v>
      </c>
      <c r="D342" s="117" t="s">
        <v>1514</v>
      </c>
      <c r="E342" s="118" t="s">
        <v>1515</v>
      </c>
      <c r="F342" s="118"/>
      <c r="G342" s="118" t="s">
        <v>943</v>
      </c>
      <c r="H342" s="118">
        <f t="shared" si="677"/>
        <v>0</v>
      </c>
      <c r="I342" s="118" t="s">
        <v>1242</v>
      </c>
      <c r="J342" s="298"/>
      <c r="K342" s="118" t="s">
        <v>1150</v>
      </c>
      <c r="L342" s="298"/>
      <c r="M342" s="118" t="s">
        <v>1183</v>
      </c>
      <c r="N342" s="118">
        <f t="shared" si="678"/>
        <v>0</v>
      </c>
      <c r="O342" s="298"/>
      <c r="P342" s="298"/>
      <c r="Q342" s="298"/>
      <c r="R342" s="298"/>
      <c r="S342" s="298"/>
      <c r="T342" s="298"/>
      <c r="U342" s="298"/>
      <c r="V342" s="298"/>
      <c r="W342" s="298"/>
      <c r="X342" s="298"/>
      <c r="Y342" s="298"/>
      <c r="Z342" s="298"/>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6"/>
      <c r="BM342" s="311"/>
      <c r="BN342" s="314"/>
    </row>
    <row r="343" s="117" customFormat="1" ht="33.95" hidden="1" customHeight="1" outlineLevel="4" spans="2:66">
      <c r="B343" s="118" t="s">
        <v>799</v>
      </c>
      <c r="C343" s="119" t="s">
        <v>1516</v>
      </c>
      <c r="D343" s="117" t="s">
        <v>1517</v>
      </c>
      <c r="E343" s="118" t="s">
        <v>1515</v>
      </c>
      <c r="F343" s="118"/>
      <c r="G343" s="118" t="s">
        <v>943</v>
      </c>
      <c r="H343" s="118">
        <f t="shared" si="677"/>
        <v>0</v>
      </c>
      <c r="I343" s="118" t="s">
        <v>1242</v>
      </c>
      <c r="J343" s="298"/>
      <c r="K343" s="118" t="s">
        <v>1150</v>
      </c>
      <c r="L343" s="298"/>
      <c r="M343" s="118" t="s">
        <v>1183</v>
      </c>
      <c r="N343" s="118">
        <f t="shared" si="678"/>
        <v>0</v>
      </c>
      <c r="O343" s="298"/>
      <c r="P343" s="298"/>
      <c r="Q343" s="298"/>
      <c r="R343" s="298"/>
      <c r="S343" s="298"/>
      <c r="T343" s="298"/>
      <c r="U343" s="298"/>
      <c r="V343" s="298"/>
      <c r="W343" s="298"/>
      <c r="X343" s="298"/>
      <c r="Y343" s="298"/>
      <c r="Z343" s="298"/>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6"/>
      <c r="BM343" s="311"/>
      <c r="BN343" s="314"/>
    </row>
    <row r="344" s="117" customFormat="1" ht="33.95" hidden="1" customHeight="1" outlineLevel="4" spans="2:66">
      <c r="B344" s="118" t="s">
        <v>799</v>
      </c>
      <c r="C344" s="119" t="s">
        <v>1518</v>
      </c>
      <c r="D344" s="117" t="s">
        <v>1519</v>
      </c>
      <c r="E344" s="118" t="s">
        <v>1520</v>
      </c>
      <c r="F344" s="118"/>
      <c r="G344" s="118" t="s">
        <v>943</v>
      </c>
      <c r="H344" s="118">
        <f t="shared" si="677"/>
        <v>0</v>
      </c>
      <c r="I344" s="118" t="s">
        <v>1242</v>
      </c>
      <c r="J344" s="298"/>
      <c r="K344" s="118" t="s">
        <v>1150</v>
      </c>
      <c r="L344" s="298"/>
      <c r="M344" s="118" t="s">
        <v>1183</v>
      </c>
      <c r="N344" s="118">
        <f t="shared" si="678"/>
        <v>0</v>
      </c>
      <c r="O344" s="298"/>
      <c r="P344" s="298"/>
      <c r="Q344" s="298"/>
      <c r="R344" s="298"/>
      <c r="S344" s="298"/>
      <c r="T344" s="298"/>
      <c r="U344" s="298"/>
      <c r="V344" s="298"/>
      <c r="W344" s="298"/>
      <c r="X344" s="298"/>
      <c r="Y344" s="298"/>
      <c r="Z344" s="298"/>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6"/>
      <c r="BM344" s="311"/>
      <c r="BN344" s="314"/>
    </row>
    <row r="345" s="117" customFormat="1" ht="33.95" hidden="1" customHeight="1" outlineLevel="4" spans="2:66">
      <c r="B345" s="118" t="s">
        <v>799</v>
      </c>
      <c r="C345" s="119" t="s">
        <v>1521</v>
      </c>
      <c r="D345" s="117" t="s">
        <v>1522</v>
      </c>
      <c r="E345" s="118" t="s">
        <v>1523</v>
      </c>
      <c r="F345" s="118"/>
      <c r="G345" s="118" t="s">
        <v>943</v>
      </c>
      <c r="H345" s="118">
        <f t="shared" si="677"/>
        <v>0</v>
      </c>
      <c r="I345" s="118" t="s">
        <v>1242</v>
      </c>
      <c r="J345" s="298"/>
      <c r="K345" s="118" t="s">
        <v>1150</v>
      </c>
      <c r="L345" s="298"/>
      <c r="M345" s="118" t="s">
        <v>1183</v>
      </c>
      <c r="N345" s="118">
        <f t="shared" si="678"/>
        <v>0</v>
      </c>
      <c r="O345" s="298"/>
      <c r="P345" s="298"/>
      <c r="Q345" s="298"/>
      <c r="R345" s="298"/>
      <c r="S345" s="298"/>
      <c r="T345" s="298"/>
      <c r="U345" s="298"/>
      <c r="V345" s="298"/>
      <c r="W345" s="298"/>
      <c r="X345" s="298"/>
      <c r="Y345" s="298"/>
      <c r="Z345" s="298"/>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6"/>
      <c r="BM345" s="311"/>
      <c r="BN345" s="314"/>
    </row>
    <row r="346" s="117" customFormat="1" ht="33.95" hidden="1" customHeight="1" outlineLevel="4" spans="2:66">
      <c r="B346" s="118" t="s">
        <v>799</v>
      </c>
      <c r="C346" s="119" t="s">
        <v>1524</v>
      </c>
      <c r="D346" s="117" t="s">
        <v>1525</v>
      </c>
      <c r="E346" s="118" t="s">
        <v>1526</v>
      </c>
      <c r="F346" s="118"/>
      <c r="G346" s="118" t="s">
        <v>943</v>
      </c>
      <c r="H346" s="118">
        <f t="shared" si="677"/>
        <v>0</v>
      </c>
      <c r="I346" s="118" t="s">
        <v>1242</v>
      </c>
      <c r="J346" s="298"/>
      <c r="K346" s="118" t="s">
        <v>1150</v>
      </c>
      <c r="L346" s="298"/>
      <c r="M346" s="118" t="s">
        <v>1183</v>
      </c>
      <c r="N346" s="118">
        <f t="shared" si="678"/>
        <v>0</v>
      </c>
      <c r="O346" s="298"/>
      <c r="P346" s="298"/>
      <c r="Q346" s="298"/>
      <c r="R346" s="298"/>
      <c r="S346" s="298"/>
      <c r="T346" s="298"/>
      <c r="U346" s="298"/>
      <c r="V346" s="298"/>
      <c r="W346" s="298"/>
      <c r="X346" s="298"/>
      <c r="Y346" s="298"/>
      <c r="Z346" s="298"/>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6"/>
      <c r="BM346" s="311"/>
      <c r="BN346" s="314"/>
    </row>
    <row r="347" s="117" customFormat="1" ht="33.95" hidden="1" customHeight="1" outlineLevel="4" spans="2:66">
      <c r="B347" s="118" t="s">
        <v>799</v>
      </c>
      <c r="C347" s="119" t="s">
        <v>1527</v>
      </c>
      <c r="D347" s="117" t="s">
        <v>1528</v>
      </c>
      <c r="E347" s="118" t="s">
        <v>1529</v>
      </c>
      <c r="F347" s="118"/>
      <c r="G347" s="118" t="s">
        <v>943</v>
      </c>
      <c r="H347" s="118">
        <f t="shared" si="677"/>
        <v>0</v>
      </c>
      <c r="I347" s="118" t="s">
        <v>1242</v>
      </c>
      <c r="J347" s="298"/>
      <c r="K347" s="118" t="s">
        <v>1150</v>
      </c>
      <c r="L347" s="298"/>
      <c r="M347" s="118" t="s">
        <v>1183</v>
      </c>
      <c r="N347" s="118">
        <f t="shared" si="678"/>
        <v>0</v>
      </c>
      <c r="O347" s="298"/>
      <c r="P347" s="298"/>
      <c r="Q347" s="298"/>
      <c r="R347" s="298"/>
      <c r="S347" s="298"/>
      <c r="T347" s="298"/>
      <c r="U347" s="298"/>
      <c r="V347" s="298"/>
      <c r="W347" s="298"/>
      <c r="X347" s="298"/>
      <c r="Y347" s="298"/>
      <c r="Z347" s="298"/>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6"/>
      <c r="BM347" s="311"/>
      <c r="BN347" s="314"/>
    </row>
    <row r="348" s="117" customFormat="1" ht="33.95" hidden="1" customHeight="1" outlineLevel="4" spans="2:66">
      <c r="B348" s="118" t="s">
        <v>799</v>
      </c>
      <c r="C348" s="119" t="s">
        <v>1530</v>
      </c>
      <c r="D348" s="117" t="s">
        <v>1531</v>
      </c>
      <c r="E348" s="118" t="s">
        <v>1532</v>
      </c>
      <c r="F348" s="118"/>
      <c r="G348" s="118" t="s">
        <v>943</v>
      </c>
      <c r="H348" s="118">
        <f t="shared" si="677"/>
        <v>0</v>
      </c>
      <c r="I348" s="118" t="s">
        <v>1242</v>
      </c>
      <c r="J348" s="298"/>
      <c r="K348" s="118" t="s">
        <v>1150</v>
      </c>
      <c r="L348" s="298"/>
      <c r="M348" s="118" t="s">
        <v>1183</v>
      </c>
      <c r="N348" s="118">
        <f t="shared" si="678"/>
        <v>0</v>
      </c>
      <c r="O348" s="298"/>
      <c r="P348" s="298"/>
      <c r="Q348" s="298"/>
      <c r="R348" s="298"/>
      <c r="S348" s="298"/>
      <c r="T348" s="298"/>
      <c r="U348" s="298"/>
      <c r="V348" s="298"/>
      <c r="W348" s="298"/>
      <c r="X348" s="298"/>
      <c r="Y348" s="298"/>
      <c r="Z348" s="298"/>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6"/>
      <c r="BM348" s="311"/>
      <c r="BN348" s="314"/>
    </row>
    <row r="349" s="117" customFormat="1" ht="33.95" hidden="1" customHeight="1" outlineLevel="4" spans="2:66">
      <c r="B349" s="118" t="s">
        <v>799</v>
      </c>
      <c r="C349" s="119" t="s">
        <v>1533</v>
      </c>
      <c r="D349" s="117" t="s">
        <v>1534</v>
      </c>
      <c r="E349" s="118" t="s">
        <v>1535</v>
      </c>
      <c r="F349" s="118"/>
      <c r="G349" s="118" t="s">
        <v>943</v>
      </c>
      <c r="H349" s="118">
        <f t="shared" si="677"/>
        <v>0</v>
      </c>
      <c r="I349" s="118" t="s">
        <v>1536</v>
      </c>
      <c r="J349" s="118">
        <v>1</v>
      </c>
      <c r="K349" s="118" t="s">
        <v>1243</v>
      </c>
      <c r="L349" s="298"/>
      <c r="M349" s="118" t="s">
        <v>1537</v>
      </c>
      <c r="N349" s="118">
        <f t="shared" si="678"/>
        <v>0</v>
      </c>
      <c r="O349" s="298"/>
      <c r="P349" s="298"/>
      <c r="Q349" s="298"/>
      <c r="R349" s="298"/>
      <c r="S349" s="298"/>
      <c r="T349" s="298"/>
      <c r="U349" s="298"/>
      <c r="V349" s="298"/>
      <c r="W349" s="298"/>
      <c r="X349" s="298"/>
      <c r="Y349" s="298"/>
      <c r="Z349" s="298"/>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6"/>
      <c r="BM349" s="311"/>
      <c r="BN349" s="314"/>
    </row>
    <row r="350" s="117" customFormat="1" ht="33.95" hidden="1" customHeight="1" outlineLevel="4" spans="2:66">
      <c r="B350" s="118" t="s">
        <v>799</v>
      </c>
      <c r="C350" s="119" t="s">
        <v>1538</v>
      </c>
      <c r="D350" s="117" t="s">
        <v>1539</v>
      </c>
      <c r="E350" s="118" t="s">
        <v>1535</v>
      </c>
      <c r="F350" s="118"/>
      <c r="G350" s="118" t="s">
        <v>943</v>
      </c>
      <c r="H350" s="118">
        <f t="shared" si="677"/>
        <v>0</v>
      </c>
      <c r="I350" s="118" t="s">
        <v>1536</v>
      </c>
      <c r="J350" s="118">
        <v>1</v>
      </c>
      <c r="K350" s="118" t="s">
        <v>1243</v>
      </c>
      <c r="L350" s="298"/>
      <c r="M350" s="118" t="s">
        <v>1537</v>
      </c>
      <c r="N350" s="118">
        <f t="shared" si="678"/>
        <v>0</v>
      </c>
      <c r="O350" s="298"/>
      <c r="P350" s="298"/>
      <c r="Q350" s="298"/>
      <c r="R350" s="298"/>
      <c r="S350" s="298"/>
      <c r="T350" s="298"/>
      <c r="U350" s="298"/>
      <c r="V350" s="298"/>
      <c r="W350" s="298"/>
      <c r="X350" s="298"/>
      <c r="Y350" s="298"/>
      <c r="Z350" s="298"/>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6"/>
      <c r="BM350" s="311"/>
      <c r="BN350" s="314"/>
    </row>
    <row r="351" s="117" customFormat="1" ht="33.95" hidden="1" customHeight="1" outlineLevel="4" spans="2:66">
      <c r="B351" s="118" t="s">
        <v>799</v>
      </c>
      <c r="C351" s="119" t="s">
        <v>1540</v>
      </c>
      <c r="D351" s="117" t="s">
        <v>1541</v>
      </c>
      <c r="E351" s="118" t="s">
        <v>1535</v>
      </c>
      <c r="F351" s="118"/>
      <c r="G351" s="118" t="s">
        <v>943</v>
      </c>
      <c r="H351" s="118">
        <f t="shared" si="677"/>
        <v>0</v>
      </c>
      <c r="I351" s="118" t="s">
        <v>1536</v>
      </c>
      <c r="J351" s="118">
        <v>1</v>
      </c>
      <c r="K351" s="118" t="s">
        <v>1243</v>
      </c>
      <c r="L351" s="298"/>
      <c r="M351" s="118" t="s">
        <v>1537</v>
      </c>
      <c r="N351" s="118">
        <f t="shared" si="678"/>
        <v>0</v>
      </c>
      <c r="O351" s="298"/>
      <c r="P351" s="298"/>
      <c r="Q351" s="298"/>
      <c r="R351" s="298"/>
      <c r="S351" s="298"/>
      <c r="T351" s="298"/>
      <c r="U351" s="298"/>
      <c r="V351" s="298"/>
      <c r="W351" s="298"/>
      <c r="X351" s="298"/>
      <c r="Y351" s="298"/>
      <c r="Z351" s="298"/>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6"/>
      <c r="BM351" s="311"/>
      <c r="BN351" s="314"/>
    </row>
    <row r="352" s="117" customFormat="1" ht="33.95" hidden="1" customHeight="1" outlineLevel="4" spans="2:66">
      <c r="B352" s="118" t="s">
        <v>799</v>
      </c>
      <c r="C352" s="119" t="s">
        <v>1542</v>
      </c>
      <c r="D352" s="117" t="s">
        <v>1543</v>
      </c>
      <c r="E352" s="118" t="s">
        <v>1544</v>
      </c>
      <c r="F352" s="118"/>
      <c r="G352" s="118" t="s">
        <v>943</v>
      </c>
      <c r="H352" s="118">
        <f t="shared" si="677"/>
        <v>0</v>
      </c>
      <c r="I352" s="118" t="s">
        <v>1536</v>
      </c>
      <c r="J352" s="118">
        <v>1</v>
      </c>
      <c r="K352" s="118" t="s">
        <v>1243</v>
      </c>
      <c r="L352" s="298"/>
      <c r="M352" s="118" t="s">
        <v>1537</v>
      </c>
      <c r="N352" s="118">
        <f t="shared" si="678"/>
        <v>0</v>
      </c>
      <c r="O352" s="298"/>
      <c r="P352" s="298"/>
      <c r="Q352" s="298"/>
      <c r="R352" s="298"/>
      <c r="S352" s="298"/>
      <c r="T352" s="298"/>
      <c r="U352" s="298"/>
      <c r="V352" s="298"/>
      <c r="W352" s="298"/>
      <c r="X352" s="298"/>
      <c r="Y352" s="298"/>
      <c r="Z352" s="298"/>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6"/>
      <c r="BM352" s="311"/>
      <c r="BN352" s="314"/>
    </row>
    <row r="353" s="117" customFormat="1" ht="33.95" hidden="1" customHeight="1" outlineLevel="4" spans="2:66">
      <c r="B353" s="118" t="s">
        <v>799</v>
      </c>
      <c r="C353" s="119" t="s">
        <v>1545</v>
      </c>
      <c r="D353" s="117" t="s">
        <v>1546</v>
      </c>
      <c r="E353" s="118" t="s">
        <v>1547</v>
      </c>
      <c r="F353" s="118"/>
      <c r="G353" s="118" t="s">
        <v>943</v>
      </c>
      <c r="H353" s="118">
        <f t="shared" si="677"/>
        <v>0</v>
      </c>
      <c r="I353" s="118" t="s">
        <v>1242</v>
      </c>
      <c r="J353" s="298"/>
      <c r="K353" s="118" t="s">
        <v>1150</v>
      </c>
      <c r="L353" s="298"/>
      <c r="M353" s="118" t="s">
        <v>1183</v>
      </c>
      <c r="N353" s="118">
        <f t="shared" si="678"/>
        <v>0</v>
      </c>
      <c r="O353" s="298"/>
      <c r="P353" s="298"/>
      <c r="Q353" s="298"/>
      <c r="R353" s="298"/>
      <c r="S353" s="298"/>
      <c r="T353" s="298"/>
      <c r="U353" s="298"/>
      <c r="V353" s="298"/>
      <c r="W353" s="298"/>
      <c r="X353" s="298"/>
      <c r="Y353" s="298"/>
      <c r="Z353" s="298"/>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6"/>
      <c r="BM353" s="311"/>
      <c r="BN353" s="314"/>
    </row>
    <row r="354" s="117" customFormat="1" ht="33.95" hidden="1" customHeight="1" outlineLevel="4" spans="2:66">
      <c r="B354" s="118" t="s">
        <v>799</v>
      </c>
      <c r="C354" s="119" t="s">
        <v>1548</v>
      </c>
      <c r="D354" s="117" t="s">
        <v>1549</v>
      </c>
      <c r="E354" s="118" t="s">
        <v>1550</v>
      </c>
      <c r="F354" s="118"/>
      <c r="G354" s="118" t="s">
        <v>943</v>
      </c>
      <c r="H354" s="118">
        <f t="shared" si="677"/>
        <v>0</v>
      </c>
      <c r="I354" s="118" t="s">
        <v>1242</v>
      </c>
      <c r="J354" s="298"/>
      <c r="K354" s="118" t="s">
        <v>1150</v>
      </c>
      <c r="L354" s="298"/>
      <c r="M354" s="118" t="s">
        <v>1183</v>
      </c>
      <c r="N354" s="118">
        <f t="shared" si="678"/>
        <v>0</v>
      </c>
      <c r="O354" s="298"/>
      <c r="P354" s="298"/>
      <c r="Q354" s="298"/>
      <c r="R354" s="298"/>
      <c r="S354" s="298"/>
      <c r="T354" s="298"/>
      <c r="U354" s="298"/>
      <c r="V354" s="298"/>
      <c r="W354" s="298"/>
      <c r="X354" s="298"/>
      <c r="Y354" s="298"/>
      <c r="Z354" s="298"/>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6"/>
      <c r="BM354" s="311"/>
      <c r="BN354" s="314"/>
    </row>
    <row r="355" s="117" customFormat="1" ht="33.95" hidden="1" customHeight="1" outlineLevel="4" spans="2:66">
      <c r="B355" s="118" t="s">
        <v>799</v>
      </c>
      <c r="C355" s="119" t="s">
        <v>1551</v>
      </c>
      <c r="D355" s="117" t="s">
        <v>1552</v>
      </c>
      <c r="E355" s="118" t="s">
        <v>1553</v>
      </c>
      <c r="F355" s="118"/>
      <c r="G355" s="118" t="s">
        <v>943</v>
      </c>
      <c r="H355" s="118">
        <f t="shared" si="677"/>
        <v>0</v>
      </c>
      <c r="I355" s="118" t="s">
        <v>1242</v>
      </c>
      <c r="J355" s="298"/>
      <c r="K355" s="118" t="s">
        <v>1150</v>
      </c>
      <c r="L355" s="298"/>
      <c r="M355" s="118" t="s">
        <v>1183</v>
      </c>
      <c r="N355" s="118">
        <f t="shared" si="678"/>
        <v>0</v>
      </c>
      <c r="O355" s="298"/>
      <c r="P355" s="316"/>
      <c r="Q355" s="316"/>
      <c r="R355" s="316"/>
      <c r="S355" s="316"/>
      <c r="T355" s="316"/>
      <c r="U355" s="316"/>
      <c r="V355" s="316"/>
      <c r="W355" s="316"/>
      <c r="X355" s="316"/>
      <c r="Y355" s="316"/>
      <c r="Z355" s="316"/>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6"/>
      <c r="BM355" s="311"/>
      <c r="BN355" s="314"/>
    </row>
    <row r="356" s="48" customFormat="1" ht="33.95" hidden="1" customHeight="1" outlineLevel="3" collapsed="1" spans="2:66">
      <c r="B356" s="114" t="s">
        <v>794</v>
      </c>
      <c r="C356" s="115" t="s">
        <v>1554</v>
      </c>
      <c r="D356" s="48" t="s">
        <v>1555</v>
      </c>
      <c r="E356" s="114"/>
      <c r="F356" s="114"/>
      <c r="G356" s="114"/>
      <c r="H356" s="114">
        <f>SUM(H357:H361)</f>
        <v>0</v>
      </c>
      <c r="I356" s="114"/>
      <c r="J356" s="114"/>
      <c r="K356" s="114"/>
      <c r="L356" s="114"/>
      <c r="M356" s="114"/>
      <c r="N356" s="114"/>
      <c r="O356" s="114"/>
      <c r="P356" s="288"/>
      <c r="Q356" s="288"/>
      <c r="R356" s="288"/>
      <c r="S356" s="288"/>
      <c r="T356" s="288"/>
      <c r="U356" s="288"/>
      <c r="V356" s="288"/>
      <c r="W356" s="288"/>
      <c r="X356" s="288"/>
      <c r="Y356" s="288"/>
      <c r="Z356" s="288"/>
      <c r="AA356" s="288"/>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5"/>
      <c r="BM356" s="311"/>
      <c r="BN356" s="313"/>
    </row>
    <row r="357" s="117" customFormat="1" ht="33.95" hidden="1" customHeight="1" outlineLevel="4" spans="2:66">
      <c r="B357" s="118" t="s">
        <v>799</v>
      </c>
      <c r="C357" s="119" t="s">
        <v>1556</v>
      </c>
      <c r="D357" s="117" t="s">
        <v>1557</v>
      </c>
      <c r="E357" s="118" t="s">
        <v>1558</v>
      </c>
      <c r="F357" s="118"/>
      <c r="G357" s="118" t="s">
        <v>943</v>
      </c>
      <c r="H357" s="118">
        <f t="shared" ref="H357:H361" si="693">IFERROR(J357*L357*N357,0)</f>
        <v>0</v>
      </c>
      <c r="I357" s="118" t="s">
        <v>1242</v>
      </c>
      <c r="J357" s="298"/>
      <c r="K357" s="118" t="s">
        <v>1396</v>
      </c>
      <c r="L357" s="298"/>
      <c r="M357" s="118" t="s">
        <v>1448</v>
      </c>
      <c r="N357" s="118">
        <f t="shared" ref="N357:N364" si="694">COUNTA(O357:Z357)</f>
        <v>0</v>
      </c>
      <c r="O357" s="298"/>
      <c r="P357" s="317"/>
      <c r="Q357" s="317"/>
      <c r="R357" s="317"/>
      <c r="S357" s="317"/>
      <c r="T357" s="317"/>
      <c r="U357" s="317"/>
      <c r="V357" s="317"/>
      <c r="W357" s="317"/>
      <c r="X357" s="317"/>
      <c r="Y357" s="317"/>
      <c r="Z357" s="317"/>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6"/>
      <c r="BM357" s="311"/>
      <c r="BN357" s="314"/>
    </row>
    <row r="358" s="117" customFormat="1" ht="33.95" hidden="1" customHeight="1" outlineLevel="4" spans="2:66">
      <c r="B358" s="118" t="s">
        <v>799</v>
      </c>
      <c r="C358" s="119" t="s">
        <v>1559</v>
      </c>
      <c r="D358" s="117" t="s">
        <v>1560</v>
      </c>
      <c r="E358" s="118" t="s">
        <v>1558</v>
      </c>
      <c r="F358" s="118"/>
      <c r="G358" s="118" t="s">
        <v>943</v>
      </c>
      <c r="H358" s="118">
        <f t="shared" si="693"/>
        <v>0</v>
      </c>
      <c r="I358" s="118" t="s">
        <v>1242</v>
      </c>
      <c r="J358" s="298"/>
      <c r="K358" s="118" t="s">
        <v>1396</v>
      </c>
      <c r="L358" s="298"/>
      <c r="M358" s="118" t="s">
        <v>1448</v>
      </c>
      <c r="N358" s="118">
        <f t="shared" si="694"/>
        <v>0</v>
      </c>
      <c r="O358" s="298"/>
      <c r="P358" s="298"/>
      <c r="Q358" s="298"/>
      <c r="R358" s="298"/>
      <c r="S358" s="298"/>
      <c r="T358" s="298"/>
      <c r="U358" s="298"/>
      <c r="V358" s="298"/>
      <c r="W358" s="298"/>
      <c r="X358" s="298"/>
      <c r="Y358" s="298"/>
      <c r="Z358" s="298"/>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6"/>
      <c r="BM358" s="311"/>
      <c r="BN358" s="314"/>
    </row>
    <row r="359" s="117" customFormat="1" ht="33.95" hidden="1" customHeight="1" outlineLevel="4" spans="2:66">
      <c r="B359" s="118" t="s">
        <v>799</v>
      </c>
      <c r="C359" s="119" t="s">
        <v>1561</v>
      </c>
      <c r="D359" s="117" t="s">
        <v>1562</v>
      </c>
      <c r="E359" s="118" t="s">
        <v>1563</v>
      </c>
      <c r="F359" s="118"/>
      <c r="G359" s="118" t="s">
        <v>943</v>
      </c>
      <c r="H359" s="118">
        <f t="shared" si="693"/>
        <v>0</v>
      </c>
      <c r="I359" s="118" t="s">
        <v>1242</v>
      </c>
      <c r="J359" s="298"/>
      <c r="K359" s="118" t="s">
        <v>1396</v>
      </c>
      <c r="L359" s="298"/>
      <c r="M359" s="118" t="s">
        <v>1448</v>
      </c>
      <c r="N359" s="118">
        <f t="shared" si="694"/>
        <v>0</v>
      </c>
      <c r="O359" s="298"/>
      <c r="P359" s="298"/>
      <c r="Q359" s="298"/>
      <c r="R359" s="298"/>
      <c r="S359" s="298"/>
      <c r="T359" s="298"/>
      <c r="U359" s="298"/>
      <c r="V359" s="298"/>
      <c r="W359" s="298"/>
      <c r="X359" s="298"/>
      <c r="Y359" s="298"/>
      <c r="Z359" s="298"/>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6"/>
      <c r="BM359" s="311"/>
      <c r="BN359" s="314"/>
    </row>
    <row r="360" s="117" customFormat="1" ht="33.95" hidden="1" customHeight="1" outlineLevel="4" spans="2:66">
      <c r="B360" s="118" t="s">
        <v>799</v>
      </c>
      <c r="C360" s="119" t="s">
        <v>1564</v>
      </c>
      <c r="D360" s="117" t="s">
        <v>1565</v>
      </c>
      <c r="E360" s="118" t="s">
        <v>1558</v>
      </c>
      <c r="F360" s="118"/>
      <c r="G360" s="118" t="s">
        <v>943</v>
      </c>
      <c r="H360" s="118">
        <f t="shared" si="693"/>
        <v>0</v>
      </c>
      <c r="I360" s="118" t="s">
        <v>1242</v>
      </c>
      <c r="J360" s="298"/>
      <c r="K360" s="118" t="s">
        <v>1396</v>
      </c>
      <c r="L360" s="298"/>
      <c r="M360" s="118" t="s">
        <v>1448</v>
      </c>
      <c r="N360" s="118">
        <f t="shared" si="694"/>
        <v>0</v>
      </c>
      <c r="O360" s="298"/>
      <c r="P360" s="298"/>
      <c r="Q360" s="298"/>
      <c r="R360" s="298"/>
      <c r="S360" s="298"/>
      <c r="T360" s="298"/>
      <c r="U360" s="298"/>
      <c r="V360" s="298"/>
      <c r="W360" s="298"/>
      <c r="X360" s="298"/>
      <c r="Y360" s="298"/>
      <c r="Z360" s="298"/>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6"/>
      <c r="BM360" s="311"/>
      <c r="BN360" s="314"/>
    </row>
    <row r="361" s="117" customFormat="1" ht="33.95" hidden="1" customHeight="1" outlineLevel="4" spans="2:66">
      <c r="B361" s="118" t="s">
        <v>799</v>
      </c>
      <c r="C361" s="119" t="s">
        <v>1566</v>
      </c>
      <c r="D361" s="117" t="s">
        <v>1567</v>
      </c>
      <c r="E361" s="118" t="s">
        <v>1568</v>
      </c>
      <c r="F361" s="118"/>
      <c r="G361" s="118" t="s">
        <v>943</v>
      </c>
      <c r="H361" s="118">
        <f t="shared" si="693"/>
        <v>0</v>
      </c>
      <c r="I361" s="118" t="s">
        <v>1242</v>
      </c>
      <c r="J361" s="298"/>
      <c r="K361" s="118" t="s">
        <v>1396</v>
      </c>
      <c r="L361" s="298"/>
      <c r="M361" s="118" t="s">
        <v>1448</v>
      </c>
      <c r="N361" s="118">
        <f t="shared" si="694"/>
        <v>0</v>
      </c>
      <c r="O361" s="298"/>
      <c r="P361" s="298"/>
      <c r="Q361" s="298"/>
      <c r="R361" s="298"/>
      <c r="S361" s="298"/>
      <c r="T361" s="298"/>
      <c r="U361" s="298"/>
      <c r="V361" s="298"/>
      <c r="W361" s="298"/>
      <c r="X361" s="298"/>
      <c r="Y361" s="298"/>
      <c r="Z361" s="298"/>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6"/>
      <c r="BM361" s="311"/>
      <c r="BN361" s="314"/>
    </row>
    <row r="362" s="48" customFormat="1" ht="33.95" hidden="1" customHeight="1" outlineLevel="3" spans="2:66">
      <c r="B362" s="114" t="s">
        <v>799</v>
      </c>
      <c r="C362" s="115" t="s">
        <v>1569</v>
      </c>
      <c r="D362" s="48" t="s">
        <v>1570</v>
      </c>
      <c r="E362" s="114" t="s">
        <v>1571</v>
      </c>
      <c r="F362" s="114"/>
      <c r="G362" s="114" t="s">
        <v>943</v>
      </c>
      <c r="H362" s="114">
        <f t="shared" ref="H362:H369" si="708">J362*L362*N362</f>
        <v>0</v>
      </c>
      <c r="I362" s="114" t="s">
        <v>1347</v>
      </c>
      <c r="J362" s="298"/>
      <c r="K362" s="114" t="s">
        <v>1396</v>
      </c>
      <c r="L362" s="298"/>
      <c r="M362" s="114" t="s">
        <v>1448</v>
      </c>
      <c r="N362" s="114">
        <f t="shared" si="694"/>
        <v>0</v>
      </c>
      <c r="O362" s="298"/>
      <c r="P362" s="298"/>
      <c r="Q362" s="298"/>
      <c r="R362" s="298"/>
      <c r="S362" s="298"/>
      <c r="T362" s="298"/>
      <c r="U362" s="298"/>
      <c r="V362" s="298"/>
      <c r="W362" s="298"/>
      <c r="X362" s="298"/>
      <c r="Y362" s="298"/>
      <c r="Z362" s="298"/>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5"/>
      <c r="BM362" s="311"/>
      <c r="BN362" s="313"/>
    </row>
    <row r="363" s="48" customFormat="1" ht="33.95" hidden="1" customHeight="1" outlineLevel="3" spans="2:66">
      <c r="B363" s="114" t="s">
        <v>799</v>
      </c>
      <c r="C363" s="115" t="s">
        <v>1572</v>
      </c>
      <c r="D363" s="48" t="s">
        <v>1573</v>
      </c>
      <c r="E363" s="114" t="s">
        <v>1574</v>
      </c>
      <c r="F363" s="114"/>
      <c r="G363" s="114" t="s">
        <v>943</v>
      </c>
      <c r="H363" s="114">
        <f t="shared" si="708"/>
        <v>0</v>
      </c>
      <c r="I363" s="114" t="s">
        <v>1032</v>
      </c>
      <c r="J363" s="114">
        <f>AVERAGE('1-1 项目基础信息'!$H$9:$S$9)</f>
        <v>9008</v>
      </c>
      <c r="K363" s="114" t="s">
        <v>1033</v>
      </c>
      <c r="L363" s="298"/>
      <c r="M363" s="114" t="s">
        <v>1196</v>
      </c>
      <c r="N363" s="114">
        <f t="shared" si="694"/>
        <v>0</v>
      </c>
      <c r="O363" s="298"/>
      <c r="P363" s="298"/>
      <c r="Q363" s="298"/>
      <c r="R363" s="298"/>
      <c r="S363" s="298"/>
      <c r="T363" s="298"/>
      <c r="U363" s="298"/>
      <c r="V363" s="298"/>
      <c r="W363" s="298"/>
      <c r="X363" s="298"/>
      <c r="Y363" s="298"/>
      <c r="Z363" s="298"/>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5"/>
      <c r="BM363" s="311"/>
      <c r="BN363" s="313"/>
    </row>
    <row r="364" s="48" customFormat="1" ht="33.95" hidden="1" customHeight="1" outlineLevel="3" spans="2:66">
      <c r="B364" s="114" t="s">
        <v>799</v>
      </c>
      <c r="C364" s="115" t="s">
        <v>1575</v>
      </c>
      <c r="D364" s="48" t="s">
        <v>1576</v>
      </c>
      <c r="E364" s="114" t="s">
        <v>1577</v>
      </c>
      <c r="F364" s="114"/>
      <c r="G364" s="114" t="s">
        <v>943</v>
      </c>
      <c r="H364" s="114">
        <f t="shared" si="708"/>
        <v>0</v>
      </c>
      <c r="I364" s="114" t="s">
        <v>1182</v>
      </c>
      <c r="J364" s="298"/>
      <c r="K364" s="114" t="s">
        <v>1396</v>
      </c>
      <c r="L364" s="298"/>
      <c r="M364" s="114" t="s">
        <v>1448</v>
      </c>
      <c r="N364" s="114">
        <f t="shared" si="694"/>
        <v>0</v>
      </c>
      <c r="O364" s="298"/>
      <c r="P364" s="316"/>
      <c r="Q364" s="316"/>
      <c r="R364" s="316"/>
      <c r="S364" s="316"/>
      <c r="T364" s="316"/>
      <c r="U364" s="316"/>
      <c r="V364" s="316"/>
      <c r="W364" s="316"/>
      <c r="X364" s="316"/>
      <c r="Y364" s="316"/>
      <c r="Z364" s="316"/>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5"/>
      <c r="BM364" s="311"/>
      <c r="BN364" s="313"/>
    </row>
    <row r="365" s="48" customFormat="1" ht="33.95" hidden="1" customHeight="1" outlineLevel="3" collapsed="1" spans="2:66">
      <c r="B365" s="114" t="s">
        <v>794</v>
      </c>
      <c r="C365" s="115" t="s">
        <v>1578</v>
      </c>
      <c r="D365" s="48" t="s">
        <v>1579</v>
      </c>
      <c r="E365" s="114"/>
      <c r="F365" s="114"/>
      <c r="G365" s="114" t="s">
        <v>943</v>
      </c>
      <c r="H365" s="114">
        <f>SUM(H366:H370)</f>
        <v>0</v>
      </c>
      <c r="I365" s="114"/>
      <c r="J365" s="114"/>
      <c r="K365" s="114"/>
      <c r="L365" s="114"/>
      <c r="M365" s="114"/>
      <c r="N365" s="114"/>
      <c r="O365" s="114"/>
      <c r="P365" s="288"/>
      <c r="Q365" s="288"/>
      <c r="R365" s="288"/>
      <c r="S365" s="288"/>
      <c r="T365" s="288"/>
      <c r="U365" s="288"/>
      <c r="V365" s="288"/>
      <c r="W365" s="288"/>
      <c r="X365" s="288"/>
      <c r="Y365" s="288"/>
      <c r="Z365" s="288"/>
      <c r="AA365" s="288"/>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5"/>
      <c r="BM365" s="311"/>
      <c r="BN365" s="313"/>
    </row>
    <row r="366" s="117" customFormat="1" ht="33.95" hidden="1" customHeight="1" outlineLevel="4" spans="2:66">
      <c r="B366" s="118" t="s">
        <v>799</v>
      </c>
      <c r="C366" s="119" t="s">
        <v>1580</v>
      </c>
      <c r="D366" s="117" t="s">
        <v>1581</v>
      </c>
      <c r="E366" s="118" t="s">
        <v>1582</v>
      </c>
      <c r="F366" s="118"/>
      <c r="G366" s="118" t="s">
        <v>943</v>
      </c>
      <c r="H366" s="118">
        <f t="shared" si="708"/>
        <v>0</v>
      </c>
      <c r="I366" s="118" t="s">
        <v>1583</v>
      </c>
      <c r="J366" s="298"/>
      <c r="K366" s="118" t="s">
        <v>1396</v>
      </c>
      <c r="L366" s="298"/>
      <c r="M366" s="118" t="s">
        <v>1448</v>
      </c>
      <c r="N366" s="118">
        <f t="shared" ref="N366:N372" si="710">COUNTA(O366:Z366)</f>
        <v>0</v>
      </c>
      <c r="O366" s="298"/>
      <c r="P366" s="317"/>
      <c r="Q366" s="317"/>
      <c r="R366" s="317"/>
      <c r="S366" s="317"/>
      <c r="T366" s="317"/>
      <c r="U366" s="317"/>
      <c r="V366" s="317"/>
      <c r="W366" s="317"/>
      <c r="X366" s="317"/>
      <c r="Y366" s="317"/>
      <c r="Z366" s="317"/>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6"/>
      <c r="BM366" s="311"/>
      <c r="BN366" s="314"/>
    </row>
    <row r="367" s="117" customFormat="1" ht="33.95" hidden="1" customHeight="1" outlineLevel="4" spans="2:66">
      <c r="B367" s="118" t="s">
        <v>799</v>
      </c>
      <c r="C367" s="119" t="s">
        <v>1584</v>
      </c>
      <c r="D367" s="117" t="s">
        <v>1585</v>
      </c>
      <c r="E367" s="118" t="s">
        <v>1586</v>
      </c>
      <c r="F367" s="118"/>
      <c r="G367" s="118" t="s">
        <v>943</v>
      </c>
      <c r="H367" s="118">
        <f t="shared" si="708"/>
        <v>0</v>
      </c>
      <c r="I367" s="118" t="s">
        <v>1583</v>
      </c>
      <c r="J367" s="298"/>
      <c r="K367" s="118" t="s">
        <v>1396</v>
      </c>
      <c r="L367" s="298"/>
      <c r="M367" s="118" t="s">
        <v>1448</v>
      </c>
      <c r="N367" s="118">
        <f t="shared" si="710"/>
        <v>0</v>
      </c>
      <c r="O367" s="298"/>
      <c r="P367" s="298"/>
      <c r="Q367" s="298"/>
      <c r="R367" s="298"/>
      <c r="S367" s="298"/>
      <c r="T367" s="298"/>
      <c r="U367" s="298"/>
      <c r="V367" s="298"/>
      <c r="W367" s="298"/>
      <c r="X367" s="298"/>
      <c r="Y367" s="298"/>
      <c r="Z367" s="298"/>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6"/>
      <c r="BM367" s="311"/>
      <c r="BN367" s="314"/>
    </row>
    <row r="368" s="117" customFormat="1" ht="33.95" hidden="1" customHeight="1" outlineLevel="4" spans="2:66">
      <c r="B368" s="118" t="s">
        <v>799</v>
      </c>
      <c r="C368" s="119" t="s">
        <v>1587</v>
      </c>
      <c r="D368" s="117" t="s">
        <v>1588</v>
      </c>
      <c r="E368" s="118" t="s">
        <v>1589</v>
      </c>
      <c r="F368" s="118"/>
      <c r="G368" s="118" t="s">
        <v>943</v>
      </c>
      <c r="H368" s="118">
        <f t="shared" si="708"/>
        <v>0</v>
      </c>
      <c r="I368" s="118" t="s">
        <v>1583</v>
      </c>
      <c r="J368" s="298"/>
      <c r="K368" s="118" t="s">
        <v>1396</v>
      </c>
      <c r="L368" s="298"/>
      <c r="M368" s="118" t="s">
        <v>1448</v>
      </c>
      <c r="N368" s="118">
        <f t="shared" si="710"/>
        <v>0</v>
      </c>
      <c r="O368" s="298"/>
      <c r="P368" s="298"/>
      <c r="Q368" s="298"/>
      <c r="R368" s="298"/>
      <c r="S368" s="298"/>
      <c r="T368" s="298"/>
      <c r="U368" s="298"/>
      <c r="V368" s="298"/>
      <c r="W368" s="298"/>
      <c r="X368" s="298"/>
      <c r="Y368" s="298"/>
      <c r="Z368" s="298"/>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6"/>
      <c r="BM368" s="311"/>
      <c r="BN368" s="314"/>
    </row>
    <row r="369" s="117" customFormat="1" ht="33.95" hidden="1" customHeight="1" outlineLevel="4" spans="2:66">
      <c r="B369" s="118" t="s">
        <v>799</v>
      </c>
      <c r="C369" s="119" t="s">
        <v>1590</v>
      </c>
      <c r="D369" s="117" t="s">
        <v>1591</v>
      </c>
      <c r="E369" s="118" t="s">
        <v>1592</v>
      </c>
      <c r="F369" s="118"/>
      <c r="G369" s="118" t="s">
        <v>943</v>
      </c>
      <c r="H369" s="118">
        <f t="shared" si="708"/>
        <v>0</v>
      </c>
      <c r="I369" s="118" t="s">
        <v>1583</v>
      </c>
      <c r="J369" s="298"/>
      <c r="K369" s="118" t="s">
        <v>1396</v>
      </c>
      <c r="L369" s="298"/>
      <c r="M369" s="118" t="s">
        <v>1448</v>
      </c>
      <c r="N369" s="118">
        <f t="shared" si="710"/>
        <v>0</v>
      </c>
      <c r="O369" s="298"/>
      <c r="P369" s="298"/>
      <c r="Q369" s="298"/>
      <c r="R369" s="298"/>
      <c r="S369" s="298"/>
      <c r="T369" s="298"/>
      <c r="U369" s="298"/>
      <c r="V369" s="298"/>
      <c r="W369" s="298"/>
      <c r="X369" s="298"/>
      <c r="Y369" s="298"/>
      <c r="Z369" s="298"/>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6"/>
      <c r="BM369" s="311"/>
      <c r="BN369" s="314"/>
    </row>
    <row r="370" s="117" customFormat="1" ht="33.95" hidden="1" customHeight="1" outlineLevel="4" spans="2:66">
      <c r="B370" s="118" t="s">
        <v>799</v>
      </c>
      <c r="C370" s="119" t="s">
        <v>1593</v>
      </c>
      <c r="D370" s="117" t="s">
        <v>1594</v>
      </c>
      <c r="E370" s="118" t="s">
        <v>1595</v>
      </c>
      <c r="F370" s="118"/>
      <c r="G370" s="118" t="s">
        <v>943</v>
      </c>
      <c r="H370" s="118">
        <f t="shared" ref="H370:H372" si="724">J370*L370*N370</f>
        <v>0</v>
      </c>
      <c r="I370" s="118" t="s">
        <v>1583</v>
      </c>
      <c r="J370" s="298"/>
      <c r="K370" s="118" t="s">
        <v>1396</v>
      </c>
      <c r="L370" s="298"/>
      <c r="M370" s="118" t="s">
        <v>1448</v>
      </c>
      <c r="N370" s="118">
        <f t="shared" si="710"/>
        <v>0</v>
      </c>
      <c r="O370" s="298"/>
      <c r="P370" s="298"/>
      <c r="Q370" s="298"/>
      <c r="R370" s="298"/>
      <c r="S370" s="298"/>
      <c r="T370" s="298"/>
      <c r="U370" s="298"/>
      <c r="V370" s="298"/>
      <c r="W370" s="298"/>
      <c r="X370" s="298"/>
      <c r="Y370" s="298"/>
      <c r="Z370" s="298"/>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6"/>
      <c r="BM370" s="311"/>
      <c r="BN370" s="314"/>
    </row>
    <row r="371" s="48" customFormat="1" ht="33.95" hidden="1" customHeight="1" outlineLevel="3" spans="2:66">
      <c r="B371" s="114" t="s">
        <v>799</v>
      </c>
      <c r="C371" s="115" t="s">
        <v>1596</v>
      </c>
      <c r="D371" s="48" t="s">
        <v>1597</v>
      </c>
      <c r="E371" s="114" t="s">
        <v>1598</v>
      </c>
      <c r="F371" s="114"/>
      <c r="G371" s="114" t="s">
        <v>943</v>
      </c>
      <c r="H371" s="114">
        <f t="shared" si="724"/>
        <v>0</v>
      </c>
      <c r="I371" s="114" t="s">
        <v>1182</v>
      </c>
      <c r="J371" s="298"/>
      <c r="K371" s="114" t="s">
        <v>1396</v>
      </c>
      <c r="L371" s="298"/>
      <c r="M371" s="114" t="s">
        <v>1448</v>
      </c>
      <c r="N371" s="114">
        <f t="shared" si="710"/>
        <v>0</v>
      </c>
      <c r="O371" s="298"/>
      <c r="P371" s="298"/>
      <c r="Q371" s="298"/>
      <c r="R371" s="298"/>
      <c r="S371" s="298"/>
      <c r="T371" s="298"/>
      <c r="U371" s="298"/>
      <c r="V371" s="298"/>
      <c r="W371" s="298"/>
      <c r="X371" s="298"/>
      <c r="Y371" s="298"/>
      <c r="Z371" s="298"/>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5"/>
      <c r="BM371" s="311"/>
      <c r="BN371" s="313"/>
    </row>
    <row r="372" s="48" customFormat="1" ht="33.95" hidden="1" customHeight="1" outlineLevel="3" spans="2:66">
      <c r="B372" s="114" t="s">
        <v>799</v>
      </c>
      <c r="C372" s="115" t="s">
        <v>1599</v>
      </c>
      <c r="D372" s="48" t="s">
        <v>1600</v>
      </c>
      <c r="E372" s="114" t="s">
        <v>1601</v>
      </c>
      <c r="F372" s="114"/>
      <c r="G372" s="114" t="s">
        <v>943</v>
      </c>
      <c r="H372" s="114">
        <f t="shared" si="724"/>
        <v>0</v>
      </c>
      <c r="I372" s="114" t="s">
        <v>1182</v>
      </c>
      <c r="J372" s="298"/>
      <c r="K372" s="114" t="s">
        <v>1396</v>
      </c>
      <c r="L372" s="298"/>
      <c r="M372" s="114" t="s">
        <v>1448</v>
      </c>
      <c r="N372" s="114">
        <f t="shared" si="710"/>
        <v>0</v>
      </c>
      <c r="O372" s="298"/>
      <c r="P372" s="316"/>
      <c r="Q372" s="316"/>
      <c r="R372" s="316"/>
      <c r="S372" s="316"/>
      <c r="T372" s="316"/>
      <c r="U372" s="316"/>
      <c r="V372" s="316"/>
      <c r="W372" s="316"/>
      <c r="X372" s="316"/>
      <c r="Y372" s="316"/>
      <c r="Z372" s="316"/>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5"/>
      <c r="BM372" s="311"/>
      <c r="BN372" s="313"/>
    </row>
    <row r="373" s="48" customFormat="1" ht="33.95" hidden="1" customHeight="1" outlineLevel="3" collapsed="1" spans="2:66">
      <c r="B373" s="114" t="s">
        <v>794</v>
      </c>
      <c r="C373" s="115" t="s">
        <v>1602</v>
      </c>
      <c r="D373" s="48" t="s">
        <v>1603</v>
      </c>
      <c r="E373" s="114"/>
      <c r="F373" s="114"/>
      <c r="G373" s="114"/>
      <c r="H373" s="114">
        <f>SUM(H374:H379)</f>
        <v>0</v>
      </c>
      <c r="I373" s="114"/>
      <c r="J373" s="114"/>
      <c r="K373" s="114"/>
      <c r="L373" s="114"/>
      <c r="M373" s="114"/>
      <c r="N373" s="114"/>
      <c r="O373" s="114"/>
      <c r="P373" s="288"/>
      <c r="Q373" s="288"/>
      <c r="R373" s="288"/>
      <c r="S373" s="288"/>
      <c r="T373" s="288"/>
      <c r="U373" s="288"/>
      <c r="V373" s="288"/>
      <c r="W373" s="288"/>
      <c r="X373" s="288"/>
      <c r="Y373" s="288"/>
      <c r="Z373" s="288"/>
      <c r="AA373" s="288"/>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5"/>
      <c r="BM373" s="311"/>
      <c r="BN373" s="313"/>
    </row>
    <row r="374" s="117" customFormat="1" ht="33.95" hidden="1" customHeight="1" outlineLevel="4" spans="2:66">
      <c r="B374" s="118" t="s">
        <v>799</v>
      </c>
      <c r="C374" s="119" t="s">
        <v>1604</v>
      </c>
      <c r="D374" s="117" t="s">
        <v>1605</v>
      </c>
      <c r="E374" s="118" t="s">
        <v>1606</v>
      </c>
      <c r="F374" s="118"/>
      <c r="G374" s="118" t="s">
        <v>943</v>
      </c>
      <c r="H374" s="118">
        <f t="shared" ref="H374:H379" si="726">J374*L374*N374</f>
        <v>0</v>
      </c>
      <c r="I374" s="118" t="s">
        <v>1583</v>
      </c>
      <c r="J374" s="298"/>
      <c r="K374" s="118" t="s">
        <v>1396</v>
      </c>
      <c r="L374" s="298"/>
      <c r="M374" s="118" t="s">
        <v>1448</v>
      </c>
      <c r="N374" s="118">
        <f t="shared" ref="N374:N380" si="727">COUNTA(O374:Z374)</f>
        <v>0</v>
      </c>
      <c r="O374" s="317"/>
      <c r="P374" s="317"/>
      <c r="Q374" s="317"/>
      <c r="R374" s="317"/>
      <c r="S374" s="317"/>
      <c r="T374" s="317"/>
      <c r="U374" s="317"/>
      <c r="V374" s="317"/>
      <c r="W374" s="317"/>
      <c r="X374" s="317"/>
      <c r="Y374" s="317"/>
      <c r="Z374" s="317"/>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6"/>
      <c r="BM374" s="311"/>
      <c r="BN374" s="314"/>
    </row>
    <row r="375" s="117" customFormat="1" ht="33.95" hidden="1" customHeight="1" outlineLevel="4" spans="2:66">
      <c r="B375" s="118" t="s">
        <v>799</v>
      </c>
      <c r="C375" s="119" t="s">
        <v>1607</v>
      </c>
      <c r="D375" s="117" t="s">
        <v>1608</v>
      </c>
      <c r="E375" s="118" t="s">
        <v>1609</v>
      </c>
      <c r="F375" s="118"/>
      <c r="G375" s="118" t="s">
        <v>943</v>
      </c>
      <c r="H375" s="118">
        <f t="shared" si="726"/>
        <v>0</v>
      </c>
      <c r="I375" s="118" t="s">
        <v>1583</v>
      </c>
      <c r="J375" s="298"/>
      <c r="K375" s="118" t="s">
        <v>1396</v>
      </c>
      <c r="L375" s="298"/>
      <c r="M375" s="118" t="s">
        <v>1448</v>
      </c>
      <c r="N375" s="118">
        <f t="shared" si="727"/>
        <v>0</v>
      </c>
      <c r="O375" s="298"/>
      <c r="P375" s="298"/>
      <c r="Q375" s="298"/>
      <c r="R375" s="298"/>
      <c r="S375" s="298"/>
      <c r="T375" s="298"/>
      <c r="U375" s="298"/>
      <c r="V375" s="298"/>
      <c r="W375" s="298"/>
      <c r="X375" s="298"/>
      <c r="Y375" s="298"/>
      <c r="Z375" s="298"/>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6"/>
      <c r="BM375" s="311"/>
      <c r="BN375" s="314"/>
    </row>
    <row r="376" s="117" customFormat="1" ht="33.95" hidden="1" customHeight="1" outlineLevel="4" spans="2:66">
      <c r="B376" s="118" t="s">
        <v>799</v>
      </c>
      <c r="C376" s="119" t="s">
        <v>1610</v>
      </c>
      <c r="D376" s="117" t="s">
        <v>1611</v>
      </c>
      <c r="E376" s="118" t="s">
        <v>1612</v>
      </c>
      <c r="F376" s="118"/>
      <c r="G376" s="118" t="s">
        <v>943</v>
      </c>
      <c r="H376" s="118">
        <f t="shared" si="726"/>
        <v>0</v>
      </c>
      <c r="I376" s="118" t="s">
        <v>1583</v>
      </c>
      <c r="J376" s="298"/>
      <c r="K376" s="118" t="s">
        <v>1396</v>
      </c>
      <c r="L376" s="298"/>
      <c r="M376" s="118" t="s">
        <v>1448</v>
      </c>
      <c r="N376" s="118">
        <f t="shared" si="727"/>
        <v>0</v>
      </c>
      <c r="O376" s="298"/>
      <c r="P376" s="298"/>
      <c r="Q376" s="298"/>
      <c r="R376" s="298"/>
      <c r="S376" s="298"/>
      <c r="T376" s="298"/>
      <c r="U376" s="298"/>
      <c r="V376" s="298"/>
      <c r="W376" s="298"/>
      <c r="X376" s="298"/>
      <c r="Y376" s="298"/>
      <c r="Z376" s="298"/>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6"/>
      <c r="BM376" s="311"/>
      <c r="BN376" s="314"/>
    </row>
    <row r="377" s="117" customFormat="1" ht="33.95" hidden="1" customHeight="1" outlineLevel="4" spans="2:66">
      <c r="B377" s="118" t="s">
        <v>799</v>
      </c>
      <c r="C377" s="119" t="s">
        <v>1613</v>
      </c>
      <c r="D377" s="117" t="s">
        <v>1614</v>
      </c>
      <c r="E377" s="118" t="s">
        <v>1615</v>
      </c>
      <c r="F377" s="118"/>
      <c r="G377" s="118" t="s">
        <v>943</v>
      </c>
      <c r="H377" s="118">
        <f t="shared" si="726"/>
        <v>0</v>
      </c>
      <c r="I377" s="118" t="s">
        <v>1583</v>
      </c>
      <c r="J377" s="298"/>
      <c r="K377" s="118" t="s">
        <v>1396</v>
      </c>
      <c r="L377" s="298"/>
      <c r="M377" s="118" t="s">
        <v>1448</v>
      </c>
      <c r="N377" s="118">
        <f t="shared" si="727"/>
        <v>0</v>
      </c>
      <c r="O377" s="298"/>
      <c r="P377" s="298"/>
      <c r="Q377" s="298"/>
      <c r="R377" s="298"/>
      <c r="S377" s="298"/>
      <c r="T377" s="298"/>
      <c r="U377" s="298"/>
      <c r="V377" s="298"/>
      <c r="W377" s="298"/>
      <c r="X377" s="298"/>
      <c r="Y377" s="298"/>
      <c r="Z377" s="298"/>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6"/>
      <c r="BM377" s="311"/>
      <c r="BN377" s="314"/>
    </row>
    <row r="378" s="117" customFormat="1" ht="33.95" hidden="1" customHeight="1" outlineLevel="4" spans="2:66">
      <c r="B378" s="118" t="s">
        <v>799</v>
      </c>
      <c r="C378" s="119" t="s">
        <v>1616</v>
      </c>
      <c r="D378" s="117" t="s">
        <v>1617</v>
      </c>
      <c r="E378" s="118" t="s">
        <v>1618</v>
      </c>
      <c r="F378" s="118"/>
      <c r="G378" s="118" t="s">
        <v>943</v>
      </c>
      <c r="H378" s="118">
        <f t="shared" si="726"/>
        <v>0</v>
      </c>
      <c r="I378" s="118" t="s">
        <v>1583</v>
      </c>
      <c r="J378" s="298"/>
      <c r="K378" s="118" t="s">
        <v>1396</v>
      </c>
      <c r="L378" s="298"/>
      <c r="M378" s="118" t="s">
        <v>1448</v>
      </c>
      <c r="N378" s="118">
        <f t="shared" si="727"/>
        <v>0</v>
      </c>
      <c r="O378" s="298"/>
      <c r="P378" s="298"/>
      <c r="Q378" s="298"/>
      <c r="R378" s="298"/>
      <c r="S378" s="298"/>
      <c r="T378" s="298"/>
      <c r="U378" s="298"/>
      <c r="V378" s="298"/>
      <c r="W378" s="298"/>
      <c r="X378" s="298"/>
      <c r="Y378" s="298"/>
      <c r="Z378" s="298"/>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6"/>
      <c r="BM378" s="311"/>
      <c r="BN378" s="314"/>
    </row>
    <row r="379" s="117" customFormat="1" ht="33.95" hidden="1" customHeight="1" outlineLevel="4" spans="2:66">
      <c r="B379" s="118" t="s">
        <v>799</v>
      </c>
      <c r="C379" s="119" t="s">
        <v>1619</v>
      </c>
      <c r="D379" s="117" t="s">
        <v>1620</v>
      </c>
      <c r="E379" s="118" t="s">
        <v>1621</v>
      </c>
      <c r="F379" s="118"/>
      <c r="G379" s="118" t="s">
        <v>943</v>
      </c>
      <c r="H379" s="118">
        <f t="shared" si="726"/>
        <v>0</v>
      </c>
      <c r="I379" s="118" t="s">
        <v>1583</v>
      </c>
      <c r="J379" s="298"/>
      <c r="K379" s="118" t="s">
        <v>1396</v>
      </c>
      <c r="L379" s="298"/>
      <c r="M379" s="118" t="s">
        <v>1448</v>
      </c>
      <c r="N379" s="118">
        <f t="shared" si="727"/>
        <v>0</v>
      </c>
      <c r="O379" s="298"/>
      <c r="P379" s="298"/>
      <c r="Q379" s="298"/>
      <c r="R379" s="298"/>
      <c r="S379" s="298"/>
      <c r="T379" s="298"/>
      <c r="U379" s="298"/>
      <c r="V379" s="298"/>
      <c r="W379" s="298"/>
      <c r="X379" s="298"/>
      <c r="Y379" s="298"/>
      <c r="Z379" s="298"/>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6"/>
      <c r="BM379" s="311"/>
      <c r="BN379" s="314"/>
    </row>
    <row r="380" s="48" customFormat="1" ht="33.95" hidden="1" customHeight="1" outlineLevel="3" spans="2:66">
      <c r="B380" s="114" t="s">
        <v>799</v>
      </c>
      <c r="C380" s="115" t="s">
        <v>1622</v>
      </c>
      <c r="D380" s="48" t="s">
        <v>1623</v>
      </c>
      <c r="E380" s="114" t="s">
        <v>1624</v>
      </c>
      <c r="F380" s="114" t="s">
        <v>1625</v>
      </c>
      <c r="G380" s="114" t="s">
        <v>943</v>
      </c>
      <c r="H380" s="114">
        <f>J380*L380</f>
        <v>0</v>
      </c>
      <c r="I380" s="114" t="s">
        <v>1242</v>
      </c>
      <c r="J380" s="114">
        <v>1</v>
      </c>
      <c r="K380" s="114" t="s">
        <v>1243</v>
      </c>
      <c r="L380" s="298">
        <f>预算主表!P89</f>
        <v>0</v>
      </c>
      <c r="M380" s="114" t="s">
        <v>1377</v>
      </c>
      <c r="N380" s="114">
        <f t="shared" si="727"/>
        <v>1</v>
      </c>
      <c r="O380" s="316" t="s">
        <v>1292</v>
      </c>
      <c r="P380" s="316"/>
      <c r="Q380" s="316"/>
      <c r="R380" s="316"/>
      <c r="S380" s="316"/>
      <c r="T380" s="316"/>
      <c r="U380" s="316"/>
      <c r="V380" s="316"/>
      <c r="W380" s="316"/>
      <c r="X380" s="316"/>
      <c r="Y380" s="316"/>
      <c r="Z380" s="316"/>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5"/>
      <c r="BM380" s="311"/>
      <c r="BN380" s="313"/>
    </row>
    <row r="381" s="107" customFormat="1" ht="33.95" customHeight="1" outlineLevel="1" spans="2:66">
      <c r="B381" s="108" t="s">
        <v>794</v>
      </c>
      <c r="C381" s="109">
        <v>1.2</v>
      </c>
      <c r="D381" s="107" t="s">
        <v>9</v>
      </c>
      <c r="E381" s="108"/>
      <c r="F381" s="108"/>
      <c r="G381" s="108"/>
      <c r="H381" s="108">
        <f>H382+H430+H461+H486+H502+H540</f>
        <v>42000</v>
      </c>
      <c r="N381" s="303"/>
      <c r="O381" s="286"/>
      <c r="P381" s="286"/>
      <c r="Q381" s="286"/>
      <c r="R381" s="286"/>
      <c r="S381" s="286"/>
      <c r="T381" s="286"/>
      <c r="U381" s="286"/>
      <c r="V381" s="286"/>
      <c r="W381" s="286"/>
      <c r="X381" s="286"/>
      <c r="Y381" s="286"/>
      <c r="Z381" s="286"/>
      <c r="AA381" s="286"/>
      <c r="AB381" s="108">
        <f t="shared" ref="AB381:AF381" si="741">AB382+AB430+AB461+AB486+AB502+AB540</f>
        <v>42000</v>
      </c>
      <c r="AC381" s="108">
        <f t="shared" si="741"/>
        <v>42000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3"/>
      <c r="BM381" s="311"/>
      <c r="BN381" s="286"/>
    </row>
    <row r="382" s="29" customFormat="1" ht="33.95" customHeight="1" outlineLevel="2" spans="2:66">
      <c r="B382" s="111" t="s">
        <v>794</v>
      </c>
      <c r="C382" s="112" t="s">
        <v>1626</v>
      </c>
      <c r="D382" s="29" t="s">
        <v>1627</v>
      </c>
      <c r="E382" s="111"/>
      <c r="F382" s="111"/>
      <c r="G382" s="111"/>
      <c r="H382" s="111">
        <f>H383+H399+H410+H418</f>
        <v>42000</v>
      </c>
      <c r="I382" s="111"/>
      <c r="J382" s="111"/>
      <c r="K382" s="111"/>
      <c r="L382" s="111"/>
      <c r="M382" s="111"/>
      <c r="N382" s="304"/>
      <c r="O382" s="287"/>
      <c r="P382" s="287"/>
      <c r="Q382" s="287"/>
      <c r="R382" s="287"/>
      <c r="S382" s="287"/>
      <c r="T382" s="287"/>
      <c r="U382" s="287"/>
      <c r="V382" s="287"/>
      <c r="W382" s="287"/>
      <c r="X382" s="287"/>
      <c r="Y382" s="287"/>
      <c r="Z382" s="287"/>
      <c r="AA382" s="287"/>
      <c r="AB382" s="111">
        <f t="shared" ref="AB382:AF382" si="742">AB383+AB399+AB410+AB418</f>
        <v>42000</v>
      </c>
      <c r="AC382" s="111">
        <f t="shared" si="742"/>
        <v>42000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4"/>
      <c r="BM382" s="311"/>
      <c r="BN382" s="312"/>
    </row>
    <row r="383" s="48" customFormat="1" ht="33.95" hidden="1" customHeight="1" outlineLevel="3" collapsed="1" spans="2:66">
      <c r="B383" s="114" t="s">
        <v>794</v>
      </c>
      <c r="C383" s="115" t="s">
        <v>1628</v>
      </c>
      <c r="D383" s="48" t="s">
        <v>1629</v>
      </c>
      <c r="E383" s="114"/>
      <c r="F383" s="114"/>
      <c r="G383" s="114"/>
      <c r="H383" s="114">
        <f>SUM(H384:H398)</f>
        <v>0</v>
      </c>
      <c r="I383" s="114"/>
      <c r="J383" s="114"/>
      <c r="K383" s="114"/>
      <c r="L383" s="114"/>
      <c r="M383" s="114"/>
      <c r="N383" s="305"/>
      <c r="O383" s="288"/>
      <c r="P383" s="288"/>
      <c r="Q383" s="288"/>
      <c r="R383" s="288"/>
      <c r="S383" s="288"/>
      <c r="T383" s="288"/>
      <c r="U383" s="288"/>
      <c r="V383" s="288"/>
      <c r="W383" s="288"/>
      <c r="X383" s="288"/>
      <c r="Y383" s="288"/>
      <c r="Z383" s="288"/>
      <c r="AA383" s="288"/>
      <c r="AB383" s="114">
        <f t="shared" ref="AB383:AF383" si="743">SUM(AB384:AB398)</f>
        <v>0</v>
      </c>
      <c r="AC383" s="114">
        <f t="shared" si="743"/>
        <v>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5"/>
      <c r="BM383" s="311"/>
      <c r="BN383" s="313"/>
    </row>
    <row r="384" s="117" customFormat="1" ht="33.95" hidden="1" customHeight="1" outlineLevel="5" spans="2:66">
      <c r="B384" s="118" t="s">
        <v>799</v>
      </c>
      <c r="C384" s="119" t="s">
        <v>1630</v>
      </c>
      <c r="D384" s="117" t="s">
        <v>1631</v>
      </c>
      <c r="E384" s="118" t="s">
        <v>1632</v>
      </c>
      <c r="F384" s="118" t="s">
        <v>1625</v>
      </c>
      <c r="G384" s="118" t="s">
        <v>943</v>
      </c>
      <c r="H384" s="118">
        <f t="shared" ref="H384:H398" si="744">J384*L384</f>
        <v>0</v>
      </c>
      <c r="I384" s="118" t="s">
        <v>1242</v>
      </c>
      <c r="J384" s="298">
        <f>预算主表!P77/2000</f>
        <v>0</v>
      </c>
      <c r="K384" s="118" t="s">
        <v>1633</v>
      </c>
      <c r="L384" s="118">
        <v>2000</v>
      </c>
      <c r="M384" s="118" t="s">
        <v>1634</v>
      </c>
      <c r="N384" s="118">
        <f t="shared" ref="N384:N398" si="745">COUNTA(O384:Z384)</f>
        <v>1</v>
      </c>
      <c r="O384" s="317" t="s">
        <v>1292</v>
      </c>
      <c r="P384" s="317"/>
      <c r="Q384" s="317"/>
      <c r="R384" s="317"/>
      <c r="S384" s="317"/>
      <c r="T384" s="317"/>
      <c r="U384" s="317"/>
      <c r="V384" s="317"/>
      <c r="W384" s="317"/>
      <c r="X384" s="317"/>
      <c r="Y384" s="317"/>
      <c r="Z384" s="317"/>
      <c r="AA384" s="118"/>
      <c r="AB384" s="118">
        <f t="shared" ref="AB384:AB395" si="746">SUM(AC384,AF384,AI384,AL384,AO384,AR384,AU384,AX384,BA384,BD384,BG384,BJ384)</f>
        <v>0</v>
      </c>
      <c r="AC384" s="118">
        <f>IF(O384="√",$J384*$L384/$N384,0)</f>
        <v>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6"/>
      <c r="BM384" s="311"/>
      <c r="BN384" s="314"/>
    </row>
    <row r="385" s="117" customFormat="1" ht="33.95" hidden="1" customHeight="1" outlineLevel="5" spans="2:66">
      <c r="B385" s="118" t="s">
        <v>799</v>
      </c>
      <c r="C385" s="119" t="s">
        <v>1635</v>
      </c>
      <c r="D385" s="117" t="s">
        <v>1636</v>
      </c>
      <c r="E385" s="118" t="s">
        <v>1637</v>
      </c>
      <c r="F385" s="118" t="s">
        <v>1625</v>
      </c>
      <c r="G385" s="118" t="s">
        <v>943</v>
      </c>
      <c r="H385" s="118">
        <f t="shared" si="744"/>
        <v>0</v>
      </c>
      <c r="I385" s="118" t="s">
        <v>1242</v>
      </c>
      <c r="J385" s="298"/>
      <c r="K385" s="118" t="s">
        <v>1633</v>
      </c>
      <c r="L385" s="118">
        <v>165</v>
      </c>
      <c r="M385" s="118" t="s">
        <v>1634</v>
      </c>
      <c r="N385" s="118">
        <f t="shared" si="745"/>
        <v>0</v>
      </c>
      <c r="O385" s="298"/>
      <c r="P385" s="298"/>
      <c r="Q385" s="298"/>
      <c r="R385" s="298"/>
      <c r="S385" s="298"/>
      <c r="T385" s="298"/>
      <c r="U385" s="298"/>
      <c r="V385" s="298"/>
      <c r="W385" s="298"/>
      <c r="X385" s="298"/>
      <c r="Y385" s="298"/>
      <c r="Z385" s="298"/>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6"/>
      <c r="BM385" s="311"/>
      <c r="BN385" s="314"/>
    </row>
    <row r="386" s="117" customFormat="1" ht="33.95" hidden="1" customHeight="1" outlineLevel="5" spans="2:66">
      <c r="B386" s="118" t="s">
        <v>799</v>
      </c>
      <c r="C386" s="119" t="s">
        <v>1638</v>
      </c>
      <c r="D386" s="117" t="s">
        <v>1639</v>
      </c>
      <c r="E386" s="118" t="s">
        <v>1640</v>
      </c>
      <c r="F386" s="118" t="s">
        <v>1625</v>
      </c>
      <c r="G386" s="118" t="s">
        <v>943</v>
      </c>
      <c r="H386" s="118">
        <f t="shared" si="744"/>
        <v>0</v>
      </c>
      <c r="I386" s="118" t="s">
        <v>1242</v>
      </c>
      <c r="J386" s="298"/>
      <c r="K386" s="118" t="s">
        <v>1633</v>
      </c>
      <c r="L386" s="118">
        <v>540</v>
      </c>
      <c r="M386" s="118" t="s">
        <v>1634</v>
      </c>
      <c r="N386" s="118">
        <f t="shared" si="745"/>
        <v>0</v>
      </c>
      <c r="O386" s="298"/>
      <c r="P386" s="298"/>
      <c r="Q386" s="298"/>
      <c r="R386" s="298"/>
      <c r="S386" s="298"/>
      <c r="T386" s="298"/>
      <c r="U386" s="298"/>
      <c r="V386" s="298"/>
      <c r="W386" s="298"/>
      <c r="X386" s="298"/>
      <c r="Y386" s="298"/>
      <c r="Z386" s="298"/>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6"/>
      <c r="BM386" s="311"/>
      <c r="BN386" s="314"/>
    </row>
    <row r="387" s="117" customFormat="1" ht="33.95" hidden="1" customHeight="1" outlineLevel="5" spans="2:66">
      <c r="B387" s="118" t="s">
        <v>799</v>
      </c>
      <c r="C387" s="119" t="s">
        <v>1641</v>
      </c>
      <c r="D387" s="117" t="s">
        <v>1642</v>
      </c>
      <c r="E387" s="118" t="s">
        <v>1643</v>
      </c>
      <c r="F387" s="118" t="s">
        <v>1625</v>
      </c>
      <c r="G387" s="118" t="s">
        <v>943</v>
      </c>
      <c r="H387" s="118">
        <f t="shared" si="744"/>
        <v>0</v>
      </c>
      <c r="I387" s="118" t="s">
        <v>1242</v>
      </c>
      <c r="J387" s="298"/>
      <c r="K387" s="118" t="s">
        <v>1633</v>
      </c>
      <c r="L387" s="118">
        <v>930</v>
      </c>
      <c r="M387" s="118" t="s">
        <v>1634</v>
      </c>
      <c r="N387" s="118">
        <f t="shared" si="745"/>
        <v>0</v>
      </c>
      <c r="O387" s="298"/>
      <c r="P387" s="298"/>
      <c r="Q387" s="298"/>
      <c r="R387" s="298"/>
      <c r="S387" s="298"/>
      <c r="T387" s="298"/>
      <c r="U387" s="298"/>
      <c r="V387" s="298"/>
      <c r="W387" s="298"/>
      <c r="X387" s="298"/>
      <c r="Y387" s="298"/>
      <c r="Z387" s="298"/>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6"/>
      <c r="BM387" s="311"/>
      <c r="BN387" s="314"/>
    </row>
    <row r="388" s="117" customFormat="1" ht="33.95" hidden="1" customHeight="1" outlineLevel="5" spans="2:66">
      <c r="B388" s="118" t="s">
        <v>799</v>
      </c>
      <c r="C388" s="119" t="s">
        <v>1644</v>
      </c>
      <c r="D388" s="117" t="s">
        <v>1645</v>
      </c>
      <c r="E388" s="118" t="s">
        <v>1646</v>
      </c>
      <c r="F388" s="118" t="s">
        <v>1625</v>
      </c>
      <c r="G388" s="118" t="s">
        <v>943</v>
      </c>
      <c r="H388" s="118">
        <f t="shared" si="744"/>
        <v>0</v>
      </c>
      <c r="I388" s="118" t="s">
        <v>1242</v>
      </c>
      <c r="J388" s="298"/>
      <c r="K388" s="118" t="s">
        <v>1633</v>
      </c>
      <c r="L388" s="118">
        <v>230</v>
      </c>
      <c r="M388" s="118" t="s">
        <v>1634</v>
      </c>
      <c r="N388" s="118">
        <f t="shared" si="745"/>
        <v>0</v>
      </c>
      <c r="O388" s="298"/>
      <c r="P388" s="298"/>
      <c r="Q388" s="298"/>
      <c r="R388" s="298"/>
      <c r="S388" s="298"/>
      <c r="T388" s="298"/>
      <c r="U388" s="298"/>
      <c r="V388" s="298"/>
      <c r="W388" s="298"/>
      <c r="X388" s="298"/>
      <c r="Y388" s="298"/>
      <c r="Z388" s="298"/>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6"/>
      <c r="BM388" s="311"/>
      <c r="BN388" s="314"/>
    </row>
    <row r="389" s="117" customFormat="1" ht="33.95" hidden="1" customHeight="1" outlineLevel="5" spans="2:66">
      <c r="B389" s="118" t="s">
        <v>799</v>
      </c>
      <c r="C389" s="119" t="s">
        <v>1647</v>
      </c>
      <c r="D389" s="117" t="s">
        <v>1648</v>
      </c>
      <c r="E389" s="118" t="s">
        <v>1649</v>
      </c>
      <c r="F389" s="118" t="s">
        <v>1625</v>
      </c>
      <c r="G389" s="118" t="s">
        <v>943</v>
      </c>
      <c r="H389" s="118">
        <f t="shared" si="744"/>
        <v>0</v>
      </c>
      <c r="I389" s="118" t="s">
        <v>1242</v>
      </c>
      <c r="J389" s="298"/>
      <c r="K389" s="118" t="s">
        <v>1633</v>
      </c>
      <c r="L389" s="118">
        <v>500</v>
      </c>
      <c r="M389" s="118" t="s">
        <v>1634</v>
      </c>
      <c r="N389" s="118">
        <f t="shared" si="745"/>
        <v>0</v>
      </c>
      <c r="O389" s="298"/>
      <c r="P389" s="298"/>
      <c r="Q389" s="298"/>
      <c r="R389" s="298"/>
      <c r="S389" s="298"/>
      <c r="T389" s="298"/>
      <c r="U389" s="298"/>
      <c r="V389" s="298"/>
      <c r="W389" s="298"/>
      <c r="X389" s="298"/>
      <c r="Y389" s="298"/>
      <c r="Z389" s="298"/>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6"/>
      <c r="BM389" s="311"/>
      <c r="BN389" s="314"/>
    </row>
    <row r="390" s="117" customFormat="1" ht="33.95" hidden="1" customHeight="1" outlineLevel="5" spans="2:66">
      <c r="B390" s="118" t="s">
        <v>799</v>
      </c>
      <c r="C390" s="119" t="s">
        <v>1650</v>
      </c>
      <c r="D390" s="117" t="s">
        <v>1651</v>
      </c>
      <c r="E390" s="118" t="s">
        <v>1646</v>
      </c>
      <c r="F390" s="118" t="s">
        <v>1625</v>
      </c>
      <c r="G390" s="118" t="s">
        <v>943</v>
      </c>
      <c r="H390" s="118">
        <f t="shared" si="744"/>
        <v>0</v>
      </c>
      <c r="I390" s="118" t="s">
        <v>1242</v>
      </c>
      <c r="J390" s="298"/>
      <c r="K390" s="118" t="s">
        <v>1633</v>
      </c>
      <c r="L390" s="118">
        <v>150</v>
      </c>
      <c r="M390" s="118" t="s">
        <v>1634</v>
      </c>
      <c r="N390" s="118">
        <f t="shared" si="745"/>
        <v>0</v>
      </c>
      <c r="O390" s="298"/>
      <c r="P390" s="298"/>
      <c r="Q390" s="298"/>
      <c r="R390" s="298"/>
      <c r="S390" s="298"/>
      <c r="T390" s="298"/>
      <c r="U390" s="298"/>
      <c r="V390" s="298"/>
      <c r="W390" s="298"/>
      <c r="X390" s="298"/>
      <c r="Y390" s="298"/>
      <c r="Z390" s="298"/>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6"/>
      <c r="BM390" s="311"/>
      <c r="BN390" s="314"/>
    </row>
    <row r="391" s="117" customFormat="1" ht="33.95" hidden="1" customHeight="1" outlineLevel="5" spans="2:66">
      <c r="B391" s="118" t="s">
        <v>799</v>
      </c>
      <c r="C391" s="119" t="s">
        <v>1652</v>
      </c>
      <c r="D391" s="117" t="s">
        <v>1653</v>
      </c>
      <c r="E391" s="118" t="s">
        <v>1654</v>
      </c>
      <c r="F391" s="118" t="s">
        <v>1625</v>
      </c>
      <c r="G391" s="118" t="s">
        <v>943</v>
      </c>
      <c r="H391" s="118">
        <f t="shared" si="744"/>
        <v>0</v>
      </c>
      <c r="I391" s="118" t="s">
        <v>1242</v>
      </c>
      <c r="J391" s="298"/>
      <c r="K391" s="118" t="s">
        <v>1633</v>
      </c>
      <c r="L391" s="118">
        <f>SUMIFS('附表1-数据库'!$D$2:$D$22,'附表1-数据库'!$B$2:$B$22,$D391,'附表1-数据库'!$C$2:$C$22,'1-1 项目基础信息'!$D$13)</f>
        <v>0</v>
      </c>
      <c r="M391" s="118" t="s">
        <v>1634</v>
      </c>
      <c r="N391" s="118">
        <f t="shared" si="745"/>
        <v>0</v>
      </c>
      <c r="O391" s="298"/>
      <c r="P391" s="298"/>
      <c r="Q391" s="298"/>
      <c r="R391" s="298"/>
      <c r="S391" s="298"/>
      <c r="T391" s="298"/>
      <c r="U391" s="298"/>
      <c r="V391" s="298"/>
      <c r="W391" s="298"/>
      <c r="X391" s="298"/>
      <c r="Y391" s="298"/>
      <c r="Z391" s="298"/>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6"/>
      <c r="BM391" s="311"/>
      <c r="BN391" s="314"/>
    </row>
    <row r="392" s="117" customFormat="1" ht="33.95" hidden="1" customHeight="1" outlineLevel="5" spans="2:66">
      <c r="B392" s="118" t="s">
        <v>799</v>
      </c>
      <c r="C392" s="119" t="s">
        <v>1655</v>
      </c>
      <c r="D392" s="117" t="s">
        <v>1656</v>
      </c>
      <c r="E392" s="118" t="s">
        <v>1657</v>
      </c>
      <c r="F392" s="118" t="s">
        <v>1625</v>
      </c>
      <c r="G392" s="118" t="s">
        <v>943</v>
      </c>
      <c r="H392" s="118">
        <f t="shared" si="744"/>
        <v>0</v>
      </c>
      <c r="I392" s="118" t="s">
        <v>1242</v>
      </c>
      <c r="J392" s="298"/>
      <c r="K392" s="118" t="s">
        <v>1633</v>
      </c>
      <c r="L392" s="118">
        <f>SUMIFS('附表1-数据库'!$D$2:$D$22,'附表1-数据库'!$B$2:$B$22,$D392,'附表1-数据库'!$C$2:$C$22,'1-1 项目基础信息'!$D$13)</f>
        <v>0</v>
      </c>
      <c r="M392" s="118" t="s">
        <v>1634</v>
      </c>
      <c r="N392" s="118">
        <f t="shared" si="745"/>
        <v>0</v>
      </c>
      <c r="O392" s="298"/>
      <c r="P392" s="298"/>
      <c r="Q392" s="298"/>
      <c r="R392" s="298"/>
      <c r="S392" s="298"/>
      <c r="T392" s="298"/>
      <c r="U392" s="298"/>
      <c r="V392" s="298"/>
      <c r="W392" s="298"/>
      <c r="X392" s="298"/>
      <c r="Y392" s="298"/>
      <c r="Z392" s="298"/>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6"/>
      <c r="BM392" s="311"/>
      <c r="BN392" s="314"/>
    </row>
    <row r="393" s="117" customFormat="1" ht="33.95" hidden="1" customHeight="1" outlineLevel="5" spans="2:66">
      <c r="B393" s="118" t="s">
        <v>799</v>
      </c>
      <c r="C393" s="119" t="s">
        <v>1658</v>
      </c>
      <c r="D393" s="117" t="s">
        <v>1659</v>
      </c>
      <c r="E393" s="118" t="s">
        <v>1640</v>
      </c>
      <c r="F393" s="118" t="s">
        <v>1625</v>
      </c>
      <c r="G393" s="118" t="s">
        <v>943</v>
      </c>
      <c r="H393" s="118">
        <f t="shared" si="744"/>
        <v>0</v>
      </c>
      <c r="I393" s="118" t="s">
        <v>1242</v>
      </c>
      <c r="J393" s="298"/>
      <c r="K393" s="118" t="s">
        <v>1633</v>
      </c>
      <c r="L393" s="118">
        <f>SUMIFS('附表1-数据库'!$D$2:$D$22,'附表1-数据库'!$B$2:$B$22,$D393,'附表1-数据库'!$C$2:$C$22,'1-1 项目基础信息'!$D$13)</f>
        <v>0</v>
      </c>
      <c r="M393" s="118" t="s">
        <v>1634</v>
      </c>
      <c r="N393" s="118">
        <f t="shared" si="745"/>
        <v>0</v>
      </c>
      <c r="O393" s="298"/>
      <c r="P393" s="298"/>
      <c r="Q393" s="298"/>
      <c r="R393" s="298"/>
      <c r="S393" s="298"/>
      <c r="T393" s="298"/>
      <c r="U393" s="298"/>
      <c r="V393" s="298"/>
      <c r="W393" s="298"/>
      <c r="X393" s="298"/>
      <c r="Y393" s="298"/>
      <c r="Z393" s="298"/>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6"/>
      <c r="BM393" s="311"/>
      <c r="BN393" s="314"/>
    </row>
    <row r="394" s="117" customFormat="1" ht="33.95" hidden="1" customHeight="1" outlineLevel="5" spans="2:66">
      <c r="B394" s="118" t="s">
        <v>799</v>
      </c>
      <c r="C394" s="119" t="s">
        <v>1660</v>
      </c>
      <c r="D394" s="117" t="s">
        <v>1661</v>
      </c>
      <c r="E394" s="118" t="s">
        <v>1643</v>
      </c>
      <c r="F394" s="118" t="s">
        <v>1625</v>
      </c>
      <c r="G394" s="118" t="s">
        <v>943</v>
      </c>
      <c r="H394" s="118">
        <f t="shared" si="744"/>
        <v>0</v>
      </c>
      <c r="I394" s="118" t="s">
        <v>1242</v>
      </c>
      <c r="J394" s="298"/>
      <c r="K394" s="118" t="s">
        <v>1633</v>
      </c>
      <c r="L394" s="118">
        <f>SUMIFS('附表1-数据库'!$D$2:$D$22,'附表1-数据库'!$B$2:$B$22,$D394,'附表1-数据库'!$C$2:$C$22,'1-1 项目基础信息'!$D$13)</f>
        <v>0</v>
      </c>
      <c r="M394" s="118" t="s">
        <v>1634</v>
      </c>
      <c r="N394" s="118">
        <f t="shared" si="745"/>
        <v>0</v>
      </c>
      <c r="O394" s="298"/>
      <c r="P394" s="298"/>
      <c r="Q394" s="298"/>
      <c r="R394" s="298"/>
      <c r="S394" s="298"/>
      <c r="T394" s="298"/>
      <c r="U394" s="298"/>
      <c r="V394" s="298"/>
      <c r="W394" s="298"/>
      <c r="X394" s="298"/>
      <c r="Y394" s="298"/>
      <c r="Z394" s="298"/>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6"/>
      <c r="BM394" s="311"/>
      <c r="BN394" s="314"/>
    </row>
    <row r="395" s="117" customFormat="1" ht="33.95" hidden="1" customHeight="1" outlineLevel="5" spans="2:66">
      <c r="B395" s="118" t="s">
        <v>799</v>
      </c>
      <c r="C395" s="119" t="s">
        <v>1662</v>
      </c>
      <c r="D395" s="117" t="s">
        <v>1663</v>
      </c>
      <c r="E395" s="118" t="s">
        <v>1646</v>
      </c>
      <c r="F395" s="118" t="s">
        <v>1625</v>
      </c>
      <c r="G395" s="118" t="s">
        <v>943</v>
      </c>
      <c r="H395" s="118">
        <f t="shared" si="744"/>
        <v>0</v>
      </c>
      <c r="I395" s="118" t="s">
        <v>1242</v>
      </c>
      <c r="J395" s="298"/>
      <c r="K395" s="118" t="s">
        <v>1633</v>
      </c>
      <c r="L395" s="118">
        <f>SUMIFS('附表1-数据库'!$D$2:$D$22,'附表1-数据库'!$B$2:$B$22,$D395,'附表1-数据库'!$C$2:$C$22,'1-1 项目基础信息'!$D$13)</f>
        <v>0</v>
      </c>
      <c r="M395" s="118" t="s">
        <v>1634</v>
      </c>
      <c r="N395" s="118">
        <f t="shared" si="745"/>
        <v>0</v>
      </c>
      <c r="O395" s="298"/>
      <c r="P395" s="298"/>
      <c r="Q395" s="298"/>
      <c r="R395" s="298"/>
      <c r="S395" s="298"/>
      <c r="T395" s="298"/>
      <c r="U395" s="298"/>
      <c r="V395" s="298"/>
      <c r="W395" s="298"/>
      <c r="X395" s="298"/>
      <c r="Y395" s="298"/>
      <c r="Z395" s="298"/>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6"/>
      <c r="BM395" s="311"/>
      <c r="BN395" s="314"/>
    </row>
    <row r="396" s="117" customFormat="1" ht="33.95" hidden="1" customHeight="1" outlineLevel="5" spans="2:66">
      <c r="B396" s="118" t="s">
        <v>799</v>
      </c>
      <c r="C396" s="119" t="s">
        <v>1664</v>
      </c>
      <c r="D396" s="117" t="s">
        <v>1665</v>
      </c>
      <c r="E396" s="118" t="s">
        <v>1649</v>
      </c>
      <c r="F396" s="118" t="s">
        <v>1625</v>
      </c>
      <c r="G396" s="118" t="s">
        <v>943</v>
      </c>
      <c r="H396" s="118">
        <f t="shared" si="744"/>
        <v>0</v>
      </c>
      <c r="I396" s="118" t="s">
        <v>1242</v>
      </c>
      <c r="J396" s="298"/>
      <c r="K396" s="118" t="s">
        <v>1633</v>
      </c>
      <c r="L396" s="118">
        <f>SUMIFS('附表1-数据库'!$D$2:$D$22,'附表1-数据库'!$B$2:$B$22,$D396,'附表1-数据库'!$C$2:$C$22,'1-1 项目基础信息'!$D$13)</f>
        <v>0</v>
      </c>
      <c r="M396" s="118" t="s">
        <v>1634</v>
      </c>
      <c r="N396" s="118">
        <f t="shared" si="745"/>
        <v>0</v>
      </c>
      <c r="O396" s="298"/>
      <c r="P396" s="298"/>
      <c r="Q396" s="298"/>
      <c r="R396" s="298"/>
      <c r="S396" s="298"/>
      <c r="T396" s="298"/>
      <c r="U396" s="298"/>
      <c r="V396" s="298"/>
      <c r="W396" s="298"/>
      <c r="X396" s="298"/>
      <c r="Y396" s="298"/>
      <c r="Z396" s="298"/>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6"/>
      <c r="BM396" s="311"/>
      <c r="BN396" s="314"/>
    </row>
    <row r="397" s="117" customFormat="1" ht="33.95" hidden="1" customHeight="1" outlineLevel="5" spans="2:66">
      <c r="B397" s="118" t="s">
        <v>799</v>
      </c>
      <c r="C397" s="119" t="s">
        <v>1666</v>
      </c>
      <c r="D397" s="117" t="s">
        <v>1667</v>
      </c>
      <c r="E397" s="118" t="s">
        <v>1646</v>
      </c>
      <c r="F397" s="118" t="s">
        <v>1625</v>
      </c>
      <c r="G397" s="118" t="s">
        <v>943</v>
      </c>
      <c r="H397" s="118">
        <f t="shared" si="744"/>
        <v>0</v>
      </c>
      <c r="I397" s="118" t="s">
        <v>1242</v>
      </c>
      <c r="J397" s="298"/>
      <c r="K397" s="118" t="s">
        <v>1633</v>
      </c>
      <c r="L397" s="118">
        <f>SUMIFS('附表1-数据库'!$D$2:$D$22,'附表1-数据库'!$B$2:$B$22,$D397,'附表1-数据库'!$C$2:$C$22,'1-1 项目基础信息'!$D$13)</f>
        <v>0</v>
      </c>
      <c r="M397" s="118" t="s">
        <v>1634</v>
      </c>
      <c r="N397" s="118">
        <f t="shared" si="745"/>
        <v>0</v>
      </c>
      <c r="O397" s="298"/>
      <c r="P397" s="298"/>
      <c r="Q397" s="298"/>
      <c r="R397" s="298"/>
      <c r="S397" s="298"/>
      <c r="T397" s="298"/>
      <c r="U397" s="298"/>
      <c r="V397" s="298"/>
      <c r="W397" s="298"/>
      <c r="X397" s="298"/>
      <c r="Y397" s="298"/>
      <c r="Z397" s="298"/>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6"/>
      <c r="BM397" s="311"/>
      <c r="BN397" s="314"/>
    </row>
    <row r="398" s="117" customFormat="1" ht="33.95" hidden="1" customHeight="1" outlineLevel="5" spans="2:66">
      <c r="B398" s="118" t="s">
        <v>799</v>
      </c>
      <c r="C398" s="119" t="s">
        <v>1668</v>
      </c>
      <c r="D398" s="117" t="s">
        <v>1669</v>
      </c>
      <c r="E398" s="118"/>
      <c r="F398" s="118" t="s">
        <v>1625</v>
      </c>
      <c r="G398" s="118" t="s">
        <v>943</v>
      </c>
      <c r="H398" s="118">
        <f t="shared" si="744"/>
        <v>0</v>
      </c>
      <c r="I398" s="118" t="s">
        <v>1242</v>
      </c>
      <c r="J398" s="298"/>
      <c r="K398" s="118" t="s">
        <v>1633</v>
      </c>
      <c r="L398" s="298"/>
      <c r="M398" s="118" t="s">
        <v>1634</v>
      </c>
      <c r="N398" s="118">
        <f t="shared" si="745"/>
        <v>0</v>
      </c>
      <c r="O398" s="316"/>
      <c r="P398" s="316"/>
      <c r="Q398" s="316"/>
      <c r="R398" s="316"/>
      <c r="S398" s="316"/>
      <c r="T398" s="316"/>
      <c r="U398" s="316"/>
      <c r="V398" s="316"/>
      <c r="W398" s="316"/>
      <c r="X398" s="316"/>
      <c r="Y398" s="316"/>
      <c r="Z398" s="316"/>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6"/>
      <c r="BM398" s="311"/>
      <c r="BN398" s="314"/>
    </row>
    <row r="399" s="48" customFormat="1" ht="33.95" hidden="1" customHeight="1" outlineLevel="3" collapsed="1" spans="2:66">
      <c r="B399" s="114" t="s">
        <v>794</v>
      </c>
      <c r="C399" s="115" t="s">
        <v>1670</v>
      </c>
      <c r="D399" s="48" t="s">
        <v>1671</v>
      </c>
      <c r="E399" s="114"/>
      <c r="F399" s="114"/>
      <c r="G399" s="114"/>
      <c r="H399" s="114">
        <f>SUM(H400:H409)</f>
        <v>0</v>
      </c>
      <c r="I399" s="114"/>
      <c r="J399" s="114"/>
      <c r="K399" s="114"/>
      <c r="L399" s="114"/>
      <c r="M399" s="114"/>
      <c r="N399" s="305"/>
      <c r="O399" s="288"/>
      <c r="P399" s="288"/>
      <c r="Q399" s="288"/>
      <c r="R399" s="288"/>
      <c r="S399" s="288"/>
      <c r="T399" s="288"/>
      <c r="U399" s="288"/>
      <c r="V399" s="288"/>
      <c r="W399" s="288"/>
      <c r="X399" s="288"/>
      <c r="Y399" s="288"/>
      <c r="Z399" s="288"/>
      <c r="AA399" s="288"/>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5"/>
      <c r="BM399" s="311"/>
      <c r="BN399" s="313"/>
    </row>
    <row r="400" s="117" customFormat="1" ht="33.95" hidden="1" customHeight="1" outlineLevel="4" spans="2:66">
      <c r="B400" s="118" t="s">
        <v>799</v>
      </c>
      <c r="C400" s="119" t="s">
        <v>1672</v>
      </c>
      <c r="D400" s="117" t="s">
        <v>1673</v>
      </c>
      <c r="E400" s="118" t="s">
        <v>1674</v>
      </c>
      <c r="F400" s="118" t="s">
        <v>1625</v>
      </c>
      <c r="G400" s="118" t="s">
        <v>943</v>
      </c>
      <c r="H400" s="118">
        <f t="shared" ref="H400:H409" si="773">J400*L400</f>
        <v>0</v>
      </c>
      <c r="I400" s="118" t="s">
        <v>1242</v>
      </c>
      <c r="J400" s="298"/>
      <c r="K400" s="118" t="s">
        <v>1396</v>
      </c>
      <c r="L400" s="118">
        <v>20</v>
      </c>
      <c r="M400" s="118" t="s">
        <v>1675</v>
      </c>
      <c r="N400" s="118">
        <f t="shared" ref="N400:N409" si="774">COUNTA(O400:Z400)</f>
        <v>0</v>
      </c>
      <c r="O400" s="317"/>
      <c r="P400" s="317"/>
      <c r="Q400" s="317"/>
      <c r="R400" s="317"/>
      <c r="S400" s="317"/>
      <c r="T400" s="317"/>
      <c r="U400" s="317"/>
      <c r="V400" s="317"/>
      <c r="W400" s="317"/>
      <c r="X400" s="317"/>
      <c r="Y400" s="317"/>
      <c r="Z400" s="317"/>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6"/>
      <c r="BM400" s="311"/>
      <c r="BN400" s="314"/>
    </row>
    <row r="401" s="117" customFormat="1" ht="33.95" hidden="1" customHeight="1" outlineLevel="4" spans="2:66">
      <c r="B401" s="118" t="s">
        <v>799</v>
      </c>
      <c r="C401" s="119" t="s">
        <v>1676</v>
      </c>
      <c r="D401" s="117" t="s">
        <v>1677</v>
      </c>
      <c r="E401" s="118" t="s">
        <v>1678</v>
      </c>
      <c r="F401" s="118" t="s">
        <v>1625</v>
      </c>
      <c r="G401" s="118" t="s">
        <v>943</v>
      </c>
      <c r="H401" s="118">
        <f t="shared" si="773"/>
        <v>0</v>
      </c>
      <c r="I401" s="118" t="s">
        <v>1242</v>
      </c>
      <c r="J401" s="298"/>
      <c r="K401" s="118" t="s">
        <v>1396</v>
      </c>
      <c r="L401" s="118">
        <v>55</v>
      </c>
      <c r="M401" s="118" t="s">
        <v>1675</v>
      </c>
      <c r="N401" s="118">
        <f t="shared" si="774"/>
        <v>0</v>
      </c>
      <c r="O401" s="298"/>
      <c r="P401" s="298"/>
      <c r="Q401" s="298"/>
      <c r="R401" s="298"/>
      <c r="S401" s="298"/>
      <c r="T401" s="298"/>
      <c r="U401" s="298"/>
      <c r="V401" s="298"/>
      <c r="W401" s="298"/>
      <c r="X401" s="298"/>
      <c r="Y401" s="298"/>
      <c r="Z401" s="298"/>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6"/>
      <c r="BM401" s="311"/>
      <c r="BN401" s="314"/>
    </row>
    <row r="402" s="117" customFormat="1" ht="33.95" hidden="1" customHeight="1" outlineLevel="4" spans="2:66">
      <c r="B402" s="118" t="s">
        <v>799</v>
      </c>
      <c r="C402" s="119" t="s">
        <v>1679</v>
      </c>
      <c r="D402" s="117" t="s">
        <v>1680</v>
      </c>
      <c r="E402" s="118" t="s">
        <v>1681</v>
      </c>
      <c r="F402" s="118" t="s">
        <v>1625</v>
      </c>
      <c r="G402" s="118" t="s">
        <v>943</v>
      </c>
      <c r="H402" s="118">
        <f t="shared" si="773"/>
        <v>0</v>
      </c>
      <c r="I402" s="118" t="s">
        <v>1242</v>
      </c>
      <c r="J402" s="298"/>
      <c r="K402" s="118" t="s">
        <v>1396</v>
      </c>
      <c r="L402" s="118">
        <v>300</v>
      </c>
      <c r="M402" s="118" t="s">
        <v>1675</v>
      </c>
      <c r="N402" s="118">
        <f t="shared" si="774"/>
        <v>0</v>
      </c>
      <c r="O402" s="298"/>
      <c r="P402" s="298"/>
      <c r="Q402" s="298"/>
      <c r="R402" s="298"/>
      <c r="S402" s="298"/>
      <c r="T402" s="298"/>
      <c r="U402" s="298"/>
      <c r="V402" s="298"/>
      <c r="W402" s="298"/>
      <c r="X402" s="298"/>
      <c r="Y402" s="298"/>
      <c r="Z402" s="298"/>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6"/>
      <c r="BM402" s="311"/>
      <c r="BN402" s="314"/>
    </row>
    <row r="403" s="117" customFormat="1" ht="33.95" hidden="1" customHeight="1" outlineLevel="4" spans="2:66">
      <c r="B403" s="118" t="s">
        <v>799</v>
      </c>
      <c r="C403" s="119" t="s">
        <v>1682</v>
      </c>
      <c r="D403" s="117" t="s">
        <v>1683</v>
      </c>
      <c r="E403" s="118" t="s">
        <v>1684</v>
      </c>
      <c r="F403" s="118" t="s">
        <v>1625</v>
      </c>
      <c r="G403" s="118" t="s">
        <v>943</v>
      </c>
      <c r="H403" s="118">
        <f t="shared" si="773"/>
        <v>0</v>
      </c>
      <c r="I403" s="118" t="s">
        <v>1242</v>
      </c>
      <c r="J403" s="298"/>
      <c r="K403" s="118" t="s">
        <v>1396</v>
      </c>
      <c r="L403" s="118">
        <v>15</v>
      </c>
      <c r="M403" s="118" t="s">
        <v>1675</v>
      </c>
      <c r="N403" s="118">
        <f t="shared" si="774"/>
        <v>0</v>
      </c>
      <c r="O403" s="298"/>
      <c r="P403" s="298"/>
      <c r="Q403" s="298"/>
      <c r="R403" s="298"/>
      <c r="S403" s="298"/>
      <c r="T403" s="298"/>
      <c r="U403" s="298"/>
      <c r="V403" s="298"/>
      <c r="W403" s="298"/>
      <c r="X403" s="298"/>
      <c r="Y403" s="298"/>
      <c r="Z403" s="298"/>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6"/>
      <c r="BM403" s="311"/>
      <c r="BN403" s="314"/>
    </row>
    <row r="404" s="117" customFormat="1" ht="33.95" hidden="1" customHeight="1" outlineLevel="4" spans="2:66">
      <c r="B404" s="118" t="s">
        <v>799</v>
      </c>
      <c r="C404" s="119" t="s">
        <v>1685</v>
      </c>
      <c r="D404" s="117" t="s">
        <v>1686</v>
      </c>
      <c r="E404" s="118" t="s">
        <v>1687</v>
      </c>
      <c r="F404" s="118" t="s">
        <v>1625</v>
      </c>
      <c r="G404" s="118" t="s">
        <v>943</v>
      </c>
      <c r="H404" s="118">
        <f t="shared" si="773"/>
        <v>0</v>
      </c>
      <c r="I404" s="118" t="s">
        <v>1242</v>
      </c>
      <c r="J404" s="298"/>
      <c r="K404" s="118" t="s">
        <v>1396</v>
      </c>
      <c r="L404" s="118">
        <v>50</v>
      </c>
      <c r="M404" s="118" t="s">
        <v>1675</v>
      </c>
      <c r="N404" s="118">
        <f t="shared" si="774"/>
        <v>0</v>
      </c>
      <c r="O404" s="298"/>
      <c r="P404" s="298"/>
      <c r="Q404" s="298"/>
      <c r="R404" s="298"/>
      <c r="S404" s="298"/>
      <c r="T404" s="298"/>
      <c r="U404" s="298"/>
      <c r="V404" s="298"/>
      <c r="W404" s="298"/>
      <c r="X404" s="298"/>
      <c r="Y404" s="298"/>
      <c r="Z404" s="298"/>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6"/>
      <c r="BM404" s="311"/>
      <c r="BN404" s="314"/>
    </row>
    <row r="405" s="117" customFormat="1" ht="33.95" hidden="1" customHeight="1" outlineLevel="4" spans="2:66">
      <c r="B405" s="118" t="s">
        <v>799</v>
      </c>
      <c r="C405" s="119" t="s">
        <v>1688</v>
      </c>
      <c r="D405" s="117" t="s">
        <v>1689</v>
      </c>
      <c r="E405" s="118" t="s">
        <v>1690</v>
      </c>
      <c r="F405" s="118" t="s">
        <v>1625</v>
      </c>
      <c r="G405" s="118" t="s">
        <v>943</v>
      </c>
      <c r="H405" s="118">
        <f t="shared" si="773"/>
        <v>0</v>
      </c>
      <c r="I405" s="118" t="s">
        <v>1242</v>
      </c>
      <c r="J405" s="298"/>
      <c r="K405" s="118" t="s">
        <v>1396</v>
      </c>
      <c r="L405" s="118">
        <v>565</v>
      </c>
      <c r="M405" s="118" t="s">
        <v>1675</v>
      </c>
      <c r="N405" s="118">
        <f t="shared" si="774"/>
        <v>0</v>
      </c>
      <c r="O405" s="298"/>
      <c r="P405" s="298"/>
      <c r="Q405" s="298"/>
      <c r="R405" s="298"/>
      <c r="S405" s="298"/>
      <c r="T405" s="298"/>
      <c r="U405" s="298"/>
      <c r="V405" s="298"/>
      <c r="W405" s="298"/>
      <c r="X405" s="298"/>
      <c r="Y405" s="298"/>
      <c r="Z405" s="298"/>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6"/>
      <c r="BM405" s="311"/>
      <c r="BN405" s="314"/>
    </row>
    <row r="406" s="117" customFormat="1" ht="33.95" hidden="1" customHeight="1" outlineLevel="4" spans="2:66">
      <c r="B406" s="118" t="s">
        <v>799</v>
      </c>
      <c r="C406" s="119" t="s">
        <v>1691</v>
      </c>
      <c r="D406" s="117" t="s">
        <v>1692</v>
      </c>
      <c r="E406" s="118" t="s">
        <v>1693</v>
      </c>
      <c r="F406" s="118" t="s">
        <v>1625</v>
      </c>
      <c r="G406" s="118" t="s">
        <v>943</v>
      </c>
      <c r="H406" s="118">
        <f t="shared" si="773"/>
        <v>0</v>
      </c>
      <c r="I406" s="118" t="s">
        <v>1242</v>
      </c>
      <c r="J406" s="298"/>
      <c r="K406" s="118" t="s">
        <v>1033</v>
      </c>
      <c r="L406" s="118">
        <v>55</v>
      </c>
      <c r="M406" s="118" t="s">
        <v>1694</v>
      </c>
      <c r="N406" s="118">
        <f t="shared" si="774"/>
        <v>0</v>
      </c>
      <c r="O406" s="298"/>
      <c r="P406" s="298"/>
      <c r="Q406" s="298"/>
      <c r="R406" s="298"/>
      <c r="S406" s="298"/>
      <c r="T406" s="298"/>
      <c r="U406" s="298"/>
      <c r="V406" s="298"/>
      <c r="W406" s="298"/>
      <c r="X406" s="298"/>
      <c r="Y406" s="298"/>
      <c r="Z406" s="298"/>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6"/>
      <c r="BM406" s="311"/>
      <c r="BN406" s="314"/>
    </row>
    <row r="407" s="117" customFormat="1" ht="33.95" hidden="1" customHeight="1" outlineLevel="4" spans="2:66">
      <c r="B407" s="118" t="s">
        <v>799</v>
      </c>
      <c r="C407" s="119" t="s">
        <v>1695</v>
      </c>
      <c r="D407" s="117" t="s">
        <v>1696</v>
      </c>
      <c r="E407" s="118" t="s">
        <v>1697</v>
      </c>
      <c r="F407" s="118" t="s">
        <v>1625</v>
      </c>
      <c r="G407" s="118" t="s">
        <v>943</v>
      </c>
      <c r="H407" s="118">
        <f t="shared" si="773"/>
        <v>0</v>
      </c>
      <c r="I407" s="118" t="s">
        <v>1242</v>
      </c>
      <c r="J407" s="298"/>
      <c r="K407" s="118" t="s">
        <v>1396</v>
      </c>
      <c r="L407" s="118">
        <v>33</v>
      </c>
      <c r="M407" s="118" t="s">
        <v>1675</v>
      </c>
      <c r="N407" s="118">
        <f t="shared" si="774"/>
        <v>0</v>
      </c>
      <c r="O407" s="298"/>
      <c r="P407" s="298"/>
      <c r="Q407" s="298"/>
      <c r="R407" s="298"/>
      <c r="S407" s="298"/>
      <c r="T407" s="298"/>
      <c r="U407" s="298"/>
      <c r="V407" s="298"/>
      <c r="W407" s="298"/>
      <c r="X407" s="298"/>
      <c r="Y407" s="298"/>
      <c r="Z407" s="298"/>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6"/>
      <c r="BM407" s="311"/>
      <c r="BN407" s="314"/>
    </row>
    <row r="408" s="117" customFormat="1" ht="33.95" hidden="1" customHeight="1" outlineLevel="4" spans="2:66">
      <c r="B408" s="118" t="s">
        <v>799</v>
      </c>
      <c r="C408" s="119" t="s">
        <v>1698</v>
      </c>
      <c r="D408" s="117" t="s">
        <v>1699</v>
      </c>
      <c r="E408" s="118" t="s">
        <v>1700</v>
      </c>
      <c r="F408" s="118" t="s">
        <v>1625</v>
      </c>
      <c r="G408" s="118" t="s">
        <v>943</v>
      </c>
      <c r="H408" s="118">
        <f t="shared" si="773"/>
        <v>0</v>
      </c>
      <c r="I408" s="118" t="s">
        <v>1242</v>
      </c>
      <c r="J408" s="298"/>
      <c r="K408" s="118" t="s">
        <v>1396</v>
      </c>
      <c r="L408" s="118">
        <v>101.2</v>
      </c>
      <c r="M408" s="118" t="s">
        <v>1675</v>
      </c>
      <c r="N408" s="118">
        <f t="shared" si="774"/>
        <v>0</v>
      </c>
      <c r="O408" s="298"/>
      <c r="P408" s="298"/>
      <c r="Q408" s="298"/>
      <c r="R408" s="298"/>
      <c r="S408" s="298"/>
      <c r="T408" s="298"/>
      <c r="U408" s="298"/>
      <c r="V408" s="298"/>
      <c r="W408" s="298"/>
      <c r="X408" s="298"/>
      <c r="Y408" s="298"/>
      <c r="Z408" s="298"/>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6"/>
      <c r="BM408" s="311"/>
      <c r="BN408" s="314"/>
    </row>
    <row r="409" s="117" customFormat="1" ht="33.95" hidden="1" customHeight="1" outlineLevel="4" spans="2:66">
      <c r="B409" s="118" t="s">
        <v>799</v>
      </c>
      <c r="C409" s="119" t="s">
        <v>1701</v>
      </c>
      <c r="D409" s="117" t="s">
        <v>1702</v>
      </c>
      <c r="E409" s="118"/>
      <c r="F409" s="118" t="s">
        <v>1625</v>
      </c>
      <c r="G409" s="118" t="s">
        <v>943</v>
      </c>
      <c r="H409" s="118">
        <f t="shared" si="773"/>
        <v>0</v>
      </c>
      <c r="I409" s="118" t="s">
        <v>1242</v>
      </c>
      <c r="J409" s="298"/>
      <c r="K409" s="118" t="s">
        <v>1396</v>
      </c>
      <c r="L409" s="298"/>
      <c r="M409" s="118" t="s">
        <v>1448</v>
      </c>
      <c r="N409" s="118">
        <f t="shared" si="774"/>
        <v>0</v>
      </c>
      <c r="O409" s="316"/>
      <c r="P409" s="316"/>
      <c r="Q409" s="316"/>
      <c r="R409" s="316"/>
      <c r="S409" s="316"/>
      <c r="T409" s="316"/>
      <c r="U409" s="316"/>
      <c r="V409" s="316"/>
      <c r="W409" s="316"/>
      <c r="X409" s="316"/>
      <c r="Y409" s="316"/>
      <c r="Z409" s="316"/>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6"/>
      <c r="BM409" s="311"/>
      <c r="BN409" s="314"/>
    </row>
    <row r="410" s="48" customFormat="1" ht="33.95" hidden="1" customHeight="1" outlineLevel="3" collapsed="1" spans="2:66">
      <c r="B410" s="114" t="s">
        <v>794</v>
      </c>
      <c r="C410" s="115" t="s">
        <v>1703</v>
      </c>
      <c r="D410" s="48" t="s">
        <v>1704</v>
      </c>
      <c r="E410" s="114"/>
      <c r="F410" s="114"/>
      <c r="G410" s="114"/>
      <c r="H410" s="114">
        <f>SUM(H411:H417)</f>
        <v>0</v>
      </c>
      <c r="I410" s="114"/>
      <c r="J410" s="114"/>
      <c r="K410" s="114"/>
      <c r="L410" s="114"/>
      <c r="M410" s="114"/>
      <c r="N410" s="305"/>
      <c r="O410" s="288"/>
      <c r="P410" s="288"/>
      <c r="Q410" s="288"/>
      <c r="R410" s="288"/>
      <c r="S410" s="288"/>
      <c r="T410" s="288"/>
      <c r="U410" s="288"/>
      <c r="V410" s="288"/>
      <c r="W410" s="288"/>
      <c r="X410" s="288"/>
      <c r="Y410" s="288"/>
      <c r="Z410" s="288"/>
      <c r="AA410" s="288"/>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5"/>
      <c r="BM410" s="311"/>
      <c r="BN410" s="313"/>
    </row>
    <row r="411" s="117" customFormat="1" ht="33.95" hidden="1" customHeight="1" outlineLevel="4" spans="2:66">
      <c r="B411" s="118" t="s">
        <v>799</v>
      </c>
      <c r="C411" s="119" t="s">
        <v>1705</v>
      </c>
      <c r="D411" s="117" t="s">
        <v>1706</v>
      </c>
      <c r="E411" s="118" t="s">
        <v>1707</v>
      </c>
      <c r="F411" s="118" t="s">
        <v>1625</v>
      </c>
      <c r="G411" s="118" t="s">
        <v>943</v>
      </c>
      <c r="H411" s="118">
        <f t="shared" ref="H411:H417" si="775">J411*L411</f>
        <v>0</v>
      </c>
      <c r="I411" s="118" t="s">
        <v>1242</v>
      </c>
      <c r="J411" s="298"/>
      <c r="K411" s="118" t="s">
        <v>1201</v>
      </c>
      <c r="L411" s="118">
        <v>12</v>
      </c>
      <c r="M411" s="118" t="s">
        <v>1708</v>
      </c>
      <c r="N411" s="118">
        <f t="shared" ref="N411:N417" si="776">COUNTA(O411:Z411)</f>
        <v>0</v>
      </c>
      <c r="O411" s="317"/>
      <c r="P411" s="317"/>
      <c r="Q411" s="317"/>
      <c r="R411" s="317"/>
      <c r="S411" s="317"/>
      <c r="T411" s="317"/>
      <c r="U411" s="317"/>
      <c r="V411" s="317"/>
      <c r="W411" s="317"/>
      <c r="X411" s="317"/>
      <c r="Y411" s="317"/>
      <c r="Z411" s="317"/>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6"/>
      <c r="BM411" s="311"/>
      <c r="BN411" s="314"/>
    </row>
    <row r="412" s="117" customFormat="1" ht="33.95" hidden="1" customHeight="1" outlineLevel="4" spans="2:66">
      <c r="B412" s="118" t="s">
        <v>799</v>
      </c>
      <c r="C412" s="119" t="s">
        <v>1709</v>
      </c>
      <c r="D412" s="117" t="s">
        <v>1710</v>
      </c>
      <c r="E412" s="118" t="s">
        <v>1711</v>
      </c>
      <c r="F412" s="118" t="s">
        <v>1625</v>
      </c>
      <c r="G412" s="118" t="s">
        <v>943</v>
      </c>
      <c r="H412" s="118">
        <f t="shared" si="775"/>
        <v>0</v>
      </c>
      <c r="I412" s="118" t="s">
        <v>1242</v>
      </c>
      <c r="J412" s="298"/>
      <c r="K412" s="118" t="s">
        <v>1201</v>
      </c>
      <c r="L412" s="118">
        <v>10</v>
      </c>
      <c r="M412" s="118" t="s">
        <v>1708</v>
      </c>
      <c r="N412" s="118">
        <f t="shared" si="776"/>
        <v>0</v>
      </c>
      <c r="O412" s="298"/>
      <c r="P412" s="298"/>
      <c r="Q412" s="298"/>
      <c r="R412" s="298"/>
      <c r="S412" s="298"/>
      <c r="T412" s="298"/>
      <c r="U412" s="298"/>
      <c r="V412" s="298"/>
      <c r="W412" s="298"/>
      <c r="X412" s="298"/>
      <c r="Y412" s="298"/>
      <c r="Z412" s="298"/>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6"/>
      <c r="BM412" s="311"/>
      <c r="BN412" s="314"/>
    </row>
    <row r="413" s="117" customFormat="1" ht="33.95" hidden="1" customHeight="1" outlineLevel="4" spans="2:66">
      <c r="B413" s="118" t="s">
        <v>799</v>
      </c>
      <c r="C413" s="119" t="s">
        <v>1712</v>
      </c>
      <c r="D413" s="117" t="s">
        <v>1713</v>
      </c>
      <c r="E413" s="118" t="s">
        <v>1714</v>
      </c>
      <c r="F413" s="118" t="s">
        <v>1625</v>
      </c>
      <c r="G413" s="118" t="s">
        <v>943</v>
      </c>
      <c r="H413" s="118">
        <f t="shared" si="775"/>
        <v>0</v>
      </c>
      <c r="I413" s="118" t="s">
        <v>1242</v>
      </c>
      <c r="J413" s="298"/>
      <c r="K413" s="118" t="s">
        <v>1396</v>
      </c>
      <c r="L413" s="118">
        <v>105</v>
      </c>
      <c r="M413" s="118" t="s">
        <v>1675</v>
      </c>
      <c r="N413" s="118">
        <f t="shared" si="776"/>
        <v>0</v>
      </c>
      <c r="O413" s="298"/>
      <c r="P413" s="298"/>
      <c r="Q413" s="298"/>
      <c r="R413" s="298"/>
      <c r="S413" s="298"/>
      <c r="T413" s="298"/>
      <c r="U413" s="298"/>
      <c r="V413" s="298"/>
      <c r="W413" s="298"/>
      <c r="X413" s="298"/>
      <c r="Y413" s="298"/>
      <c r="Z413" s="298"/>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6"/>
      <c r="BM413" s="311"/>
      <c r="BN413" s="314"/>
    </row>
    <row r="414" s="117" customFormat="1" ht="33.95" hidden="1" customHeight="1" outlineLevel="4" spans="2:66">
      <c r="B414" s="118" t="s">
        <v>799</v>
      </c>
      <c r="C414" s="119" t="s">
        <v>1715</v>
      </c>
      <c r="D414" s="117" t="s">
        <v>1716</v>
      </c>
      <c r="E414" s="118"/>
      <c r="F414" s="118" t="s">
        <v>1625</v>
      </c>
      <c r="G414" s="118" t="s">
        <v>943</v>
      </c>
      <c r="H414" s="118">
        <f t="shared" si="775"/>
        <v>0</v>
      </c>
      <c r="I414" s="118" t="s">
        <v>1242</v>
      </c>
      <c r="J414" s="298"/>
      <c r="K414" s="118" t="s">
        <v>1033</v>
      </c>
      <c r="L414" s="118">
        <v>55</v>
      </c>
      <c r="M414" s="118" t="s">
        <v>1694</v>
      </c>
      <c r="N414" s="118">
        <f t="shared" si="776"/>
        <v>0</v>
      </c>
      <c r="O414" s="298"/>
      <c r="P414" s="298"/>
      <c r="Q414" s="298"/>
      <c r="R414" s="298"/>
      <c r="S414" s="298"/>
      <c r="T414" s="298"/>
      <c r="U414" s="298"/>
      <c r="V414" s="298"/>
      <c r="W414" s="298"/>
      <c r="X414" s="298"/>
      <c r="Y414" s="298"/>
      <c r="Z414" s="298"/>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6"/>
      <c r="BM414" s="311"/>
      <c r="BN414" s="314"/>
    </row>
    <row r="415" s="117" customFormat="1" ht="33.95" hidden="1" customHeight="1" outlineLevel="4" spans="2:66">
      <c r="B415" s="118" t="s">
        <v>799</v>
      </c>
      <c r="C415" s="119" t="s">
        <v>1717</v>
      </c>
      <c r="D415" s="117" t="s">
        <v>1718</v>
      </c>
      <c r="E415" s="118" t="s">
        <v>1719</v>
      </c>
      <c r="F415" s="118" t="s">
        <v>1625</v>
      </c>
      <c r="G415" s="118" t="s">
        <v>943</v>
      </c>
      <c r="H415" s="118">
        <f t="shared" si="775"/>
        <v>0</v>
      </c>
      <c r="I415" s="118" t="s">
        <v>1242</v>
      </c>
      <c r="J415" s="298"/>
      <c r="K415" s="118" t="s">
        <v>1396</v>
      </c>
      <c r="L415" s="118">
        <v>140</v>
      </c>
      <c r="M415" s="118" t="s">
        <v>1675</v>
      </c>
      <c r="N415" s="118">
        <f t="shared" si="776"/>
        <v>0</v>
      </c>
      <c r="O415" s="298"/>
      <c r="P415" s="298"/>
      <c r="Q415" s="298"/>
      <c r="R415" s="298"/>
      <c r="S415" s="298"/>
      <c r="T415" s="298"/>
      <c r="U415" s="298"/>
      <c r="V415" s="298"/>
      <c r="W415" s="298"/>
      <c r="X415" s="298"/>
      <c r="Y415" s="298"/>
      <c r="Z415" s="298"/>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6"/>
      <c r="BM415" s="311"/>
      <c r="BN415" s="314"/>
    </row>
    <row r="416" s="117" customFormat="1" ht="33.95" hidden="1" customHeight="1" outlineLevel="4" spans="2:66">
      <c r="B416" s="118" t="s">
        <v>799</v>
      </c>
      <c r="C416" s="119" t="s">
        <v>1720</v>
      </c>
      <c r="D416" s="117" t="s">
        <v>1721</v>
      </c>
      <c r="E416" s="118" t="s">
        <v>1722</v>
      </c>
      <c r="F416" s="118" t="s">
        <v>1625</v>
      </c>
      <c r="G416" s="118" t="s">
        <v>943</v>
      </c>
      <c r="H416" s="118">
        <f t="shared" si="775"/>
        <v>0</v>
      </c>
      <c r="I416" s="118" t="s">
        <v>1242</v>
      </c>
      <c r="J416" s="298"/>
      <c r="K416" s="118" t="s">
        <v>1396</v>
      </c>
      <c r="L416" s="118">
        <v>30</v>
      </c>
      <c r="M416" s="118" t="s">
        <v>1675</v>
      </c>
      <c r="N416" s="118">
        <f t="shared" si="776"/>
        <v>0</v>
      </c>
      <c r="O416" s="298"/>
      <c r="P416" s="298"/>
      <c r="Q416" s="298"/>
      <c r="R416" s="298"/>
      <c r="S416" s="298"/>
      <c r="T416" s="298"/>
      <c r="U416" s="298"/>
      <c r="V416" s="298"/>
      <c r="W416" s="298"/>
      <c r="X416" s="298"/>
      <c r="Y416" s="298"/>
      <c r="Z416" s="298"/>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6"/>
      <c r="BM416" s="311"/>
      <c r="BN416" s="314"/>
    </row>
    <row r="417" s="117" customFormat="1" ht="33.95" hidden="1" customHeight="1" outlineLevel="4" spans="2:66">
      <c r="B417" s="118" t="s">
        <v>799</v>
      </c>
      <c r="C417" s="119" t="s">
        <v>1723</v>
      </c>
      <c r="D417" s="117" t="s">
        <v>1724</v>
      </c>
      <c r="E417" s="118" t="s">
        <v>1725</v>
      </c>
      <c r="F417" s="118" t="s">
        <v>1625</v>
      </c>
      <c r="G417" s="118" t="s">
        <v>943</v>
      </c>
      <c r="H417" s="118">
        <f t="shared" si="775"/>
        <v>0</v>
      </c>
      <c r="I417" s="118" t="s">
        <v>1242</v>
      </c>
      <c r="J417" s="298"/>
      <c r="K417" s="118" t="s">
        <v>1396</v>
      </c>
      <c r="L417" s="118">
        <v>10</v>
      </c>
      <c r="M417" s="118" t="s">
        <v>1675</v>
      </c>
      <c r="N417" s="118">
        <f t="shared" si="776"/>
        <v>0</v>
      </c>
      <c r="O417" s="316"/>
      <c r="P417" s="316"/>
      <c r="Q417" s="316"/>
      <c r="R417" s="316"/>
      <c r="S417" s="316"/>
      <c r="T417" s="316"/>
      <c r="U417" s="316"/>
      <c r="V417" s="316"/>
      <c r="W417" s="316"/>
      <c r="X417" s="316"/>
      <c r="Y417" s="316"/>
      <c r="Z417" s="316"/>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6"/>
      <c r="BM417" s="311"/>
      <c r="BN417" s="314"/>
    </row>
    <row r="418" s="48" customFormat="1" ht="33.95" customHeight="1" outlineLevel="3" spans="2:66">
      <c r="B418" s="114" t="s">
        <v>794</v>
      </c>
      <c r="C418" s="115" t="s">
        <v>1726</v>
      </c>
      <c r="D418" s="48" t="s">
        <v>1727</v>
      </c>
      <c r="E418" s="114"/>
      <c r="F418" s="114"/>
      <c r="G418" s="114" t="s">
        <v>943</v>
      </c>
      <c r="H418" s="114">
        <f>SUM(H419:H429)</f>
        <v>42000</v>
      </c>
      <c r="I418" s="114"/>
      <c r="J418" s="114"/>
      <c r="K418" s="114"/>
      <c r="L418" s="114"/>
      <c r="M418" s="114"/>
      <c r="N418" s="305"/>
      <c r="O418" s="288"/>
      <c r="P418" s="288"/>
      <c r="Q418" s="288"/>
      <c r="R418" s="288"/>
      <c r="S418" s="288"/>
      <c r="T418" s="288"/>
      <c r="U418" s="288"/>
      <c r="V418" s="288"/>
      <c r="W418" s="288"/>
      <c r="X418" s="288"/>
      <c r="Y418" s="288"/>
      <c r="Z418" s="288"/>
      <c r="AA418" s="288"/>
      <c r="AB418" s="114">
        <f t="shared" ref="AB418:AF418" si="790">SUM(AB419:AB429)</f>
        <v>42000</v>
      </c>
      <c r="AC418" s="114">
        <f t="shared" si="790"/>
        <v>42000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5"/>
      <c r="BM418" s="311"/>
      <c r="BN418" s="313"/>
    </row>
    <row r="419" s="117" customFormat="1" ht="33.95" customHeight="1" outlineLevel="4" spans="2:66">
      <c r="B419" s="118" t="s">
        <v>799</v>
      </c>
      <c r="C419" s="119" t="s">
        <v>1728</v>
      </c>
      <c r="D419" s="117" t="s">
        <v>1729</v>
      </c>
      <c r="E419" s="118" t="s">
        <v>1730</v>
      </c>
      <c r="F419" s="118" t="s">
        <v>1625</v>
      </c>
      <c r="G419" s="118" t="s">
        <v>943</v>
      </c>
      <c r="H419" s="118">
        <f t="shared" ref="H419:H429" si="791">J419*L419</f>
        <v>42000</v>
      </c>
      <c r="I419" s="118" t="s">
        <v>1242</v>
      </c>
      <c r="J419" s="298">
        <f>预算主表!P94/L419</f>
        <v>74.9330954504906</v>
      </c>
      <c r="K419" s="118" t="s">
        <v>1396</v>
      </c>
      <c r="L419" s="118">
        <v>560.5</v>
      </c>
      <c r="M419" s="118" t="s">
        <v>1675</v>
      </c>
      <c r="N419" s="118">
        <f t="shared" ref="N419:N429" si="792">COUNTA(O419:Z419)</f>
        <v>1</v>
      </c>
      <c r="O419" s="317" t="s">
        <v>1292</v>
      </c>
      <c r="P419" s="317"/>
      <c r="Q419" s="317"/>
      <c r="R419" s="317"/>
      <c r="S419" s="317"/>
      <c r="T419" s="317"/>
      <c r="U419" s="317"/>
      <c r="V419" s="317"/>
      <c r="W419" s="317"/>
      <c r="X419" s="317"/>
      <c r="Y419" s="317"/>
      <c r="Z419" s="317"/>
      <c r="AA419" s="118"/>
      <c r="AB419" s="118">
        <f t="shared" ref="AB419:AB429" si="793">SUM(AC419,AF419,AI419,AL419,AO419,AR419,AU419,AX419,BA419,BD419,BG419,BJ419)</f>
        <v>42000</v>
      </c>
      <c r="AC419" s="118">
        <f t="shared" ref="AC419:AC429" si="794">IF(O419="√",$J419*$L419/$N419,0)</f>
        <v>42000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6"/>
      <c r="BM419" s="311"/>
      <c r="BN419" s="314"/>
    </row>
    <row r="420" s="117" customFormat="1" ht="33.95" hidden="1" customHeight="1" outlineLevel="4" spans="2:66">
      <c r="B420" s="118" t="s">
        <v>799</v>
      </c>
      <c r="C420" s="119" t="s">
        <v>1731</v>
      </c>
      <c r="D420" s="117" t="s">
        <v>1732</v>
      </c>
      <c r="E420" s="118" t="s">
        <v>1733</v>
      </c>
      <c r="F420" s="118" t="s">
        <v>1625</v>
      </c>
      <c r="G420" s="118" t="s">
        <v>943</v>
      </c>
      <c r="H420" s="118">
        <f t="shared" si="791"/>
        <v>0</v>
      </c>
      <c r="I420" s="118" t="s">
        <v>1242</v>
      </c>
      <c r="J420" s="298"/>
      <c r="K420" s="118" t="s">
        <v>1396</v>
      </c>
      <c r="L420" s="118">
        <v>85</v>
      </c>
      <c r="M420" s="118" t="s">
        <v>1675</v>
      </c>
      <c r="N420" s="118">
        <f t="shared" si="792"/>
        <v>0</v>
      </c>
      <c r="O420" s="298"/>
      <c r="P420" s="298"/>
      <c r="Q420" s="298"/>
      <c r="R420" s="298"/>
      <c r="S420" s="298"/>
      <c r="T420" s="298"/>
      <c r="U420" s="298"/>
      <c r="V420" s="298"/>
      <c r="W420" s="298"/>
      <c r="X420" s="298"/>
      <c r="Y420" s="298"/>
      <c r="Z420" s="298"/>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6"/>
      <c r="BM420" s="311"/>
      <c r="BN420" s="314"/>
    </row>
    <row r="421" s="117" customFormat="1" ht="33.95" hidden="1" customHeight="1" outlineLevel="4" spans="2:66">
      <c r="B421" s="118" t="s">
        <v>799</v>
      </c>
      <c r="C421" s="119" t="s">
        <v>1734</v>
      </c>
      <c r="D421" s="117" t="s">
        <v>1735</v>
      </c>
      <c r="E421" s="118" t="s">
        <v>1736</v>
      </c>
      <c r="F421" s="118" t="s">
        <v>1625</v>
      </c>
      <c r="G421" s="118" t="s">
        <v>943</v>
      </c>
      <c r="H421" s="118">
        <f t="shared" si="791"/>
        <v>0</v>
      </c>
      <c r="I421" s="118" t="s">
        <v>1242</v>
      </c>
      <c r="J421" s="298"/>
      <c r="K421" s="118" t="s">
        <v>1396</v>
      </c>
      <c r="L421" s="118">
        <v>25</v>
      </c>
      <c r="M421" s="118" t="s">
        <v>1675</v>
      </c>
      <c r="N421" s="118">
        <f t="shared" si="792"/>
        <v>0</v>
      </c>
      <c r="O421" s="298"/>
      <c r="P421" s="298"/>
      <c r="Q421" s="298"/>
      <c r="R421" s="298"/>
      <c r="S421" s="298"/>
      <c r="T421" s="298"/>
      <c r="U421" s="298"/>
      <c r="V421" s="298"/>
      <c r="W421" s="298"/>
      <c r="X421" s="298"/>
      <c r="Y421" s="298"/>
      <c r="Z421" s="298"/>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6"/>
      <c r="BM421" s="311"/>
      <c r="BN421" s="314"/>
    </row>
    <row r="422" s="117" customFormat="1" ht="33.95" hidden="1" customHeight="1" outlineLevel="4" spans="2:66">
      <c r="B422" s="118" t="s">
        <v>799</v>
      </c>
      <c r="C422" s="119" t="s">
        <v>1737</v>
      </c>
      <c r="D422" s="117" t="s">
        <v>1738</v>
      </c>
      <c r="E422" s="118" t="s">
        <v>1739</v>
      </c>
      <c r="F422" s="118" t="s">
        <v>1625</v>
      </c>
      <c r="G422" s="118" t="s">
        <v>943</v>
      </c>
      <c r="H422" s="118">
        <f t="shared" si="791"/>
        <v>0</v>
      </c>
      <c r="I422" s="118" t="s">
        <v>1242</v>
      </c>
      <c r="J422" s="298"/>
      <c r="K422" s="118" t="s">
        <v>1633</v>
      </c>
      <c r="L422" s="118">
        <v>19</v>
      </c>
      <c r="M422" s="118" t="s">
        <v>1634</v>
      </c>
      <c r="N422" s="118">
        <f t="shared" si="792"/>
        <v>0</v>
      </c>
      <c r="O422" s="298"/>
      <c r="P422" s="298"/>
      <c r="Q422" s="298"/>
      <c r="R422" s="298"/>
      <c r="S422" s="298"/>
      <c r="T422" s="298"/>
      <c r="U422" s="298"/>
      <c r="V422" s="298"/>
      <c r="W422" s="298"/>
      <c r="X422" s="298"/>
      <c r="Y422" s="298"/>
      <c r="Z422" s="298"/>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6"/>
      <c r="BM422" s="311"/>
      <c r="BN422" s="314"/>
    </row>
    <row r="423" s="117" customFormat="1" ht="33.95" hidden="1" customHeight="1" outlineLevel="4" spans="2:66">
      <c r="B423" s="118" t="s">
        <v>799</v>
      </c>
      <c r="C423" s="119" t="s">
        <v>1740</v>
      </c>
      <c r="D423" s="117" t="s">
        <v>1741</v>
      </c>
      <c r="E423" s="118" t="s">
        <v>1742</v>
      </c>
      <c r="F423" s="118" t="s">
        <v>1625</v>
      </c>
      <c r="G423" s="118" t="s">
        <v>943</v>
      </c>
      <c r="H423" s="118">
        <f t="shared" si="791"/>
        <v>0</v>
      </c>
      <c r="I423" s="118" t="s">
        <v>1242</v>
      </c>
      <c r="J423" s="298"/>
      <c r="K423" s="118" t="s">
        <v>1633</v>
      </c>
      <c r="L423" s="118">
        <v>105</v>
      </c>
      <c r="M423" s="118" t="s">
        <v>1634</v>
      </c>
      <c r="N423" s="118">
        <f t="shared" si="792"/>
        <v>0</v>
      </c>
      <c r="O423" s="298"/>
      <c r="P423" s="298"/>
      <c r="Q423" s="298"/>
      <c r="R423" s="298"/>
      <c r="S423" s="298"/>
      <c r="T423" s="298"/>
      <c r="U423" s="298"/>
      <c r="V423" s="298"/>
      <c r="W423" s="298"/>
      <c r="X423" s="298"/>
      <c r="Y423" s="298"/>
      <c r="Z423" s="298"/>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6"/>
      <c r="BM423" s="311"/>
      <c r="BN423" s="314"/>
    </row>
    <row r="424" s="117" customFormat="1" ht="33.95" hidden="1" customHeight="1" outlineLevel="4" spans="2:66">
      <c r="B424" s="118" t="s">
        <v>799</v>
      </c>
      <c r="C424" s="119" t="s">
        <v>1743</v>
      </c>
      <c r="D424" s="117" t="s">
        <v>1744</v>
      </c>
      <c r="E424" s="118"/>
      <c r="F424" s="118" t="s">
        <v>1625</v>
      </c>
      <c r="G424" s="118" t="s">
        <v>943</v>
      </c>
      <c r="H424" s="118">
        <f t="shared" si="791"/>
        <v>0</v>
      </c>
      <c r="I424" s="118" t="s">
        <v>1242</v>
      </c>
      <c r="J424" s="298"/>
      <c r="K424" s="118" t="s">
        <v>1396</v>
      </c>
      <c r="L424" s="118">
        <v>5</v>
      </c>
      <c r="M424" s="118" t="s">
        <v>1675</v>
      </c>
      <c r="N424" s="118">
        <f t="shared" si="792"/>
        <v>0</v>
      </c>
      <c r="O424" s="298"/>
      <c r="P424" s="298"/>
      <c r="Q424" s="298"/>
      <c r="R424" s="298"/>
      <c r="S424" s="298"/>
      <c r="T424" s="298"/>
      <c r="U424" s="298"/>
      <c r="V424" s="298"/>
      <c r="W424" s="298"/>
      <c r="X424" s="298"/>
      <c r="Y424" s="298"/>
      <c r="Z424" s="298"/>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6"/>
      <c r="BM424" s="311"/>
      <c r="BN424" s="314"/>
    </row>
    <row r="425" s="117" customFormat="1" ht="33.95" hidden="1" customHeight="1" outlineLevel="4" spans="2:66">
      <c r="B425" s="118" t="s">
        <v>799</v>
      </c>
      <c r="C425" s="119" t="s">
        <v>1745</v>
      </c>
      <c r="D425" s="117" t="s">
        <v>1746</v>
      </c>
      <c r="E425" s="118" t="s">
        <v>1747</v>
      </c>
      <c r="F425" s="118" t="s">
        <v>1625</v>
      </c>
      <c r="G425" s="118" t="s">
        <v>943</v>
      </c>
      <c r="H425" s="118">
        <f t="shared" si="791"/>
        <v>0</v>
      </c>
      <c r="I425" s="118" t="s">
        <v>1242</v>
      </c>
      <c r="J425" s="298"/>
      <c r="K425" s="118" t="s">
        <v>1396</v>
      </c>
      <c r="L425" s="118">
        <v>7.2</v>
      </c>
      <c r="M425" s="118" t="s">
        <v>1675</v>
      </c>
      <c r="N425" s="118">
        <f t="shared" si="792"/>
        <v>0</v>
      </c>
      <c r="O425" s="298"/>
      <c r="P425" s="298"/>
      <c r="Q425" s="298"/>
      <c r="R425" s="298"/>
      <c r="S425" s="298"/>
      <c r="T425" s="298"/>
      <c r="U425" s="298"/>
      <c r="V425" s="298"/>
      <c r="W425" s="298"/>
      <c r="X425" s="298"/>
      <c r="Y425" s="298"/>
      <c r="Z425" s="298"/>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6"/>
      <c r="BM425" s="311"/>
      <c r="BN425" s="314"/>
    </row>
    <row r="426" s="117" customFormat="1" ht="33.95" hidden="1" customHeight="1" outlineLevel="4" spans="2:66">
      <c r="B426" s="118" t="s">
        <v>799</v>
      </c>
      <c r="C426" s="119" t="s">
        <v>1748</v>
      </c>
      <c r="D426" s="117" t="s">
        <v>1749</v>
      </c>
      <c r="E426" s="118" t="s">
        <v>1750</v>
      </c>
      <c r="F426" s="118" t="s">
        <v>1625</v>
      </c>
      <c r="G426" s="118" t="s">
        <v>943</v>
      </c>
      <c r="H426" s="118">
        <f t="shared" si="791"/>
        <v>0</v>
      </c>
      <c r="I426" s="118" t="s">
        <v>1242</v>
      </c>
      <c r="J426" s="298"/>
      <c r="K426" s="118" t="s">
        <v>1396</v>
      </c>
      <c r="L426" s="118">
        <v>5</v>
      </c>
      <c r="M426" s="118" t="s">
        <v>1675</v>
      </c>
      <c r="N426" s="118">
        <f t="shared" si="792"/>
        <v>0</v>
      </c>
      <c r="O426" s="298"/>
      <c r="P426" s="298"/>
      <c r="Q426" s="298"/>
      <c r="R426" s="298"/>
      <c r="S426" s="298"/>
      <c r="T426" s="298"/>
      <c r="U426" s="298"/>
      <c r="V426" s="298"/>
      <c r="W426" s="298"/>
      <c r="X426" s="298"/>
      <c r="Y426" s="298"/>
      <c r="Z426" s="298"/>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6"/>
      <c r="BM426" s="311"/>
      <c r="BN426" s="314"/>
    </row>
    <row r="427" s="117" customFormat="1" ht="33.95" hidden="1" customHeight="1" outlineLevel="4" spans="2:66">
      <c r="B427" s="118" t="s">
        <v>799</v>
      </c>
      <c r="C427" s="119" t="s">
        <v>1751</v>
      </c>
      <c r="D427" s="117" t="s">
        <v>1752</v>
      </c>
      <c r="E427" s="118" t="s">
        <v>1753</v>
      </c>
      <c r="F427" s="118" t="s">
        <v>1625</v>
      </c>
      <c r="G427" s="118" t="s">
        <v>943</v>
      </c>
      <c r="H427" s="118">
        <f t="shared" si="791"/>
        <v>0</v>
      </c>
      <c r="I427" s="118" t="s">
        <v>1242</v>
      </c>
      <c r="J427" s="298"/>
      <c r="K427" s="118" t="s">
        <v>1754</v>
      </c>
      <c r="L427" s="118">
        <v>6.5</v>
      </c>
      <c r="M427" s="118" t="s">
        <v>1755</v>
      </c>
      <c r="N427" s="118">
        <f t="shared" si="792"/>
        <v>0</v>
      </c>
      <c r="O427" s="298"/>
      <c r="P427" s="298"/>
      <c r="Q427" s="298"/>
      <c r="R427" s="298"/>
      <c r="S427" s="298"/>
      <c r="T427" s="298"/>
      <c r="U427" s="298"/>
      <c r="V427" s="298"/>
      <c r="W427" s="298"/>
      <c r="X427" s="298"/>
      <c r="Y427" s="298"/>
      <c r="Z427" s="298"/>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6"/>
      <c r="BM427" s="311"/>
      <c r="BN427" s="314"/>
    </row>
    <row r="428" s="117" customFormat="1" ht="33.95" hidden="1" customHeight="1" outlineLevel="4" spans="2:66">
      <c r="B428" s="118" t="s">
        <v>799</v>
      </c>
      <c r="C428" s="119" t="s">
        <v>1756</v>
      </c>
      <c r="D428" s="117" t="s">
        <v>1757</v>
      </c>
      <c r="E428" s="118" t="s">
        <v>1758</v>
      </c>
      <c r="F428" s="118" t="s">
        <v>1625</v>
      </c>
      <c r="G428" s="118" t="s">
        <v>943</v>
      </c>
      <c r="H428" s="118">
        <f t="shared" si="791"/>
        <v>0</v>
      </c>
      <c r="I428" s="118" t="s">
        <v>1242</v>
      </c>
      <c r="J428" s="298"/>
      <c r="K428" s="118" t="s">
        <v>1759</v>
      </c>
      <c r="L428" s="118">
        <v>20</v>
      </c>
      <c r="M428" s="118" t="s">
        <v>1760</v>
      </c>
      <c r="N428" s="118">
        <f t="shared" si="792"/>
        <v>0</v>
      </c>
      <c r="O428" s="298"/>
      <c r="P428" s="298"/>
      <c r="Q428" s="298"/>
      <c r="R428" s="298"/>
      <c r="S428" s="298"/>
      <c r="T428" s="298"/>
      <c r="U428" s="298"/>
      <c r="V428" s="298"/>
      <c r="W428" s="298"/>
      <c r="X428" s="298"/>
      <c r="Y428" s="298"/>
      <c r="Z428" s="298"/>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6"/>
      <c r="BM428" s="311"/>
      <c r="BN428" s="314"/>
    </row>
    <row r="429" s="117" customFormat="1" ht="33.95" hidden="1" customHeight="1" outlineLevel="4" spans="2:66">
      <c r="B429" s="118" t="s">
        <v>799</v>
      </c>
      <c r="C429" s="119" t="s">
        <v>1761</v>
      </c>
      <c r="D429" s="117" t="s">
        <v>1762</v>
      </c>
      <c r="E429" s="118"/>
      <c r="F429" s="118" t="s">
        <v>1625</v>
      </c>
      <c r="G429" s="118" t="s">
        <v>943</v>
      </c>
      <c r="H429" s="118">
        <f t="shared" si="791"/>
        <v>0</v>
      </c>
      <c r="I429" s="118" t="s">
        <v>1242</v>
      </c>
      <c r="J429" s="118">
        <v>1</v>
      </c>
      <c r="K429" s="118" t="s">
        <v>1243</v>
      </c>
      <c r="L429" s="298"/>
      <c r="M429" s="118" t="s">
        <v>1763</v>
      </c>
      <c r="N429" s="118">
        <f t="shared" si="792"/>
        <v>0</v>
      </c>
      <c r="O429" s="316"/>
      <c r="P429" s="316"/>
      <c r="Q429" s="316"/>
      <c r="R429" s="316"/>
      <c r="S429" s="316"/>
      <c r="T429" s="316"/>
      <c r="U429" s="316"/>
      <c r="V429" s="316"/>
      <c r="W429" s="316"/>
      <c r="X429" s="316"/>
      <c r="Y429" s="316"/>
      <c r="Z429" s="316"/>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6"/>
      <c r="BM429" s="311"/>
      <c r="BN429" s="314"/>
    </row>
    <row r="430" s="29" customFormat="1" ht="33.95" hidden="1" customHeight="1" outlineLevel="2" collapsed="1" spans="2:66">
      <c r="B430" s="111" t="s">
        <v>794</v>
      </c>
      <c r="C430" s="112" t="s">
        <v>1764</v>
      </c>
      <c r="D430" s="29" t="s">
        <v>1765</v>
      </c>
      <c r="E430" s="111"/>
      <c r="F430" s="111"/>
      <c r="G430" s="111"/>
      <c r="H430" s="111">
        <f>H431+H440+H446</f>
        <v>0</v>
      </c>
      <c r="I430" s="111"/>
      <c r="J430" s="111"/>
      <c r="K430" s="111"/>
      <c r="L430" s="111"/>
      <c r="M430" s="111"/>
      <c r="N430" s="304"/>
      <c r="O430" s="287"/>
      <c r="P430" s="287"/>
      <c r="Q430" s="287"/>
      <c r="R430" s="287"/>
      <c r="S430" s="287"/>
      <c r="T430" s="287"/>
      <c r="U430" s="287"/>
      <c r="V430" s="287"/>
      <c r="W430" s="287"/>
      <c r="X430" s="287"/>
      <c r="Y430" s="287"/>
      <c r="Z430" s="287"/>
      <c r="AA430" s="287"/>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4"/>
      <c r="BM430" s="311"/>
      <c r="BN430" s="312"/>
    </row>
    <row r="431" s="48" customFormat="1" ht="33.95" hidden="1" customHeight="1" outlineLevel="3" collapsed="1" spans="2:66">
      <c r="B431" s="114" t="s">
        <v>794</v>
      </c>
      <c r="C431" s="115" t="s">
        <v>1766</v>
      </c>
      <c r="D431" s="48" t="s">
        <v>1767</v>
      </c>
      <c r="E431" s="114"/>
      <c r="F431" s="114"/>
      <c r="G431" s="114"/>
      <c r="H431" s="114">
        <f>SUM(H432:H439)</f>
        <v>0</v>
      </c>
      <c r="I431" s="114"/>
      <c r="J431" s="114"/>
      <c r="K431" s="114"/>
      <c r="L431" s="114"/>
      <c r="M431" s="114"/>
      <c r="N431" s="305"/>
      <c r="O431" s="288"/>
      <c r="P431" s="288"/>
      <c r="Q431" s="288"/>
      <c r="R431" s="288"/>
      <c r="S431" s="288"/>
      <c r="T431" s="288"/>
      <c r="U431" s="288"/>
      <c r="V431" s="288"/>
      <c r="W431" s="288"/>
      <c r="X431" s="288"/>
      <c r="Y431" s="288"/>
      <c r="Z431" s="288"/>
      <c r="AA431" s="288"/>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5"/>
      <c r="BM431" s="311"/>
      <c r="BN431" s="313"/>
    </row>
    <row r="432" s="117" customFormat="1" ht="33.95" hidden="1" customHeight="1" outlineLevel="5" spans="2:66">
      <c r="B432" s="118" t="s">
        <v>799</v>
      </c>
      <c r="C432" s="119" t="s">
        <v>1768</v>
      </c>
      <c r="D432" s="117" t="s">
        <v>1769</v>
      </c>
      <c r="E432" s="118"/>
      <c r="F432" s="118" t="s">
        <v>1625</v>
      </c>
      <c r="G432" s="118" t="s">
        <v>943</v>
      </c>
      <c r="H432" s="118">
        <f>J432*L432</f>
        <v>0</v>
      </c>
      <c r="I432" s="118" t="s">
        <v>1242</v>
      </c>
      <c r="J432" s="298"/>
      <c r="K432" s="118" t="s">
        <v>1150</v>
      </c>
      <c r="L432" s="118">
        <v>2230</v>
      </c>
      <c r="M432" s="118" t="s">
        <v>1770</v>
      </c>
      <c r="N432" s="118">
        <f t="shared" ref="N432:N439" si="807">COUNTA(O432:Z432)</f>
        <v>0</v>
      </c>
      <c r="O432" s="317"/>
      <c r="P432" s="317"/>
      <c r="Q432" s="317"/>
      <c r="R432" s="317"/>
      <c r="S432" s="317"/>
      <c r="T432" s="317"/>
      <c r="U432" s="317"/>
      <c r="V432" s="317"/>
      <c r="W432" s="317"/>
      <c r="X432" s="317"/>
      <c r="Y432" s="317"/>
      <c r="Z432" s="317"/>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6"/>
      <c r="BM432" s="311"/>
      <c r="BN432" s="314"/>
    </row>
    <row r="433" s="117" customFormat="1" ht="33.95" hidden="1" customHeight="1" outlineLevel="5" spans="2:66">
      <c r="B433" s="118" t="s">
        <v>799</v>
      </c>
      <c r="C433" s="119" t="s">
        <v>1771</v>
      </c>
      <c r="D433" s="117" t="s">
        <v>1772</v>
      </c>
      <c r="E433" s="118"/>
      <c r="F433" s="118" t="s">
        <v>1625</v>
      </c>
      <c r="G433" s="118" t="s">
        <v>943</v>
      </c>
      <c r="H433" s="118">
        <f t="shared" ref="H433:H439" si="821">J433*L433</f>
        <v>0</v>
      </c>
      <c r="I433" s="118" t="s">
        <v>1242</v>
      </c>
      <c r="J433" s="298"/>
      <c r="K433" s="118" t="s">
        <v>1150</v>
      </c>
      <c r="L433" s="118">
        <v>620</v>
      </c>
      <c r="M433" s="118" t="s">
        <v>1770</v>
      </c>
      <c r="N433" s="118">
        <f t="shared" si="807"/>
        <v>0</v>
      </c>
      <c r="O433" s="298"/>
      <c r="P433" s="298"/>
      <c r="Q433" s="298"/>
      <c r="R433" s="298"/>
      <c r="S433" s="298"/>
      <c r="T433" s="298"/>
      <c r="U433" s="298"/>
      <c r="V433" s="298"/>
      <c r="W433" s="298"/>
      <c r="X433" s="298"/>
      <c r="Y433" s="298"/>
      <c r="Z433" s="298"/>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6"/>
      <c r="BM433" s="311"/>
      <c r="BN433" s="314"/>
    </row>
    <row r="434" s="117" customFormat="1" ht="33.95" hidden="1" customHeight="1" outlineLevel="5" spans="2:66">
      <c r="B434" s="118" t="s">
        <v>799</v>
      </c>
      <c r="C434" s="119" t="s">
        <v>1773</v>
      </c>
      <c r="D434" s="117" t="s">
        <v>1774</v>
      </c>
      <c r="E434" s="118"/>
      <c r="F434" s="118" t="s">
        <v>1625</v>
      </c>
      <c r="G434" s="118" t="s">
        <v>943</v>
      </c>
      <c r="H434" s="118">
        <f t="shared" si="821"/>
        <v>0</v>
      </c>
      <c r="I434" s="118" t="s">
        <v>1242</v>
      </c>
      <c r="J434" s="298"/>
      <c r="K434" s="118" t="s">
        <v>1150</v>
      </c>
      <c r="L434" s="118">
        <v>3070</v>
      </c>
      <c r="M434" s="118" t="s">
        <v>1770</v>
      </c>
      <c r="N434" s="118">
        <f t="shared" si="807"/>
        <v>0</v>
      </c>
      <c r="O434" s="298"/>
      <c r="P434" s="298"/>
      <c r="Q434" s="298"/>
      <c r="R434" s="298"/>
      <c r="S434" s="298"/>
      <c r="T434" s="298"/>
      <c r="U434" s="298"/>
      <c r="V434" s="298"/>
      <c r="W434" s="298"/>
      <c r="X434" s="298"/>
      <c r="Y434" s="298"/>
      <c r="Z434" s="298"/>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6"/>
      <c r="BM434" s="311"/>
      <c r="BN434" s="314"/>
    </row>
    <row r="435" s="117" customFormat="1" ht="33.95" hidden="1" customHeight="1" outlineLevel="5" spans="2:66">
      <c r="B435" s="118" t="s">
        <v>799</v>
      </c>
      <c r="C435" s="119" t="s">
        <v>1775</v>
      </c>
      <c r="D435" s="117" t="s">
        <v>1776</v>
      </c>
      <c r="E435" s="118"/>
      <c r="F435" s="118" t="s">
        <v>1625</v>
      </c>
      <c r="G435" s="118" t="s">
        <v>943</v>
      </c>
      <c r="H435" s="118">
        <f t="shared" si="821"/>
        <v>0</v>
      </c>
      <c r="I435" s="118" t="s">
        <v>1242</v>
      </c>
      <c r="J435" s="298"/>
      <c r="K435" s="118" t="s">
        <v>1777</v>
      </c>
      <c r="L435" s="118">
        <v>2800</v>
      </c>
      <c r="M435" s="118" t="s">
        <v>1151</v>
      </c>
      <c r="N435" s="118">
        <f t="shared" si="807"/>
        <v>0</v>
      </c>
      <c r="O435" s="298"/>
      <c r="P435" s="298"/>
      <c r="Q435" s="298"/>
      <c r="R435" s="298"/>
      <c r="S435" s="298"/>
      <c r="T435" s="298"/>
      <c r="U435" s="298"/>
      <c r="V435" s="298"/>
      <c r="W435" s="298"/>
      <c r="X435" s="298"/>
      <c r="Y435" s="298"/>
      <c r="Z435" s="298"/>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6"/>
      <c r="BM435" s="311"/>
      <c r="BN435" s="314"/>
    </row>
    <row r="436" s="117" customFormat="1" ht="33.95" hidden="1" customHeight="1" outlineLevel="5" spans="2:66">
      <c r="B436" s="118" t="s">
        <v>799</v>
      </c>
      <c r="C436" s="119" t="s">
        <v>1778</v>
      </c>
      <c r="D436" s="117" t="s">
        <v>1779</v>
      </c>
      <c r="E436" s="118"/>
      <c r="F436" s="118" t="s">
        <v>1625</v>
      </c>
      <c r="G436" s="118" t="s">
        <v>943</v>
      </c>
      <c r="H436" s="118">
        <f t="shared" si="821"/>
        <v>0</v>
      </c>
      <c r="I436" s="118" t="s">
        <v>1242</v>
      </c>
      <c r="J436" s="298"/>
      <c r="K436" s="118" t="s">
        <v>1150</v>
      </c>
      <c r="L436" s="118">
        <v>10400</v>
      </c>
      <c r="M436" s="118" t="s">
        <v>1770</v>
      </c>
      <c r="N436" s="118">
        <f t="shared" si="807"/>
        <v>0</v>
      </c>
      <c r="O436" s="298"/>
      <c r="P436" s="298"/>
      <c r="Q436" s="298"/>
      <c r="R436" s="298"/>
      <c r="S436" s="298"/>
      <c r="T436" s="298"/>
      <c r="U436" s="298"/>
      <c r="V436" s="298"/>
      <c r="W436" s="298"/>
      <c r="X436" s="298"/>
      <c r="Y436" s="298"/>
      <c r="Z436" s="298"/>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6"/>
      <c r="BM436" s="311"/>
      <c r="BN436" s="314"/>
    </row>
    <row r="437" s="117" customFormat="1" ht="33.95" hidden="1" customHeight="1" outlineLevel="5" spans="2:66">
      <c r="B437" s="118" t="s">
        <v>799</v>
      </c>
      <c r="C437" s="119" t="s">
        <v>1780</v>
      </c>
      <c r="D437" s="117" t="s">
        <v>1781</v>
      </c>
      <c r="E437" s="118"/>
      <c r="F437" s="118" t="s">
        <v>1625</v>
      </c>
      <c r="G437" s="118" t="s">
        <v>943</v>
      </c>
      <c r="H437" s="118">
        <f t="shared" si="821"/>
        <v>0</v>
      </c>
      <c r="I437" s="118" t="s">
        <v>1242</v>
      </c>
      <c r="J437" s="298"/>
      <c r="K437" s="118" t="s">
        <v>1150</v>
      </c>
      <c r="L437" s="118">
        <v>700</v>
      </c>
      <c r="M437" s="118" t="s">
        <v>1770</v>
      </c>
      <c r="N437" s="118">
        <f t="shared" si="807"/>
        <v>0</v>
      </c>
      <c r="O437" s="298"/>
      <c r="P437" s="298"/>
      <c r="Q437" s="298"/>
      <c r="R437" s="298"/>
      <c r="S437" s="298"/>
      <c r="T437" s="298"/>
      <c r="U437" s="298"/>
      <c r="V437" s="298"/>
      <c r="W437" s="298"/>
      <c r="X437" s="298"/>
      <c r="Y437" s="298"/>
      <c r="Z437" s="298"/>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6"/>
      <c r="BM437" s="311"/>
      <c r="BN437" s="314"/>
    </row>
    <row r="438" s="117" customFormat="1" ht="33.95" hidden="1" customHeight="1" outlineLevel="5" spans="2:66">
      <c r="B438" s="118" t="s">
        <v>799</v>
      </c>
      <c r="C438" s="119" t="s">
        <v>1782</v>
      </c>
      <c r="D438" s="117" t="s">
        <v>1783</v>
      </c>
      <c r="E438" s="118"/>
      <c r="F438" s="118" t="s">
        <v>1625</v>
      </c>
      <c r="G438" s="118" t="s">
        <v>943</v>
      </c>
      <c r="H438" s="118">
        <f t="shared" si="821"/>
        <v>0</v>
      </c>
      <c r="I438" s="118" t="s">
        <v>1242</v>
      </c>
      <c r="J438" s="298"/>
      <c r="K438" s="118" t="s">
        <v>1777</v>
      </c>
      <c r="L438" s="118">
        <v>2800</v>
      </c>
      <c r="M438" s="118" t="s">
        <v>1151</v>
      </c>
      <c r="N438" s="118">
        <f t="shared" si="807"/>
        <v>0</v>
      </c>
      <c r="O438" s="298"/>
      <c r="P438" s="298"/>
      <c r="Q438" s="298"/>
      <c r="R438" s="298"/>
      <c r="S438" s="298"/>
      <c r="T438" s="298"/>
      <c r="U438" s="298"/>
      <c r="V438" s="298"/>
      <c r="W438" s="298"/>
      <c r="X438" s="298"/>
      <c r="Y438" s="298"/>
      <c r="Z438" s="298"/>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6"/>
      <c r="BM438" s="311"/>
      <c r="BN438" s="314"/>
    </row>
    <row r="439" s="117" customFormat="1" ht="33.95" hidden="1" customHeight="1" outlineLevel="5" spans="2:66">
      <c r="B439" s="118" t="s">
        <v>799</v>
      </c>
      <c r="C439" s="119" t="s">
        <v>1782</v>
      </c>
      <c r="D439" s="117" t="s">
        <v>1784</v>
      </c>
      <c r="E439" s="118" t="s">
        <v>1785</v>
      </c>
      <c r="F439" s="118" t="s">
        <v>1625</v>
      </c>
      <c r="G439" s="118" t="s">
        <v>943</v>
      </c>
      <c r="H439" s="118">
        <f t="shared" si="821"/>
        <v>0</v>
      </c>
      <c r="I439" s="118" t="s">
        <v>1242</v>
      </c>
      <c r="J439" s="298"/>
      <c r="K439" s="118" t="s">
        <v>1777</v>
      </c>
      <c r="L439" s="118">
        <v>6000</v>
      </c>
      <c r="M439" s="118" t="s">
        <v>1770</v>
      </c>
      <c r="N439" s="118">
        <f t="shared" si="807"/>
        <v>0</v>
      </c>
      <c r="O439" s="316"/>
      <c r="P439" s="316"/>
      <c r="Q439" s="316"/>
      <c r="R439" s="316"/>
      <c r="S439" s="316"/>
      <c r="T439" s="316"/>
      <c r="U439" s="316"/>
      <c r="V439" s="316"/>
      <c r="W439" s="316"/>
      <c r="X439" s="316"/>
      <c r="Y439" s="316"/>
      <c r="Z439" s="316"/>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6"/>
      <c r="BM439" s="311"/>
      <c r="BN439" s="314"/>
    </row>
    <row r="440" s="48" customFormat="1" ht="33.95" hidden="1" customHeight="1" outlineLevel="3" collapsed="1" spans="2:66">
      <c r="B440" s="114" t="s">
        <v>794</v>
      </c>
      <c r="C440" s="115" t="s">
        <v>1786</v>
      </c>
      <c r="D440" s="48" t="s">
        <v>1787</v>
      </c>
      <c r="E440" s="114"/>
      <c r="F440" s="114"/>
      <c r="G440" s="114"/>
      <c r="H440" s="114">
        <f>SUM(H441:H445)</f>
        <v>0</v>
      </c>
      <c r="I440" s="114"/>
      <c r="J440" s="114"/>
      <c r="K440" s="114"/>
      <c r="L440" s="114"/>
      <c r="M440" s="114"/>
      <c r="N440" s="305"/>
      <c r="O440" s="288"/>
      <c r="P440" s="288"/>
      <c r="Q440" s="288"/>
      <c r="R440" s="288"/>
      <c r="S440" s="288"/>
      <c r="T440" s="288"/>
      <c r="U440" s="288"/>
      <c r="V440" s="288"/>
      <c r="W440" s="288"/>
      <c r="X440" s="288"/>
      <c r="Y440" s="288"/>
      <c r="Z440" s="288"/>
      <c r="AA440" s="288"/>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5"/>
      <c r="BM440" s="311"/>
      <c r="BN440" s="313"/>
    </row>
    <row r="441" s="117" customFormat="1" ht="33.95" hidden="1" customHeight="1" outlineLevel="4" spans="2:66">
      <c r="B441" s="118" t="s">
        <v>799</v>
      </c>
      <c r="C441" s="119" t="s">
        <v>1788</v>
      </c>
      <c r="D441" s="117" t="s">
        <v>1789</v>
      </c>
      <c r="E441" s="118"/>
      <c r="F441" s="118" t="s">
        <v>1625</v>
      </c>
      <c r="G441" s="118" t="s">
        <v>943</v>
      </c>
      <c r="H441" s="118">
        <f t="shared" ref="H441:H445" si="823">J441*L441</f>
        <v>0</v>
      </c>
      <c r="I441" s="118" t="s">
        <v>1242</v>
      </c>
      <c r="J441" s="298"/>
      <c r="K441" s="118" t="s">
        <v>1396</v>
      </c>
      <c r="L441" s="118">
        <v>23.9300583657588</v>
      </c>
      <c r="M441" s="118" t="s">
        <v>1675</v>
      </c>
      <c r="N441" s="118">
        <f t="shared" ref="N441:N445" si="824">COUNTA(O441:Z441)</f>
        <v>0</v>
      </c>
      <c r="O441" s="317"/>
      <c r="P441" s="317"/>
      <c r="Q441" s="317"/>
      <c r="R441" s="317"/>
      <c r="S441" s="317"/>
      <c r="T441" s="317"/>
      <c r="U441" s="317"/>
      <c r="V441" s="317"/>
      <c r="W441" s="317"/>
      <c r="X441" s="317"/>
      <c r="Y441" s="317"/>
      <c r="Z441" s="317"/>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6"/>
      <c r="BM441" s="311"/>
      <c r="BN441" s="314"/>
    </row>
    <row r="442" s="117" customFormat="1" ht="33.95" hidden="1" customHeight="1" outlineLevel="4" spans="2:66">
      <c r="B442" s="118" t="s">
        <v>799</v>
      </c>
      <c r="C442" s="119" t="s">
        <v>1790</v>
      </c>
      <c r="D442" s="117" t="s">
        <v>1791</v>
      </c>
      <c r="E442" s="118" t="s">
        <v>1792</v>
      </c>
      <c r="F442" s="118" t="s">
        <v>1625</v>
      </c>
      <c r="G442" s="118" t="s">
        <v>943</v>
      </c>
      <c r="H442" s="118">
        <f t="shared" si="823"/>
        <v>0</v>
      </c>
      <c r="I442" s="118" t="s">
        <v>1242</v>
      </c>
      <c r="J442" s="298"/>
      <c r="K442" s="118" t="s">
        <v>1396</v>
      </c>
      <c r="L442" s="118">
        <v>130</v>
      </c>
      <c r="M442" s="118" t="s">
        <v>1675</v>
      </c>
      <c r="N442" s="118">
        <f t="shared" si="824"/>
        <v>0</v>
      </c>
      <c r="O442" s="298"/>
      <c r="P442" s="298"/>
      <c r="Q442" s="298"/>
      <c r="R442" s="298"/>
      <c r="S442" s="298"/>
      <c r="T442" s="298"/>
      <c r="U442" s="298"/>
      <c r="V442" s="298"/>
      <c r="W442" s="298"/>
      <c r="X442" s="298"/>
      <c r="Y442" s="298"/>
      <c r="Z442" s="298"/>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6"/>
      <c r="BM442" s="311"/>
      <c r="BN442" s="314"/>
    </row>
    <row r="443" s="117" customFormat="1" ht="33.95" hidden="1" customHeight="1" outlineLevel="4" spans="2:66">
      <c r="B443" s="118" t="s">
        <v>799</v>
      </c>
      <c r="C443" s="119" t="s">
        <v>1793</v>
      </c>
      <c r="D443" s="117" t="s">
        <v>1794</v>
      </c>
      <c r="E443" s="118"/>
      <c r="F443" s="118" t="s">
        <v>1625</v>
      </c>
      <c r="G443" s="118" t="s">
        <v>943</v>
      </c>
      <c r="H443" s="118">
        <f t="shared" si="823"/>
        <v>0</v>
      </c>
      <c r="I443" s="118" t="s">
        <v>1242</v>
      </c>
      <c r="J443" s="298"/>
      <c r="K443" s="118" t="s">
        <v>1396</v>
      </c>
      <c r="L443" s="118">
        <v>28.7562388818298</v>
      </c>
      <c r="M443" s="118" t="s">
        <v>1675</v>
      </c>
      <c r="N443" s="118">
        <f t="shared" si="824"/>
        <v>0</v>
      </c>
      <c r="O443" s="298"/>
      <c r="P443" s="298"/>
      <c r="Q443" s="298"/>
      <c r="R443" s="298"/>
      <c r="S443" s="298"/>
      <c r="T443" s="298"/>
      <c r="U443" s="298"/>
      <c r="V443" s="298"/>
      <c r="W443" s="298"/>
      <c r="X443" s="298"/>
      <c r="Y443" s="298"/>
      <c r="Z443" s="298"/>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6"/>
      <c r="BM443" s="311"/>
      <c r="BN443" s="314"/>
    </row>
    <row r="444" s="117" customFormat="1" ht="33.95" hidden="1" customHeight="1" outlineLevel="4" spans="2:66">
      <c r="B444" s="118" t="s">
        <v>799</v>
      </c>
      <c r="C444" s="119" t="s">
        <v>1795</v>
      </c>
      <c r="D444" s="117" t="s">
        <v>1796</v>
      </c>
      <c r="E444" s="118"/>
      <c r="F444" s="118" t="s">
        <v>1625</v>
      </c>
      <c r="G444" s="118" t="s">
        <v>943</v>
      </c>
      <c r="H444" s="118">
        <f t="shared" si="823"/>
        <v>0</v>
      </c>
      <c r="I444" s="118" t="s">
        <v>1242</v>
      </c>
      <c r="J444" s="298"/>
      <c r="K444" s="118" t="s">
        <v>1396</v>
      </c>
      <c r="L444" s="118">
        <v>20.8170650529501</v>
      </c>
      <c r="M444" s="118" t="s">
        <v>1675</v>
      </c>
      <c r="N444" s="118">
        <f t="shared" si="824"/>
        <v>0</v>
      </c>
      <c r="O444" s="298"/>
      <c r="P444" s="298"/>
      <c r="Q444" s="298"/>
      <c r="R444" s="298"/>
      <c r="S444" s="298"/>
      <c r="T444" s="298"/>
      <c r="U444" s="298"/>
      <c r="V444" s="298"/>
      <c r="W444" s="298"/>
      <c r="X444" s="298"/>
      <c r="Y444" s="298"/>
      <c r="Z444" s="298"/>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6"/>
      <c r="BM444" s="311"/>
      <c r="BN444" s="314"/>
    </row>
    <row r="445" s="117" customFormat="1" ht="33.95" hidden="1" customHeight="1" outlineLevel="4" spans="2:66">
      <c r="B445" s="118" t="s">
        <v>799</v>
      </c>
      <c r="C445" s="119" t="s">
        <v>1797</v>
      </c>
      <c r="D445" s="117" t="s">
        <v>1798</v>
      </c>
      <c r="E445" s="118"/>
      <c r="F445" s="118" t="s">
        <v>1625</v>
      </c>
      <c r="G445" s="118" t="s">
        <v>943</v>
      </c>
      <c r="H445" s="118">
        <f t="shared" si="823"/>
        <v>0</v>
      </c>
      <c r="I445" s="118" t="s">
        <v>1242</v>
      </c>
      <c r="J445" s="298"/>
      <c r="K445" s="118" t="s">
        <v>1150</v>
      </c>
      <c r="L445" s="118">
        <v>260</v>
      </c>
      <c r="M445" s="118" t="s">
        <v>1770</v>
      </c>
      <c r="N445" s="118">
        <f t="shared" si="824"/>
        <v>0</v>
      </c>
      <c r="O445" s="316"/>
      <c r="P445" s="316"/>
      <c r="Q445" s="316"/>
      <c r="R445" s="316"/>
      <c r="S445" s="316"/>
      <c r="T445" s="316"/>
      <c r="U445" s="316"/>
      <c r="V445" s="316"/>
      <c r="W445" s="316"/>
      <c r="X445" s="316"/>
      <c r="Y445" s="316"/>
      <c r="Z445" s="316"/>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6"/>
      <c r="BM445" s="311"/>
      <c r="BN445" s="314"/>
    </row>
    <row r="446" s="48" customFormat="1" ht="33.95" hidden="1" customHeight="1" outlineLevel="3" collapsed="1" spans="2:66">
      <c r="B446" s="114" t="s">
        <v>794</v>
      </c>
      <c r="C446" s="115" t="s">
        <v>1799</v>
      </c>
      <c r="D446" s="48" t="s">
        <v>1800</v>
      </c>
      <c r="E446" s="114"/>
      <c r="F446" s="114"/>
      <c r="G446" s="114"/>
      <c r="H446" s="114">
        <f>SUM(H447:H460)</f>
        <v>0</v>
      </c>
      <c r="I446" s="114"/>
      <c r="J446" s="114"/>
      <c r="K446" s="114"/>
      <c r="L446" s="114"/>
      <c r="M446" s="114"/>
      <c r="N446" s="305"/>
      <c r="O446" s="288"/>
      <c r="P446" s="288"/>
      <c r="Q446" s="288"/>
      <c r="R446" s="288"/>
      <c r="S446" s="288"/>
      <c r="T446" s="288"/>
      <c r="U446" s="288"/>
      <c r="V446" s="288"/>
      <c r="W446" s="288"/>
      <c r="X446" s="288"/>
      <c r="Y446" s="288"/>
      <c r="Z446" s="288"/>
      <c r="AA446" s="288"/>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5"/>
      <c r="BM446" s="311"/>
      <c r="BN446" s="313"/>
    </row>
    <row r="447" s="117" customFormat="1" ht="33.95" hidden="1" customHeight="1" outlineLevel="5" spans="2:66">
      <c r="B447" s="118" t="s">
        <v>799</v>
      </c>
      <c r="C447" s="119" t="s">
        <v>1801</v>
      </c>
      <c r="D447" s="117" t="s">
        <v>1802</v>
      </c>
      <c r="E447" s="118" t="s">
        <v>1803</v>
      </c>
      <c r="F447" s="118" t="s">
        <v>1625</v>
      </c>
      <c r="G447" s="118" t="s">
        <v>943</v>
      </c>
      <c r="H447" s="118">
        <f t="shared" ref="H447:H459" si="825">J447*L447</f>
        <v>0</v>
      </c>
      <c r="I447" s="118" t="s">
        <v>1242</v>
      </c>
      <c r="J447" s="298"/>
      <c r="K447" s="118" t="s">
        <v>1804</v>
      </c>
      <c r="L447" s="118">
        <v>48</v>
      </c>
      <c r="M447" s="118" t="s">
        <v>1805</v>
      </c>
      <c r="N447" s="118">
        <f t="shared" ref="N447:N459" si="826">COUNTA(O447:Z447)</f>
        <v>0</v>
      </c>
      <c r="O447" s="317"/>
      <c r="P447" s="317"/>
      <c r="Q447" s="317"/>
      <c r="R447" s="317"/>
      <c r="S447" s="317"/>
      <c r="T447" s="317"/>
      <c r="U447" s="317"/>
      <c r="V447" s="317"/>
      <c r="W447" s="317"/>
      <c r="X447" s="317"/>
      <c r="Y447" s="317"/>
      <c r="Z447" s="317"/>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6"/>
      <c r="BM447" s="311"/>
      <c r="BN447" s="314"/>
    </row>
    <row r="448" s="117" customFormat="1" ht="33.95" hidden="1" customHeight="1" outlineLevel="5" spans="2:66">
      <c r="B448" s="118" t="s">
        <v>799</v>
      </c>
      <c r="C448" s="119" t="s">
        <v>1806</v>
      </c>
      <c r="D448" s="117" t="s">
        <v>1807</v>
      </c>
      <c r="E448" s="118" t="s">
        <v>1808</v>
      </c>
      <c r="F448" s="118" t="s">
        <v>1625</v>
      </c>
      <c r="G448" s="118" t="s">
        <v>943</v>
      </c>
      <c r="H448" s="118">
        <f t="shared" si="825"/>
        <v>0</v>
      </c>
      <c r="I448" s="118" t="s">
        <v>1242</v>
      </c>
      <c r="J448" s="298"/>
      <c r="K448" s="118" t="s">
        <v>1804</v>
      </c>
      <c r="L448" s="118">
        <v>338</v>
      </c>
      <c r="M448" s="118" t="s">
        <v>1805</v>
      </c>
      <c r="N448" s="118">
        <f t="shared" si="826"/>
        <v>0</v>
      </c>
      <c r="O448" s="298"/>
      <c r="P448" s="298"/>
      <c r="Q448" s="298"/>
      <c r="R448" s="298"/>
      <c r="S448" s="298"/>
      <c r="T448" s="298"/>
      <c r="U448" s="298"/>
      <c r="V448" s="298"/>
      <c r="W448" s="298"/>
      <c r="X448" s="298"/>
      <c r="Y448" s="298"/>
      <c r="Z448" s="298"/>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6"/>
      <c r="BM448" s="311"/>
      <c r="BN448" s="314"/>
    </row>
    <row r="449" s="117" customFormat="1" ht="33.95" hidden="1" customHeight="1" outlineLevel="5" spans="2:66">
      <c r="B449" s="118" t="s">
        <v>799</v>
      </c>
      <c r="C449" s="119" t="s">
        <v>1809</v>
      </c>
      <c r="D449" s="117" t="s">
        <v>1810</v>
      </c>
      <c r="E449" s="118" t="s">
        <v>1811</v>
      </c>
      <c r="F449" s="118" t="s">
        <v>1625</v>
      </c>
      <c r="G449" s="118" t="s">
        <v>943</v>
      </c>
      <c r="H449" s="118">
        <f t="shared" si="825"/>
        <v>0</v>
      </c>
      <c r="I449" s="118" t="s">
        <v>1242</v>
      </c>
      <c r="J449" s="298"/>
      <c r="K449" s="118" t="s">
        <v>1396</v>
      </c>
      <c r="L449" s="118">
        <v>190</v>
      </c>
      <c r="M449" s="118" t="s">
        <v>1675</v>
      </c>
      <c r="N449" s="118">
        <f t="shared" si="826"/>
        <v>0</v>
      </c>
      <c r="O449" s="298"/>
      <c r="P449" s="298"/>
      <c r="Q449" s="298"/>
      <c r="R449" s="298"/>
      <c r="S449" s="298"/>
      <c r="T449" s="298"/>
      <c r="U449" s="298"/>
      <c r="V449" s="298"/>
      <c r="W449" s="298"/>
      <c r="X449" s="298"/>
      <c r="Y449" s="298"/>
      <c r="Z449" s="298"/>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6"/>
      <c r="BM449" s="311"/>
      <c r="BN449" s="314"/>
    </row>
    <row r="450" s="117" customFormat="1" ht="33.95" hidden="1" customHeight="1" outlineLevel="5" spans="2:66">
      <c r="B450" s="118" t="s">
        <v>799</v>
      </c>
      <c r="C450" s="119" t="s">
        <v>1812</v>
      </c>
      <c r="D450" s="117" t="s">
        <v>1813</v>
      </c>
      <c r="E450" s="118" t="s">
        <v>1814</v>
      </c>
      <c r="F450" s="118" t="s">
        <v>1625</v>
      </c>
      <c r="G450" s="118" t="s">
        <v>943</v>
      </c>
      <c r="H450" s="118">
        <f t="shared" si="825"/>
        <v>0</v>
      </c>
      <c r="I450" s="118" t="s">
        <v>1242</v>
      </c>
      <c r="J450" s="298"/>
      <c r="K450" s="118" t="s">
        <v>1396</v>
      </c>
      <c r="L450" s="118">
        <v>500</v>
      </c>
      <c r="M450" s="118" t="s">
        <v>1675</v>
      </c>
      <c r="N450" s="118">
        <f t="shared" si="826"/>
        <v>0</v>
      </c>
      <c r="O450" s="298"/>
      <c r="P450" s="298"/>
      <c r="Q450" s="298"/>
      <c r="R450" s="298"/>
      <c r="S450" s="298"/>
      <c r="T450" s="298"/>
      <c r="U450" s="298"/>
      <c r="V450" s="298"/>
      <c r="W450" s="298"/>
      <c r="X450" s="298"/>
      <c r="Y450" s="298"/>
      <c r="Z450" s="298"/>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6"/>
      <c r="BM450" s="311"/>
      <c r="BN450" s="314"/>
    </row>
    <row r="451" s="117" customFormat="1" ht="33.95" hidden="1" customHeight="1" outlineLevel="5" spans="2:66">
      <c r="B451" s="118" t="s">
        <v>799</v>
      </c>
      <c r="C451" s="119" t="s">
        <v>1815</v>
      </c>
      <c r="D451" s="117" t="s">
        <v>1816</v>
      </c>
      <c r="E451" s="118" t="s">
        <v>1817</v>
      </c>
      <c r="F451" s="118" t="s">
        <v>1625</v>
      </c>
      <c r="G451" s="118" t="s">
        <v>943</v>
      </c>
      <c r="H451" s="118">
        <f t="shared" si="825"/>
        <v>0</v>
      </c>
      <c r="I451" s="118" t="s">
        <v>1242</v>
      </c>
      <c r="J451" s="298"/>
      <c r="K451" s="118" t="s">
        <v>1396</v>
      </c>
      <c r="L451" s="118">
        <v>80</v>
      </c>
      <c r="M451" s="118" t="s">
        <v>1675</v>
      </c>
      <c r="N451" s="118">
        <f t="shared" si="826"/>
        <v>0</v>
      </c>
      <c r="O451" s="298"/>
      <c r="P451" s="298"/>
      <c r="Q451" s="298"/>
      <c r="R451" s="298"/>
      <c r="S451" s="298"/>
      <c r="T451" s="298"/>
      <c r="U451" s="298"/>
      <c r="V451" s="298"/>
      <c r="W451" s="298"/>
      <c r="X451" s="298"/>
      <c r="Y451" s="298"/>
      <c r="Z451" s="298"/>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6"/>
      <c r="BM451" s="311"/>
      <c r="BN451" s="314"/>
    </row>
    <row r="452" s="117" customFormat="1" ht="33.95" hidden="1" customHeight="1" outlineLevel="5" spans="2:66">
      <c r="B452" s="118" t="s">
        <v>799</v>
      </c>
      <c r="C452" s="119" t="s">
        <v>1818</v>
      </c>
      <c r="D452" s="117" t="s">
        <v>1819</v>
      </c>
      <c r="E452" s="118" t="s">
        <v>1820</v>
      </c>
      <c r="F452" s="118" t="s">
        <v>1625</v>
      </c>
      <c r="G452" s="118" t="s">
        <v>943</v>
      </c>
      <c r="H452" s="118">
        <f t="shared" si="825"/>
        <v>0</v>
      </c>
      <c r="I452" s="118" t="s">
        <v>1242</v>
      </c>
      <c r="J452" s="298"/>
      <c r="K452" s="118" t="s">
        <v>1396</v>
      </c>
      <c r="L452" s="118">
        <v>10</v>
      </c>
      <c r="M452" s="118" t="s">
        <v>1675</v>
      </c>
      <c r="N452" s="118">
        <f t="shared" si="826"/>
        <v>0</v>
      </c>
      <c r="O452" s="298"/>
      <c r="P452" s="298"/>
      <c r="Q452" s="298"/>
      <c r="R452" s="298"/>
      <c r="S452" s="298"/>
      <c r="T452" s="298"/>
      <c r="U452" s="298"/>
      <c r="V452" s="298"/>
      <c r="W452" s="298"/>
      <c r="X452" s="298"/>
      <c r="Y452" s="298"/>
      <c r="Z452" s="298"/>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6"/>
      <c r="BM452" s="311"/>
      <c r="BN452" s="314"/>
    </row>
    <row r="453" s="117" customFormat="1" ht="33.95" hidden="1" customHeight="1" outlineLevel="5" spans="2:66">
      <c r="B453" s="118" t="s">
        <v>799</v>
      </c>
      <c r="C453" s="119" t="s">
        <v>1821</v>
      </c>
      <c r="D453" s="117" t="s">
        <v>1822</v>
      </c>
      <c r="E453" s="118" t="s">
        <v>1823</v>
      </c>
      <c r="F453" s="118" t="s">
        <v>1625</v>
      </c>
      <c r="G453" s="118" t="s">
        <v>943</v>
      </c>
      <c r="H453" s="118">
        <f t="shared" si="825"/>
        <v>0</v>
      </c>
      <c r="I453" s="118" t="s">
        <v>1242</v>
      </c>
      <c r="J453" s="298"/>
      <c r="K453" s="118" t="s">
        <v>1759</v>
      </c>
      <c r="L453" s="118">
        <v>37</v>
      </c>
      <c r="M453" s="118" t="s">
        <v>1760</v>
      </c>
      <c r="N453" s="118">
        <f t="shared" si="826"/>
        <v>0</v>
      </c>
      <c r="O453" s="298"/>
      <c r="P453" s="298"/>
      <c r="Q453" s="298"/>
      <c r="R453" s="298"/>
      <c r="S453" s="298"/>
      <c r="T453" s="298"/>
      <c r="U453" s="298"/>
      <c r="V453" s="298"/>
      <c r="W453" s="298"/>
      <c r="X453" s="298"/>
      <c r="Y453" s="298"/>
      <c r="Z453" s="298"/>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6"/>
      <c r="BM453" s="311"/>
      <c r="BN453" s="314"/>
    </row>
    <row r="454" s="117" customFormat="1" ht="33.95" hidden="1" customHeight="1" outlineLevel="5" spans="2:66">
      <c r="B454" s="118" t="s">
        <v>799</v>
      </c>
      <c r="C454" s="119" t="s">
        <v>1824</v>
      </c>
      <c r="D454" s="117" t="s">
        <v>1825</v>
      </c>
      <c r="E454" s="118" t="s">
        <v>1826</v>
      </c>
      <c r="F454" s="118" t="s">
        <v>1625</v>
      </c>
      <c r="G454" s="118" t="s">
        <v>943</v>
      </c>
      <c r="H454" s="118">
        <f t="shared" si="825"/>
        <v>0</v>
      </c>
      <c r="I454" s="118" t="s">
        <v>1242</v>
      </c>
      <c r="J454" s="298"/>
      <c r="K454" s="118" t="s">
        <v>1297</v>
      </c>
      <c r="L454" s="118">
        <v>25</v>
      </c>
      <c r="M454" s="118" t="s">
        <v>1827</v>
      </c>
      <c r="N454" s="118">
        <f t="shared" si="826"/>
        <v>0</v>
      </c>
      <c r="O454" s="298"/>
      <c r="P454" s="298"/>
      <c r="Q454" s="298"/>
      <c r="R454" s="298"/>
      <c r="S454" s="298"/>
      <c r="T454" s="298"/>
      <c r="U454" s="298"/>
      <c r="V454" s="298"/>
      <c r="W454" s="298"/>
      <c r="X454" s="298"/>
      <c r="Y454" s="298"/>
      <c r="Z454" s="298"/>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6"/>
      <c r="BM454" s="311"/>
      <c r="BN454" s="314"/>
    </row>
    <row r="455" s="117" customFormat="1" ht="33.95" hidden="1" customHeight="1" outlineLevel="5" spans="2:66">
      <c r="B455" s="118" t="s">
        <v>799</v>
      </c>
      <c r="C455" s="119" t="s">
        <v>1828</v>
      </c>
      <c r="D455" s="117" t="s">
        <v>1829</v>
      </c>
      <c r="E455" s="118" t="s">
        <v>1830</v>
      </c>
      <c r="F455" s="118" t="s">
        <v>1625</v>
      </c>
      <c r="G455" s="118" t="s">
        <v>943</v>
      </c>
      <c r="H455" s="118">
        <f t="shared" si="825"/>
        <v>0</v>
      </c>
      <c r="I455" s="118" t="s">
        <v>1242</v>
      </c>
      <c r="J455" s="298"/>
      <c r="K455" s="118" t="s">
        <v>1831</v>
      </c>
      <c r="L455" s="118">
        <v>9</v>
      </c>
      <c r="M455" s="118" t="s">
        <v>1832</v>
      </c>
      <c r="N455" s="118">
        <f t="shared" si="826"/>
        <v>0</v>
      </c>
      <c r="O455" s="298"/>
      <c r="P455" s="298"/>
      <c r="Q455" s="298"/>
      <c r="R455" s="298"/>
      <c r="S455" s="298"/>
      <c r="T455" s="298"/>
      <c r="U455" s="298"/>
      <c r="V455" s="298"/>
      <c r="W455" s="298"/>
      <c r="X455" s="298"/>
      <c r="Y455" s="298"/>
      <c r="Z455" s="298"/>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6"/>
      <c r="BM455" s="311"/>
      <c r="BN455" s="314"/>
    </row>
    <row r="456" s="117" customFormat="1" ht="33.95" hidden="1" customHeight="1" outlineLevel="5" spans="2:66">
      <c r="B456" s="118" t="s">
        <v>799</v>
      </c>
      <c r="C456" s="119" t="s">
        <v>1833</v>
      </c>
      <c r="D456" s="117" t="s">
        <v>1834</v>
      </c>
      <c r="E456" s="118" t="s">
        <v>1835</v>
      </c>
      <c r="F456" s="118" t="s">
        <v>1625</v>
      </c>
      <c r="G456" s="118" t="s">
        <v>943</v>
      </c>
      <c r="H456" s="118">
        <f t="shared" si="825"/>
        <v>0</v>
      </c>
      <c r="I456" s="118" t="s">
        <v>1242</v>
      </c>
      <c r="J456" s="298"/>
      <c r="K456" s="118" t="s">
        <v>1836</v>
      </c>
      <c r="L456" s="118">
        <v>99</v>
      </c>
      <c r="M456" s="118" t="s">
        <v>1837</v>
      </c>
      <c r="N456" s="118">
        <f t="shared" si="826"/>
        <v>0</v>
      </c>
      <c r="O456" s="298"/>
      <c r="P456" s="298"/>
      <c r="Q456" s="298"/>
      <c r="R456" s="298"/>
      <c r="S456" s="298"/>
      <c r="T456" s="298"/>
      <c r="U456" s="298"/>
      <c r="V456" s="298"/>
      <c r="W456" s="298"/>
      <c r="X456" s="298"/>
      <c r="Y456" s="298"/>
      <c r="Z456" s="298"/>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6"/>
      <c r="BM456" s="311"/>
      <c r="BN456" s="314"/>
    </row>
    <row r="457" s="117" customFormat="1" ht="33.95" hidden="1" customHeight="1" outlineLevel="5" spans="2:66">
      <c r="B457" s="118" t="s">
        <v>799</v>
      </c>
      <c r="C457" s="119" t="s">
        <v>1838</v>
      </c>
      <c r="D457" s="117" t="s">
        <v>1839</v>
      </c>
      <c r="E457" s="118" t="s">
        <v>1840</v>
      </c>
      <c r="F457" s="118" t="s">
        <v>1625</v>
      </c>
      <c r="G457" s="118" t="s">
        <v>943</v>
      </c>
      <c r="H457" s="118">
        <f t="shared" si="825"/>
        <v>0</v>
      </c>
      <c r="I457" s="118" t="s">
        <v>1242</v>
      </c>
      <c r="J457" s="298"/>
      <c r="K457" s="118" t="s">
        <v>1836</v>
      </c>
      <c r="L457" s="118">
        <v>120</v>
      </c>
      <c r="M457" s="118" t="s">
        <v>1837</v>
      </c>
      <c r="N457" s="118">
        <f t="shared" si="826"/>
        <v>0</v>
      </c>
      <c r="O457" s="298"/>
      <c r="P457" s="298"/>
      <c r="Q457" s="298"/>
      <c r="R457" s="298"/>
      <c r="S457" s="298"/>
      <c r="T457" s="298"/>
      <c r="U457" s="298"/>
      <c r="V457" s="298"/>
      <c r="W457" s="298"/>
      <c r="X457" s="298"/>
      <c r="Y457" s="298"/>
      <c r="Z457" s="298"/>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6"/>
      <c r="BM457" s="311"/>
      <c r="BN457" s="314"/>
    </row>
    <row r="458" s="117" customFormat="1" ht="33.95" hidden="1" customHeight="1" outlineLevel="5" spans="2:66">
      <c r="B458" s="118" t="s">
        <v>799</v>
      </c>
      <c r="C458" s="119" t="s">
        <v>1841</v>
      </c>
      <c r="D458" s="117" t="s">
        <v>1842</v>
      </c>
      <c r="E458" s="118" t="s">
        <v>1843</v>
      </c>
      <c r="F458" s="118" t="s">
        <v>1625</v>
      </c>
      <c r="G458" s="118" t="s">
        <v>943</v>
      </c>
      <c r="H458" s="118">
        <f t="shared" si="825"/>
        <v>0</v>
      </c>
      <c r="I458" s="118" t="s">
        <v>1242</v>
      </c>
      <c r="J458" s="298"/>
      <c r="K458" s="118" t="s">
        <v>1836</v>
      </c>
      <c r="L458" s="118">
        <v>350</v>
      </c>
      <c r="M458" s="118" t="s">
        <v>1837</v>
      </c>
      <c r="N458" s="118">
        <f t="shared" si="826"/>
        <v>0</v>
      </c>
      <c r="O458" s="298"/>
      <c r="P458" s="298"/>
      <c r="Q458" s="298"/>
      <c r="R458" s="298"/>
      <c r="S458" s="298"/>
      <c r="T458" s="298"/>
      <c r="U458" s="298"/>
      <c r="V458" s="298"/>
      <c r="W458" s="298"/>
      <c r="X458" s="298"/>
      <c r="Y458" s="298"/>
      <c r="Z458" s="298"/>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6"/>
      <c r="BM458" s="311"/>
      <c r="BN458" s="314"/>
    </row>
    <row r="459" s="117" customFormat="1" ht="33.95" hidden="1" customHeight="1" outlineLevel="5" spans="2:66">
      <c r="B459" s="118" t="s">
        <v>799</v>
      </c>
      <c r="C459" s="119" t="s">
        <v>1844</v>
      </c>
      <c r="D459" s="117" t="s">
        <v>1845</v>
      </c>
      <c r="E459" s="118" t="s">
        <v>1846</v>
      </c>
      <c r="F459" s="118" t="s">
        <v>1625</v>
      </c>
      <c r="G459" s="118" t="s">
        <v>943</v>
      </c>
      <c r="H459" s="118">
        <f t="shared" si="825"/>
        <v>0</v>
      </c>
      <c r="I459" s="118" t="s">
        <v>1242</v>
      </c>
      <c r="J459" s="298"/>
      <c r="K459" s="118" t="s">
        <v>1847</v>
      </c>
      <c r="L459" s="118">
        <v>10</v>
      </c>
      <c r="M459" s="118" t="s">
        <v>1848</v>
      </c>
      <c r="N459" s="118">
        <f t="shared" si="826"/>
        <v>0</v>
      </c>
      <c r="O459" s="316"/>
      <c r="P459" s="316"/>
      <c r="Q459" s="316"/>
      <c r="R459" s="316"/>
      <c r="S459" s="316"/>
      <c r="T459" s="316"/>
      <c r="U459" s="316"/>
      <c r="V459" s="316"/>
      <c r="W459" s="316"/>
      <c r="X459" s="316"/>
      <c r="Y459" s="316"/>
      <c r="Z459" s="316"/>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6"/>
      <c r="BM459" s="311"/>
      <c r="BN459" s="314"/>
    </row>
    <row r="460" s="117" customFormat="1" ht="33.95" hidden="1" customHeight="1" outlineLevel="4" spans="2:66">
      <c r="B460" s="118" t="s">
        <v>799</v>
      </c>
      <c r="C460" s="119" t="s">
        <v>1849</v>
      </c>
      <c r="D460" s="117" t="s">
        <v>1850</v>
      </c>
      <c r="E460" s="118"/>
      <c r="F460" s="118"/>
      <c r="G460" s="118" t="s">
        <v>1851</v>
      </c>
      <c r="H460" s="118">
        <f>J460*L460*N460</f>
        <v>0</v>
      </c>
      <c r="I460" s="118" t="s">
        <v>1242</v>
      </c>
      <c r="J460" s="118">
        <v>1</v>
      </c>
      <c r="K460" s="118" t="s">
        <v>1243</v>
      </c>
      <c r="L460" s="298"/>
      <c r="M460" s="118" t="s">
        <v>1244</v>
      </c>
      <c r="N460" s="306">
        <v>12</v>
      </c>
      <c r="O460" s="289"/>
      <c r="P460" s="289"/>
      <c r="Q460" s="289"/>
      <c r="R460" s="289"/>
      <c r="S460" s="289"/>
      <c r="T460" s="289"/>
      <c r="U460" s="289"/>
      <c r="V460" s="289"/>
      <c r="W460" s="289"/>
      <c r="X460" s="289"/>
      <c r="Y460" s="289"/>
      <c r="Z460" s="289"/>
      <c r="AA460" s="289"/>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6"/>
      <c r="BM460" s="311"/>
      <c r="BN460" s="314"/>
    </row>
    <row r="461" s="29" customFormat="1" ht="33.95" hidden="1" customHeight="1" outlineLevel="2" collapsed="1" spans="2:66">
      <c r="B461" s="111" t="s">
        <v>794</v>
      </c>
      <c r="C461" s="112" t="s">
        <v>1852</v>
      </c>
      <c r="D461" s="29" t="s">
        <v>1853</v>
      </c>
      <c r="E461" s="111"/>
      <c r="F461" s="111"/>
      <c r="G461" s="111"/>
      <c r="H461" s="111">
        <f>H462+H468+H477</f>
        <v>0</v>
      </c>
      <c r="I461" s="111"/>
      <c r="J461" s="111"/>
      <c r="K461" s="111"/>
      <c r="L461" s="111"/>
      <c r="M461" s="111"/>
      <c r="N461" s="304"/>
      <c r="O461" s="287"/>
      <c r="P461" s="287"/>
      <c r="Q461" s="287"/>
      <c r="R461" s="287"/>
      <c r="S461" s="287"/>
      <c r="T461" s="287"/>
      <c r="U461" s="287"/>
      <c r="V461" s="287"/>
      <c r="W461" s="287"/>
      <c r="X461" s="287"/>
      <c r="Y461" s="287"/>
      <c r="Z461" s="287"/>
      <c r="AA461" s="287"/>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4"/>
      <c r="BM461" s="311"/>
      <c r="BN461" s="312"/>
    </row>
    <row r="462" s="48" customFormat="1" ht="33.95" hidden="1" customHeight="1" outlineLevel="3" collapsed="1" spans="2:66">
      <c r="B462" s="114" t="s">
        <v>794</v>
      </c>
      <c r="C462" s="115" t="s">
        <v>1854</v>
      </c>
      <c r="D462" s="48" t="s">
        <v>1855</v>
      </c>
      <c r="E462" s="114"/>
      <c r="F462" s="114"/>
      <c r="G462" s="114"/>
      <c r="H462" s="114">
        <f>SUM(H463:H467)</f>
        <v>0</v>
      </c>
      <c r="I462" s="114"/>
      <c r="J462" s="114"/>
      <c r="K462" s="114"/>
      <c r="L462" s="114"/>
      <c r="M462" s="114"/>
      <c r="N462" s="305"/>
      <c r="O462" s="288"/>
      <c r="P462" s="288"/>
      <c r="Q462" s="288"/>
      <c r="R462" s="288"/>
      <c r="S462" s="288"/>
      <c r="T462" s="288"/>
      <c r="U462" s="288"/>
      <c r="V462" s="288"/>
      <c r="W462" s="288"/>
      <c r="X462" s="288"/>
      <c r="Y462" s="288"/>
      <c r="Z462" s="288"/>
      <c r="AA462" s="288"/>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5"/>
      <c r="BM462" s="311"/>
      <c r="BN462" s="313"/>
    </row>
    <row r="463" s="117" customFormat="1" ht="33.95" hidden="1" customHeight="1" outlineLevel="5" spans="2:66">
      <c r="B463" s="118" t="s">
        <v>799</v>
      </c>
      <c r="C463" s="119" t="s">
        <v>1856</v>
      </c>
      <c r="D463" s="117" t="s">
        <v>1857</v>
      </c>
      <c r="E463" s="118"/>
      <c r="F463" s="118" t="s">
        <v>1625</v>
      </c>
      <c r="G463" s="118" t="s">
        <v>943</v>
      </c>
      <c r="H463" s="118">
        <f t="shared" ref="H463:H467" si="842">J463*L463</f>
        <v>0</v>
      </c>
      <c r="I463" s="118" t="s">
        <v>1242</v>
      </c>
      <c r="J463" s="298"/>
      <c r="K463" s="118" t="s">
        <v>1150</v>
      </c>
      <c r="L463" s="118">
        <v>2850</v>
      </c>
      <c r="M463" s="118" t="s">
        <v>1770</v>
      </c>
      <c r="N463" s="118">
        <f t="shared" ref="N463:N467" si="843">COUNTA(O463:Z463)</f>
        <v>0</v>
      </c>
      <c r="O463" s="317"/>
      <c r="P463" s="317"/>
      <c r="Q463" s="317"/>
      <c r="R463" s="317"/>
      <c r="S463" s="317"/>
      <c r="T463" s="317"/>
      <c r="U463" s="317"/>
      <c r="V463" s="317"/>
      <c r="W463" s="317"/>
      <c r="X463" s="317"/>
      <c r="Y463" s="317"/>
      <c r="Z463" s="317"/>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6"/>
      <c r="BM463" s="311"/>
      <c r="BN463" s="314"/>
    </row>
    <row r="464" s="117" customFormat="1" ht="33.95" hidden="1" customHeight="1" outlineLevel="5" spans="2:66">
      <c r="B464" s="118" t="s">
        <v>799</v>
      </c>
      <c r="C464" s="119" t="s">
        <v>1858</v>
      </c>
      <c r="D464" s="117" t="s">
        <v>1859</v>
      </c>
      <c r="E464" s="118"/>
      <c r="F464" s="118" t="s">
        <v>1625</v>
      </c>
      <c r="G464" s="118" t="s">
        <v>943</v>
      </c>
      <c r="H464" s="118">
        <f t="shared" si="842"/>
        <v>0</v>
      </c>
      <c r="I464" s="118" t="s">
        <v>1242</v>
      </c>
      <c r="J464" s="298"/>
      <c r="K464" s="118" t="s">
        <v>1150</v>
      </c>
      <c r="L464" s="118">
        <v>1180</v>
      </c>
      <c r="M464" s="118" t="s">
        <v>1770</v>
      </c>
      <c r="N464" s="118">
        <f t="shared" si="843"/>
        <v>0</v>
      </c>
      <c r="O464" s="298"/>
      <c r="P464" s="298"/>
      <c r="Q464" s="298"/>
      <c r="R464" s="298"/>
      <c r="S464" s="298"/>
      <c r="T464" s="298"/>
      <c r="U464" s="298"/>
      <c r="V464" s="298"/>
      <c r="W464" s="298"/>
      <c r="X464" s="298"/>
      <c r="Y464" s="298"/>
      <c r="Z464" s="298"/>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6"/>
      <c r="BM464" s="311"/>
      <c r="BN464" s="314"/>
    </row>
    <row r="465" s="117" customFormat="1" ht="33.95" hidden="1" customHeight="1" outlineLevel="5" spans="2:66">
      <c r="B465" s="118" t="s">
        <v>799</v>
      </c>
      <c r="C465" s="119" t="s">
        <v>1860</v>
      </c>
      <c r="D465" s="117" t="s">
        <v>1861</v>
      </c>
      <c r="E465" s="118"/>
      <c r="F465" s="118" t="s">
        <v>1625</v>
      </c>
      <c r="G465" s="118" t="s">
        <v>943</v>
      </c>
      <c r="H465" s="118">
        <f t="shared" si="842"/>
        <v>0</v>
      </c>
      <c r="I465" s="118" t="s">
        <v>1242</v>
      </c>
      <c r="J465" s="298"/>
      <c r="K465" s="118" t="s">
        <v>1150</v>
      </c>
      <c r="L465" s="118">
        <v>380</v>
      </c>
      <c r="M465" s="118" t="s">
        <v>1770</v>
      </c>
      <c r="N465" s="118">
        <f t="shared" si="843"/>
        <v>0</v>
      </c>
      <c r="O465" s="298"/>
      <c r="P465" s="298"/>
      <c r="Q465" s="298"/>
      <c r="R465" s="298"/>
      <c r="S465" s="298"/>
      <c r="T465" s="298"/>
      <c r="U465" s="298"/>
      <c r="V465" s="298"/>
      <c r="W465" s="298"/>
      <c r="X465" s="298"/>
      <c r="Y465" s="298"/>
      <c r="Z465" s="298"/>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6"/>
      <c r="BM465" s="311"/>
      <c r="BN465" s="314"/>
    </row>
    <row r="466" s="117" customFormat="1" ht="33.95" hidden="1" customHeight="1" outlineLevel="5" spans="2:66">
      <c r="B466" s="118" t="s">
        <v>799</v>
      </c>
      <c r="C466" s="119" t="s">
        <v>1862</v>
      </c>
      <c r="D466" s="117" t="s">
        <v>1863</v>
      </c>
      <c r="E466" s="118"/>
      <c r="F466" s="118" t="s">
        <v>1625</v>
      </c>
      <c r="G466" s="118" t="s">
        <v>943</v>
      </c>
      <c r="H466" s="118">
        <f t="shared" si="842"/>
        <v>0</v>
      </c>
      <c r="I466" s="118" t="s">
        <v>1242</v>
      </c>
      <c r="J466" s="298"/>
      <c r="K466" s="118" t="s">
        <v>1150</v>
      </c>
      <c r="L466" s="118">
        <v>2330</v>
      </c>
      <c r="M466" s="118" t="s">
        <v>1770</v>
      </c>
      <c r="N466" s="118">
        <f t="shared" si="843"/>
        <v>0</v>
      </c>
      <c r="O466" s="298"/>
      <c r="P466" s="298"/>
      <c r="Q466" s="298"/>
      <c r="R466" s="298"/>
      <c r="S466" s="298"/>
      <c r="T466" s="298"/>
      <c r="U466" s="298"/>
      <c r="V466" s="298"/>
      <c r="W466" s="298"/>
      <c r="X466" s="298"/>
      <c r="Y466" s="298"/>
      <c r="Z466" s="298"/>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6"/>
      <c r="BM466" s="311"/>
      <c r="BN466" s="314"/>
    </row>
    <row r="467" s="117" customFormat="1" ht="33.95" hidden="1" customHeight="1" outlineLevel="5" spans="2:66">
      <c r="B467" s="118" t="s">
        <v>799</v>
      </c>
      <c r="C467" s="119" t="s">
        <v>1864</v>
      </c>
      <c r="D467" s="117" t="s">
        <v>1865</v>
      </c>
      <c r="E467" s="118"/>
      <c r="F467" s="118" t="s">
        <v>1625</v>
      </c>
      <c r="G467" s="118" t="s">
        <v>943</v>
      </c>
      <c r="H467" s="118">
        <f t="shared" si="842"/>
        <v>0</v>
      </c>
      <c r="I467" s="118" t="s">
        <v>1242</v>
      </c>
      <c r="J467" s="298"/>
      <c r="K467" s="118" t="s">
        <v>1150</v>
      </c>
      <c r="L467" s="118">
        <v>2400</v>
      </c>
      <c r="M467" s="118" t="s">
        <v>1770</v>
      </c>
      <c r="N467" s="118">
        <f t="shared" si="843"/>
        <v>0</v>
      </c>
      <c r="O467" s="316"/>
      <c r="P467" s="316"/>
      <c r="Q467" s="316"/>
      <c r="R467" s="316"/>
      <c r="S467" s="316"/>
      <c r="T467" s="316"/>
      <c r="U467" s="316"/>
      <c r="V467" s="316"/>
      <c r="W467" s="316"/>
      <c r="X467" s="316"/>
      <c r="Y467" s="316"/>
      <c r="Z467" s="316"/>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6"/>
      <c r="BM467" s="311"/>
      <c r="BN467" s="314"/>
    </row>
    <row r="468" s="48" customFormat="1" ht="33.95" hidden="1" customHeight="1" outlineLevel="3" collapsed="1" spans="2:66">
      <c r="B468" s="114" t="s">
        <v>794</v>
      </c>
      <c r="C468" s="115" t="s">
        <v>1866</v>
      </c>
      <c r="D468" s="48" t="s">
        <v>1867</v>
      </c>
      <c r="E468" s="114"/>
      <c r="F468" s="114"/>
      <c r="G468" s="114"/>
      <c r="H468" s="114">
        <f>SUM(H469:H476)</f>
        <v>0</v>
      </c>
      <c r="I468" s="114"/>
      <c r="J468" s="114"/>
      <c r="K468" s="114"/>
      <c r="L468" s="114"/>
      <c r="M468" s="114"/>
      <c r="N468" s="305"/>
      <c r="O468" s="288"/>
      <c r="P468" s="288"/>
      <c r="Q468" s="288"/>
      <c r="R468" s="288"/>
      <c r="S468" s="288"/>
      <c r="T468" s="288"/>
      <c r="U468" s="288"/>
      <c r="V468" s="288"/>
      <c r="W468" s="288"/>
      <c r="X468" s="288"/>
      <c r="Y468" s="288"/>
      <c r="Z468" s="288"/>
      <c r="AA468" s="288"/>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5"/>
      <c r="BM468" s="311"/>
      <c r="BN468" s="313"/>
    </row>
    <row r="469" s="117" customFormat="1" ht="33.95" hidden="1" customHeight="1" outlineLevel="5" spans="2:66">
      <c r="B469" s="118" t="s">
        <v>799</v>
      </c>
      <c r="C469" s="119" t="s">
        <v>1868</v>
      </c>
      <c r="D469" s="117" t="s">
        <v>1869</v>
      </c>
      <c r="E469" s="118" t="s">
        <v>1870</v>
      </c>
      <c r="F469" s="118" t="s">
        <v>1625</v>
      </c>
      <c r="G469" s="118" t="s">
        <v>943</v>
      </c>
      <c r="H469" s="118">
        <f t="shared" ref="H469:H475" si="857">J469*L469</f>
        <v>0</v>
      </c>
      <c r="I469" s="118" t="s">
        <v>1242</v>
      </c>
      <c r="J469" s="298"/>
      <c r="K469" s="118" t="s">
        <v>1871</v>
      </c>
      <c r="L469" s="118">
        <v>2.6</v>
      </c>
      <c r="M469" s="118" t="s">
        <v>1872</v>
      </c>
      <c r="N469" s="118">
        <f t="shared" ref="N469:N475" si="858">COUNTA(O469:Z469)</f>
        <v>0</v>
      </c>
      <c r="O469" s="317"/>
      <c r="P469" s="317"/>
      <c r="Q469" s="317"/>
      <c r="R469" s="317"/>
      <c r="S469" s="317"/>
      <c r="T469" s="317"/>
      <c r="U469" s="317"/>
      <c r="V469" s="317"/>
      <c r="W469" s="317"/>
      <c r="X469" s="317"/>
      <c r="Y469" s="317"/>
      <c r="Z469" s="317"/>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6"/>
      <c r="BM469" s="311"/>
      <c r="BN469" s="314"/>
    </row>
    <row r="470" s="117" customFormat="1" ht="33.95" hidden="1" customHeight="1" outlineLevel="5" spans="2:66">
      <c r="B470" s="118" t="s">
        <v>799</v>
      </c>
      <c r="C470" s="119" t="s">
        <v>1873</v>
      </c>
      <c r="D470" s="117" t="s">
        <v>1874</v>
      </c>
      <c r="E470" s="118"/>
      <c r="F470" s="118" t="s">
        <v>1625</v>
      </c>
      <c r="G470" s="118" t="s">
        <v>943</v>
      </c>
      <c r="H470" s="118">
        <f t="shared" si="857"/>
        <v>0</v>
      </c>
      <c r="I470" s="118" t="s">
        <v>1242</v>
      </c>
      <c r="J470" s="298"/>
      <c r="K470" s="118" t="s">
        <v>1871</v>
      </c>
      <c r="L470" s="118">
        <v>2.6</v>
      </c>
      <c r="M470" s="118" t="s">
        <v>1872</v>
      </c>
      <c r="N470" s="118">
        <f t="shared" si="858"/>
        <v>0</v>
      </c>
      <c r="O470" s="298"/>
      <c r="P470" s="298"/>
      <c r="Q470" s="298"/>
      <c r="R470" s="298"/>
      <c r="S470" s="298"/>
      <c r="T470" s="298"/>
      <c r="U470" s="298"/>
      <c r="V470" s="298"/>
      <c r="W470" s="298"/>
      <c r="X470" s="298"/>
      <c r="Y470" s="298"/>
      <c r="Z470" s="298"/>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6"/>
      <c r="BM470" s="311"/>
      <c r="BN470" s="314"/>
    </row>
    <row r="471" s="117" customFormat="1" ht="33.95" hidden="1" customHeight="1" outlineLevel="5" spans="2:66">
      <c r="B471" s="118" t="s">
        <v>799</v>
      </c>
      <c r="C471" s="119" t="s">
        <v>1875</v>
      </c>
      <c r="D471" s="117" t="s">
        <v>1876</v>
      </c>
      <c r="E471" s="118"/>
      <c r="F471" s="118" t="s">
        <v>1625</v>
      </c>
      <c r="G471" s="118" t="s">
        <v>943</v>
      </c>
      <c r="H471" s="118">
        <f t="shared" si="857"/>
        <v>0</v>
      </c>
      <c r="I471" s="118" t="s">
        <v>1242</v>
      </c>
      <c r="J471" s="298"/>
      <c r="K471" s="118" t="s">
        <v>1871</v>
      </c>
      <c r="L471" s="118">
        <v>2.6</v>
      </c>
      <c r="M471" s="118" t="s">
        <v>1872</v>
      </c>
      <c r="N471" s="118">
        <f t="shared" si="858"/>
        <v>0</v>
      </c>
      <c r="O471" s="298"/>
      <c r="P471" s="298"/>
      <c r="Q471" s="298"/>
      <c r="R471" s="298"/>
      <c r="S471" s="298"/>
      <c r="T471" s="298"/>
      <c r="U471" s="298"/>
      <c r="V471" s="298"/>
      <c r="W471" s="298"/>
      <c r="X471" s="298"/>
      <c r="Y471" s="298"/>
      <c r="Z471" s="298"/>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6"/>
      <c r="BM471" s="311"/>
      <c r="BN471" s="314"/>
    </row>
    <row r="472" s="117" customFormat="1" ht="33.95" hidden="1" customHeight="1" outlineLevel="5" spans="2:66">
      <c r="B472" s="118" t="s">
        <v>799</v>
      </c>
      <c r="C472" s="119" t="s">
        <v>1877</v>
      </c>
      <c r="D472" s="117" t="s">
        <v>1878</v>
      </c>
      <c r="E472" s="118" t="s">
        <v>1879</v>
      </c>
      <c r="F472" s="118" t="s">
        <v>1625</v>
      </c>
      <c r="G472" s="118" t="s">
        <v>943</v>
      </c>
      <c r="H472" s="118">
        <f t="shared" si="857"/>
        <v>0</v>
      </c>
      <c r="I472" s="118" t="s">
        <v>1242</v>
      </c>
      <c r="J472" s="298"/>
      <c r="K472" s="118" t="s">
        <v>1880</v>
      </c>
      <c r="L472" s="118">
        <v>40</v>
      </c>
      <c r="M472" s="118" t="s">
        <v>1881</v>
      </c>
      <c r="N472" s="118">
        <f t="shared" si="858"/>
        <v>0</v>
      </c>
      <c r="O472" s="298"/>
      <c r="P472" s="298"/>
      <c r="Q472" s="298"/>
      <c r="R472" s="298"/>
      <c r="S472" s="298"/>
      <c r="T472" s="298"/>
      <c r="U472" s="298"/>
      <c r="V472" s="298"/>
      <c r="W472" s="298"/>
      <c r="X472" s="298"/>
      <c r="Y472" s="298"/>
      <c r="Z472" s="298"/>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6"/>
      <c r="BM472" s="311"/>
      <c r="BN472" s="314"/>
    </row>
    <row r="473" s="117" customFormat="1" ht="33.95" hidden="1" customHeight="1" outlineLevel="5" spans="2:66">
      <c r="B473" s="118" t="s">
        <v>799</v>
      </c>
      <c r="C473" s="119" t="s">
        <v>1882</v>
      </c>
      <c r="D473" s="117" t="s">
        <v>1883</v>
      </c>
      <c r="E473" s="118" t="s">
        <v>1884</v>
      </c>
      <c r="F473" s="118" t="s">
        <v>1625</v>
      </c>
      <c r="G473" s="118" t="s">
        <v>943</v>
      </c>
      <c r="H473" s="118">
        <f t="shared" si="857"/>
        <v>0</v>
      </c>
      <c r="I473" s="118" t="s">
        <v>1242</v>
      </c>
      <c r="J473" s="298"/>
      <c r="K473" s="118" t="s">
        <v>1033</v>
      </c>
      <c r="L473" s="118">
        <v>17.33</v>
      </c>
      <c r="M473" s="118" t="s">
        <v>1694</v>
      </c>
      <c r="N473" s="118">
        <f t="shared" si="858"/>
        <v>0</v>
      </c>
      <c r="O473" s="298"/>
      <c r="P473" s="298"/>
      <c r="Q473" s="298"/>
      <c r="R473" s="298"/>
      <c r="S473" s="298"/>
      <c r="T473" s="298"/>
      <c r="U473" s="298"/>
      <c r="V473" s="298"/>
      <c r="W473" s="298"/>
      <c r="X473" s="298"/>
      <c r="Y473" s="298"/>
      <c r="Z473" s="298"/>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6"/>
      <c r="BM473" s="311"/>
      <c r="BN473" s="314"/>
    </row>
    <row r="474" s="117" customFormat="1" ht="33.95" hidden="1" customHeight="1" outlineLevel="5" spans="2:66">
      <c r="B474" s="118" t="s">
        <v>799</v>
      </c>
      <c r="C474" s="119" t="s">
        <v>1885</v>
      </c>
      <c r="D474" s="117" t="s">
        <v>1886</v>
      </c>
      <c r="E474" s="118"/>
      <c r="F474" s="118" t="s">
        <v>1625</v>
      </c>
      <c r="G474" s="118" t="s">
        <v>943</v>
      </c>
      <c r="H474" s="118">
        <f t="shared" si="857"/>
        <v>0</v>
      </c>
      <c r="I474" s="118" t="s">
        <v>1242</v>
      </c>
      <c r="J474" s="298"/>
      <c r="K474" s="118" t="s">
        <v>1887</v>
      </c>
      <c r="L474" s="118">
        <v>7</v>
      </c>
      <c r="M474" s="118" t="s">
        <v>1888</v>
      </c>
      <c r="N474" s="118">
        <f t="shared" si="858"/>
        <v>0</v>
      </c>
      <c r="O474" s="298"/>
      <c r="P474" s="298"/>
      <c r="Q474" s="298"/>
      <c r="R474" s="298"/>
      <c r="S474" s="298"/>
      <c r="T474" s="298"/>
      <c r="U474" s="298"/>
      <c r="V474" s="298"/>
      <c r="W474" s="298"/>
      <c r="X474" s="298"/>
      <c r="Y474" s="298"/>
      <c r="Z474" s="298"/>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6"/>
      <c r="BM474" s="311"/>
      <c r="BN474" s="314"/>
    </row>
    <row r="475" s="117" customFormat="1" ht="33.95" hidden="1" customHeight="1" outlineLevel="5" spans="2:66">
      <c r="B475" s="118" t="s">
        <v>799</v>
      </c>
      <c r="C475" s="119" t="s">
        <v>1889</v>
      </c>
      <c r="D475" s="117" t="s">
        <v>1890</v>
      </c>
      <c r="E475" s="118"/>
      <c r="F475" s="118" t="s">
        <v>1625</v>
      </c>
      <c r="G475" s="118" t="s">
        <v>943</v>
      </c>
      <c r="H475" s="118">
        <f t="shared" si="857"/>
        <v>0</v>
      </c>
      <c r="I475" s="118" t="s">
        <v>1242</v>
      </c>
      <c r="J475" s="298"/>
      <c r="K475" s="118" t="s">
        <v>1887</v>
      </c>
      <c r="L475" s="118">
        <v>1.5</v>
      </c>
      <c r="M475" s="118" t="s">
        <v>1888</v>
      </c>
      <c r="N475" s="118">
        <f t="shared" si="858"/>
        <v>0</v>
      </c>
      <c r="O475" s="316"/>
      <c r="P475" s="316"/>
      <c r="Q475" s="316"/>
      <c r="R475" s="316"/>
      <c r="S475" s="316"/>
      <c r="T475" s="316"/>
      <c r="U475" s="316"/>
      <c r="V475" s="316"/>
      <c r="W475" s="316"/>
      <c r="X475" s="316"/>
      <c r="Y475" s="316"/>
      <c r="Z475" s="316"/>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6"/>
      <c r="BM475" s="311"/>
      <c r="BN475" s="314"/>
    </row>
    <row r="476" s="117" customFormat="1" ht="33.95" hidden="1" customHeight="1" outlineLevel="5" spans="2:66">
      <c r="B476" s="118" t="s">
        <v>799</v>
      </c>
      <c r="C476" s="119" t="s">
        <v>1891</v>
      </c>
      <c r="D476" s="117" t="s">
        <v>1892</v>
      </c>
      <c r="E476" s="118"/>
      <c r="F476" s="118" t="s">
        <v>1625</v>
      </c>
      <c r="G476" s="118" t="s">
        <v>1851</v>
      </c>
      <c r="H476" s="118">
        <f>J476*L476*N476</f>
        <v>0</v>
      </c>
      <c r="I476" s="118" t="s">
        <v>1242</v>
      </c>
      <c r="J476" s="118">
        <v>1</v>
      </c>
      <c r="K476" s="118" t="s">
        <v>1243</v>
      </c>
      <c r="L476" s="298"/>
      <c r="M476" s="118" t="s">
        <v>1244</v>
      </c>
      <c r="N476" s="306">
        <v>12</v>
      </c>
      <c r="O476" s="289"/>
      <c r="P476" s="289"/>
      <c r="Q476" s="289"/>
      <c r="R476" s="289"/>
      <c r="S476" s="289"/>
      <c r="T476" s="289"/>
      <c r="U476" s="289"/>
      <c r="V476" s="289"/>
      <c r="W476" s="289"/>
      <c r="X476" s="289"/>
      <c r="Y476" s="289"/>
      <c r="Z476" s="289"/>
      <c r="AA476" s="289"/>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6"/>
      <c r="BM476" s="311"/>
      <c r="BN476" s="314"/>
    </row>
    <row r="477" s="48" customFormat="1" ht="33.95" hidden="1" customHeight="1" outlineLevel="3" collapsed="1" spans="2:66">
      <c r="B477" s="114" t="s">
        <v>794</v>
      </c>
      <c r="C477" s="115" t="s">
        <v>1893</v>
      </c>
      <c r="D477" s="48" t="s">
        <v>1894</v>
      </c>
      <c r="E477" s="114"/>
      <c r="F477" s="114"/>
      <c r="G477" s="114"/>
      <c r="H477" s="114">
        <f>SUM(H478:H485)</f>
        <v>0</v>
      </c>
      <c r="I477" s="114"/>
      <c r="J477" s="114"/>
      <c r="K477" s="114"/>
      <c r="L477" s="114"/>
      <c r="M477" s="114"/>
      <c r="N477" s="305"/>
      <c r="O477" s="288"/>
      <c r="P477" s="288"/>
      <c r="Q477" s="288"/>
      <c r="R477" s="288"/>
      <c r="S477" s="288"/>
      <c r="T477" s="288"/>
      <c r="U477" s="288"/>
      <c r="V477" s="288"/>
      <c r="W477" s="288"/>
      <c r="X477" s="288"/>
      <c r="Y477" s="288"/>
      <c r="Z477" s="288"/>
      <c r="AA477" s="288"/>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5"/>
      <c r="BM477" s="311"/>
      <c r="BN477" s="313"/>
    </row>
    <row r="478" s="117" customFormat="1" ht="33.95" hidden="1" customHeight="1" outlineLevel="5" spans="2:66">
      <c r="B478" s="118" t="s">
        <v>799</v>
      </c>
      <c r="C478" s="119" t="s">
        <v>1895</v>
      </c>
      <c r="D478" s="117" t="s">
        <v>1896</v>
      </c>
      <c r="E478" s="118" t="s">
        <v>1897</v>
      </c>
      <c r="F478" s="118" t="s">
        <v>1625</v>
      </c>
      <c r="G478" s="118" t="s">
        <v>943</v>
      </c>
      <c r="H478" s="118">
        <f t="shared" ref="H478:H485" si="872">J478*L478</f>
        <v>0</v>
      </c>
      <c r="I478" s="118" t="s">
        <v>1242</v>
      </c>
      <c r="J478" s="298"/>
      <c r="K478" s="118" t="s">
        <v>1847</v>
      </c>
      <c r="L478" s="118">
        <v>40</v>
      </c>
      <c r="M478" s="118" t="s">
        <v>1848</v>
      </c>
      <c r="N478" s="118">
        <f t="shared" ref="N478:N485" si="873">COUNTA(O478:Z478)</f>
        <v>0</v>
      </c>
      <c r="O478" s="317"/>
      <c r="P478" s="317"/>
      <c r="Q478" s="317"/>
      <c r="R478" s="317"/>
      <c r="S478" s="317"/>
      <c r="T478" s="317"/>
      <c r="U478" s="317"/>
      <c r="V478" s="317"/>
      <c r="W478" s="317"/>
      <c r="X478" s="317"/>
      <c r="Y478" s="317"/>
      <c r="Z478" s="317"/>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6"/>
      <c r="BM478" s="311"/>
      <c r="BN478" s="314"/>
    </row>
    <row r="479" s="117" customFormat="1" ht="33.95" hidden="1" customHeight="1" outlineLevel="5" spans="2:66">
      <c r="B479" s="118" t="s">
        <v>799</v>
      </c>
      <c r="C479" s="119" t="s">
        <v>1898</v>
      </c>
      <c r="D479" s="117" t="s">
        <v>1899</v>
      </c>
      <c r="E479" s="118" t="s">
        <v>1900</v>
      </c>
      <c r="F479" s="118" t="s">
        <v>1625</v>
      </c>
      <c r="G479" s="118" t="s">
        <v>943</v>
      </c>
      <c r="H479" s="118">
        <f t="shared" si="872"/>
        <v>0</v>
      </c>
      <c r="I479" s="118" t="s">
        <v>1242</v>
      </c>
      <c r="J479" s="298"/>
      <c r="K479" s="118" t="s">
        <v>1847</v>
      </c>
      <c r="L479" s="118">
        <v>85</v>
      </c>
      <c r="M479" s="118" t="s">
        <v>1848</v>
      </c>
      <c r="N479" s="118">
        <f t="shared" si="873"/>
        <v>0</v>
      </c>
      <c r="O479" s="298"/>
      <c r="P479" s="298"/>
      <c r="Q479" s="298"/>
      <c r="R479" s="298"/>
      <c r="S479" s="298"/>
      <c r="T479" s="298"/>
      <c r="U479" s="298"/>
      <c r="V479" s="298"/>
      <c r="W479" s="298"/>
      <c r="X479" s="298"/>
      <c r="Y479" s="298"/>
      <c r="Z479" s="298"/>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6"/>
      <c r="BM479" s="311"/>
      <c r="BN479" s="314"/>
    </row>
    <row r="480" s="117" customFormat="1" ht="33.95" hidden="1" customHeight="1" outlineLevel="5" spans="2:66">
      <c r="B480" s="118" t="s">
        <v>799</v>
      </c>
      <c r="C480" s="119" t="s">
        <v>1901</v>
      </c>
      <c r="D480" s="117" t="s">
        <v>1902</v>
      </c>
      <c r="E480" s="118" t="s">
        <v>1903</v>
      </c>
      <c r="F480" s="118" t="s">
        <v>1625</v>
      </c>
      <c r="G480" s="118" t="s">
        <v>943</v>
      </c>
      <c r="H480" s="118">
        <f t="shared" si="872"/>
        <v>0</v>
      </c>
      <c r="I480" s="118" t="s">
        <v>1242</v>
      </c>
      <c r="J480" s="298"/>
      <c r="K480" s="118" t="s">
        <v>1831</v>
      </c>
      <c r="L480" s="118">
        <v>190</v>
      </c>
      <c r="M480" s="118" t="s">
        <v>1832</v>
      </c>
      <c r="N480" s="118">
        <f t="shared" si="873"/>
        <v>0</v>
      </c>
      <c r="O480" s="298"/>
      <c r="P480" s="298"/>
      <c r="Q480" s="298"/>
      <c r="R480" s="298"/>
      <c r="S480" s="298"/>
      <c r="T480" s="298"/>
      <c r="U480" s="298"/>
      <c r="V480" s="298"/>
      <c r="W480" s="298"/>
      <c r="X480" s="298"/>
      <c r="Y480" s="298"/>
      <c r="Z480" s="298"/>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6"/>
      <c r="BM480" s="311"/>
      <c r="BN480" s="314"/>
    </row>
    <row r="481" s="117" customFormat="1" ht="33.95" hidden="1" customHeight="1" outlineLevel="5" spans="2:66">
      <c r="B481" s="118" t="s">
        <v>799</v>
      </c>
      <c r="C481" s="119" t="s">
        <v>1904</v>
      </c>
      <c r="D481" s="117" t="s">
        <v>1905</v>
      </c>
      <c r="E481" s="118" t="s">
        <v>1906</v>
      </c>
      <c r="F481" s="118" t="s">
        <v>1625</v>
      </c>
      <c r="G481" s="118" t="s">
        <v>943</v>
      </c>
      <c r="H481" s="118">
        <f t="shared" si="872"/>
        <v>0</v>
      </c>
      <c r="I481" s="118" t="s">
        <v>1242</v>
      </c>
      <c r="J481" s="298"/>
      <c r="K481" s="118" t="s">
        <v>1847</v>
      </c>
      <c r="L481" s="118">
        <v>28</v>
      </c>
      <c r="M481" s="118" t="s">
        <v>1848</v>
      </c>
      <c r="N481" s="118">
        <f t="shared" si="873"/>
        <v>0</v>
      </c>
      <c r="O481" s="298"/>
      <c r="P481" s="298"/>
      <c r="Q481" s="298"/>
      <c r="R481" s="298"/>
      <c r="S481" s="298"/>
      <c r="T481" s="298"/>
      <c r="U481" s="298"/>
      <c r="V481" s="298"/>
      <c r="W481" s="298"/>
      <c r="X481" s="298"/>
      <c r="Y481" s="298"/>
      <c r="Z481" s="298"/>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6"/>
      <c r="BM481" s="311"/>
      <c r="BN481" s="314"/>
    </row>
    <row r="482" s="117" customFormat="1" ht="33.95" hidden="1" customHeight="1" outlineLevel="5" spans="2:66">
      <c r="B482" s="118" t="s">
        <v>799</v>
      </c>
      <c r="C482" s="119" t="s">
        <v>1907</v>
      </c>
      <c r="D482" s="117" t="s">
        <v>1908</v>
      </c>
      <c r="E482" s="118" t="s">
        <v>1909</v>
      </c>
      <c r="F482" s="118" t="s">
        <v>1625</v>
      </c>
      <c r="G482" s="118" t="s">
        <v>943</v>
      </c>
      <c r="H482" s="118">
        <f t="shared" si="872"/>
        <v>0</v>
      </c>
      <c r="I482" s="118" t="s">
        <v>1242</v>
      </c>
      <c r="J482" s="298"/>
      <c r="K482" s="118" t="s">
        <v>1831</v>
      </c>
      <c r="L482" s="118">
        <v>32</v>
      </c>
      <c r="M482" s="118" t="s">
        <v>1832</v>
      </c>
      <c r="N482" s="118">
        <f t="shared" si="873"/>
        <v>0</v>
      </c>
      <c r="O482" s="298"/>
      <c r="P482" s="298"/>
      <c r="Q482" s="298"/>
      <c r="R482" s="298"/>
      <c r="S482" s="298"/>
      <c r="T482" s="298"/>
      <c r="U482" s="298"/>
      <c r="V482" s="298"/>
      <c r="W482" s="298"/>
      <c r="X482" s="298"/>
      <c r="Y482" s="298"/>
      <c r="Z482" s="298"/>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6"/>
      <c r="BM482" s="311"/>
      <c r="BN482" s="314"/>
    </row>
    <row r="483" s="117" customFormat="1" ht="33.95" hidden="1" customHeight="1" outlineLevel="5" spans="2:66">
      <c r="B483" s="118" t="s">
        <v>799</v>
      </c>
      <c r="C483" s="119" t="s">
        <v>1910</v>
      </c>
      <c r="D483" s="117" t="s">
        <v>1911</v>
      </c>
      <c r="E483" s="118" t="s">
        <v>1903</v>
      </c>
      <c r="F483" s="118" t="s">
        <v>1625</v>
      </c>
      <c r="G483" s="118" t="s">
        <v>943</v>
      </c>
      <c r="H483" s="118">
        <f t="shared" si="872"/>
        <v>0</v>
      </c>
      <c r="I483" s="118" t="s">
        <v>1242</v>
      </c>
      <c r="J483" s="298"/>
      <c r="K483" s="118" t="s">
        <v>1831</v>
      </c>
      <c r="L483" s="118">
        <v>180</v>
      </c>
      <c r="M483" s="118" t="s">
        <v>1832</v>
      </c>
      <c r="N483" s="118">
        <f t="shared" si="873"/>
        <v>0</v>
      </c>
      <c r="O483" s="298"/>
      <c r="P483" s="298"/>
      <c r="Q483" s="298"/>
      <c r="R483" s="298"/>
      <c r="S483" s="298"/>
      <c r="T483" s="298"/>
      <c r="U483" s="298"/>
      <c r="V483" s="298"/>
      <c r="W483" s="298"/>
      <c r="X483" s="298"/>
      <c r="Y483" s="298"/>
      <c r="Z483" s="298"/>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6"/>
      <c r="BM483" s="311"/>
      <c r="BN483" s="314"/>
    </row>
    <row r="484" s="117" customFormat="1" ht="33.95" hidden="1" customHeight="1" outlineLevel="5" spans="2:66">
      <c r="B484" s="118" t="s">
        <v>799</v>
      </c>
      <c r="C484" s="119" t="s">
        <v>1912</v>
      </c>
      <c r="D484" s="117" t="s">
        <v>1913</v>
      </c>
      <c r="E484" s="118" t="s">
        <v>1914</v>
      </c>
      <c r="F484" s="118" t="s">
        <v>1625</v>
      </c>
      <c r="G484" s="118" t="s">
        <v>943</v>
      </c>
      <c r="H484" s="118">
        <f t="shared" si="872"/>
        <v>0</v>
      </c>
      <c r="I484" s="118" t="s">
        <v>1242</v>
      </c>
      <c r="J484" s="298"/>
      <c r="K484" s="118" t="s">
        <v>1847</v>
      </c>
      <c r="L484" s="118">
        <v>15</v>
      </c>
      <c r="M484" s="118" t="s">
        <v>1848</v>
      </c>
      <c r="N484" s="118">
        <f t="shared" si="873"/>
        <v>0</v>
      </c>
      <c r="O484" s="298"/>
      <c r="P484" s="298"/>
      <c r="Q484" s="298"/>
      <c r="R484" s="298"/>
      <c r="S484" s="298"/>
      <c r="T484" s="298"/>
      <c r="U484" s="298"/>
      <c r="V484" s="298"/>
      <c r="W484" s="298"/>
      <c r="X484" s="298"/>
      <c r="Y484" s="298"/>
      <c r="Z484" s="298"/>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6"/>
      <c r="BM484" s="311"/>
      <c r="BN484" s="314"/>
    </row>
    <row r="485" s="117" customFormat="1" ht="33.95" hidden="1" customHeight="1" outlineLevel="5" spans="2:66">
      <c r="B485" s="118" t="s">
        <v>799</v>
      </c>
      <c r="C485" s="119" t="s">
        <v>1915</v>
      </c>
      <c r="D485" s="117" t="s">
        <v>1916</v>
      </c>
      <c r="E485" s="118" t="s">
        <v>1917</v>
      </c>
      <c r="F485" s="118" t="s">
        <v>1625</v>
      </c>
      <c r="G485" s="118" t="s">
        <v>943</v>
      </c>
      <c r="H485" s="118">
        <f t="shared" si="872"/>
        <v>0</v>
      </c>
      <c r="I485" s="118" t="s">
        <v>1242</v>
      </c>
      <c r="J485" s="298"/>
      <c r="K485" s="118" t="s">
        <v>1847</v>
      </c>
      <c r="L485" s="118">
        <v>25</v>
      </c>
      <c r="M485" s="118" t="s">
        <v>1848</v>
      </c>
      <c r="N485" s="118">
        <f t="shared" si="873"/>
        <v>0</v>
      </c>
      <c r="O485" s="316"/>
      <c r="P485" s="316"/>
      <c r="Q485" s="316"/>
      <c r="R485" s="316"/>
      <c r="S485" s="316"/>
      <c r="T485" s="316"/>
      <c r="U485" s="316"/>
      <c r="V485" s="316"/>
      <c r="W485" s="316"/>
      <c r="X485" s="316"/>
      <c r="Y485" s="316"/>
      <c r="Z485" s="316"/>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6"/>
      <c r="BM485" s="311"/>
      <c r="BN485" s="314"/>
    </row>
    <row r="486" s="29" customFormat="1" ht="33.95" hidden="1" customHeight="1" outlineLevel="2" collapsed="1" spans="2:66">
      <c r="B486" s="111" t="s">
        <v>794</v>
      </c>
      <c r="C486" s="112" t="s">
        <v>1918</v>
      </c>
      <c r="D486" s="29" t="s">
        <v>1919</v>
      </c>
      <c r="E486" s="111"/>
      <c r="F486" s="111"/>
      <c r="G486" s="111"/>
      <c r="H486" s="111">
        <f>H487+H493</f>
        <v>0</v>
      </c>
      <c r="I486" s="111"/>
      <c r="J486" s="111"/>
      <c r="K486" s="111"/>
      <c r="L486" s="111"/>
      <c r="M486" s="111"/>
      <c r="N486" s="304"/>
      <c r="O486" s="287"/>
      <c r="P486" s="287"/>
      <c r="Q486" s="287"/>
      <c r="R486" s="287"/>
      <c r="S486" s="287"/>
      <c r="T486" s="287"/>
      <c r="U486" s="287"/>
      <c r="V486" s="287"/>
      <c r="W486" s="287"/>
      <c r="X486" s="287"/>
      <c r="Y486" s="287"/>
      <c r="Z486" s="287"/>
      <c r="AA486" s="287"/>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4"/>
      <c r="BM486" s="311"/>
      <c r="BN486" s="312"/>
    </row>
    <row r="487" s="48" customFormat="1" ht="33.95" hidden="1" customHeight="1" outlineLevel="3" collapsed="1" spans="2:66">
      <c r="B487" s="114" t="s">
        <v>794</v>
      </c>
      <c r="C487" s="115" t="s">
        <v>1920</v>
      </c>
      <c r="D487" s="48" t="s">
        <v>1921</v>
      </c>
      <c r="E487" s="114"/>
      <c r="F487" s="114"/>
      <c r="G487" s="114"/>
      <c r="H487" s="114">
        <f>SUM(H488:H492)</f>
        <v>0</v>
      </c>
      <c r="I487" s="114"/>
      <c r="J487" s="114"/>
      <c r="K487" s="114"/>
      <c r="L487" s="114"/>
      <c r="M487" s="114"/>
      <c r="N487" s="305"/>
      <c r="O487" s="288"/>
      <c r="P487" s="288"/>
      <c r="Q487" s="288"/>
      <c r="R487" s="288"/>
      <c r="S487" s="288"/>
      <c r="T487" s="288"/>
      <c r="U487" s="288"/>
      <c r="V487" s="288"/>
      <c r="W487" s="288"/>
      <c r="X487" s="288"/>
      <c r="Y487" s="288"/>
      <c r="Z487" s="288"/>
      <c r="AA487" s="288"/>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5"/>
      <c r="BM487" s="311"/>
      <c r="BN487" s="313"/>
    </row>
    <row r="488" s="117" customFormat="1" ht="33.95" hidden="1" customHeight="1" outlineLevel="5" spans="2:66">
      <c r="B488" s="118" t="s">
        <v>799</v>
      </c>
      <c r="C488" s="119" t="s">
        <v>1922</v>
      </c>
      <c r="D488" s="117" t="s">
        <v>1923</v>
      </c>
      <c r="E488" s="118" t="s">
        <v>1924</v>
      </c>
      <c r="F488" s="118" t="s">
        <v>1625</v>
      </c>
      <c r="G488" s="118" t="s">
        <v>943</v>
      </c>
      <c r="H488" s="118">
        <f t="shared" ref="H488:H492" si="876">J488*L488</f>
        <v>0</v>
      </c>
      <c r="I488" s="118" t="s">
        <v>1242</v>
      </c>
      <c r="J488" s="298"/>
      <c r="K488" s="118" t="s">
        <v>1396</v>
      </c>
      <c r="L488" s="118">
        <v>49</v>
      </c>
      <c r="M488" s="118" t="s">
        <v>1675</v>
      </c>
      <c r="N488" s="118">
        <f t="shared" ref="N488:N492" si="877">COUNTA(O488:Z488)</f>
        <v>0</v>
      </c>
      <c r="O488" s="317"/>
      <c r="P488" s="317"/>
      <c r="Q488" s="317"/>
      <c r="R488" s="317"/>
      <c r="S488" s="317"/>
      <c r="T488" s="317"/>
      <c r="U488" s="317"/>
      <c r="V488" s="317"/>
      <c r="W488" s="317"/>
      <c r="X488" s="317"/>
      <c r="Y488" s="317"/>
      <c r="Z488" s="317"/>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6"/>
      <c r="BM488" s="311"/>
      <c r="BN488" s="314"/>
    </row>
    <row r="489" s="117" customFormat="1" ht="33.95" hidden="1" customHeight="1" outlineLevel="5" spans="2:66">
      <c r="B489" s="118" t="s">
        <v>799</v>
      </c>
      <c r="C489" s="119" t="s">
        <v>1925</v>
      </c>
      <c r="D489" s="117" t="s">
        <v>1926</v>
      </c>
      <c r="E489" s="118" t="s">
        <v>1927</v>
      </c>
      <c r="F489" s="118" t="s">
        <v>1625</v>
      </c>
      <c r="G489" s="118" t="s">
        <v>943</v>
      </c>
      <c r="H489" s="118">
        <f t="shared" si="876"/>
        <v>0</v>
      </c>
      <c r="I489" s="118" t="s">
        <v>1242</v>
      </c>
      <c r="J489" s="298"/>
      <c r="K489" s="118" t="s">
        <v>1396</v>
      </c>
      <c r="L489" s="118">
        <v>42</v>
      </c>
      <c r="M489" s="118" t="s">
        <v>1675</v>
      </c>
      <c r="N489" s="118">
        <f t="shared" si="877"/>
        <v>0</v>
      </c>
      <c r="O489" s="298"/>
      <c r="P489" s="298"/>
      <c r="Q489" s="298"/>
      <c r="R489" s="298"/>
      <c r="S489" s="298"/>
      <c r="T489" s="298"/>
      <c r="U489" s="298"/>
      <c r="V489" s="298"/>
      <c r="W489" s="298"/>
      <c r="X489" s="298"/>
      <c r="Y489" s="298"/>
      <c r="Z489" s="298"/>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6"/>
      <c r="BM489" s="311"/>
      <c r="BN489" s="314"/>
    </row>
    <row r="490" s="117" customFormat="1" ht="33.95" hidden="1" customHeight="1" outlineLevel="5" spans="2:66">
      <c r="B490" s="118" t="s">
        <v>799</v>
      </c>
      <c r="C490" s="119" t="s">
        <v>1928</v>
      </c>
      <c r="D490" s="117" t="s">
        <v>1929</v>
      </c>
      <c r="E490" s="118" t="s">
        <v>1930</v>
      </c>
      <c r="F490" s="118" t="s">
        <v>1625</v>
      </c>
      <c r="G490" s="118" t="s">
        <v>943</v>
      </c>
      <c r="H490" s="118">
        <f t="shared" si="876"/>
        <v>0</v>
      </c>
      <c r="I490" s="118" t="s">
        <v>1242</v>
      </c>
      <c r="J490" s="298"/>
      <c r="K490" s="118" t="s">
        <v>1633</v>
      </c>
      <c r="L490" s="118">
        <v>1262</v>
      </c>
      <c r="M490" s="118" t="s">
        <v>1634</v>
      </c>
      <c r="N490" s="118">
        <f t="shared" si="877"/>
        <v>0</v>
      </c>
      <c r="O490" s="298"/>
      <c r="P490" s="298"/>
      <c r="Q490" s="298"/>
      <c r="R490" s="298"/>
      <c r="S490" s="298"/>
      <c r="T490" s="298"/>
      <c r="U490" s="298"/>
      <c r="V490" s="298"/>
      <c r="W490" s="298"/>
      <c r="X490" s="298"/>
      <c r="Y490" s="298"/>
      <c r="Z490" s="298"/>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6"/>
      <c r="BM490" s="311"/>
      <c r="BN490" s="314"/>
    </row>
    <row r="491" s="117" customFormat="1" ht="33.95" hidden="1" customHeight="1" outlineLevel="5" spans="2:66">
      <c r="B491" s="118" t="s">
        <v>799</v>
      </c>
      <c r="C491" s="119" t="s">
        <v>1931</v>
      </c>
      <c r="D491" s="117" t="s">
        <v>1932</v>
      </c>
      <c r="E491" s="118" t="s">
        <v>1933</v>
      </c>
      <c r="F491" s="118" t="s">
        <v>1625</v>
      </c>
      <c r="G491" s="118" t="s">
        <v>943</v>
      </c>
      <c r="H491" s="118">
        <f t="shared" si="876"/>
        <v>0</v>
      </c>
      <c r="I491" s="118" t="s">
        <v>1242</v>
      </c>
      <c r="J491" s="298"/>
      <c r="K491" s="118" t="s">
        <v>1396</v>
      </c>
      <c r="L491" s="118">
        <v>200</v>
      </c>
      <c r="M491" s="118" t="s">
        <v>1675</v>
      </c>
      <c r="N491" s="118">
        <f t="shared" si="877"/>
        <v>0</v>
      </c>
      <c r="O491" s="298"/>
      <c r="P491" s="298"/>
      <c r="Q491" s="298"/>
      <c r="R491" s="298"/>
      <c r="S491" s="298"/>
      <c r="T491" s="298"/>
      <c r="U491" s="298"/>
      <c r="V491" s="298"/>
      <c r="W491" s="298"/>
      <c r="X491" s="298"/>
      <c r="Y491" s="298"/>
      <c r="Z491" s="298"/>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6"/>
      <c r="BM491" s="311"/>
      <c r="BN491" s="314"/>
    </row>
    <row r="492" s="117" customFormat="1" ht="33.95" hidden="1" customHeight="1" outlineLevel="5" spans="2:66">
      <c r="B492" s="118" t="s">
        <v>799</v>
      </c>
      <c r="C492" s="119" t="s">
        <v>1934</v>
      </c>
      <c r="D492" s="117" t="s">
        <v>1935</v>
      </c>
      <c r="E492" s="118"/>
      <c r="F492" s="118" t="s">
        <v>1625</v>
      </c>
      <c r="G492" s="118" t="s">
        <v>943</v>
      </c>
      <c r="H492" s="118">
        <f t="shared" si="876"/>
        <v>0</v>
      </c>
      <c r="I492" s="118" t="s">
        <v>1242</v>
      </c>
      <c r="J492" s="298"/>
      <c r="K492" s="118" t="s">
        <v>1396</v>
      </c>
      <c r="L492" s="118">
        <v>30</v>
      </c>
      <c r="M492" s="118" t="s">
        <v>1675</v>
      </c>
      <c r="N492" s="118">
        <f t="shared" si="877"/>
        <v>0</v>
      </c>
      <c r="O492" s="316"/>
      <c r="P492" s="316"/>
      <c r="Q492" s="316"/>
      <c r="R492" s="316"/>
      <c r="S492" s="316"/>
      <c r="T492" s="316"/>
      <c r="U492" s="316"/>
      <c r="V492" s="316"/>
      <c r="W492" s="316"/>
      <c r="X492" s="316"/>
      <c r="Y492" s="316"/>
      <c r="Z492" s="316"/>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6"/>
      <c r="BM492" s="311"/>
      <c r="BN492" s="314"/>
    </row>
    <row r="493" s="48" customFormat="1" ht="33.95" hidden="1" customHeight="1" outlineLevel="3" collapsed="1" spans="2:66">
      <c r="B493" s="114" t="s">
        <v>794</v>
      </c>
      <c r="C493" s="115" t="s">
        <v>1936</v>
      </c>
      <c r="D493" s="48" t="s">
        <v>1937</v>
      </c>
      <c r="E493" s="114"/>
      <c r="F493" s="114"/>
      <c r="G493" s="114"/>
      <c r="H493" s="114">
        <f>SUM(H494:H501)</f>
        <v>0</v>
      </c>
      <c r="I493" s="114"/>
      <c r="J493" s="114"/>
      <c r="K493" s="114"/>
      <c r="L493" s="114"/>
      <c r="M493" s="114"/>
      <c r="N493" s="305"/>
      <c r="O493" s="288"/>
      <c r="P493" s="288"/>
      <c r="Q493" s="288"/>
      <c r="R493" s="288"/>
      <c r="S493" s="288"/>
      <c r="T493" s="288"/>
      <c r="U493" s="288"/>
      <c r="V493" s="288"/>
      <c r="W493" s="288"/>
      <c r="X493" s="288"/>
      <c r="Y493" s="288"/>
      <c r="Z493" s="288"/>
      <c r="AA493" s="288"/>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5"/>
      <c r="BM493" s="311"/>
      <c r="BN493" s="313"/>
    </row>
    <row r="494" s="117" customFormat="1" ht="33.95" hidden="1" customHeight="1" outlineLevel="5" spans="2:66">
      <c r="B494" s="118" t="s">
        <v>799</v>
      </c>
      <c r="C494" s="119" t="s">
        <v>1938</v>
      </c>
      <c r="D494" s="117" t="s">
        <v>1939</v>
      </c>
      <c r="E494" s="118"/>
      <c r="F494" s="118" t="s">
        <v>1625</v>
      </c>
      <c r="G494" s="118" t="s">
        <v>943</v>
      </c>
      <c r="H494" s="118">
        <f t="shared" ref="H494:H501" si="878">J494*L494</f>
        <v>0</v>
      </c>
      <c r="I494" s="118" t="s">
        <v>1242</v>
      </c>
      <c r="J494" s="298"/>
      <c r="K494" s="118" t="s">
        <v>1396</v>
      </c>
      <c r="L494" s="118">
        <v>22</v>
      </c>
      <c r="M494" s="118" t="s">
        <v>1675</v>
      </c>
      <c r="N494" s="118">
        <f t="shared" ref="N494:N501" si="879">COUNTA(O494:Z494)</f>
        <v>0</v>
      </c>
      <c r="O494" s="317"/>
      <c r="P494" s="317"/>
      <c r="Q494" s="317"/>
      <c r="R494" s="317"/>
      <c r="S494" s="317"/>
      <c r="T494" s="317"/>
      <c r="U494" s="317"/>
      <c r="V494" s="317"/>
      <c r="W494" s="317"/>
      <c r="X494" s="317"/>
      <c r="Y494" s="317"/>
      <c r="Z494" s="317"/>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6"/>
      <c r="BM494" s="311"/>
      <c r="BN494" s="314"/>
    </row>
    <row r="495" s="117" customFormat="1" ht="33.95" hidden="1" customHeight="1" outlineLevel="5" spans="2:66">
      <c r="B495" s="118" t="s">
        <v>799</v>
      </c>
      <c r="C495" s="119" t="s">
        <v>1940</v>
      </c>
      <c r="D495" s="117" t="s">
        <v>1941</v>
      </c>
      <c r="E495" s="118" t="s">
        <v>1942</v>
      </c>
      <c r="F495" s="118" t="s">
        <v>1625</v>
      </c>
      <c r="G495" s="118" t="s">
        <v>943</v>
      </c>
      <c r="H495" s="118">
        <f t="shared" si="878"/>
        <v>0</v>
      </c>
      <c r="I495" s="118" t="s">
        <v>1242</v>
      </c>
      <c r="J495" s="298"/>
      <c r="K495" s="118" t="s">
        <v>1396</v>
      </c>
      <c r="L495" s="118">
        <v>25</v>
      </c>
      <c r="M495" s="118" t="s">
        <v>1675</v>
      </c>
      <c r="N495" s="118">
        <f t="shared" si="879"/>
        <v>0</v>
      </c>
      <c r="O495" s="298"/>
      <c r="P495" s="298"/>
      <c r="Q495" s="298"/>
      <c r="R495" s="298"/>
      <c r="S495" s="298"/>
      <c r="T495" s="298"/>
      <c r="U495" s="298"/>
      <c r="V495" s="298"/>
      <c r="W495" s="298"/>
      <c r="X495" s="298"/>
      <c r="Y495" s="298"/>
      <c r="Z495" s="298"/>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6"/>
      <c r="BM495" s="311"/>
      <c r="BN495" s="314"/>
    </row>
    <row r="496" s="117" customFormat="1" ht="33.95" hidden="1" customHeight="1" outlineLevel="5" spans="2:66">
      <c r="B496" s="118" t="s">
        <v>799</v>
      </c>
      <c r="C496" s="119" t="s">
        <v>1943</v>
      </c>
      <c r="D496" s="117" t="s">
        <v>1944</v>
      </c>
      <c r="E496" s="118"/>
      <c r="F496" s="118" t="s">
        <v>1625</v>
      </c>
      <c r="G496" s="118" t="s">
        <v>943</v>
      </c>
      <c r="H496" s="118">
        <f t="shared" si="878"/>
        <v>0</v>
      </c>
      <c r="I496" s="118" t="s">
        <v>1242</v>
      </c>
      <c r="J496" s="298"/>
      <c r="K496" s="118" t="s">
        <v>1396</v>
      </c>
      <c r="L496" s="118">
        <v>16</v>
      </c>
      <c r="M496" s="118" t="s">
        <v>1675</v>
      </c>
      <c r="N496" s="118">
        <f t="shared" si="879"/>
        <v>0</v>
      </c>
      <c r="O496" s="298"/>
      <c r="P496" s="298"/>
      <c r="Q496" s="298"/>
      <c r="R496" s="298"/>
      <c r="S496" s="298"/>
      <c r="T496" s="298"/>
      <c r="U496" s="298"/>
      <c r="V496" s="298"/>
      <c r="W496" s="298"/>
      <c r="X496" s="298"/>
      <c r="Y496" s="298"/>
      <c r="Z496" s="298"/>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6"/>
      <c r="BM496" s="311"/>
      <c r="BN496" s="314"/>
    </row>
    <row r="497" s="117" customFormat="1" ht="33.95" hidden="1" customHeight="1" outlineLevel="5" spans="2:66">
      <c r="B497" s="118" t="s">
        <v>799</v>
      </c>
      <c r="C497" s="119" t="s">
        <v>1945</v>
      </c>
      <c r="D497" s="117" t="s">
        <v>1946</v>
      </c>
      <c r="E497" s="118"/>
      <c r="F497" s="118" t="s">
        <v>1625</v>
      </c>
      <c r="G497" s="118" t="s">
        <v>943</v>
      </c>
      <c r="H497" s="118">
        <f t="shared" si="878"/>
        <v>0</v>
      </c>
      <c r="I497" s="118" t="s">
        <v>1242</v>
      </c>
      <c r="J497" s="298"/>
      <c r="K497" s="118" t="s">
        <v>1633</v>
      </c>
      <c r="L497" s="118">
        <v>277</v>
      </c>
      <c r="M497" s="118" t="s">
        <v>1634</v>
      </c>
      <c r="N497" s="118">
        <f t="shared" si="879"/>
        <v>0</v>
      </c>
      <c r="O497" s="298"/>
      <c r="P497" s="298"/>
      <c r="Q497" s="298"/>
      <c r="R497" s="298"/>
      <c r="S497" s="298"/>
      <c r="T497" s="298"/>
      <c r="U497" s="298"/>
      <c r="V497" s="298"/>
      <c r="W497" s="298"/>
      <c r="X497" s="298"/>
      <c r="Y497" s="298"/>
      <c r="Z497" s="298"/>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6"/>
      <c r="BM497" s="311"/>
      <c r="BN497" s="314"/>
    </row>
    <row r="498" s="117" customFormat="1" ht="33.95" hidden="1" customHeight="1" outlineLevel="5" spans="2:66">
      <c r="B498" s="118" t="s">
        <v>799</v>
      </c>
      <c r="C498" s="119" t="s">
        <v>1947</v>
      </c>
      <c r="D498" s="117" t="s">
        <v>1948</v>
      </c>
      <c r="E498" s="118"/>
      <c r="F498" s="118" t="s">
        <v>1625</v>
      </c>
      <c r="G498" s="118" t="s">
        <v>943</v>
      </c>
      <c r="H498" s="118">
        <f t="shared" si="878"/>
        <v>0</v>
      </c>
      <c r="I498" s="118" t="s">
        <v>1242</v>
      </c>
      <c r="J498" s="298"/>
      <c r="K498" s="118" t="s">
        <v>1949</v>
      </c>
      <c r="L498" s="118">
        <v>21</v>
      </c>
      <c r="M498" s="118" t="s">
        <v>1950</v>
      </c>
      <c r="N498" s="118">
        <f t="shared" si="879"/>
        <v>0</v>
      </c>
      <c r="O498" s="298"/>
      <c r="P498" s="298"/>
      <c r="Q498" s="298"/>
      <c r="R498" s="298"/>
      <c r="S498" s="298"/>
      <c r="T498" s="298"/>
      <c r="U498" s="298"/>
      <c r="V498" s="298"/>
      <c r="W498" s="298"/>
      <c r="X498" s="298"/>
      <c r="Y498" s="298"/>
      <c r="Z498" s="298"/>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6"/>
      <c r="BM498" s="311"/>
      <c r="BN498" s="314"/>
    </row>
    <row r="499" s="117" customFormat="1" ht="33.95" hidden="1" customHeight="1" outlineLevel="5" spans="2:66">
      <c r="B499" s="118" t="s">
        <v>799</v>
      </c>
      <c r="C499" s="119" t="s">
        <v>1951</v>
      </c>
      <c r="D499" s="117" t="s">
        <v>1952</v>
      </c>
      <c r="E499" s="118" t="s">
        <v>1953</v>
      </c>
      <c r="F499" s="118" t="s">
        <v>1625</v>
      </c>
      <c r="G499" s="118" t="s">
        <v>943</v>
      </c>
      <c r="H499" s="118">
        <f t="shared" si="878"/>
        <v>0</v>
      </c>
      <c r="I499" s="118" t="s">
        <v>1242</v>
      </c>
      <c r="J499" s="298"/>
      <c r="K499" s="118" t="s">
        <v>1754</v>
      </c>
      <c r="L499" s="118">
        <v>375</v>
      </c>
      <c r="M499" s="118" t="s">
        <v>1755</v>
      </c>
      <c r="N499" s="118">
        <f t="shared" si="879"/>
        <v>0</v>
      </c>
      <c r="O499" s="298"/>
      <c r="P499" s="298"/>
      <c r="Q499" s="298"/>
      <c r="R499" s="298"/>
      <c r="S499" s="298"/>
      <c r="T499" s="298"/>
      <c r="U499" s="298"/>
      <c r="V499" s="298"/>
      <c r="W499" s="298"/>
      <c r="X499" s="298"/>
      <c r="Y499" s="298"/>
      <c r="Z499" s="298"/>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6"/>
      <c r="BM499" s="311"/>
      <c r="BN499" s="314"/>
    </row>
    <row r="500" s="117" customFormat="1" ht="33.95" hidden="1" customHeight="1" outlineLevel="5" spans="2:66">
      <c r="B500" s="118" t="s">
        <v>799</v>
      </c>
      <c r="C500" s="119" t="s">
        <v>1954</v>
      </c>
      <c r="D500" s="117" t="s">
        <v>1955</v>
      </c>
      <c r="E500" s="118" t="s">
        <v>1956</v>
      </c>
      <c r="F500" s="118" t="s">
        <v>1625</v>
      </c>
      <c r="G500" s="118" t="s">
        <v>943</v>
      </c>
      <c r="H500" s="118">
        <f t="shared" si="878"/>
        <v>0</v>
      </c>
      <c r="I500" s="118" t="s">
        <v>1242</v>
      </c>
      <c r="J500" s="298"/>
      <c r="K500" s="118" t="s">
        <v>1754</v>
      </c>
      <c r="L500" s="118">
        <v>95</v>
      </c>
      <c r="M500" s="118" t="s">
        <v>1755</v>
      </c>
      <c r="N500" s="118">
        <f t="shared" si="879"/>
        <v>0</v>
      </c>
      <c r="O500" s="298"/>
      <c r="P500" s="298"/>
      <c r="Q500" s="298"/>
      <c r="R500" s="298"/>
      <c r="S500" s="298"/>
      <c r="T500" s="298"/>
      <c r="U500" s="298"/>
      <c r="V500" s="298"/>
      <c r="W500" s="298"/>
      <c r="X500" s="298"/>
      <c r="Y500" s="298"/>
      <c r="Z500" s="298"/>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6"/>
      <c r="BM500" s="311"/>
      <c r="BN500" s="314"/>
    </row>
    <row r="501" s="117" customFormat="1" ht="33.95" hidden="1" customHeight="1" outlineLevel="5" spans="2:66">
      <c r="B501" s="118" t="s">
        <v>799</v>
      </c>
      <c r="C501" s="119" t="s">
        <v>1957</v>
      </c>
      <c r="D501" s="117" t="s">
        <v>1958</v>
      </c>
      <c r="E501" s="118"/>
      <c r="F501" s="118" t="s">
        <v>1625</v>
      </c>
      <c r="G501" s="118" t="s">
        <v>943</v>
      </c>
      <c r="H501" s="118">
        <f t="shared" si="878"/>
        <v>0</v>
      </c>
      <c r="I501" s="118" t="s">
        <v>1242</v>
      </c>
      <c r="J501" s="298"/>
      <c r="K501" s="118" t="s">
        <v>1633</v>
      </c>
      <c r="L501" s="118">
        <v>2350</v>
      </c>
      <c r="M501" s="118" t="s">
        <v>1634</v>
      </c>
      <c r="N501" s="118">
        <f t="shared" si="879"/>
        <v>0</v>
      </c>
      <c r="O501" s="316"/>
      <c r="P501" s="316"/>
      <c r="Q501" s="316"/>
      <c r="R501" s="316"/>
      <c r="S501" s="316"/>
      <c r="T501" s="316"/>
      <c r="U501" s="316"/>
      <c r="V501" s="316"/>
      <c r="W501" s="316"/>
      <c r="X501" s="316"/>
      <c r="Y501" s="316"/>
      <c r="Z501" s="316"/>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6"/>
      <c r="BM501" s="311"/>
      <c r="BN501" s="314"/>
    </row>
    <row r="502" s="29" customFormat="1" ht="33.95" hidden="1" customHeight="1" outlineLevel="2" collapsed="1" spans="2:66">
      <c r="B502" s="111" t="s">
        <v>794</v>
      </c>
      <c r="C502" s="112" t="s">
        <v>1959</v>
      </c>
      <c r="D502" s="29" t="s">
        <v>1960</v>
      </c>
      <c r="E502" s="111"/>
      <c r="F502" s="111"/>
      <c r="G502" s="111"/>
      <c r="H502" s="111">
        <f>H503+H512+H520</f>
        <v>0</v>
      </c>
      <c r="I502" s="111"/>
      <c r="J502" s="111"/>
      <c r="K502" s="111"/>
      <c r="L502" s="111"/>
      <c r="M502" s="111"/>
      <c r="N502" s="304"/>
      <c r="O502" s="287"/>
      <c r="P502" s="287"/>
      <c r="Q502" s="287"/>
      <c r="R502" s="287"/>
      <c r="S502" s="287"/>
      <c r="T502" s="287"/>
      <c r="U502" s="287"/>
      <c r="V502" s="287"/>
      <c r="W502" s="287"/>
      <c r="X502" s="287"/>
      <c r="Y502" s="287"/>
      <c r="Z502" s="287"/>
      <c r="AA502" s="287"/>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4"/>
      <c r="BM502" s="311"/>
      <c r="BN502" s="312"/>
    </row>
    <row r="503" s="48" customFormat="1" ht="33.95" hidden="1" customHeight="1" outlineLevel="3" collapsed="1" spans="2:66">
      <c r="B503" s="114" t="s">
        <v>794</v>
      </c>
      <c r="C503" s="115" t="s">
        <v>1961</v>
      </c>
      <c r="D503" s="48" t="s">
        <v>1962</v>
      </c>
      <c r="E503" s="114"/>
      <c r="F503" s="114"/>
      <c r="G503" s="114"/>
      <c r="H503" s="114">
        <f>SUM(H504:H511)</f>
        <v>0</v>
      </c>
      <c r="I503" s="114"/>
      <c r="J503" s="114"/>
      <c r="K503" s="114"/>
      <c r="L503" s="114"/>
      <c r="M503" s="114"/>
      <c r="N503" s="305"/>
      <c r="O503" s="288"/>
      <c r="P503" s="288"/>
      <c r="Q503" s="288"/>
      <c r="R503" s="288"/>
      <c r="S503" s="288"/>
      <c r="T503" s="288"/>
      <c r="U503" s="288"/>
      <c r="V503" s="288"/>
      <c r="W503" s="288"/>
      <c r="X503" s="288"/>
      <c r="Y503" s="288"/>
      <c r="Z503" s="288"/>
      <c r="AA503" s="288"/>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5"/>
      <c r="BM503" s="311"/>
      <c r="BN503" s="313"/>
    </row>
    <row r="504" s="117" customFormat="1" ht="33.95" hidden="1" customHeight="1" outlineLevel="5" spans="2:66">
      <c r="B504" s="118" t="s">
        <v>799</v>
      </c>
      <c r="C504" s="119" t="s">
        <v>1963</v>
      </c>
      <c r="D504" s="117" t="s">
        <v>1964</v>
      </c>
      <c r="E504" s="118" t="s">
        <v>1965</v>
      </c>
      <c r="F504" s="118" t="s">
        <v>1625</v>
      </c>
      <c r="G504" s="118" t="s">
        <v>943</v>
      </c>
      <c r="H504" s="118">
        <f t="shared" ref="H504:H511" si="894">J504*L504</f>
        <v>0</v>
      </c>
      <c r="I504" s="118" t="s">
        <v>1242</v>
      </c>
      <c r="J504" s="298"/>
      <c r="K504" s="118" t="s">
        <v>1396</v>
      </c>
      <c r="L504" s="118">
        <v>513</v>
      </c>
      <c r="M504" s="118" t="s">
        <v>1675</v>
      </c>
      <c r="N504" s="118">
        <f t="shared" ref="N504:N511" si="895">COUNTA(O504:Z504)</f>
        <v>0</v>
      </c>
      <c r="O504" s="317"/>
      <c r="P504" s="317"/>
      <c r="Q504" s="317"/>
      <c r="R504" s="317"/>
      <c r="S504" s="317"/>
      <c r="T504" s="317"/>
      <c r="U504" s="317"/>
      <c r="V504" s="317"/>
      <c r="W504" s="317"/>
      <c r="X504" s="317"/>
      <c r="Y504" s="317"/>
      <c r="Z504" s="317"/>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6"/>
      <c r="BM504" s="311"/>
      <c r="BN504" s="314"/>
    </row>
    <row r="505" s="117" customFormat="1" ht="33.95" hidden="1" customHeight="1" outlineLevel="5" spans="2:66">
      <c r="B505" s="118" t="s">
        <v>799</v>
      </c>
      <c r="C505" s="119" t="s">
        <v>1966</v>
      </c>
      <c r="D505" s="117" t="s">
        <v>1967</v>
      </c>
      <c r="E505" s="118" t="s">
        <v>1968</v>
      </c>
      <c r="F505" s="118" t="s">
        <v>1625</v>
      </c>
      <c r="G505" s="118" t="s">
        <v>943</v>
      </c>
      <c r="H505" s="118">
        <f t="shared" si="894"/>
        <v>0</v>
      </c>
      <c r="I505" s="118" t="s">
        <v>1242</v>
      </c>
      <c r="J505" s="298"/>
      <c r="K505" s="118" t="s">
        <v>1396</v>
      </c>
      <c r="L505" s="118">
        <v>2500</v>
      </c>
      <c r="M505" s="118" t="s">
        <v>1675</v>
      </c>
      <c r="N505" s="118">
        <f t="shared" si="895"/>
        <v>0</v>
      </c>
      <c r="O505" s="298"/>
      <c r="P505" s="298"/>
      <c r="Q505" s="298"/>
      <c r="R505" s="298"/>
      <c r="S505" s="298"/>
      <c r="T505" s="298"/>
      <c r="U505" s="298"/>
      <c r="V505" s="298"/>
      <c r="W505" s="298"/>
      <c r="X505" s="298"/>
      <c r="Y505" s="298"/>
      <c r="Z505" s="298"/>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6"/>
      <c r="BM505" s="311"/>
      <c r="BN505" s="314"/>
    </row>
    <row r="506" s="117" customFormat="1" ht="33.95" hidden="1" customHeight="1" outlineLevel="5" spans="2:66">
      <c r="B506" s="118" t="s">
        <v>799</v>
      </c>
      <c r="C506" s="119" t="s">
        <v>1969</v>
      </c>
      <c r="D506" s="117" t="s">
        <v>1970</v>
      </c>
      <c r="E506" s="118" t="s">
        <v>1971</v>
      </c>
      <c r="F506" s="118" t="s">
        <v>1625</v>
      </c>
      <c r="G506" s="118" t="s">
        <v>943</v>
      </c>
      <c r="H506" s="118">
        <f t="shared" si="894"/>
        <v>0</v>
      </c>
      <c r="I506" s="118" t="s">
        <v>1242</v>
      </c>
      <c r="J506" s="298"/>
      <c r="K506" s="118" t="s">
        <v>1150</v>
      </c>
      <c r="L506" s="118">
        <v>2315</v>
      </c>
      <c r="M506" s="118" t="s">
        <v>1770</v>
      </c>
      <c r="N506" s="118">
        <f t="shared" si="895"/>
        <v>0</v>
      </c>
      <c r="O506" s="298"/>
      <c r="P506" s="298"/>
      <c r="Q506" s="298"/>
      <c r="R506" s="298"/>
      <c r="S506" s="298"/>
      <c r="T506" s="298"/>
      <c r="U506" s="298"/>
      <c r="V506" s="298"/>
      <c r="W506" s="298"/>
      <c r="X506" s="298"/>
      <c r="Y506" s="298"/>
      <c r="Z506" s="298"/>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6"/>
      <c r="BM506" s="311"/>
      <c r="BN506" s="314"/>
    </row>
    <row r="507" s="117" customFormat="1" ht="33.95" hidden="1" customHeight="1" outlineLevel="5" spans="2:66">
      <c r="B507" s="118" t="s">
        <v>799</v>
      </c>
      <c r="C507" s="119" t="s">
        <v>1972</v>
      </c>
      <c r="D507" s="117" t="s">
        <v>1973</v>
      </c>
      <c r="E507" s="118" t="s">
        <v>1974</v>
      </c>
      <c r="F507" s="118" t="s">
        <v>1625</v>
      </c>
      <c r="G507" s="118" t="s">
        <v>943</v>
      </c>
      <c r="H507" s="118">
        <f t="shared" si="894"/>
        <v>0</v>
      </c>
      <c r="I507" s="118" t="s">
        <v>1242</v>
      </c>
      <c r="J507" s="298"/>
      <c r="K507" s="118" t="s">
        <v>1396</v>
      </c>
      <c r="L507" s="118">
        <v>360</v>
      </c>
      <c r="M507" s="118" t="s">
        <v>1675</v>
      </c>
      <c r="N507" s="118">
        <f t="shared" si="895"/>
        <v>0</v>
      </c>
      <c r="O507" s="298"/>
      <c r="P507" s="298"/>
      <c r="Q507" s="298"/>
      <c r="R507" s="298"/>
      <c r="S507" s="298"/>
      <c r="T507" s="298"/>
      <c r="U507" s="298"/>
      <c r="V507" s="298"/>
      <c r="W507" s="298"/>
      <c r="X507" s="298"/>
      <c r="Y507" s="298"/>
      <c r="Z507" s="298"/>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6"/>
      <c r="BM507" s="311"/>
      <c r="BN507" s="314"/>
    </row>
    <row r="508" s="117" customFormat="1" ht="33.95" hidden="1" customHeight="1" outlineLevel="5" spans="2:66">
      <c r="B508" s="118" t="s">
        <v>799</v>
      </c>
      <c r="C508" s="119" t="s">
        <v>1975</v>
      </c>
      <c r="D508" s="117" t="s">
        <v>1976</v>
      </c>
      <c r="E508" s="118"/>
      <c r="F508" s="118" t="s">
        <v>1625</v>
      </c>
      <c r="G508" s="118" t="s">
        <v>943</v>
      </c>
      <c r="H508" s="118">
        <f t="shared" si="894"/>
        <v>0</v>
      </c>
      <c r="I508" s="118" t="s">
        <v>1242</v>
      </c>
      <c r="J508" s="298"/>
      <c r="K508" s="118" t="s">
        <v>1396</v>
      </c>
      <c r="L508" s="118">
        <v>300</v>
      </c>
      <c r="M508" s="118" t="s">
        <v>1675</v>
      </c>
      <c r="N508" s="118">
        <f t="shared" si="895"/>
        <v>0</v>
      </c>
      <c r="O508" s="298"/>
      <c r="P508" s="298"/>
      <c r="Q508" s="298"/>
      <c r="R508" s="298"/>
      <c r="S508" s="298"/>
      <c r="T508" s="298"/>
      <c r="U508" s="298"/>
      <c r="V508" s="298"/>
      <c r="W508" s="298"/>
      <c r="X508" s="298"/>
      <c r="Y508" s="298"/>
      <c r="Z508" s="298"/>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6"/>
      <c r="BM508" s="311"/>
      <c r="BN508" s="314"/>
    </row>
    <row r="509" s="117" customFormat="1" ht="33.95" hidden="1" customHeight="1" outlineLevel="5" spans="2:66">
      <c r="B509" s="118" t="s">
        <v>799</v>
      </c>
      <c r="C509" s="119" t="s">
        <v>1977</v>
      </c>
      <c r="D509" s="117" t="s">
        <v>1978</v>
      </c>
      <c r="E509" s="118"/>
      <c r="F509" s="118" t="s">
        <v>1625</v>
      </c>
      <c r="G509" s="118" t="s">
        <v>943</v>
      </c>
      <c r="H509" s="118">
        <f t="shared" si="894"/>
        <v>0</v>
      </c>
      <c r="I509" s="118" t="s">
        <v>1242</v>
      </c>
      <c r="J509" s="298"/>
      <c r="K509" s="118" t="s">
        <v>1396</v>
      </c>
      <c r="L509" s="118">
        <v>500</v>
      </c>
      <c r="M509" s="118" t="s">
        <v>1675</v>
      </c>
      <c r="N509" s="118">
        <f t="shared" si="895"/>
        <v>0</v>
      </c>
      <c r="O509" s="298"/>
      <c r="P509" s="298"/>
      <c r="Q509" s="298"/>
      <c r="R509" s="298"/>
      <c r="S509" s="298"/>
      <c r="T509" s="298"/>
      <c r="U509" s="298"/>
      <c r="V509" s="298"/>
      <c r="W509" s="298"/>
      <c r="X509" s="298"/>
      <c r="Y509" s="298"/>
      <c r="Z509" s="298"/>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6"/>
      <c r="BM509" s="311"/>
      <c r="BN509" s="314"/>
    </row>
    <row r="510" s="117" customFormat="1" ht="33.95" hidden="1" customHeight="1" outlineLevel="5" spans="2:66">
      <c r="B510" s="118" t="s">
        <v>799</v>
      </c>
      <c r="C510" s="119" t="s">
        <v>1979</v>
      </c>
      <c r="D510" s="117" t="s">
        <v>1980</v>
      </c>
      <c r="E510" s="118" t="s">
        <v>1981</v>
      </c>
      <c r="F510" s="118" t="s">
        <v>1625</v>
      </c>
      <c r="G510" s="118" t="s">
        <v>943</v>
      </c>
      <c r="H510" s="118">
        <f t="shared" si="894"/>
        <v>0</v>
      </c>
      <c r="I510" s="118" t="s">
        <v>1242</v>
      </c>
      <c r="J510" s="298"/>
      <c r="K510" s="118" t="s">
        <v>1982</v>
      </c>
      <c r="L510" s="118">
        <v>3650</v>
      </c>
      <c r="M510" s="118" t="s">
        <v>1983</v>
      </c>
      <c r="N510" s="118">
        <f t="shared" si="895"/>
        <v>0</v>
      </c>
      <c r="O510" s="298"/>
      <c r="P510" s="298"/>
      <c r="Q510" s="298"/>
      <c r="R510" s="298"/>
      <c r="S510" s="298"/>
      <c r="T510" s="298"/>
      <c r="U510" s="298"/>
      <c r="V510" s="298"/>
      <c r="W510" s="298"/>
      <c r="X510" s="298"/>
      <c r="Y510" s="298"/>
      <c r="Z510" s="298"/>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6"/>
      <c r="BM510" s="311"/>
      <c r="BN510" s="314"/>
    </row>
    <row r="511" s="117" customFormat="1" ht="33.95" hidden="1" customHeight="1" outlineLevel="5" spans="2:66">
      <c r="B511" s="118" t="s">
        <v>799</v>
      </c>
      <c r="C511" s="119" t="s">
        <v>1984</v>
      </c>
      <c r="D511" s="117" t="s">
        <v>1985</v>
      </c>
      <c r="E511" s="118" t="s">
        <v>1986</v>
      </c>
      <c r="F511" s="118" t="s">
        <v>1625</v>
      </c>
      <c r="G511" s="118" t="s">
        <v>943</v>
      </c>
      <c r="H511" s="118">
        <f t="shared" si="894"/>
        <v>0</v>
      </c>
      <c r="I511" s="118" t="s">
        <v>1242</v>
      </c>
      <c r="J511" s="298"/>
      <c r="K511" s="118" t="s">
        <v>1982</v>
      </c>
      <c r="L511" s="118">
        <v>35000</v>
      </c>
      <c r="M511" s="118" t="s">
        <v>1983</v>
      </c>
      <c r="N511" s="118">
        <f t="shared" si="895"/>
        <v>0</v>
      </c>
      <c r="O511" s="316"/>
      <c r="P511" s="316"/>
      <c r="Q511" s="316"/>
      <c r="R511" s="316"/>
      <c r="S511" s="316"/>
      <c r="T511" s="316"/>
      <c r="U511" s="316"/>
      <c r="V511" s="316"/>
      <c r="W511" s="316"/>
      <c r="X511" s="316"/>
      <c r="Y511" s="316"/>
      <c r="Z511" s="316"/>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6"/>
      <c r="BM511" s="311"/>
      <c r="BN511" s="314"/>
    </row>
    <row r="512" s="48" customFormat="1" ht="33.95" hidden="1" customHeight="1" outlineLevel="3" collapsed="1" spans="2:66">
      <c r="B512" s="114" t="s">
        <v>794</v>
      </c>
      <c r="C512" s="115" t="s">
        <v>1987</v>
      </c>
      <c r="D512" s="48" t="s">
        <v>1988</v>
      </c>
      <c r="E512" s="114"/>
      <c r="F512" s="114"/>
      <c r="G512" s="114"/>
      <c r="H512" s="114">
        <f>SUM(H513:H519)</f>
        <v>0</v>
      </c>
      <c r="I512" s="114"/>
      <c r="J512" s="114"/>
      <c r="K512" s="114"/>
      <c r="L512" s="114"/>
      <c r="M512" s="114"/>
      <c r="N512" s="305"/>
      <c r="O512" s="288"/>
      <c r="P512" s="288"/>
      <c r="Q512" s="288"/>
      <c r="R512" s="288"/>
      <c r="S512" s="288"/>
      <c r="T512" s="288"/>
      <c r="U512" s="288"/>
      <c r="V512" s="288"/>
      <c r="W512" s="288"/>
      <c r="X512" s="288"/>
      <c r="Y512" s="288"/>
      <c r="Z512" s="288"/>
      <c r="AA512" s="288"/>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5"/>
      <c r="BM512" s="311"/>
      <c r="BN512" s="313"/>
    </row>
    <row r="513" s="117" customFormat="1" ht="33.95" hidden="1" customHeight="1" outlineLevel="5" spans="2:66">
      <c r="B513" s="118" t="s">
        <v>799</v>
      </c>
      <c r="C513" s="119" t="s">
        <v>1989</v>
      </c>
      <c r="D513" s="117" t="s">
        <v>1990</v>
      </c>
      <c r="E513" s="118" t="s">
        <v>1991</v>
      </c>
      <c r="F513" s="118" t="s">
        <v>1625</v>
      </c>
      <c r="G513" s="118" t="s">
        <v>943</v>
      </c>
      <c r="H513" s="118">
        <f t="shared" ref="H513:H519" si="910">J513*L513</f>
        <v>0</v>
      </c>
      <c r="I513" s="118" t="s">
        <v>1242</v>
      </c>
      <c r="J513" s="298"/>
      <c r="K513" s="118" t="s">
        <v>1992</v>
      </c>
      <c r="L513" s="118">
        <v>15</v>
      </c>
      <c r="M513" s="118" t="s">
        <v>1993</v>
      </c>
      <c r="N513" s="118">
        <f t="shared" ref="N513:N519" si="911">COUNTA(O513:Z513)</f>
        <v>0</v>
      </c>
      <c r="O513" s="317"/>
      <c r="P513" s="317"/>
      <c r="Q513" s="317"/>
      <c r="R513" s="317"/>
      <c r="S513" s="317"/>
      <c r="T513" s="317"/>
      <c r="U513" s="317"/>
      <c r="V513" s="317"/>
      <c r="W513" s="317"/>
      <c r="X513" s="317"/>
      <c r="Y513" s="317"/>
      <c r="Z513" s="317"/>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6"/>
      <c r="BM513" s="311"/>
      <c r="BN513" s="314"/>
    </row>
    <row r="514" s="117" customFormat="1" ht="33.95" hidden="1" customHeight="1" outlineLevel="5" spans="2:66">
      <c r="B514" s="118" t="s">
        <v>799</v>
      </c>
      <c r="C514" s="119" t="s">
        <v>1994</v>
      </c>
      <c r="D514" s="117" t="s">
        <v>1995</v>
      </c>
      <c r="E514" s="118" t="s">
        <v>1996</v>
      </c>
      <c r="F514" s="118" t="s">
        <v>1625</v>
      </c>
      <c r="G514" s="118" t="s">
        <v>943</v>
      </c>
      <c r="H514" s="118">
        <f t="shared" si="910"/>
        <v>0</v>
      </c>
      <c r="I514" s="118" t="s">
        <v>1242</v>
      </c>
      <c r="J514" s="298"/>
      <c r="K514" s="118" t="s">
        <v>1992</v>
      </c>
      <c r="L514" s="118">
        <v>57</v>
      </c>
      <c r="M514" s="118" t="s">
        <v>1993</v>
      </c>
      <c r="N514" s="118">
        <f t="shared" si="911"/>
        <v>0</v>
      </c>
      <c r="O514" s="298"/>
      <c r="P514" s="298"/>
      <c r="Q514" s="298"/>
      <c r="R514" s="298"/>
      <c r="S514" s="298"/>
      <c r="T514" s="298"/>
      <c r="U514" s="298"/>
      <c r="V514" s="298"/>
      <c r="W514" s="298"/>
      <c r="X514" s="298"/>
      <c r="Y514" s="298"/>
      <c r="Z514" s="298"/>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6"/>
      <c r="BM514" s="311"/>
      <c r="BN514" s="314"/>
    </row>
    <row r="515" s="117" customFormat="1" ht="33.95" hidden="1" customHeight="1" outlineLevel="5" spans="2:66">
      <c r="B515" s="118" t="s">
        <v>799</v>
      </c>
      <c r="C515" s="119" t="s">
        <v>1997</v>
      </c>
      <c r="D515" s="117" t="s">
        <v>1998</v>
      </c>
      <c r="E515" s="118" t="s">
        <v>1999</v>
      </c>
      <c r="F515" s="118" t="s">
        <v>1625</v>
      </c>
      <c r="G515" s="118" t="s">
        <v>943</v>
      </c>
      <c r="H515" s="118">
        <f t="shared" si="910"/>
        <v>0</v>
      </c>
      <c r="I515" s="118" t="s">
        <v>1242</v>
      </c>
      <c r="J515" s="298"/>
      <c r="K515" s="118" t="s">
        <v>1754</v>
      </c>
      <c r="L515" s="118">
        <v>3</v>
      </c>
      <c r="M515" s="118" t="s">
        <v>1755</v>
      </c>
      <c r="N515" s="118">
        <f t="shared" si="911"/>
        <v>0</v>
      </c>
      <c r="O515" s="298"/>
      <c r="P515" s="298"/>
      <c r="Q515" s="298"/>
      <c r="R515" s="298"/>
      <c r="S515" s="298"/>
      <c r="T515" s="298"/>
      <c r="U515" s="298"/>
      <c r="V515" s="298"/>
      <c r="W515" s="298"/>
      <c r="X515" s="298"/>
      <c r="Y515" s="298"/>
      <c r="Z515" s="298"/>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6"/>
      <c r="BM515" s="311"/>
      <c r="BN515" s="314"/>
    </row>
    <row r="516" s="117" customFormat="1" ht="33.95" hidden="1" customHeight="1" outlineLevel="5" spans="2:66">
      <c r="B516" s="118" t="s">
        <v>799</v>
      </c>
      <c r="C516" s="119" t="s">
        <v>2000</v>
      </c>
      <c r="D516" s="117" t="s">
        <v>2001</v>
      </c>
      <c r="E516" s="118" t="s">
        <v>2002</v>
      </c>
      <c r="F516" s="118" t="s">
        <v>1625</v>
      </c>
      <c r="G516" s="118" t="s">
        <v>943</v>
      </c>
      <c r="H516" s="118">
        <f t="shared" si="910"/>
        <v>0</v>
      </c>
      <c r="I516" s="118" t="s">
        <v>1242</v>
      </c>
      <c r="J516" s="298"/>
      <c r="K516" s="118" t="s">
        <v>1150</v>
      </c>
      <c r="L516" s="118">
        <v>490</v>
      </c>
      <c r="M516" s="118" t="s">
        <v>1770</v>
      </c>
      <c r="N516" s="118">
        <f t="shared" si="911"/>
        <v>0</v>
      </c>
      <c r="O516" s="298"/>
      <c r="P516" s="298"/>
      <c r="Q516" s="298"/>
      <c r="R516" s="298"/>
      <c r="S516" s="298"/>
      <c r="T516" s="298"/>
      <c r="U516" s="298"/>
      <c r="V516" s="298"/>
      <c r="W516" s="298"/>
      <c r="X516" s="298"/>
      <c r="Y516" s="298"/>
      <c r="Z516" s="298"/>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6"/>
      <c r="BM516" s="311"/>
      <c r="BN516" s="314"/>
    </row>
    <row r="517" s="117" customFormat="1" ht="33.95" hidden="1" customHeight="1" outlineLevel="5" spans="2:66">
      <c r="B517" s="118" t="s">
        <v>799</v>
      </c>
      <c r="C517" s="119" t="s">
        <v>2003</v>
      </c>
      <c r="D517" s="117" t="s">
        <v>2004</v>
      </c>
      <c r="E517" s="118" t="s">
        <v>2005</v>
      </c>
      <c r="F517" s="118" t="s">
        <v>1625</v>
      </c>
      <c r="G517" s="118" t="s">
        <v>943</v>
      </c>
      <c r="H517" s="118">
        <f t="shared" si="910"/>
        <v>0</v>
      </c>
      <c r="I517" s="118" t="s">
        <v>1242</v>
      </c>
      <c r="J517" s="298"/>
      <c r="K517" s="118" t="s">
        <v>1633</v>
      </c>
      <c r="L517" s="118">
        <v>320</v>
      </c>
      <c r="M517" s="118" t="s">
        <v>1634</v>
      </c>
      <c r="N517" s="118">
        <f t="shared" si="911"/>
        <v>0</v>
      </c>
      <c r="O517" s="298"/>
      <c r="P517" s="298"/>
      <c r="Q517" s="298"/>
      <c r="R517" s="298"/>
      <c r="S517" s="298"/>
      <c r="T517" s="298"/>
      <c r="U517" s="298"/>
      <c r="V517" s="298"/>
      <c r="W517" s="298"/>
      <c r="X517" s="298"/>
      <c r="Y517" s="298"/>
      <c r="Z517" s="298"/>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6"/>
      <c r="BM517" s="311"/>
      <c r="BN517" s="314"/>
    </row>
    <row r="518" s="117" customFormat="1" ht="33.95" hidden="1" customHeight="1" outlineLevel="5" spans="2:66">
      <c r="B518" s="118" t="s">
        <v>799</v>
      </c>
      <c r="C518" s="119" t="s">
        <v>2006</v>
      </c>
      <c r="D518" s="117" t="s">
        <v>2007</v>
      </c>
      <c r="E518" s="118"/>
      <c r="F518" s="118" t="s">
        <v>1625</v>
      </c>
      <c r="G518" s="118" t="s">
        <v>943</v>
      </c>
      <c r="H518" s="118">
        <f t="shared" si="910"/>
        <v>0</v>
      </c>
      <c r="I518" s="118" t="s">
        <v>1242</v>
      </c>
      <c r="J518" s="298"/>
      <c r="K518" s="118" t="s">
        <v>2008</v>
      </c>
      <c r="L518" s="118">
        <v>35</v>
      </c>
      <c r="M518" s="118" t="s">
        <v>2009</v>
      </c>
      <c r="N518" s="118">
        <f t="shared" si="911"/>
        <v>0</v>
      </c>
      <c r="O518" s="298"/>
      <c r="P518" s="298"/>
      <c r="Q518" s="298"/>
      <c r="R518" s="298"/>
      <c r="S518" s="298"/>
      <c r="T518" s="298"/>
      <c r="U518" s="298"/>
      <c r="V518" s="298"/>
      <c r="W518" s="298"/>
      <c r="X518" s="298"/>
      <c r="Y518" s="298"/>
      <c r="Z518" s="298"/>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6"/>
      <c r="BM518" s="311"/>
      <c r="BN518" s="314"/>
    </row>
    <row r="519" s="117" customFormat="1" ht="33.95" hidden="1" customHeight="1" outlineLevel="5" spans="2:66">
      <c r="B519" s="118" t="s">
        <v>799</v>
      </c>
      <c r="C519" s="119" t="s">
        <v>2010</v>
      </c>
      <c r="D519" s="117" t="s">
        <v>2011</v>
      </c>
      <c r="E519" s="118" t="s">
        <v>2012</v>
      </c>
      <c r="F519" s="118" t="s">
        <v>1625</v>
      </c>
      <c r="G519" s="118" t="s">
        <v>943</v>
      </c>
      <c r="H519" s="118">
        <f t="shared" si="910"/>
        <v>0</v>
      </c>
      <c r="I519" s="118" t="s">
        <v>1242</v>
      </c>
      <c r="J519" s="298"/>
      <c r="K519" s="118" t="s">
        <v>1633</v>
      </c>
      <c r="L519" s="118">
        <v>70</v>
      </c>
      <c r="M519" s="118" t="s">
        <v>1634</v>
      </c>
      <c r="N519" s="118">
        <f t="shared" si="911"/>
        <v>0</v>
      </c>
      <c r="O519" s="316"/>
      <c r="P519" s="316"/>
      <c r="Q519" s="316"/>
      <c r="R519" s="316"/>
      <c r="S519" s="316"/>
      <c r="T519" s="316"/>
      <c r="U519" s="316"/>
      <c r="V519" s="316"/>
      <c r="W519" s="316"/>
      <c r="X519" s="316"/>
      <c r="Y519" s="316"/>
      <c r="Z519" s="316"/>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6"/>
      <c r="BM519" s="311"/>
      <c r="BN519" s="314"/>
    </row>
    <row r="520" s="48" customFormat="1" ht="33.95" hidden="1" customHeight="1" outlineLevel="3" collapsed="1" spans="2:66">
      <c r="B520" s="114" t="s">
        <v>794</v>
      </c>
      <c r="C520" s="115" t="s">
        <v>2013</v>
      </c>
      <c r="D520" s="48" t="s">
        <v>2014</v>
      </c>
      <c r="E520" s="114"/>
      <c r="F520" s="114"/>
      <c r="G520" s="114"/>
      <c r="H520" s="114">
        <f>SUM(H521:H539)</f>
        <v>0</v>
      </c>
      <c r="I520" s="114"/>
      <c r="J520" s="114"/>
      <c r="K520" s="114"/>
      <c r="L520" s="114"/>
      <c r="M520" s="114"/>
      <c r="N520" s="305"/>
      <c r="O520" s="288"/>
      <c r="P520" s="288"/>
      <c r="Q520" s="288"/>
      <c r="R520" s="288"/>
      <c r="S520" s="288"/>
      <c r="T520" s="288"/>
      <c r="U520" s="288"/>
      <c r="V520" s="288"/>
      <c r="W520" s="288"/>
      <c r="X520" s="288"/>
      <c r="Y520" s="288"/>
      <c r="Z520" s="288"/>
      <c r="AA520" s="288"/>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5"/>
      <c r="BM520" s="311"/>
      <c r="BN520" s="313"/>
    </row>
    <row r="521" s="117" customFormat="1" ht="33.95" hidden="1" customHeight="1" outlineLevel="5" spans="2:66">
      <c r="B521" s="118" t="s">
        <v>799</v>
      </c>
      <c r="C521" s="119" t="s">
        <v>2015</v>
      </c>
      <c r="D521" s="117" t="s">
        <v>2016</v>
      </c>
      <c r="E521" s="118"/>
      <c r="F521" s="118" t="s">
        <v>1625</v>
      </c>
      <c r="G521" s="118" t="s">
        <v>943</v>
      </c>
      <c r="H521" s="118">
        <f t="shared" ref="H521:H539" si="939">J521*L521</f>
        <v>0</v>
      </c>
      <c r="I521" s="118" t="s">
        <v>1242</v>
      </c>
      <c r="J521" s="298"/>
      <c r="K521" s="118" t="s">
        <v>1396</v>
      </c>
      <c r="L521" s="118">
        <v>50</v>
      </c>
      <c r="M521" s="118" t="s">
        <v>1675</v>
      </c>
      <c r="N521" s="118">
        <f t="shared" ref="N521:N539" si="940">COUNTA(O521:Z521)</f>
        <v>0</v>
      </c>
      <c r="O521" s="317"/>
      <c r="P521" s="317"/>
      <c r="Q521" s="317"/>
      <c r="R521" s="317"/>
      <c r="S521" s="317"/>
      <c r="T521" s="317"/>
      <c r="U521" s="317"/>
      <c r="V521" s="317"/>
      <c r="W521" s="317"/>
      <c r="X521" s="317"/>
      <c r="Y521" s="317"/>
      <c r="Z521" s="317"/>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6"/>
      <c r="BM521" s="311"/>
      <c r="BN521" s="314"/>
    </row>
    <row r="522" s="117" customFormat="1" ht="33.95" hidden="1" customHeight="1" outlineLevel="5" spans="2:66">
      <c r="B522" s="118" t="s">
        <v>799</v>
      </c>
      <c r="C522" s="119" t="s">
        <v>2017</v>
      </c>
      <c r="D522" s="117" t="s">
        <v>2018</v>
      </c>
      <c r="E522" s="118" t="s">
        <v>2019</v>
      </c>
      <c r="F522" s="118" t="s">
        <v>1625</v>
      </c>
      <c r="G522" s="118" t="s">
        <v>943</v>
      </c>
      <c r="H522" s="118">
        <f t="shared" si="939"/>
        <v>0</v>
      </c>
      <c r="I522" s="118" t="s">
        <v>1242</v>
      </c>
      <c r="J522" s="298"/>
      <c r="K522" s="118" t="s">
        <v>1396</v>
      </c>
      <c r="L522" s="118">
        <v>20</v>
      </c>
      <c r="M522" s="118" t="s">
        <v>1675</v>
      </c>
      <c r="N522" s="118">
        <f t="shared" si="940"/>
        <v>0</v>
      </c>
      <c r="O522" s="298"/>
      <c r="P522" s="298"/>
      <c r="Q522" s="298"/>
      <c r="R522" s="298"/>
      <c r="S522" s="298"/>
      <c r="T522" s="298"/>
      <c r="U522" s="298"/>
      <c r="V522" s="298"/>
      <c r="W522" s="298"/>
      <c r="X522" s="298"/>
      <c r="Y522" s="298"/>
      <c r="Z522" s="298"/>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6"/>
      <c r="BM522" s="311"/>
      <c r="BN522" s="314"/>
    </row>
    <row r="523" s="117" customFormat="1" ht="33.95" hidden="1" customHeight="1" outlineLevel="5" spans="2:66">
      <c r="B523" s="118" t="s">
        <v>799</v>
      </c>
      <c r="C523" s="119" t="s">
        <v>2020</v>
      </c>
      <c r="D523" s="117" t="s">
        <v>2021</v>
      </c>
      <c r="E523" s="118" t="s">
        <v>2022</v>
      </c>
      <c r="F523" s="118" t="s">
        <v>1625</v>
      </c>
      <c r="G523" s="118" t="s">
        <v>943</v>
      </c>
      <c r="H523" s="118">
        <f t="shared" si="939"/>
        <v>0</v>
      </c>
      <c r="I523" s="118" t="s">
        <v>1242</v>
      </c>
      <c r="J523" s="298"/>
      <c r="K523" s="118" t="s">
        <v>1396</v>
      </c>
      <c r="L523" s="118">
        <v>66</v>
      </c>
      <c r="M523" s="118" t="s">
        <v>1675</v>
      </c>
      <c r="N523" s="118">
        <f t="shared" si="940"/>
        <v>0</v>
      </c>
      <c r="O523" s="298"/>
      <c r="P523" s="298"/>
      <c r="Q523" s="298"/>
      <c r="R523" s="298"/>
      <c r="S523" s="298"/>
      <c r="T523" s="298"/>
      <c r="U523" s="298"/>
      <c r="V523" s="298"/>
      <c r="W523" s="298"/>
      <c r="X523" s="298"/>
      <c r="Y523" s="298"/>
      <c r="Z523" s="298"/>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6"/>
      <c r="BM523" s="311"/>
      <c r="BN523" s="314"/>
    </row>
    <row r="524" s="117" customFormat="1" ht="33.95" hidden="1" customHeight="1" outlineLevel="5" spans="2:66">
      <c r="B524" s="118" t="s">
        <v>799</v>
      </c>
      <c r="C524" s="119" t="s">
        <v>2023</v>
      </c>
      <c r="D524" s="117" t="s">
        <v>2024</v>
      </c>
      <c r="E524" s="118" t="s">
        <v>2025</v>
      </c>
      <c r="F524" s="118" t="s">
        <v>1625</v>
      </c>
      <c r="G524" s="118" t="s">
        <v>943</v>
      </c>
      <c r="H524" s="118">
        <f t="shared" si="939"/>
        <v>0</v>
      </c>
      <c r="I524" s="118" t="s">
        <v>1242</v>
      </c>
      <c r="J524" s="298"/>
      <c r="K524" s="118" t="s">
        <v>2026</v>
      </c>
      <c r="L524" s="118">
        <v>8.5</v>
      </c>
      <c r="M524" s="118" t="s">
        <v>1805</v>
      </c>
      <c r="N524" s="118">
        <f t="shared" si="940"/>
        <v>0</v>
      </c>
      <c r="O524" s="298"/>
      <c r="P524" s="298"/>
      <c r="Q524" s="298"/>
      <c r="R524" s="298"/>
      <c r="S524" s="298"/>
      <c r="T524" s="298"/>
      <c r="U524" s="298"/>
      <c r="V524" s="298"/>
      <c r="W524" s="298"/>
      <c r="X524" s="298"/>
      <c r="Y524" s="298"/>
      <c r="Z524" s="298"/>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6"/>
      <c r="BM524" s="311"/>
      <c r="BN524" s="314"/>
    </row>
    <row r="525" s="117" customFormat="1" ht="33.95" hidden="1" customHeight="1" outlineLevel="5" spans="2:66">
      <c r="B525" s="118" t="s">
        <v>799</v>
      </c>
      <c r="C525" s="119" t="s">
        <v>2027</v>
      </c>
      <c r="D525" s="117" t="s">
        <v>2028</v>
      </c>
      <c r="E525" s="118" t="s">
        <v>2029</v>
      </c>
      <c r="F525" s="118" t="s">
        <v>1625</v>
      </c>
      <c r="G525" s="118" t="s">
        <v>943</v>
      </c>
      <c r="H525" s="118">
        <f t="shared" si="939"/>
        <v>0</v>
      </c>
      <c r="I525" s="118" t="s">
        <v>1242</v>
      </c>
      <c r="J525" s="298"/>
      <c r="K525" s="118" t="s">
        <v>1396</v>
      </c>
      <c r="L525" s="118">
        <v>8</v>
      </c>
      <c r="M525" s="118" t="s">
        <v>1675</v>
      </c>
      <c r="N525" s="118">
        <f t="shared" si="940"/>
        <v>0</v>
      </c>
      <c r="O525" s="298"/>
      <c r="P525" s="298"/>
      <c r="Q525" s="298"/>
      <c r="R525" s="298"/>
      <c r="S525" s="298"/>
      <c r="T525" s="298"/>
      <c r="U525" s="298"/>
      <c r="V525" s="298"/>
      <c r="W525" s="298"/>
      <c r="X525" s="298"/>
      <c r="Y525" s="298"/>
      <c r="Z525" s="298"/>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6"/>
      <c r="BM525" s="311"/>
      <c r="BN525" s="314"/>
    </row>
    <row r="526" s="117" customFormat="1" ht="33.95" hidden="1" customHeight="1" outlineLevel="5" spans="2:66">
      <c r="B526" s="118" t="s">
        <v>799</v>
      </c>
      <c r="C526" s="119" t="s">
        <v>2030</v>
      </c>
      <c r="D526" s="117" t="s">
        <v>2031</v>
      </c>
      <c r="E526" s="118" t="s">
        <v>2032</v>
      </c>
      <c r="F526" s="118" t="s">
        <v>1625</v>
      </c>
      <c r="G526" s="118" t="s">
        <v>943</v>
      </c>
      <c r="H526" s="118">
        <f t="shared" si="939"/>
        <v>0</v>
      </c>
      <c r="I526" s="118" t="s">
        <v>1242</v>
      </c>
      <c r="J526" s="298"/>
      <c r="K526" s="118" t="s">
        <v>2026</v>
      </c>
      <c r="L526" s="118">
        <v>80</v>
      </c>
      <c r="M526" s="118" t="s">
        <v>1805</v>
      </c>
      <c r="N526" s="118">
        <f t="shared" si="940"/>
        <v>0</v>
      </c>
      <c r="O526" s="298"/>
      <c r="P526" s="298"/>
      <c r="Q526" s="298"/>
      <c r="R526" s="298"/>
      <c r="S526" s="298"/>
      <c r="T526" s="298"/>
      <c r="U526" s="298"/>
      <c r="V526" s="298"/>
      <c r="W526" s="298"/>
      <c r="X526" s="298"/>
      <c r="Y526" s="298"/>
      <c r="Z526" s="298"/>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6"/>
      <c r="BM526" s="311"/>
      <c r="BN526" s="314"/>
    </row>
    <row r="527" s="117" customFormat="1" ht="33.95" hidden="1" customHeight="1" outlineLevel="5" spans="2:66">
      <c r="B527" s="118" t="s">
        <v>799</v>
      </c>
      <c r="C527" s="119" t="s">
        <v>2033</v>
      </c>
      <c r="D527" s="117" t="s">
        <v>2034</v>
      </c>
      <c r="E527" s="118" t="s">
        <v>2035</v>
      </c>
      <c r="F527" s="118" t="s">
        <v>1625</v>
      </c>
      <c r="G527" s="118" t="s">
        <v>943</v>
      </c>
      <c r="H527" s="118">
        <f t="shared" si="939"/>
        <v>0</v>
      </c>
      <c r="I527" s="118" t="s">
        <v>1242</v>
      </c>
      <c r="J527" s="298"/>
      <c r="K527" s="118" t="s">
        <v>1396</v>
      </c>
      <c r="L527" s="118">
        <v>65</v>
      </c>
      <c r="M527" s="118" t="s">
        <v>1675</v>
      </c>
      <c r="N527" s="118">
        <f t="shared" si="940"/>
        <v>0</v>
      </c>
      <c r="O527" s="298"/>
      <c r="P527" s="298"/>
      <c r="Q527" s="298"/>
      <c r="R527" s="298"/>
      <c r="S527" s="298"/>
      <c r="T527" s="298"/>
      <c r="U527" s="298"/>
      <c r="V527" s="298"/>
      <c r="W527" s="298"/>
      <c r="X527" s="298"/>
      <c r="Y527" s="298"/>
      <c r="Z527" s="298"/>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6"/>
      <c r="BM527" s="311"/>
      <c r="BN527" s="314"/>
    </row>
    <row r="528" s="117" customFormat="1" ht="33.95" hidden="1" customHeight="1" outlineLevel="5" spans="2:66">
      <c r="B528" s="118" t="s">
        <v>799</v>
      </c>
      <c r="C528" s="119" t="s">
        <v>2036</v>
      </c>
      <c r="D528" s="117" t="s">
        <v>2037</v>
      </c>
      <c r="E528" s="118" t="s">
        <v>2038</v>
      </c>
      <c r="F528" s="118" t="s">
        <v>1625</v>
      </c>
      <c r="G528" s="118" t="s">
        <v>943</v>
      </c>
      <c r="H528" s="118">
        <f t="shared" si="939"/>
        <v>0</v>
      </c>
      <c r="I528" s="118" t="s">
        <v>1242</v>
      </c>
      <c r="J528" s="298"/>
      <c r="K528" s="118" t="s">
        <v>1633</v>
      </c>
      <c r="L528" s="118">
        <v>135</v>
      </c>
      <c r="M528" s="118" t="s">
        <v>1634</v>
      </c>
      <c r="N528" s="118">
        <f t="shared" si="940"/>
        <v>0</v>
      </c>
      <c r="O528" s="298"/>
      <c r="P528" s="298"/>
      <c r="Q528" s="298"/>
      <c r="R528" s="298"/>
      <c r="S528" s="298"/>
      <c r="T528" s="298"/>
      <c r="U528" s="298"/>
      <c r="V528" s="298"/>
      <c r="W528" s="298"/>
      <c r="X528" s="298"/>
      <c r="Y528" s="298"/>
      <c r="Z528" s="298"/>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6"/>
      <c r="BM528" s="311"/>
      <c r="BN528" s="314"/>
    </row>
    <row r="529" s="117" customFormat="1" ht="33.95" hidden="1" customHeight="1" outlineLevel="5" spans="2:66">
      <c r="B529" s="118" t="s">
        <v>799</v>
      </c>
      <c r="C529" s="119" t="s">
        <v>2039</v>
      </c>
      <c r="D529" s="117" t="s">
        <v>2040</v>
      </c>
      <c r="E529" s="118" t="s">
        <v>2041</v>
      </c>
      <c r="F529" s="118" t="s">
        <v>1625</v>
      </c>
      <c r="G529" s="118" t="s">
        <v>943</v>
      </c>
      <c r="H529" s="118">
        <f t="shared" si="939"/>
        <v>0</v>
      </c>
      <c r="I529" s="118" t="s">
        <v>1242</v>
      </c>
      <c r="J529" s="298"/>
      <c r="K529" s="118" t="s">
        <v>1396</v>
      </c>
      <c r="L529" s="118">
        <v>35</v>
      </c>
      <c r="M529" s="118" t="s">
        <v>1675</v>
      </c>
      <c r="N529" s="118">
        <f t="shared" si="940"/>
        <v>0</v>
      </c>
      <c r="O529" s="298"/>
      <c r="P529" s="298"/>
      <c r="Q529" s="298"/>
      <c r="R529" s="298"/>
      <c r="S529" s="298"/>
      <c r="T529" s="298"/>
      <c r="U529" s="298"/>
      <c r="V529" s="298"/>
      <c r="W529" s="298"/>
      <c r="X529" s="298"/>
      <c r="Y529" s="298"/>
      <c r="Z529" s="298"/>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6"/>
      <c r="BM529" s="311"/>
      <c r="BN529" s="314"/>
    </row>
    <row r="530" s="117" customFormat="1" ht="33.95" hidden="1" customHeight="1" outlineLevel="5" spans="2:66">
      <c r="B530" s="118" t="s">
        <v>799</v>
      </c>
      <c r="C530" s="119" t="s">
        <v>2042</v>
      </c>
      <c r="D530" s="117" t="s">
        <v>2043</v>
      </c>
      <c r="E530" s="118" t="s">
        <v>2044</v>
      </c>
      <c r="F530" s="118" t="s">
        <v>1625</v>
      </c>
      <c r="G530" s="118" t="s">
        <v>943</v>
      </c>
      <c r="H530" s="118">
        <f t="shared" si="939"/>
        <v>0</v>
      </c>
      <c r="I530" s="118" t="s">
        <v>1242</v>
      </c>
      <c r="J530" s="298"/>
      <c r="K530" s="118" t="s">
        <v>1396</v>
      </c>
      <c r="L530" s="118">
        <v>36</v>
      </c>
      <c r="M530" s="118" t="s">
        <v>1675</v>
      </c>
      <c r="N530" s="118">
        <f t="shared" si="940"/>
        <v>0</v>
      </c>
      <c r="O530" s="298"/>
      <c r="P530" s="298"/>
      <c r="Q530" s="298"/>
      <c r="R530" s="298"/>
      <c r="S530" s="298"/>
      <c r="T530" s="298"/>
      <c r="U530" s="298"/>
      <c r="V530" s="298"/>
      <c r="W530" s="298"/>
      <c r="X530" s="298"/>
      <c r="Y530" s="298"/>
      <c r="Z530" s="298"/>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6"/>
      <c r="BM530" s="311"/>
      <c r="BN530" s="314"/>
    </row>
    <row r="531" s="117" customFormat="1" ht="33.95" hidden="1" customHeight="1" outlineLevel="5" spans="2:66">
      <c r="B531" s="118" t="s">
        <v>799</v>
      </c>
      <c r="C531" s="119" t="s">
        <v>2045</v>
      </c>
      <c r="D531" s="117" t="s">
        <v>2046</v>
      </c>
      <c r="E531" s="118" t="s">
        <v>2047</v>
      </c>
      <c r="F531" s="118" t="s">
        <v>1625</v>
      </c>
      <c r="G531" s="118" t="s">
        <v>943</v>
      </c>
      <c r="H531" s="118">
        <f t="shared" si="939"/>
        <v>0</v>
      </c>
      <c r="I531" s="118" t="s">
        <v>1242</v>
      </c>
      <c r="J531" s="298"/>
      <c r="K531" s="118" t="s">
        <v>2026</v>
      </c>
      <c r="L531" s="118">
        <v>4.3</v>
      </c>
      <c r="M531" s="118" t="s">
        <v>1805</v>
      </c>
      <c r="N531" s="118">
        <f t="shared" si="940"/>
        <v>0</v>
      </c>
      <c r="O531" s="298"/>
      <c r="P531" s="298"/>
      <c r="Q531" s="298"/>
      <c r="R531" s="298"/>
      <c r="S531" s="298"/>
      <c r="T531" s="298"/>
      <c r="U531" s="298"/>
      <c r="V531" s="298"/>
      <c r="W531" s="298"/>
      <c r="X531" s="298"/>
      <c r="Y531" s="298"/>
      <c r="Z531" s="298"/>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6"/>
      <c r="BM531" s="311"/>
      <c r="BN531" s="314"/>
    </row>
    <row r="532" s="117" customFormat="1" ht="33.95" hidden="1" customHeight="1" outlineLevel="5" spans="2:66">
      <c r="B532" s="118" t="s">
        <v>799</v>
      </c>
      <c r="C532" s="119" t="s">
        <v>2048</v>
      </c>
      <c r="D532" s="117" t="s">
        <v>2049</v>
      </c>
      <c r="E532" s="118" t="s">
        <v>2050</v>
      </c>
      <c r="F532" s="118" t="s">
        <v>1625</v>
      </c>
      <c r="G532" s="118" t="s">
        <v>943</v>
      </c>
      <c r="H532" s="118">
        <f t="shared" si="939"/>
        <v>0</v>
      </c>
      <c r="I532" s="118" t="s">
        <v>1242</v>
      </c>
      <c r="J532" s="298"/>
      <c r="K532" s="118" t="s">
        <v>1396</v>
      </c>
      <c r="L532" s="118">
        <v>52</v>
      </c>
      <c r="M532" s="118" t="s">
        <v>1675</v>
      </c>
      <c r="N532" s="118">
        <f t="shared" si="940"/>
        <v>0</v>
      </c>
      <c r="O532" s="298"/>
      <c r="P532" s="298"/>
      <c r="Q532" s="298"/>
      <c r="R532" s="298"/>
      <c r="S532" s="298"/>
      <c r="T532" s="298"/>
      <c r="U532" s="298"/>
      <c r="V532" s="298"/>
      <c r="W532" s="298"/>
      <c r="X532" s="298"/>
      <c r="Y532" s="298"/>
      <c r="Z532" s="298"/>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6"/>
      <c r="BM532" s="311"/>
      <c r="BN532" s="314"/>
    </row>
    <row r="533" s="117" customFormat="1" ht="33.95" hidden="1" customHeight="1" outlineLevel="5" spans="2:66">
      <c r="B533" s="118" t="s">
        <v>799</v>
      </c>
      <c r="C533" s="119" t="s">
        <v>2051</v>
      </c>
      <c r="D533" s="117" t="s">
        <v>2052</v>
      </c>
      <c r="E533" s="118"/>
      <c r="F533" s="118" t="s">
        <v>1625</v>
      </c>
      <c r="G533" s="118" t="s">
        <v>943</v>
      </c>
      <c r="H533" s="118">
        <f t="shared" si="939"/>
        <v>0</v>
      </c>
      <c r="I533" s="118" t="s">
        <v>1242</v>
      </c>
      <c r="J533" s="298"/>
      <c r="K533" s="118" t="s">
        <v>1396</v>
      </c>
      <c r="L533" s="118">
        <v>350</v>
      </c>
      <c r="M533" s="118" t="s">
        <v>1675</v>
      </c>
      <c r="N533" s="118">
        <f t="shared" si="940"/>
        <v>0</v>
      </c>
      <c r="O533" s="298"/>
      <c r="P533" s="298"/>
      <c r="Q533" s="298"/>
      <c r="R533" s="298"/>
      <c r="S533" s="298"/>
      <c r="T533" s="298"/>
      <c r="U533" s="298"/>
      <c r="V533" s="298"/>
      <c r="W533" s="298"/>
      <c r="X533" s="298"/>
      <c r="Y533" s="298"/>
      <c r="Z533" s="298"/>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6"/>
      <c r="BM533" s="311"/>
      <c r="BN533" s="314"/>
    </row>
    <row r="534" s="117" customFormat="1" ht="33.95" hidden="1" customHeight="1" outlineLevel="5" spans="2:66">
      <c r="B534" s="118" t="s">
        <v>799</v>
      </c>
      <c r="C534" s="119" t="s">
        <v>2053</v>
      </c>
      <c r="D534" s="117" t="s">
        <v>2054</v>
      </c>
      <c r="E534" s="118" t="s">
        <v>2055</v>
      </c>
      <c r="F534" s="118" t="s">
        <v>1625</v>
      </c>
      <c r="G534" s="118" t="s">
        <v>943</v>
      </c>
      <c r="H534" s="118">
        <f t="shared" si="939"/>
        <v>0</v>
      </c>
      <c r="I534" s="118" t="s">
        <v>1242</v>
      </c>
      <c r="J534" s="298"/>
      <c r="K534" s="118" t="s">
        <v>1396</v>
      </c>
      <c r="L534" s="118">
        <v>75</v>
      </c>
      <c r="M534" s="118" t="s">
        <v>1675</v>
      </c>
      <c r="N534" s="118">
        <f t="shared" si="940"/>
        <v>0</v>
      </c>
      <c r="O534" s="298"/>
      <c r="P534" s="298"/>
      <c r="Q534" s="298"/>
      <c r="R534" s="298"/>
      <c r="S534" s="298"/>
      <c r="T534" s="298"/>
      <c r="U534" s="298"/>
      <c r="V534" s="298"/>
      <c r="W534" s="298"/>
      <c r="X534" s="298"/>
      <c r="Y534" s="298"/>
      <c r="Z534" s="298"/>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6"/>
      <c r="BM534" s="311"/>
      <c r="BN534" s="314"/>
    </row>
    <row r="535" s="117" customFormat="1" ht="33.95" hidden="1" customHeight="1" outlineLevel="5" spans="2:66">
      <c r="B535" s="118" t="s">
        <v>799</v>
      </c>
      <c r="C535" s="119" t="s">
        <v>2056</v>
      </c>
      <c r="D535" s="117" t="s">
        <v>2057</v>
      </c>
      <c r="E535" s="118" t="s">
        <v>2058</v>
      </c>
      <c r="F535" s="118" t="s">
        <v>1625</v>
      </c>
      <c r="G535" s="118" t="s">
        <v>943</v>
      </c>
      <c r="H535" s="118">
        <f t="shared" si="939"/>
        <v>0</v>
      </c>
      <c r="I535" s="118" t="s">
        <v>1242</v>
      </c>
      <c r="J535" s="298"/>
      <c r="K535" s="118" t="s">
        <v>1396</v>
      </c>
      <c r="L535" s="118">
        <v>48</v>
      </c>
      <c r="M535" s="118" t="s">
        <v>1675</v>
      </c>
      <c r="N535" s="118">
        <f t="shared" si="940"/>
        <v>0</v>
      </c>
      <c r="O535" s="298"/>
      <c r="P535" s="298"/>
      <c r="Q535" s="298"/>
      <c r="R535" s="298"/>
      <c r="S535" s="298"/>
      <c r="T535" s="298"/>
      <c r="U535" s="298"/>
      <c r="V535" s="298"/>
      <c r="W535" s="298"/>
      <c r="X535" s="298"/>
      <c r="Y535" s="298"/>
      <c r="Z535" s="298"/>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6"/>
      <c r="BM535" s="311"/>
      <c r="BN535" s="314"/>
    </row>
    <row r="536" s="117" customFormat="1" ht="33.95" hidden="1" customHeight="1" outlineLevel="5" spans="2:66">
      <c r="B536" s="118" t="s">
        <v>799</v>
      </c>
      <c r="C536" s="119" t="s">
        <v>2059</v>
      </c>
      <c r="D536" s="117" t="s">
        <v>2060</v>
      </c>
      <c r="E536" s="118"/>
      <c r="F536" s="118" t="s">
        <v>1625</v>
      </c>
      <c r="G536" s="118" t="s">
        <v>943</v>
      </c>
      <c r="H536" s="118">
        <f t="shared" si="939"/>
        <v>0</v>
      </c>
      <c r="I536" s="118" t="s">
        <v>1242</v>
      </c>
      <c r="J536" s="298"/>
      <c r="K536" s="118" t="s">
        <v>1396</v>
      </c>
      <c r="L536" s="118">
        <v>20</v>
      </c>
      <c r="M536" s="118" t="s">
        <v>1675</v>
      </c>
      <c r="N536" s="118">
        <f t="shared" si="940"/>
        <v>0</v>
      </c>
      <c r="O536" s="298"/>
      <c r="P536" s="298"/>
      <c r="Q536" s="298"/>
      <c r="R536" s="298"/>
      <c r="S536" s="298"/>
      <c r="T536" s="298"/>
      <c r="U536" s="298"/>
      <c r="V536" s="298"/>
      <c r="W536" s="298"/>
      <c r="X536" s="298"/>
      <c r="Y536" s="298"/>
      <c r="Z536" s="298"/>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6"/>
      <c r="BM536" s="311"/>
      <c r="BN536" s="314"/>
    </row>
    <row r="537" s="117" customFormat="1" ht="33.95" hidden="1" customHeight="1" outlineLevel="5" spans="2:66">
      <c r="B537" s="118" t="s">
        <v>799</v>
      </c>
      <c r="C537" s="119" t="s">
        <v>2061</v>
      </c>
      <c r="D537" s="117" t="s">
        <v>2062</v>
      </c>
      <c r="E537" s="118" t="s">
        <v>2063</v>
      </c>
      <c r="F537" s="118" t="s">
        <v>1625</v>
      </c>
      <c r="G537" s="118" t="s">
        <v>943</v>
      </c>
      <c r="H537" s="118">
        <f t="shared" si="939"/>
        <v>0</v>
      </c>
      <c r="I537" s="118" t="s">
        <v>1242</v>
      </c>
      <c r="J537" s="298"/>
      <c r="K537" s="118" t="s">
        <v>1396</v>
      </c>
      <c r="L537" s="118">
        <v>590</v>
      </c>
      <c r="M537" s="118" t="s">
        <v>1675</v>
      </c>
      <c r="N537" s="118">
        <f t="shared" si="940"/>
        <v>0</v>
      </c>
      <c r="O537" s="298"/>
      <c r="P537" s="298"/>
      <c r="Q537" s="298"/>
      <c r="R537" s="298"/>
      <c r="S537" s="298"/>
      <c r="T537" s="298"/>
      <c r="U537" s="298"/>
      <c r="V537" s="298"/>
      <c r="W537" s="298"/>
      <c r="X537" s="298"/>
      <c r="Y537" s="298"/>
      <c r="Z537" s="298"/>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6"/>
      <c r="BM537" s="311"/>
      <c r="BN537" s="314"/>
    </row>
    <row r="538" s="117" customFormat="1" ht="33.95" hidden="1" customHeight="1" outlineLevel="5" spans="2:66">
      <c r="B538" s="118" t="s">
        <v>799</v>
      </c>
      <c r="C538" s="119" t="s">
        <v>2064</v>
      </c>
      <c r="D538" s="117" t="s">
        <v>2065</v>
      </c>
      <c r="E538" s="118" t="s">
        <v>2066</v>
      </c>
      <c r="F538" s="118" t="s">
        <v>1625</v>
      </c>
      <c r="G538" s="118" t="s">
        <v>943</v>
      </c>
      <c r="H538" s="118">
        <f t="shared" si="939"/>
        <v>0</v>
      </c>
      <c r="I538" s="118" t="s">
        <v>1242</v>
      </c>
      <c r="J538" s="298"/>
      <c r="K538" s="118" t="s">
        <v>1396</v>
      </c>
      <c r="L538" s="118">
        <v>7000</v>
      </c>
      <c r="M538" s="118" t="s">
        <v>1675</v>
      </c>
      <c r="N538" s="118">
        <f t="shared" si="940"/>
        <v>0</v>
      </c>
      <c r="O538" s="298"/>
      <c r="P538" s="298"/>
      <c r="Q538" s="298"/>
      <c r="R538" s="298"/>
      <c r="S538" s="298"/>
      <c r="T538" s="298"/>
      <c r="U538" s="298"/>
      <c r="V538" s="298"/>
      <c r="W538" s="298"/>
      <c r="X538" s="298"/>
      <c r="Y538" s="298"/>
      <c r="Z538" s="298"/>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6"/>
      <c r="BM538" s="311"/>
      <c r="BN538" s="314"/>
    </row>
    <row r="539" s="117" customFormat="1" ht="33.95" hidden="1" customHeight="1" outlineLevel="5" spans="2:66">
      <c r="B539" s="118" t="s">
        <v>799</v>
      </c>
      <c r="C539" s="119" t="s">
        <v>2067</v>
      </c>
      <c r="D539" s="117" t="s">
        <v>2068</v>
      </c>
      <c r="E539" s="118" t="s">
        <v>2069</v>
      </c>
      <c r="F539" s="118" t="s">
        <v>1625</v>
      </c>
      <c r="G539" s="118" t="s">
        <v>943</v>
      </c>
      <c r="H539" s="118">
        <f t="shared" si="939"/>
        <v>0</v>
      </c>
      <c r="I539" s="118" t="s">
        <v>1242</v>
      </c>
      <c r="J539" s="298"/>
      <c r="K539" s="118" t="s">
        <v>1949</v>
      </c>
      <c r="L539" s="118">
        <v>783</v>
      </c>
      <c r="M539" s="118" t="s">
        <v>1950</v>
      </c>
      <c r="N539" s="118">
        <f t="shared" si="940"/>
        <v>0</v>
      </c>
      <c r="O539" s="316"/>
      <c r="P539" s="316"/>
      <c r="Q539" s="316"/>
      <c r="R539" s="316"/>
      <c r="S539" s="316"/>
      <c r="T539" s="316"/>
      <c r="U539" s="316"/>
      <c r="V539" s="316"/>
      <c r="W539" s="316"/>
      <c r="X539" s="316"/>
      <c r="Y539" s="316"/>
      <c r="Z539" s="316"/>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6"/>
      <c r="BM539" s="311"/>
      <c r="BN539" s="314"/>
    </row>
    <row r="540" s="29" customFormat="1" ht="33.95" hidden="1" customHeight="1" outlineLevel="2" collapsed="1" spans="2:66">
      <c r="B540" s="111" t="s">
        <v>794</v>
      </c>
      <c r="C540" s="112" t="s">
        <v>2070</v>
      </c>
      <c r="D540" s="29" t="s">
        <v>2071</v>
      </c>
      <c r="E540" s="111"/>
      <c r="F540" s="111"/>
      <c r="G540" s="111"/>
      <c r="H540" s="111">
        <f>H541+H552+H570+H581</f>
        <v>0</v>
      </c>
      <c r="I540" s="111"/>
      <c r="J540" s="111"/>
      <c r="K540" s="111"/>
      <c r="L540" s="111"/>
      <c r="M540" s="111"/>
      <c r="N540" s="304"/>
      <c r="O540" s="287"/>
      <c r="P540" s="287"/>
      <c r="Q540" s="287"/>
      <c r="R540" s="287"/>
      <c r="S540" s="287"/>
      <c r="T540" s="287"/>
      <c r="U540" s="287"/>
      <c r="V540" s="287"/>
      <c r="W540" s="287"/>
      <c r="X540" s="287"/>
      <c r="Y540" s="287"/>
      <c r="Z540" s="287"/>
      <c r="AA540" s="287"/>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4"/>
      <c r="BM540" s="311"/>
      <c r="BN540" s="312"/>
    </row>
    <row r="541" s="48" customFormat="1" ht="33.95" hidden="1" customHeight="1" outlineLevel="3" collapsed="1" spans="2:66">
      <c r="B541" s="114" t="s">
        <v>794</v>
      </c>
      <c r="C541" s="115" t="s">
        <v>2072</v>
      </c>
      <c r="D541" s="48" t="s">
        <v>2073</v>
      </c>
      <c r="E541" s="114"/>
      <c r="F541" s="114"/>
      <c r="G541" s="114"/>
      <c r="H541" s="114">
        <f>SUM(H542:H551)</f>
        <v>0</v>
      </c>
      <c r="I541" s="114"/>
      <c r="J541" s="114"/>
      <c r="K541" s="114"/>
      <c r="L541" s="114"/>
      <c r="M541" s="114"/>
      <c r="N541" s="305"/>
      <c r="O541" s="288"/>
      <c r="P541" s="288"/>
      <c r="Q541" s="288"/>
      <c r="R541" s="288"/>
      <c r="S541" s="288"/>
      <c r="T541" s="288"/>
      <c r="U541" s="288"/>
      <c r="V541" s="288"/>
      <c r="W541" s="288"/>
      <c r="X541" s="288"/>
      <c r="Y541" s="288"/>
      <c r="Z541" s="288"/>
      <c r="AA541" s="288"/>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5"/>
      <c r="BM541" s="311"/>
      <c r="BN541" s="313"/>
    </row>
    <row r="542" s="117" customFormat="1" ht="33.95" hidden="1" customHeight="1" outlineLevel="5" spans="2:66">
      <c r="B542" s="118" t="s">
        <v>799</v>
      </c>
      <c r="C542" s="119" t="s">
        <v>2074</v>
      </c>
      <c r="D542" s="117" t="s">
        <v>2075</v>
      </c>
      <c r="E542" s="118" t="s">
        <v>2076</v>
      </c>
      <c r="F542" s="118" t="s">
        <v>1625</v>
      </c>
      <c r="G542" s="118" t="s">
        <v>943</v>
      </c>
      <c r="H542" s="118">
        <f t="shared" ref="H542:H551" si="956">J542*L542</f>
        <v>0</v>
      </c>
      <c r="I542" s="118" t="s">
        <v>1242</v>
      </c>
      <c r="J542" s="298"/>
      <c r="K542" s="118" t="s">
        <v>1982</v>
      </c>
      <c r="L542" s="118">
        <v>280</v>
      </c>
      <c r="M542" s="118" t="s">
        <v>1983</v>
      </c>
      <c r="N542" s="118">
        <f t="shared" ref="N542:N551" si="957">COUNTA(O542:Z542)</f>
        <v>0</v>
      </c>
      <c r="O542" s="317"/>
      <c r="P542" s="317"/>
      <c r="Q542" s="317"/>
      <c r="R542" s="317"/>
      <c r="S542" s="317"/>
      <c r="T542" s="317"/>
      <c r="U542" s="317"/>
      <c r="V542" s="317"/>
      <c r="W542" s="317"/>
      <c r="X542" s="317"/>
      <c r="Y542" s="317"/>
      <c r="Z542" s="317"/>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6"/>
      <c r="BM542" s="311"/>
      <c r="BN542" s="314"/>
    </row>
    <row r="543" s="117" customFormat="1" ht="33.95" hidden="1" customHeight="1" outlineLevel="5" spans="2:66">
      <c r="B543" s="118" t="s">
        <v>799</v>
      </c>
      <c r="C543" s="119" t="s">
        <v>2077</v>
      </c>
      <c r="D543" s="117" t="s">
        <v>2078</v>
      </c>
      <c r="E543" s="118" t="s">
        <v>2079</v>
      </c>
      <c r="F543" s="118" t="s">
        <v>1625</v>
      </c>
      <c r="G543" s="118" t="s">
        <v>943</v>
      </c>
      <c r="H543" s="118">
        <f t="shared" si="956"/>
        <v>0</v>
      </c>
      <c r="I543" s="118" t="s">
        <v>1242</v>
      </c>
      <c r="J543" s="298"/>
      <c r="K543" s="118" t="s">
        <v>1396</v>
      </c>
      <c r="L543" s="118">
        <v>252</v>
      </c>
      <c r="M543" s="118" t="s">
        <v>1675</v>
      </c>
      <c r="N543" s="118">
        <f t="shared" si="957"/>
        <v>0</v>
      </c>
      <c r="O543" s="298"/>
      <c r="P543" s="298"/>
      <c r="Q543" s="298"/>
      <c r="R543" s="298"/>
      <c r="S543" s="298"/>
      <c r="T543" s="298"/>
      <c r="U543" s="298"/>
      <c r="V543" s="298"/>
      <c r="W543" s="298"/>
      <c r="X543" s="298"/>
      <c r="Y543" s="298"/>
      <c r="Z543" s="298"/>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6"/>
      <c r="BM543" s="311"/>
      <c r="BN543" s="314"/>
    </row>
    <row r="544" s="117" customFormat="1" ht="33.95" hidden="1" customHeight="1" outlineLevel="5" spans="2:66">
      <c r="B544" s="118" t="s">
        <v>799</v>
      </c>
      <c r="C544" s="119" t="s">
        <v>2080</v>
      </c>
      <c r="D544" s="117" t="s">
        <v>1784</v>
      </c>
      <c r="E544" s="118"/>
      <c r="F544" s="118" t="s">
        <v>1625</v>
      </c>
      <c r="G544" s="118" t="s">
        <v>943</v>
      </c>
      <c r="H544" s="118">
        <f t="shared" si="956"/>
        <v>0</v>
      </c>
      <c r="I544" s="118" t="s">
        <v>1242</v>
      </c>
      <c r="J544" s="298"/>
      <c r="K544" s="118" t="s">
        <v>1982</v>
      </c>
      <c r="L544" s="118">
        <v>7000</v>
      </c>
      <c r="M544" s="118" t="s">
        <v>1983</v>
      </c>
      <c r="N544" s="118">
        <f t="shared" si="957"/>
        <v>0</v>
      </c>
      <c r="O544" s="298"/>
      <c r="P544" s="298"/>
      <c r="Q544" s="298"/>
      <c r="R544" s="298"/>
      <c r="S544" s="298"/>
      <c r="T544" s="298"/>
      <c r="U544" s="298"/>
      <c r="V544" s="298"/>
      <c r="W544" s="298"/>
      <c r="X544" s="298"/>
      <c r="Y544" s="298"/>
      <c r="Z544" s="298"/>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6"/>
      <c r="BM544" s="311"/>
      <c r="BN544" s="314"/>
    </row>
    <row r="545" s="117" customFormat="1" ht="33.95" hidden="1" customHeight="1" outlineLevel="5" spans="2:66">
      <c r="B545" s="118" t="s">
        <v>799</v>
      </c>
      <c r="C545" s="119" t="s">
        <v>2081</v>
      </c>
      <c r="D545" s="117" t="s">
        <v>2082</v>
      </c>
      <c r="E545" s="118"/>
      <c r="F545" s="118" t="s">
        <v>1625</v>
      </c>
      <c r="G545" s="118" t="s">
        <v>943</v>
      </c>
      <c r="H545" s="118">
        <f t="shared" si="956"/>
        <v>0</v>
      </c>
      <c r="I545" s="118" t="s">
        <v>1242</v>
      </c>
      <c r="J545" s="298"/>
      <c r="K545" s="118" t="s">
        <v>1150</v>
      </c>
      <c r="L545" s="118">
        <v>36500</v>
      </c>
      <c r="M545" s="118" t="s">
        <v>1770</v>
      </c>
      <c r="N545" s="118">
        <f t="shared" si="957"/>
        <v>0</v>
      </c>
      <c r="O545" s="298"/>
      <c r="P545" s="298"/>
      <c r="Q545" s="298"/>
      <c r="R545" s="298"/>
      <c r="S545" s="298"/>
      <c r="T545" s="298"/>
      <c r="U545" s="298"/>
      <c r="V545" s="298"/>
      <c r="W545" s="298"/>
      <c r="X545" s="298"/>
      <c r="Y545" s="298"/>
      <c r="Z545" s="298"/>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6"/>
      <c r="BM545" s="311"/>
      <c r="BN545" s="314"/>
    </row>
    <row r="546" s="117" customFormat="1" ht="33.95" hidden="1" customHeight="1" outlineLevel="5" spans="2:66">
      <c r="B546" s="118" t="s">
        <v>799</v>
      </c>
      <c r="C546" s="119" t="s">
        <v>2083</v>
      </c>
      <c r="D546" s="117" t="s">
        <v>2084</v>
      </c>
      <c r="E546" s="118"/>
      <c r="F546" s="118" t="s">
        <v>1625</v>
      </c>
      <c r="G546" s="118" t="s">
        <v>943</v>
      </c>
      <c r="H546" s="118">
        <f t="shared" si="956"/>
        <v>0</v>
      </c>
      <c r="I546" s="118" t="s">
        <v>1242</v>
      </c>
      <c r="J546" s="298"/>
      <c r="K546" s="118" t="s">
        <v>1150</v>
      </c>
      <c r="L546" s="118">
        <v>1400</v>
      </c>
      <c r="M546" s="118" t="s">
        <v>1770</v>
      </c>
      <c r="N546" s="118">
        <f t="shared" si="957"/>
        <v>0</v>
      </c>
      <c r="O546" s="298"/>
      <c r="P546" s="298"/>
      <c r="Q546" s="298"/>
      <c r="R546" s="298"/>
      <c r="S546" s="298"/>
      <c r="T546" s="298"/>
      <c r="U546" s="298"/>
      <c r="V546" s="298"/>
      <c r="W546" s="298"/>
      <c r="X546" s="298"/>
      <c r="Y546" s="298"/>
      <c r="Z546" s="298"/>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6"/>
      <c r="BM546" s="311"/>
      <c r="BN546" s="314"/>
    </row>
    <row r="547" s="117" customFormat="1" ht="33.95" hidden="1" customHeight="1" outlineLevel="5" spans="2:66">
      <c r="B547" s="118" t="s">
        <v>799</v>
      </c>
      <c r="C547" s="119" t="s">
        <v>2085</v>
      </c>
      <c r="D547" s="117" t="s">
        <v>2086</v>
      </c>
      <c r="E547" s="118"/>
      <c r="F547" s="118" t="s">
        <v>1625</v>
      </c>
      <c r="G547" s="118" t="s">
        <v>943</v>
      </c>
      <c r="H547" s="118">
        <f t="shared" si="956"/>
        <v>0</v>
      </c>
      <c r="I547" s="118" t="s">
        <v>1242</v>
      </c>
      <c r="J547" s="298"/>
      <c r="K547" s="118" t="s">
        <v>1150</v>
      </c>
      <c r="L547" s="118">
        <v>2277.92857142857</v>
      </c>
      <c r="M547" s="118" t="s">
        <v>1770</v>
      </c>
      <c r="N547" s="118">
        <f t="shared" si="957"/>
        <v>0</v>
      </c>
      <c r="O547" s="298"/>
      <c r="P547" s="298"/>
      <c r="Q547" s="298"/>
      <c r="R547" s="298"/>
      <c r="S547" s="298"/>
      <c r="T547" s="298"/>
      <c r="U547" s="298"/>
      <c r="V547" s="298"/>
      <c r="W547" s="298"/>
      <c r="X547" s="298"/>
      <c r="Y547" s="298"/>
      <c r="Z547" s="298"/>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6"/>
      <c r="BM547" s="311"/>
      <c r="BN547" s="314"/>
    </row>
    <row r="548" s="117" customFormat="1" ht="33.95" hidden="1" customHeight="1" outlineLevel="5" spans="2:66">
      <c r="B548" s="118" t="s">
        <v>799</v>
      </c>
      <c r="C548" s="119" t="s">
        <v>2087</v>
      </c>
      <c r="D548" s="117" t="s">
        <v>2088</v>
      </c>
      <c r="E548" s="118"/>
      <c r="F548" s="118" t="s">
        <v>1625</v>
      </c>
      <c r="G548" s="118" t="s">
        <v>943</v>
      </c>
      <c r="H548" s="118">
        <f t="shared" si="956"/>
        <v>0</v>
      </c>
      <c r="I548" s="118" t="s">
        <v>1242</v>
      </c>
      <c r="J548" s="298"/>
      <c r="K548" s="118" t="s">
        <v>1150</v>
      </c>
      <c r="L548" s="118">
        <v>2634.13508090615</v>
      </c>
      <c r="M548" s="118" t="s">
        <v>1770</v>
      </c>
      <c r="N548" s="118">
        <f t="shared" si="957"/>
        <v>0</v>
      </c>
      <c r="O548" s="298"/>
      <c r="P548" s="298"/>
      <c r="Q548" s="298"/>
      <c r="R548" s="298"/>
      <c r="S548" s="298"/>
      <c r="T548" s="298"/>
      <c r="U548" s="298"/>
      <c r="V548" s="298"/>
      <c r="W548" s="298"/>
      <c r="X548" s="298"/>
      <c r="Y548" s="298"/>
      <c r="Z548" s="298"/>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6"/>
      <c r="BM548" s="311"/>
      <c r="BN548" s="314"/>
    </row>
    <row r="549" s="117" customFormat="1" ht="33.95" hidden="1" customHeight="1" outlineLevel="5" spans="2:66">
      <c r="B549" s="118" t="s">
        <v>799</v>
      </c>
      <c r="C549" s="119" t="s">
        <v>2089</v>
      </c>
      <c r="D549" s="117" t="s">
        <v>2090</v>
      </c>
      <c r="E549" s="118"/>
      <c r="F549" s="118" t="s">
        <v>1625</v>
      </c>
      <c r="G549" s="118" t="s">
        <v>943</v>
      </c>
      <c r="H549" s="118">
        <f t="shared" si="956"/>
        <v>0</v>
      </c>
      <c r="I549" s="118" t="s">
        <v>1242</v>
      </c>
      <c r="J549" s="298"/>
      <c r="K549" s="118" t="s">
        <v>1150</v>
      </c>
      <c r="L549" s="118">
        <v>88.4446601941746</v>
      </c>
      <c r="M549" s="118" t="s">
        <v>1770</v>
      </c>
      <c r="N549" s="118">
        <f t="shared" si="957"/>
        <v>0</v>
      </c>
      <c r="O549" s="298"/>
      <c r="P549" s="298"/>
      <c r="Q549" s="298"/>
      <c r="R549" s="298"/>
      <c r="S549" s="298"/>
      <c r="T549" s="298"/>
      <c r="U549" s="298"/>
      <c r="V549" s="298"/>
      <c r="W549" s="298"/>
      <c r="X549" s="298"/>
      <c r="Y549" s="298"/>
      <c r="Z549" s="298"/>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6"/>
      <c r="BM549" s="311"/>
      <c r="BN549" s="314"/>
    </row>
    <row r="550" s="117" customFormat="1" ht="33.95" hidden="1" customHeight="1" outlineLevel="5" spans="2:66">
      <c r="B550" s="118" t="s">
        <v>799</v>
      </c>
      <c r="C550" s="119" t="s">
        <v>2091</v>
      </c>
      <c r="D550" s="117" t="s">
        <v>2092</v>
      </c>
      <c r="E550" s="118"/>
      <c r="F550" s="118" t="s">
        <v>1625</v>
      </c>
      <c r="G550" s="118" t="s">
        <v>943</v>
      </c>
      <c r="H550" s="118">
        <f t="shared" si="956"/>
        <v>0</v>
      </c>
      <c r="I550" s="118" t="s">
        <v>1242</v>
      </c>
      <c r="J550" s="298"/>
      <c r="K550" s="118" t="s">
        <v>1150</v>
      </c>
      <c r="L550" s="118">
        <v>4754.2</v>
      </c>
      <c r="M550" s="118" t="s">
        <v>1770</v>
      </c>
      <c r="N550" s="118">
        <f t="shared" si="957"/>
        <v>0</v>
      </c>
      <c r="O550" s="298"/>
      <c r="P550" s="298"/>
      <c r="Q550" s="298"/>
      <c r="R550" s="298"/>
      <c r="S550" s="298"/>
      <c r="T550" s="298"/>
      <c r="U550" s="298"/>
      <c r="V550" s="298"/>
      <c r="W550" s="298"/>
      <c r="X550" s="298"/>
      <c r="Y550" s="298"/>
      <c r="Z550" s="298"/>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6"/>
      <c r="BM550" s="311"/>
      <c r="BN550" s="314"/>
    </row>
    <row r="551" s="117" customFormat="1" ht="33.95" hidden="1" customHeight="1" outlineLevel="5" spans="2:66">
      <c r="B551" s="118" t="s">
        <v>799</v>
      </c>
      <c r="C551" s="119" t="s">
        <v>2093</v>
      </c>
      <c r="D551" s="117" t="s">
        <v>2094</v>
      </c>
      <c r="E551" s="118"/>
      <c r="F551" s="118" t="s">
        <v>1625</v>
      </c>
      <c r="G551" s="118" t="s">
        <v>943</v>
      </c>
      <c r="H551" s="118">
        <f t="shared" si="956"/>
        <v>0</v>
      </c>
      <c r="I551" s="118" t="s">
        <v>1242</v>
      </c>
      <c r="J551" s="298"/>
      <c r="K551" s="118" t="s">
        <v>1150</v>
      </c>
      <c r="L551" s="118">
        <v>6363.33333333333</v>
      </c>
      <c r="M551" s="118" t="s">
        <v>1770</v>
      </c>
      <c r="N551" s="118">
        <f t="shared" si="957"/>
        <v>0</v>
      </c>
      <c r="O551" s="316"/>
      <c r="P551" s="316"/>
      <c r="Q551" s="316"/>
      <c r="R551" s="316"/>
      <c r="S551" s="316"/>
      <c r="T551" s="316"/>
      <c r="U551" s="316"/>
      <c r="V551" s="316"/>
      <c r="W551" s="316"/>
      <c r="X551" s="316"/>
      <c r="Y551" s="316"/>
      <c r="Z551" s="316"/>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6"/>
      <c r="BM551" s="311"/>
      <c r="BN551" s="314"/>
    </row>
    <row r="552" s="48" customFormat="1" ht="33.95" hidden="1" customHeight="1" outlineLevel="3" collapsed="1" spans="2:66">
      <c r="B552" s="114" t="s">
        <v>794</v>
      </c>
      <c r="C552" s="115" t="s">
        <v>2095</v>
      </c>
      <c r="D552" s="48" t="s">
        <v>2096</v>
      </c>
      <c r="E552" s="114"/>
      <c r="F552" s="114"/>
      <c r="G552" s="114"/>
      <c r="H552" s="114">
        <f>SUM(H553:H569)</f>
        <v>0</v>
      </c>
      <c r="I552" s="114"/>
      <c r="J552" s="114"/>
      <c r="K552" s="114"/>
      <c r="L552" s="114"/>
      <c r="M552" s="114"/>
      <c r="N552" s="305"/>
      <c r="O552" s="288"/>
      <c r="P552" s="288"/>
      <c r="Q552" s="288"/>
      <c r="R552" s="288"/>
      <c r="S552" s="288"/>
      <c r="T552" s="288"/>
      <c r="U552" s="288"/>
      <c r="V552" s="288"/>
      <c r="W552" s="288"/>
      <c r="X552" s="288"/>
      <c r="Y552" s="288"/>
      <c r="Z552" s="288"/>
      <c r="AA552" s="288"/>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5"/>
      <c r="BM552" s="311"/>
      <c r="BN552" s="313"/>
    </row>
    <row r="553" s="117" customFormat="1" ht="33.95" hidden="1" customHeight="1" outlineLevel="5" spans="2:66">
      <c r="B553" s="118" t="s">
        <v>799</v>
      </c>
      <c r="C553" s="119" t="s">
        <v>2097</v>
      </c>
      <c r="D553" s="117" t="s">
        <v>2098</v>
      </c>
      <c r="E553" s="118"/>
      <c r="F553" s="118" t="s">
        <v>1625</v>
      </c>
      <c r="G553" s="118" t="s">
        <v>943</v>
      </c>
      <c r="H553" s="118">
        <f t="shared" ref="H553:H569" si="972">J553*L553</f>
        <v>0</v>
      </c>
      <c r="I553" s="118" t="s">
        <v>1242</v>
      </c>
      <c r="J553" s="298"/>
      <c r="K553" s="118" t="s">
        <v>1150</v>
      </c>
      <c r="L553" s="118">
        <v>750</v>
      </c>
      <c r="M553" s="118" t="s">
        <v>1770</v>
      </c>
      <c r="N553" s="118">
        <f t="shared" ref="N553:N569" si="973">COUNTA(O553:Z553)</f>
        <v>0</v>
      </c>
      <c r="O553" s="317"/>
      <c r="P553" s="317"/>
      <c r="Q553" s="317"/>
      <c r="R553" s="317"/>
      <c r="S553" s="317"/>
      <c r="T553" s="317"/>
      <c r="U553" s="317"/>
      <c r="V553" s="317"/>
      <c r="W553" s="317"/>
      <c r="X553" s="317"/>
      <c r="Y553" s="317"/>
      <c r="Z553" s="317"/>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6"/>
      <c r="BM553" s="311"/>
      <c r="BN553" s="314"/>
    </row>
    <row r="554" s="117" customFormat="1" ht="33.95" hidden="1" customHeight="1" outlineLevel="5" spans="2:66">
      <c r="B554" s="118" t="s">
        <v>799</v>
      </c>
      <c r="C554" s="119" t="s">
        <v>2099</v>
      </c>
      <c r="D554" s="117" t="s">
        <v>2100</v>
      </c>
      <c r="E554" s="118"/>
      <c r="F554" s="118" t="s">
        <v>1625</v>
      </c>
      <c r="G554" s="118" t="s">
        <v>943</v>
      </c>
      <c r="H554" s="118">
        <f t="shared" si="972"/>
        <v>0</v>
      </c>
      <c r="I554" s="118" t="s">
        <v>1242</v>
      </c>
      <c r="J554" s="298"/>
      <c r="K554" s="118" t="s">
        <v>1150</v>
      </c>
      <c r="L554" s="118">
        <v>500</v>
      </c>
      <c r="M554" s="118" t="s">
        <v>1770</v>
      </c>
      <c r="N554" s="118">
        <f t="shared" si="973"/>
        <v>0</v>
      </c>
      <c r="O554" s="298"/>
      <c r="P554" s="298"/>
      <c r="Q554" s="298"/>
      <c r="R554" s="298"/>
      <c r="S554" s="298"/>
      <c r="T554" s="298"/>
      <c r="U554" s="298"/>
      <c r="V554" s="298"/>
      <c r="W554" s="298"/>
      <c r="X554" s="298"/>
      <c r="Y554" s="298"/>
      <c r="Z554" s="298"/>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6"/>
      <c r="BM554" s="311"/>
      <c r="BN554" s="314"/>
    </row>
    <row r="555" s="117" customFormat="1" ht="33.95" hidden="1" customHeight="1" outlineLevel="5" spans="2:66">
      <c r="B555" s="118" t="s">
        <v>799</v>
      </c>
      <c r="C555" s="119" t="s">
        <v>2101</v>
      </c>
      <c r="D555" s="117" t="s">
        <v>2102</v>
      </c>
      <c r="E555" s="118"/>
      <c r="F555" s="118" t="s">
        <v>1625</v>
      </c>
      <c r="G555" s="118" t="s">
        <v>943</v>
      </c>
      <c r="H555" s="118">
        <f t="shared" si="972"/>
        <v>0</v>
      </c>
      <c r="I555" s="118" t="s">
        <v>1242</v>
      </c>
      <c r="J555" s="298"/>
      <c r="K555" s="118" t="s">
        <v>2103</v>
      </c>
      <c r="L555" s="118">
        <v>6.3</v>
      </c>
      <c r="M555" s="118" t="s">
        <v>2104</v>
      </c>
      <c r="N555" s="118">
        <f t="shared" si="973"/>
        <v>0</v>
      </c>
      <c r="O555" s="298"/>
      <c r="P555" s="298"/>
      <c r="Q555" s="298"/>
      <c r="R555" s="298"/>
      <c r="S555" s="298"/>
      <c r="T555" s="298"/>
      <c r="U555" s="298"/>
      <c r="V555" s="298"/>
      <c r="W555" s="298"/>
      <c r="X555" s="298"/>
      <c r="Y555" s="298"/>
      <c r="Z555" s="298"/>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6"/>
      <c r="BM555" s="311"/>
      <c r="BN555" s="314"/>
    </row>
    <row r="556" s="117" customFormat="1" ht="33.95" hidden="1" customHeight="1" outlineLevel="5" spans="2:66">
      <c r="B556" s="118" t="s">
        <v>799</v>
      </c>
      <c r="C556" s="119" t="s">
        <v>2105</v>
      </c>
      <c r="D556" s="117" t="s">
        <v>2106</v>
      </c>
      <c r="E556" s="118"/>
      <c r="F556" s="118" t="s">
        <v>1625</v>
      </c>
      <c r="G556" s="118" t="s">
        <v>943</v>
      </c>
      <c r="H556" s="118">
        <f t="shared" si="972"/>
        <v>0</v>
      </c>
      <c r="I556" s="118" t="s">
        <v>1242</v>
      </c>
      <c r="J556" s="298"/>
      <c r="K556" s="118" t="s">
        <v>1150</v>
      </c>
      <c r="L556" s="118">
        <v>500</v>
      </c>
      <c r="M556" s="118" t="s">
        <v>1770</v>
      </c>
      <c r="N556" s="118">
        <f t="shared" si="973"/>
        <v>0</v>
      </c>
      <c r="O556" s="298"/>
      <c r="P556" s="298"/>
      <c r="Q556" s="298"/>
      <c r="R556" s="298"/>
      <c r="S556" s="298"/>
      <c r="T556" s="298"/>
      <c r="U556" s="298"/>
      <c r="V556" s="298"/>
      <c r="W556" s="298"/>
      <c r="X556" s="298"/>
      <c r="Y556" s="298"/>
      <c r="Z556" s="298"/>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6"/>
      <c r="BM556" s="311"/>
      <c r="BN556" s="314"/>
    </row>
    <row r="557" s="117" customFormat="1" ht="33.95" hidden="1" customHeight="1" outlineLevel="5" spans="2:66">
      <c r="B557" s="118" t="s">
        <v>799</v>
      </c>
      <c r="C557" s="119" t="s">
        <v>2107</v>
      </c>
      <c r="D557" s="117" t="s">
        <v>2108</v>
      </c>
      <c r="E557" s="118"/>
      <c r="F557" s="118" t="s">
        <v>1625</v>
      </c>
      <c r="G557" s="118" t="s">
        <v>943</v>
      </c>
      <c r="H557" s="118">
        <f t="shared" si="972"/>
        <v>0</v>
      </c>
      <c r="I557" s="118" t="s">
        <v>1242</v>
      </c>
      <c r="J557" s="298"/>
      <c r="K557" s="118" t="s">
        <v>1150</v>
      </c>
      <c r="L557" s="118">
        <v>1400</v>
      </c>
      <c r="M557" s="118" t="s">
        <v>1770</v>
      </c>
      <c r="N557" s="118">
        <f t="shared" si="973"/>
        <v>0</v>
      </c>
      <c r="O557" s="298"/>
      <c r="P557" s="298"/>
      <c r="Q557" s="298"/>
      <c r="R557" s="298"/>
      <c r="S557" s="298"/>
      <c r="T557" s="298"/>
      <c r="U557" s="298"/>
      <c r="V557" s="298"/>
      <c r="W557" s="298"/>
      <c r="X557" s="298"/>
      <c r="Y557" s="298"/>
      <c r="Z557" s="298"/>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6"/>
      <c r="BM557" s="311"/>
      <c r="BN557" s="314"/>
    </row>
    <row r="558" s="117" customFormat="1" ht="33.95" hidden="1" customHeight="1" outlineLevel="5" spans="2:66">
      <c r="B558" s="118" t="s">
        <v>799</v>
      </c>
      <c r="C558" s="119" t="s">
        <v>2109</v>
      </c>
      <c r="D558" s="117" t="s">
        <v>2110</v>
      </c>
      <c r="E558" s="118"/>
      <c r="F558" s="118" t="s">
        <v>1625</v>
      </c>
      <c r="G558" s="118" t="s">
        <v>943</v>
      </c>
      <c r="H558" s="118">
        <f t="shared" si="972"/>
        <v>0</v>
      </c>
      <c r="I558" s="118" t="s">
        <v>1242</v>
      </c>
      <c r="J558" s="298"/>
      <c r="K558" s="118" t="s">
        <v>1150</v>
      </c>
      <c r="L558" s="118">
        <v>640</v>
      </c>
      <c r="M558" s="118" t="s">
        <v>1770</v>
      </c>
      <c r="N558" s="118">
        <f t="shared" si="973"/>
        <v>0</v>
      </c>
      <c r="O558" s="298"/>
      <c r="P558" s="298"/>
      <c r="Q558" s="298"/>
      <c r="R558" s="298"/>
      <c r="S558" s="298"/>
      <c r="T558" s="298"/>
      <c r="U558" s="298"/>
      <c r="V558" s="298"/>
      <c r="W558" s="298"/>
      <c r="X558" s="298"/>
      <c r="Y558" s="298"/>
      <c r="Z558" s="298"/>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6"/>
      <c r="BM558" s="311"/>
      <c r="BN558" s="314"/>
    </row>
    <row r="559" s="117" customFormat="1" ht="33.95" hidden="1" customHeight="1" outlineLevel="5" spans="2:66">
      <c r="B559" s="118" t="s">
        <v>799</v>
      </c>
      <c r="C559" s="119" t="s">
        <v>2111</v>
      </c>
      <c r="D559" s="117" t="s">
        <v>2112</v>
      </c>
      <c r="E559" s="118"/>
      <c r="F559" s="118" t="s">
        <v>1625</v>
      </c>
      <c r="G559" s="118" t="s">
        <v>943</v>
      </c>
      <c r="H559" s="118">
        <f t="shared" si="972"/>
        <v>0</v>
      </c>
      <c r="I559" s="118" t="s">
        <v>1242</v>
      </c>
      <c r="J559" s="298"/>
      <c r="K559" s="118" t="s">
        <v>1949</v>
      </c>
      <c r="L559" s="118">
        <v>35</v>
      </c>
      <c r="M559" s="118" t="s">
        <v>1950</v>
      </c>
      <c r="N559" s="118">
        <f t="shared" si="973"/>
        <v>0</v>
      </c>
      <c r="O559" s="298"/>
      <c r="P559" s="298"/>
      <c r="Q559" s="298"/>
      <c r="R559" s="298"/>
      <c r="S559" s="298"/>
      <c r="T559" s="298"/>
      <c r="U559" s="298"/>
      <c r="V559" s="298"/>
      <c r="W559" s="298"/>
      <c r="X559" s="298"/>
      <c r="Y559" s="298"/>
      <c r="Z559" s="298"/>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6"/>
      <c r="BM559" s="311"/>
      <c r="BN559" s="314"/>
    </row>
    <row r="560" s="117" customFormat="1" ht="33.95" hidden="1" customHeight="1" outlineLevel="5" spans="2:66">
      <c r="B560" s="118" t="s">
        <v>799</v>
      </c>
      <c r="C560" s="119" t="s">
        <v>2113</v>
      </c>
      <c r="D560" s="117" t="s">
        <v>2114</v>
      </c>
      <c r="E560" s="118"/>
      <c r="F560" s="118" t="s">
        <v>1625</v>
      </c>
      <c r="G560" s="118" t="s">
        <v>943</v>
      </c>
      <c r="H560" s="118">
        <f t="shared" si="972"/>
        <v>0</v>
      </c>
      <c r="I560" s="118" t="s">
        <v>1242</v>
      </c>
      <c r="J560" s="298"/>
      <c r="K560" s="118" t="s">
        <v>1150</v>
      </c>
      <c r="L560" s="118">
        <v>450</v>
      </c>
      <c r="M560" s="118" t="s">
        <v>1770</v>
      </c>
      <c r="N560" s="118">
        <f t="shared" si="973"/>
        <v>0</v>
      </c>
      <c r="O560" s="298"/>
      <c r="P560" s="298"/>
      <c r="Q560" s="298"/>
      <c r="R560" s="298"/>
      <c r="S560" s="298"/>
      <c r="T560" s="298"/>
      <c r="U560" s="298"/>
      <c r="V560" s="298"/>
      <c r="W560" s="298"/>
      <c r="X560" s="298"/>
      <c r="Y560" s="298"/>
      <c r="Z560" s="298"/>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6"/>
      <c r="BM560" s="311"/>
      <c r="BN560" s="314"/>
    </row>
    <row r="561" s="117" customFormat="1" ht="33.95" hidden="1" customHeight="1" outlineLevel="5" spans="2:66">
      <c r="B561" s="118" t="s">
        <v>799</v>
      </c>
      <c r="C561" s="119" t="s">
        <v>2115</v>
      </c>
      <c r="D561" s="117" t="s">
        <v>2116</v>
      </c>
      <c r="E561" s="118"/>
      <c r="F561" s="118" t="s">
        <v>1625</v>
      </c>
      <c r="G561" s="118" t="s">
        <v>943</v>
      </c>
      <c r="H561" s="118">
        <f t="shared" si="972"/>
        <v>0</v>
      </c>
      <c r="I561" s="118" t="s">
        <v>1242</v>
      </c>
      <c r="J561" s="298"/>
      <c r="K561" s="118" t="s">
        <v>1150</v>
      </c>
      <c r="L561" s="118">
        <v>300</v>
      </c>
      <c r="M561" s="118" t="s">
        <v>1770</v>
      </c>
      <c r="N561" s="118">
        <f t="shared" si="973"/>
        <v>0</v>
      </c>
      <c r="O561" s="298"/>
      <c r="P561" s="298"/>
      <c r="Q561" s="298"/>
      <c r="R561" s="298"/>
      <c r="S561" s="298"/>
      <c r="T561" s="298"/>
      <c r="U561" s="298"/>
      <c r="V561" s="298"/>
      <c r="W561" s="298"/>
      <c r="X561" s="298"/>
      <c r="Y561" s="298"/>
      <c r="Z561" s="298"/>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6"/>
      <c r="BM561" s="311"/>
      <c r="BN561" s="314"/>
    </row>
    <row r="562" s="117" customFormat="1" ht="33.95" hidden="1" customHeight="1" outlineLevel="5" spans="2:66">
      <c r="B562" s="118" t="s">
        <v>799</v>
      </c>
      <c r="C562" s="119" t="s">
        <v>2117</v>
      </c>
      <c r="D562" s="117" t="s">
        <v>2118</v>
      </c>
      <c r="E562" s="118"/>
      <c r="F562" s="118" t="s">
        <v>1625</v>
      </c>
      <c r="G562" s="118" t="s">
        <v>943</v>
      </c>
      <c r="H562" s="118">
        <f t="shared" si="972"/>
        <v>0</v>
      </c>
      <c r="I562" s="118" t="s">
        <v>1242</v>
      </c>
      <c r="J562" s="298"/>
      <c r="K562" s="118" t="s">
        <v>1150</v>
      </c>
      <c r="L562" s="118">
        <v>550</v>
      </c>
      <c r="M562" s="118" t="s">
        <v>1770</v>
      </c>
      <c r="N562" s="118">
        <f t="shared" si="973"/>
        <v>0</v>
      </c>
      <c r="O562" s="298"/>
      <c r="P562" s="298"/>
      <c r="Q562" s="298"/>
      <c r="R562" s="298"/>
      <c r="S562" s="298"/>
      <c r="T562" s="298"/>
      <c r="U562" s="298"/>
      <c r="V562" s="298"/>
      <c r="W562" s="298"/>
      <c r="X562" s="298"/>
      <c r="Y562" s="298"/>
      <c r="Z562" s="298"/>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6"/>
      <c r="BM562" s="311"/>
      <c r="BN562" s="314"/>
    </row>
    <row r="563" s="117" customFormat="1" ht="33.95" hidden="1" customHeight="1" outlineLevel="5" spans="2:66">
      <c r="B563" s="118" t="s">
        <v>799</v>
      </c>
      <c r="C563" s="119" t="s">
        <v>2119</v>
      </c>
      <c r="D563" s="117" t="s">
        <v>2120</v>
      </c>
      <c r="E563" s="118"/>
      <c r="F563" s="118" t="s">
        <v>1625</v>
      </c>
      <c r="G563" s="118" t="s">
        <v>943</v>
      </c>
      <c r="H563" s="118">
        <f t="shared" si="972"/>
        <v>0</v>
      </c>
      <c r="I563" s="118" t="s">
        <v>1242</v>
      </c>
      <c r="J563" s="298"/>
      <c r="K563" s="118" t="s">
        <v>1150</v>
      </c>
      <c r="L563" s="118">
        <v>610</v>
      </c>
      <c r="M563" s="118" t="s">
        <v>1770</v>
      </c>
      <c r="N563" s="118">
        <f t="shared" si="973"/>
        <v>0</v>
      </c>
      <c r="O563" s="298"/>
      <c r="P563" s="298"/>
      <c r="Q563" s="298"/>
      <c r="R563" s="298"/>
      <c r="S563" s="298"/>
      <c r="T563" s="298"/>
      <c r="U563" s="298"/>
      <c r="V563" s="298"/>
      <c r="W563" s="298"/>
      <c r="X563" s="298"/>
      <c r="Y563" s="298"/>
      <c r="Z563" s="298"/>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6"/>
      <c r="BM563" s="311"/>
      <c r="BN563" s="314"/>
    </row>
    <row r="564" s="117" customFormat="1" ht="33.95" hidden="1" customHeight="1" outlineLevel="5" spans="2:66">
      <c r="B564" s="118" t="s">
        <v>799</v>
      </c>
      <c r="C564" s="119" t="s">
        <v>2121</v>
      </c>
      <c r="D564" s="117" t="s">
        <v>2122</v>
      </c>
      <c r="E564" s="118"/>
      <c r="F564" s="118" t="s">
        <v>1625</v>
      </c>
      <c r="G564" s="118" t="s">
        <v>943</v>
      </c>
      <c r="H564" s="118">
        <f t="shared" si="972"/>
        <v>0</v>
      </c>
      <c r="I564" s="118" t="s">
        <v>1242</v>
      </c>
      <c r="J564" s="298"/>
      <c r="K564" s="118" t="s">
        <v>1150</v>
      </c>
      <c r="L564" s="118">
        <v>500</v>
      </c>
      <c r="M564" s="118" t="s">
        <v>1770</v>
      </c>
      <c r="N564" s="118">
        <f t="shared" si="973"/>
        <v>0</v>
      </c>
      <c r="O564" s="298"/>
      <c r="P564" s="298"/>
      <c r="Q564" s="298"/>
      <c r="R564" s="298"/>
      <c r="S564" s="298"/>
      <c r="T564" s="298"/>
      <c r="U564" s="298"/>
      <c r="V564" s="298"/>
      <c r="W564" s="298"/>
      <c r="X564" s="298"/>
      <c r="Y564" s="298"/>
      <c r="Z564" s="298"/>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6"/>
      <c r="BM564" s="311"/>
      <c r="BN564" s="314"/>
    </row>
    <row r="565" s="117" customFormat="1" ht="33.95" hidden="1" customHeight="1" outlineLevel="5" spans="2:66">
      <c r="B565" s="118" t="s">
        <v>799</v>
      </c>
      <c r="C565" s="119" t="s">
        <v>2123</v>
      </c>
      <c r="D565" s="117" t="s">
        <v>2124</v>
      </c>
      <c r="E565" s="118"/>
      <c r="F565" s="118" t="s">
        <v>1625</v>
      </c>
      <c r="G565" s="118" t="s">
        <v>943</v>
      </c>
      <c r="H565" s="118">
        <f t="shared" si="972"/>
        <v>0</v>
      </c>
      <c r="I565" s="118" t="s">
        <v>1242</v>
      </c>
      <c r="J565" s="298"/>
      <c r="K565" s="118" t="s">
        <v>2125</v>
      </c>
      <c r="L565" s="118">
        <v>570</v>
      </c>
      <c r="M565" s="118" t="s">
        <v>2126</v>
      </c>
      <c r="N565" s="118">
        <f t="shared" si="973"/>
        <v>0</v>
      </c>
      <c r="O565" s="298"/>
      <c r="P565" s="298"/>
      <c r="Q565" s="298"/>
      <c r="R565" s="298"/>
      <c r="S565" s="298"/>
      <c r="T565" s="298"/>
      <c r="U565" s="298"/>
      <c r="V565" s="298"/>
      <c r="W565" s="298"/>
      <c r="X565" s="298"/>
      <c r="Y565" s="298"/>
      <c r="Z565" s="298"/>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6"/>
      <c r="BM565" s="311"/>
      <c r="BN565" s="314"/>
    </row>
    <row r="566" s="117" customFormat="1" ht="33.95" hidden="1" customHeight="1" outlineLevel="5" spans="2:66">
      <c r="B566" s="118" t="s">
        <v>799</v>
      </c>
      <c r="C566" s="119" t="s">
        <v>2127</v>
      </c>
      <c r="D566" s="117" t="s">
        <v>2128</v>
      </c>
      <c r="E566" s="118"/>
      <c r="F566" s="118" t="s">
        <v>1625</v>
      </c>
      <c r="G566" s="118" t="s">
        <v>943</v>
      </c>
      <c r="H566" s="118">
        <f t="shared" si="972"/>
        <v>0</v>
      </c>
      <c r="I566" s="118" t="s">
        <v>1242</v>
      </c>
      <c r="J566" s="298"/>
      <c r="K566" s="118" t="s">
        <v>1633</v>
      </c>
      <c r="L566" s="118">
        <v>115</v>
      </c>
      <c r="M566" s="118" t="s">
        <v>1634</v>
      </c>
      <c r="N566" s="118">
        <f t="shared" si="973"/>
        <v>0</v>
      </c>
      <c r="O566" s="298"/>
      <c r="P566" s="298"/>
      <c r="Q566" s="298"/>
      <c r="R566" s="298"/>
      <c r="S566" s="298"/>
      <c r="T566" s="298"/>
      <c r="U566" s="298"/>
      <c r="V566" s="298"/>
      <c r="W566" s="298"/>
      <c r="X566" s="298"/>
      <c r="Y566" s="298"/>
      <c r="Z566" s="298"/>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6"/>
      <c r="BM566" s="311"/>
      <c r="BN566" s="314"/>
    </row>
    <row r="567" s="117" customFormat="1" ht="33.95" hidden="1" customHeight="1" outlineLevel="5" spans="2:66">
      <c r="B567" s="118" t="s">
        <v>799</v>
      </c>
      <c r="C567" s="119" t="s">
        <v>2129</v>
      </c>
      <c r="D567" s="117" t="s">
        <v>2130</v>
      </c>
      <c r="E567" s="118"/>
      <c r="F567" s="118" t="s">
        <v>1625</v>
      </c>
      <c r="G567" s="118" t="s">
        <v>943</v>
      </c>
      <c r="H567" s="118">
        <f t="shared" si="972"/>
        <v>0</v>
      </c>
      <c r="I567" s="118" t="s">
        <v>1242</v>
      </c>
      <c r="J567" s="298"/>
      <c r="K567" s="118" t="s">
        <v>1150</v>
      </c>
      <c r="L567" s="118">
        <v>150</v>
      </c>
      <c r="M567" s="118" t="s">
        <v>1770</v>
      </c>
      <c r="N567" s="118">
        <f t="shared" si="973"/>
        <v>0</v>
      </c>
      <c r="O567" s="298"/>
      <c r="P567" s="298"/>
      <c r="Q567" s="298"/>
      <c r="R567" s="298"/>
      <c r="S567" s="298"/>
      <c r="T567" s="298"/>
      <c r="U567" s="298"/>
      <c r="V567" s="298"/>
      <c r="W567" s="298"/>
      <c r="X567" s="298"/>
      <c r="Y567" s="298"/>
      <c r="Z567" s="298"/>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6"/>
      <c r="BM567" s="311"/>
      <c r="BN567" s="314"/>
    </row>
    <row r="568" s="117" customFormat="1" ht="33.95" hidden="1" customHeight="1" outlineLevel="5" spans="2:66">
      <c r="B568" s="118" t="s">
        <v>799</v>
      </c>
      <c r="C568" s="119" t="s">
        <v>2131</v>
      </c>
      <c r="D568" s="117" t="s">
        <v>2132</v>
      </c>
      <c r="E568" s="118"/>
      <c r="F568" s="118" t="s">
        <v>1625</v>
      </c>
      <c r="G568" s="118" t="s">
        <v>943</v>
      </c>
      <c r="H568" s="118">
        <f t="shared" si="972"/>
        <v>0</v>
      </c>
      <c r="I568" s="118" t="s">
        <v>1242</v>
      </c>
      <c r="J568" s="298"/>
      <c r="K568" s="118" t="s">
        <v>1150</v>
      </c>
      <c r="L568" s="118">
        <v>91</v>
      </c>
      <c r="M568" s="118" t="s">
        <v>1770</v>
      </c>
      <c r="N568" s="118">
        <f t="shared" si="973"/>
        <v>0</v>
      </c>
      <c r="O568" s="298"/>
      <c r="P568" s="298"/>
      <c r="Q568" s="298"/>
      <c r="R568" s="298"/>
      <c r="S568" s="298"/>
      <c r="T568" s="298"/>
      <c r="U568" s="298"/>
      <c r="V568" s="298"/>
      <c r="W568" s="298"/>
      <c r="X568" s="298"/>
      <c r="Y568" s="298"/>
      <c r="Z568" s="298"/>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6"/>
      <c r="BM568" s="311"/>
      <c r="BN568" s="314"/>
    </row>
    <row r="569" s="117" customFormat="1" ht="33.95" hidden="1" customHeight="1" outlineLevel="5" spans="2:66">
      <c r="B569" s="118" t="s">
        <v>799</v>
      </c>
      <c r="C569" s="119" t="s">
        <v>2133</v>
      </c>
      <c r="D569" s="117" t="s">
        <v>2134</v>
      </c>
      <c r="E569" s="118"/>
      <c r="F569" s="118" t="s">
        <v>1625</v>
      </c>
      <c r="G569" s="118" t="s">
        <v>943</v>
      </c>
      <c r="H569" s="118">
        <f t="shared" si="972"/>
        <v>0</v>
      </c>
      <c r="I569" s="118" t="s">
        <v>1242</v>
      </c>
      <c r="J569" s="298"/>
      <c r="K569" s="118" t="s">
        <v>1150</v>
      </c>
      <c r="L569" s="118">
        <v>165</v>
      </c>
      <c r="M569" s="118" t="s">
        <v>1770</v>
      </c>
      <c r="N569" s="118">
        <f t="shared" si="973"/>
        <v>0</v>
      </c>
      <c r="O569" s="316"/>
      <c r="P569" s="316"/>
      <c r="Q569" s="316"/>
      <c r="R569" s="316"/>
      <c r="S569" s="316"/>
      <c r="T569" s="316"/>
      <c r="U569" s="316"/>
      <c r="V569" s="316"/>
      <c r="W569" s="316"/>
      <c r="X569" s="316"/>
      <c r="Y569" s="316"/>
      <c r="Z569" s="316"/>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6"/>
      <c r="BM569" s="311"/>
      <c r="BN569" s="314"/>
    </row>
    <row r="570" s="48" customFormat="1" ht="33.95" hidden="1" customHeight="1" outlineLevel="3" collapsed="1" spans="2:66">
      <c r="B570" s="114" t="s">
        <v>794</v>
      </c>
      <c r="C570" s="115" t="s">
        <v>2135</v>
      </c>
      <c r="D570" s="48" t="s">
        <v>2136</v>
      </c>
      <c r="E570" s="114"/>
      <c r="F570" s="114"/>
      <c r="G570" s="114"/>
      <c r="H570" s="114">
        <f>SUM(H571:H580)</f>
        <v>0</v>
      </c>
      <c r="I570" s="114"/>
      <c r="J570" s="114"/>
      <c r="K570" s="114"/>
      <c r="L570" s="114"/>
      <c r="M570" s="114"/>
      <c r="N570" s="305"/>
      <c r="O570" s="288"/>
      <c r="P570" s="288"/>
      <c r="Q570" s="288"/>
      <c r="R570" s="288"/>
      <c r="S570" s="288"/>
      <c r="T570" s="288"/>
      <c r="U570" s="288"/>
      <c r="V570" s="288"/>
      <c r="W570" s="288"/>
      <c r="X570" s="288"/>
      <c r="Y570" s="288"/>
      <c r="Z570" s="288"/>
      <c r="AA570" s="288"/>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5"/>
      <c r="BM570" s="311"/>
      <c r="BN570" s="313"/>
    </row>
    <row r="571" s="117" customFormat="1" ht="33.95" hidden="1" customHeight="1" outlineLevel="4" spans="2:66">
      <c r="B571" s="118" t="s">
        <v>799</v>
      </c>
      <c r="C571" s="119" t="s">
        <v>2137</v>
      </c>
      <c r="D571" s="117" t="s">
        <v>2138</v>
      </c>
      <c r="E571" s="118"/>
      <c r="F571" s="118" t="s">
        <v>2139</v>
      </c>
      <c r="G571" s="118" t="s">
        <v>1851</v>
      </c>
      <c r="H571" s="118">
        <f t="shared" ref="H571:H581" si="988">J571*L571*N571</f>
        <v>0</v>
      </c>
      <c r="I571" s="118" t="s">
        <v>1242</v>
      </c>
      <c r="J571" s="118">
        <v>1</v>
      </c>
      <c r="K571" s="118" t="s">
        <v>1243</v>
      </c>
      <c r="L571" s="298"/>
      <c r="M571" s="118" t="s">
        <v>1244</v>
      </c>
      <c r="N571" s="306">
        <v>12</v>
      </c>
      <c r="O571" s="289"/>
      <c r="P571" s="289"/>
      <c r="Q571" s="289"/>
      <c r="R571" s="289"/>
      <c r="S571" s="289"/>
      <c r="T571" s="289"/>
      <c r="U571" s="289"/>
      <c r="V571" s="289"/>
      <c r="W571" s="289"/>
      <c r="X571" s="289"/>
      <c r="Y571" s="289"/>
      <c r="Z571" s="289"/>
      <c r="AA571" s="289"/>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6"/>
      <c r="BM571" s="311"/>
      <c r="BN571" s="314"/>
    </row>
    <row r="572" s="117" customFormat="1" ht="33.95" hidden="1" customHeight="1" outlineLevel="4" spans="2:66">
      <c r="B572" s="118" t="s">
        <v>799</v>
      </c>
      <c r="C572" s="119" t="s">
        <v>2140</v>
      </c>
      <c r="D572" s="117" t="s">
        <v>2141</v>
      </c>
      <c r="E572" s="118"/>
      <c r="F572" s="118" t="s">
        <v>2139</v>
      </c>
      <c r="G572" s="118" t="s">
        <v>1851</v>
      </c>
      <c r="H572" s="118">
        <f t="shared" si="988"/>
        <v>0</v>
      </c>
      <c r="I572" s="118" t="s">
        <v>1242</v>
      </c>
      <c r="J572" s="118">
        <v>1</v>
      </c>
      <c r="K572" s="118" t="s">
        <v>1243</v>
      </c>
      <c r="L572" s="298"/>
      <c r="M572" s="118" t="s">
        <v>1244</v>
      </c>
      <c r="N572" s="306">
        <v>12</v>
      </c>
      <c r="O572" s="289"/>
      <c r="P572" s="289"/>
      <c r="Q572" s="289"/>
      <c r="R572" s="289"/>
      <c r="S572" s="289"/>
      <c r="T572" s="289"/>
      <c r="U572" s="289"/>
      <c r="V572" s="289"/>
      <c r="W572" s="289"/>
      <c r="X572" s="289"/>
      <c r="Y572" s="289"/>
      <c r="Z572" s="289"/>
      <c r="AA572" s="289"/>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6"/>
      <c r="BM572" s="311"/>
      <c r="BN572" s="314"/>
    </row>
    <row r="573" s="117" customFormat="1" ht="33.95" hidden="1" customHeight="1" outlineLevel="4" spans="2:66">
      <c r="B573" s="118" t="s">
        <v>799</v>
      </c>
      <c r="C573" s="119" t="s">
        <v>2142</v>
      </c>
      <c r="D573" s="117" t="s">
        <v>2143</v>
      </c>
      <c r="E573" s="118"/>
      <c r="F573" s="118" t="s">
        <v>2139</v>
      </c>
      <c r="G573" s="118" t="s">
        <v>1851</v>
      </c>
      <c r="H573" s="118">
        <f t="shared" si="988"/>
        <v>0</v>
      </c>
      <c r="I573" s="118" t="s">
        <v>1242</v>
      </c>
      <c r="J573" s="118">
        <v>1</v>
      </c>
      <c r="K573" s="118" t="s">
        <v>1243</v>
      </c>
      <c r="L573" s="298"/>
      <c r="M573" s="118" t="s">
        <v>1244</v>
      </c>
      <c r="N573" s="306">
        <v>12</v>
      </c>
      <c r="O573" s="289"/>
      <c r="P573" s="289"/>
      <c r="Q573" s="289"/>
      <c r="R573" s="289"/>
      <c r="S573" s="289"/>
      <c r="T573" s="289"/>
      <c r="U573" s="289"/>
      <c r="V573" s="289"/>
      <c r="W573" s="289"/>
      <c r="X573" s="289"/>
      <c r="Y573" s="289"/>
      <c r="Z573" s="289"/>
      <c r="AA573" s="289"/>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6"/>
      <c r="BM573" s="311"/>
      <c r="BN573" s="314"/>
    </row>
    <row r="574" s="117" customFormat="1" ht="33.95" hidden="1" customHeight="1" outlineLevel="4" spans="2:66">
      <c r="B574" s="118" t="s">
        <v>799</v>
      </c>
      <c r="C574" s="119" t="s">
        <v>2144</v>
      </c>
      <c r="D574" s="117" t="s">
        <v>2145</v>
      </c>
      <c r="E574" s="118"/>
      <c r="F574" s="118" t="s">
        <v>2139</v>
      </c>
      <c r="G574" s="118" t="s">
        <v>1851</v>
      </c>
      <c r="H574" s="118">
        <f t="shared" si="988"/>
        <v>0</v>
      </c>
      <c r="I574" s="118" t="s">
        <v>1242</v>
      </c>
      <c r="J574" s="118">
        <v>1</v>
      </c>
      <c r="K574" s="118" t="s">
        <v>1243</v>
      </c>
      <c r="L574" s="298"/>
      <c r="M574" s="118" t="s">
        <v>1244</v>
      </c>
      <c r="N574" s="306">
        <v>12</v>
      </c>
      <c r="O574" s="289"/>
      <c r="P574" s="289"/>
      <c r="Q574" s="289"/>
      <c r="R574" s="289"/>
      <c r="S574" s="289"/>
      <c r="T574" s="289"/>
      <c r="U574" s="289"/>
      <c r="V574" s="289"/>
      <c r="W574" s="289"/>
      <c r="X574" s="289"/>
      <c r="Y574" s="289"/>
      <c r="Z574" s="289"/>
      <c r="AA574" s="289"/>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6"/>
      <c r="BM574" s="311"/>
      <c r="BN574" s="314"/>
    </row>
    <row r="575" s="117" customFormat="1" ht="33.95" hidden="1" customHeight="1" outlineLevel="4" spans="2:66">
      <c r="B575" s="118" t="s">
        <v>799</v>
      </c>
      <c r="C575" s="119" t="s">
        <v>2146</v>
      </c>
      <c r="D575" s="117" t="s">
        <v>2147</v>
      </c>
      <c r="E575" s="118"/>
      <c r="F575" s="118" t="s">
        <v>2139</v>
      </c>
      <c r="G575" s="118" t="s">
        <v>1851</v>
      </c>
      <c r="H575" s="118">
        <f t="shared" si="988"/>
        <v>0</v>
      </c>
      <c r="I575" s="118" t="s">
        <v>1242</v>
      </c>
      <c r="J575" s="118">
        <v>1</v>
      </c>
      <c r="K575" s="118" t="s">
        <v>1243</v>
      </c>
      <c r="L575" s="298"/>
      <c r="M575" s="118" t="s">
        <v>1244</v>
      </c>
      <c r="N575" s="306">
        <v>12</v>
      </c>
      <c r="O575" s="289"/>
      <c r="P575" s="289"/>
      <c r="Q575" s="289"/>
      <c r="R575" s="289"/>
      <c r="S575" s="289"/>
      <c r="T575" s="289"/>
      <c r="U575" s="289"/>
      <c r="V575" s="289"/>
      <c r="W575" s="289"/>
      <c r="X575" s="289"/>
      <c r="Y575" s="289"/>
      <c r="Z575" s="289"/>
      <c r="AA575" s="289"/>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6"/>
      <c r="BM575" s="311"/>
      <c r="BN575" s="314"/>
    </row>
    <row r="576" s="117" customFormat="1" ht="33.95" hidden="1" customHeight="1" outlineLevel="4" spans="2:66">
      <c r="B576" s="118" t="s">
        <v>799</v>
      </c>
      <c r="C576" s="119" t="s">
        <v>2148</v>
      </c>
      <c r="D576" s="117" t="s">
        <v>2149</v>
      </c>
      <c r="E576" s="118"/>
      <c r="F576" s="118" t="s">
        <v>2139</v>
      </c>
      <c r="G576" s="118" t="s">
        <v>1851</v>
      </c>
      <c r="H576" s="118">
        <f t="shared" si="988"/>
        <v>0</v>
      </c>
      <c r="I576" s="118" t="s">
        <v>1242</v>
      </c>
      <c r="J576" s="118">
        <v>1</v>
      </c>
      <c r="K576" s="118" t="s">
        <v>1243</v>
      </c>
      <c r="L576" s="298"/>
      <c r="M576" s="118" t="s">
        <v>1244</v>
      </c>
      <c r="N576" s="306">
        <v>12</v>
      </c>
      <c r="O576" s="289"/>
      <c r="P576" s="289"/>
      <c r="Q576" s="289"/>
      <c r="R576" s="289"/>
      <c r="S576" s="289"/>
      <c r="T576" s="289"/>
      <c r="U576" s="289"/>
      <c r="V576" s="289"/>
      <c r="W576" s="289"/>
      <c r="X576" s="289"/>
      <c r="Y576" s="289"/>
      <c r="Z576" s="289"/>
      <c r="AA576" s="289"/>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6"/>
      <c r="BM576" s="311"/>
      <c r="BN576" s="314"/>
    </row>
    <row r="577" s="117" customFormat="1" ht="33.95" hidden="1" customHeight="1" outlineLevel="4" spans="2:66">
      <c r="B577" s="118" t="s">
        <v>799</v>
      </c>
      <c r="C577" s="119" t="s">
        <v>2150</v>
      </c>
      <c r="D577" s="117" t="s">
        <v>2151</v>
      </c>
      <c r="E577" s="118"/>
      <c r="F577" s="118" t="s">
        <v>2139</v>
      </c>
      <c r="G577" s="118" t="s">
        <v>1851</v>
      </c>
      <c r="H577" s="118">
        <f t="shared" si="988"/>
        <v>0</v>
      </c>
      <c r="I577" s="118" t="s">
        <v>1242</v>
      </c>
      <c r="J577" s="118">
        <v>1</v>
      </c>
      <c r="K577" s="118" t="s">
        <v>1243</v>
      </c>
      <c r="L577" s="298"/>
      <c r="M577" s="118" t="s">
        <v>1244</v>
      </c>
      <c r="N577" s="306">
        <v>12</v>
      </c>
      <c r="O577" s="289"/>
      <c r="P577" s="289"/>
      <c r="Q577" s="289"/>
      <c r="R577" s="289"/>
      <c r="S577" s="289"/>
      <c r="T577" s="289"/>
      <c r="U577" s="289"/>
      <c r="V577" s="289"/>
      <c r="W577" s="289"/>
      <c r="X577" s="289"/>
      <c r="Y577" s="289"/>
      <c r="Z577" s="289"/>
      <c r="AA577" s="289"/>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6"/>
      <c r="BM577" s="311"/>
      <c r="BN577" s="314"/>
    </row>
    <row r="578" s="117" customFormat="1" ht="33.95" hidden="1" customHeight="1" outlineLevel="4" spans="2:66">
      <c r="B578" s="118" t="s">
        <v>799</v>
      </c>
      <c r="C578" s="119" t="s">
        <v>2152</v>
      </c>
      <c r="D578" s="117" t="s">
        <v>2153</v>
      </c>
      <c r="E578" s="118"/>
      <c r="F578" s="118" t="s">
        <v>2139</v>
      </c>
      <c r="G578" s="118" t="s">
        <v>1851</v>
      </c>
      <c r="H578" s="118">
        <f t="shared" si="988"/>
        <v>0</v>
      </c>
      <c r="I578" s="118" t="s">
        <v>1242</v>
      </c>
      <c r="J578" s="118">
        <v>1</v>
      </c>
      <c r="K578" s="118" t="s">
        <v>1243</v>
      </c>
      <c r="L578" s="298"/>
      <c r="M578" s="118" t="s">
        <v>1244</v>
      </c>
      <c r="N578" s="306">
        <v>12</v>
      </c>
      <c r="O578" s="289"/>
      <c r="P578" s="289"/>
      <c r="Q578" s="289"/>
      <c r="R578" s="289"/>
      <c r="S578" s="289"/>
      <c r="T578" s="289"/>
      <c r="U578" s="289"/>
      <c r="V578" s="289"/>
      <c r="W578" s="289"/>
      <c r="X578" s="289"/>
      <c r="Y578" s="289"/>
      <c r="Z578" s="289"/>
      <c r="AA578" s="289"/>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6"/>
      <c r="BM578" s="311"/>
      <c r="BN578" s="314"/>
    </row>
    <row r="579" s="117" customFormat="1" ht="33.95" hidden="1" customHeight="1" outlineLevel="4" spans="2:66">
      <c r="B579" s="118" t="s">
        <v>799</v>
      </c>
      <c r="C579" s="119" t="s">
        <v>2154</v>
      </c>
      <c r="D579" s="117" t="s">
        <v>2155</v>
      </c>
      <c r="E579" s="118"/>
      <c r="F579" s="118" t="s">
        <v>2139</v>
      </c>
      <c r="G579" s="118" t="s">
        <v>1851</v>
      </c>
      <c r="H579" s="118">
        <f t="shared" si="988"/>
        <v>0</v>
      </c>
      <c r="I579" s="118" t="s">
        <v>1242</v>
      </c>
      <c r="J579" s="118">
        <v>1</v>
      </c>
      <c r="K579" s="118" t="s">
        <v>1243</v>
      </c>
      <c r="L579" s="298"/>
      <c r="M579" s="118" t="s">
        <v>1244</v>
      </c>
      <c r="N579" s="306">
        <v>12</v>
      </c>
      <c r="O579" s="289"/>
      <c r="P579" s="289"/>
      <c r="Q579" s="289"/>
      <c r="R579" s="289"/>
      <c r="S579" s="289"/>
      <c r="T579" s="289"/>
      <c r="U579" s="289"/>
      <c r="V579" s="289"/>
      <c r="W579" s="289"/>
      <c r="X579" s="289"/>
      <c r="Y579" s="289"/>
      <c r="Z579" s="289"/>
      <c r="AA579" s="289"/>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6"/>
      <c r="BM579" s="311"/>
      <c r="BN579" s="314"/>
    </row>
    <row r="580" s="117" customFormat="1" ht="33.95" hidden="1" customHeight="1" outlineLevel="4" spans="2:66">
      <c r="B580" s="118" t="s">
        <v>799</v>
      </c>
      <c r="C580" s="119" t="s">
        <v>2156</v>
      </c>
      <c r="D580" s="117" t="s">
        <v>2157</v>
      </c>
      <c r="E580" s="118" t="s">
        <v>2158</v>
      </c>
      <c r="F580" s="118" t="s">
        <v>2139</v>
      </c>
      <c r="G580" s="118" t="s">
        <v>1851</v>
      </c>
      <c r="H580" s="118">
        <f t="shared" si="988"/>
        <v>0</v>
      </c>
      <c r="I580" s="118" t="s">
        <v>1242</v>
      </c>
      <c r="J580" s="118">
        <v>1</v>
      </c>
      <c r="K580" s="118" t="s">
        <v>1243</v>
      </c>
      <c r="L580" s="298"/>
      <c r="M580" s="118" t="s">
        <v>1244</v>
      </c>
      <c r="N580" s="306">
        <v>12</v>
      </c>
      <c r="O580" s="289"/>
      <c r="P580" s="289"/>
      <c r="Q580" s="289"/>
      <c r="R580" s="289"/>
      <c r="S580" s="289"/>
      <c r="T580" s="289"/>
      <c r="U580" s="289"/>
      <c r="V580" s="289"/>
      <c r="W580" s="289"/>
      <c r="X580" s="289"/>
      <c r="Y580" s="289"/>
      <c r="Z580" s="289"/>
      <c r="AA580" s="289"/>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6"/>
      <c r="BM580" s="311"/>
      <c r="BN580" s="314"/>
    </row>
    <row r="581" s="48" customFormat="1" ht="33.95" hidden="1" customHeight="1" outlineLevel="3" spans="2:66">
      <c r="B581" s="114" t="s">
        <v>799</v>
      </c>
      <c r="C581" s="115" t="s">
        <v>2159</v>
      </c>
      <c r="D581" s="48" t="s">
        <v>2160</v>
      </c>
      <c r="E581" s="114"/>
      <c r="F581" s="114" t="s">
        <v>2139</v>
      </c>
      <c r="G581" s="114" t="s">
        <v>1851</v>
      </c>
      <c r="H581" s="114">
        <f t="shared" si="988"/>
        <v>0</v>
      </c>
      <c r="I581" s="114" t="s">
        <v>1242</v>
      </c>
      <c r="J581" s="114">
        <v>1</v>
      </c>
      <c r="K581" s="114" t="s">
        <v>1243</v>
      </c>
      <c r="L581" s="298"/>
      <c r="M581" s="114" t="s">
        <v>1244</v>
      </c>
      <c r="N581" s="305">
        <v>12</v>
      </c>
      <c r="O581" s="288"/>
      <c r="P581" s="288"/>
      <c r="Q581" s="288"/>
      <c r="R581" s="288"/>
      <c r="S581" s="288"/>
      <c r="T581" s="288"/>
      <c r="U581" s="288"/>
      <c r="V581" s="288"/>
      <c r="W581" s="288"/>
      <c r="X581" s="288"/>
      <c r="Y581" s="288"/>
      <c r="Z581" s="288"/>
      <c r="AA581" s="288"/>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5"/>
      <c r="BM581" s="311"/>
      <c r="BN581" s="313"/>
    </row>
    <row r="582" s="107" customFormat="1" ht="33.95" hidden="1" customHeight="1" outlineLevel="1" collapsed="1" spans="2:66">
      <c r="B582" s="108" t="s">
        <v>794</v>
      </c>
      <c r="C582" s="109">
        <v>1.3</v>
      </c>
      <c r="D582" s="107" t="s">
        <v>64</v>
      </c>
      <c r="E582" s="108"/>
      <c r="F582" s="108"/>
      <c r="G582" s="108"/>
      <c r="H582" s="108">
        <f>H583+H601+H605+H614+H624+H627+H634+H643+H646+H651</f>
        <v>0</v>
      </c>
      <c r="N582" s="303"/>
      <c r="O582" s="286"/>
      <c r="P582" s="286"/>
      <c r="Q582" s="286"/>
      <c r="R582" s="286"/>
      <c r="S582" s="286"/>
      <c r="T582" s="286"/>
      <c r="U582" s="286"/>
      <c r="V582" s="286"/>
      <c r="W582" s="286"/>
      <c r="X582" s="286"/>
      <c r="Y582" s="286"/>
      <c r="Z582" s="286"/>
      <c r="AA582" s="286"/>
      <c r="AB582" s="108">
        <f t="shared" ref="AB582:AF582" si="1002">AB583+AB601+AB605+AB614+AB624+AB627+AB634+AB643+AB646+AB651</f>
        <v>0</v>
      </c>
      <c r="AC582" s="108">
        <f t="shared" si="1002"/>
        <v>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3"/>
      <c r="BM582" s="311"/>
      <c r="BN582" s="286"/>
    </row>
    <row r="583" s="29" customFormat="1" ht="33.95" hidden="1" customHeight="1" outlineLevel="2" collapsed="1" spans="2:66">
      <c r="B583" s="111" t="s">
        <v>794</v>
      </c>
      <c r="C583" s="112" t="s">
        <v>2161</v>
      </c>
      <c r="D583" s="29" t="s">
        <v>2162</v>
      </c>
      <c r="E583" s="111"/>
      <c r="F583" s="111"/>
      <c r="G583" s="111"/>
      <c r="H583" s="111">
        <f>SUM(H584:H600)</f>
        <v>0</v>
      </c>
      <c r="I583" s="111"/>
      <c r="J583" s="111"/>
      <c r="K583" s="111"/>
      <c r="L583" s="111"/>
      <c r="M583" s="111"/>
      <c r="N583" s="304"/>
      <c r="O583" s="287"/>
      <c r="P583" s="287"/>
      <c r="Q583" s="287"/>
      <c r="R583" s="287"/>
      <c r="S583" s="287"/>
      <c r="T583" s="287"/>
      <c r="U583" s="287"/>
      <c r="V583" s="287"/>
      <c r="W583" s="287"/>
      <c r="X583" s="287"/>
      <c r="Y583" s="287"/>
      <c r="Z583" s="287"/>
      <c r="AA583" s="287"/>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4"/>
      <c r="BM583" s="311"/>
      <c r="BN583" s="312"/>
    </row>
    <row r="584" s="48" customFormat="1" ht="33.95" hidden="1" customHeight="1" outlineLevel="3" spans="2:66">
      <c r="B584" s="114" t="s">
        <v>799</v>
      </c>
      <c r="C584" s="115" t="s">
        <v>2163</v>
      </c>
      <c r="D584" s="48" t="s">
        <v>2164</v>
      </c>
      <c r="E584" s="114"/>
      <c r="F584" s="114" t="s">
        <v>1625</v>
      </c>
      <c r="G584" s="114" t="s">
        <v>943</v>
      </c>
      <c r="H584" s="114">
        <f t="shared" ref="H584:H600" si="1004">J584*L584</f>
        <v>0</v>
      </c>
      <c r="I584" s="114" t="s">
        <v>1242</v>
      </c>
      <c r="J584" s="114">
        <v>1</v>
      </c>
      <c r="K584" s="114" t="s">
        <v>1243</v>
      </c>
      <c r="L584" s="298">
        <f>预算主表!P84</f>
        <v>0</v>
      </c>
      <c r="M584" s="114" t="s">
        <v>1377</v>
      </c>
      <c r="N584" s="114">
        <f t="shared" ref="N584:N600" si="1005">COUNTA(O584:Z584)</f>
        <v>1</v>
      </c>
      <c r="O584" s="317" t="s">
        <v>1292</v>
      </c>
      <c r="P584" s="317"/>
      <c r="Q584" s="317"/>
      <c r="R584" s="317"/>
      <c r="S584" s="317"/>
      <c r="T584" s="317"/>
      <c r="U584" s="317"/>
      <c r="V584" s="317"/>
      <c r="W584" s="317"/>
      <c r="X584" s="317"/>
      <c r="Y584" s="317"/>
      <c r="Z584" s="317"/>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5"/>
      <c r="BM584" s="311"/>
      <c r="BN584" s="313"/>
    </row>
    <row r="585" s="48" customFormat="1" ht="33.95" hidden="1" customHeight="1" outlineLevel="3" spans="2:66">
      <c r="B585" s="114" t="s">
        <v>799</v>
      </c>
      <c r="C585" s="115" t="s">
        <v>2165</v>
      </c>
      <c r="D585" s="48" t="s">
        <v>2166</v>
      </c>
      <c r="E585" s="114"/>
      <c r="F585" s="114" t="s">
        <v>1625</v>
      </c>
      <c r="G585" s="114" t="s">
        <v>943</v>
      </c>
      <c r="H585" s="114">
        <f t="shared" si="1004"/>
        <v>0</v>
      </c>
      <c r="I585" s="114" t="s">
        <v>1242</v>
      </c>
      <c r="J585" s="114">
        <v>1</v>
      </c>
      <c r="K585" s="114" t="s">
        <v>1243</v>
      </c>
      <c r="L585" s="298"/>
      <c r="M585" s="114" t="s">
        <v>1377</v>
      </c>
      <c r="N585" s="114">
        <f t="shared" si="1005"/>
        <v>0</v>
      </c>
      <c r="O585" s="298"/>
      <c r="P585" s="298"/>
      <c r="Q585" s="298"/>
      <c r="R585" s="298"/>
      <c r="S585" s="298"/>
      <c r="T585" s="298"/>
      <c r="U585" s="298"/>
      <c r="V585" s="298"/>
      <c r="W585" s="298"/>
      <c r="X585" s="298"/>
      <c r="Y585" s="298"/>
      <c r="Z585" s="298"/>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5"/>
      <c r="BM585" s="311"/>
      <c r="BN585" s="313"/>
    </row>
    <row r="586" s="48" customFormat="1" ht="33.95" hidden="1" customHeight="1" outlineLevel="3" spans="2:66">
      <c r="B586" s="114" t="s">
        <v>799</v>
      </c>
      <c r="C586" s="115" t="s">
        <v>2167</v>
      </c>
      <c r="D586" s="48" t="s">
        <v>2168</v>
      </c>
      <c r="E586" s="114"/>
      <c r="F586" s="114" t="s">
        <v>1625</v>
      </c>
      <c r="G586" s="114" t="s">
        <v>943</v>
      </c>
      <c r="H586" s="114">
        <f t="shared" si="1004"/>
        <v>0</v>
      </c>
      <c r="I586" s="114" t="s">
        <v>1242</v>
      </c>
      <c r="J586" s="114">
        <v>1</v>
      </c>
      <c r="K586" s="114" t="s">
        <v>1243</v>
      </c>
      <c r="L586" s="298"/>
      <c r="M586" s="114" t="s">
        <v>1377</v>
      </c>
      <c r="N586" s="114">
        <f t="shared" si="1005"/>
        <v>0</v>
      </c>
      <c r="O586" s="298"/>
      <c r="P586" s="298"/>
      <c r="Q586" s="298"/>
      <c r="R586" s="298"/>
      <c r="S586" s="298"/>
      <c r="T586" s="298"/>
      <c r="U586" s="298"/>
      <c r="V586" s="298"/>
      <c r="W586" s="298"/>
      <c r="X586" s="298"/>
      <c r="Y586" s="298"/>
      <c r="Z586" s="298"/>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5"/>
      <c r="BM586" s="311"/>
      <c r="BN586" s="313"/>
    </row>
    <row r="587" s="48" customFormat="1" ht="33.95" hidden="1" customHeight="1" outlineLevel="3" spans="2:66">
      <c r="B587" s="114" t="s">
        <v>799</v>
      </c>
      <c r="C587" s="115" t="s">
        <v>2169</v>
      </c>
      <c r="D587" s="48" t="s">
        <v>2170</v>
      </c>
      <c r="E587" s="114"/>
      <c r="F587" s="114" t="s">
        <v>1625</v>
      </c>
      <c r="G587" s="114" t="s">
        <v>943</v>
      </c>
      <c r="H587" s="114">
        <f t="shared" si="1004"/>
        <v>0</v>
      </c>
      <c r="I587" s="114" t="s">
        <v>1242</v>
      </c>
      <c r="J587" s="114">
        <v>1</v>
      </c>
      <c r="K587" s="114" t="s">
        <v>1243</v>
      </c>
      <c r="L587" s="298"/>
      <c r="M587" s="114" t="s">
        <v>1377</v>
      </c>
      <c r="N587" s="114">
        <f t="shared" si="1005"/>
        <v>0</v>
      </c>
      <c r="O587" s="298"/>
      <c r="P587" s="298"/>
      <c r="Q587" s="298"/>
      <c r="R587" s="298"/>
      <c r="S587" s="298"/>
      <c r="T587" s="298"/>
      <c r="U587" s="298"/>
      <c r="V587" s="298"/>
      <c r="W587" s="298"/>
      <c r="X587" s="298"/>
      <c r="Y587" s="298"/>
      <c r="Z587" s="298"/>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5"/>
      <c r="BM587" s="311"/>
      <c r="BN587" s="313"/>
    </row>
    <row r="588" s="48" customFormat="1" ht="33.95" hidden="1" customHeight="1" outlineLevel="3" spans="2:66">
      <c r="B588" s="114" t="s">
        <v>799</v>
      </c>
      <c r="C588" s="115" t="s">
        <v>2171</v>
      </c>
      <c r="D588" s="48" t="s">
        <v>2172</v>
      </c>
      <c r="E588" s="114"/>
      <c r="F588" s="114" t="s">
        <v>1625</v>
      </c>
      <c r="G588" s="114" t="s">
        <v>943</v>
      </c>
      <c r="H588" s="114">
        <f t="shared" si="1004"/>
        <v>0</v>
      </c>
      <c r="I588" s="114" t="s">
        <v>1242</v>
      </c>
      <c r="J588" s="114">
        <v>1</v>
      </c>
      <c r="K588" s="114" t="s">
        <v>1243</v>
      </c>
      <c r="L588" s="298"/>
      <c r="M588" s="114" t="s">
        <v>1377</v>
      </c>
      <c r="N588" s="114">
        <f t="shared" si="1005"/>
        <v>0</v>
      </c>
      <c r="O588" s="298"/>
      <c r="P588" s="298"/>
      <c r="Q588" s="298"/>
      <c r="R588" s="298"/>
      <c r="S588" s="298"/>
      <c r="T588" s="298"/>
      <c r="U588" s="298"/>
      <c r="V588" s="298"/>
      <c r="W588" s="298"/>
      <c r="X588" s="298"/>
      <c r="Y588" s="298"/>
      <c r="Z588" s="298"/>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5"/>
      <c r="BM588" s="311"/>
      <c r="BN588" s="313"/>
    </row>
    <row r="589" s="48" customFormat="1" ht="33.95" hidden="1" customHeight="1" outlineLevel="3" spans="2:66">
      <c r="B589" s="114" t="s">
        <v>799</v>
      </c>
      <c r="C589" s="115" t="s">
        <v>2173</v>
      </c>
      <c r="D589" s="48" t="s">
        <v>2174</v>
      </c>
      <c r="E589" s="114"/>
      <c r="F589" s="114" t="s">
        <v>1625</v>
      </c>
      <c r="G589" s="114" t="s">
        <v>943</v>
      </c>
      <c r="H589" s="114">
        <f t="shared" si="1004"/>
        <v>0</v>
      </c>
      <c r="I589" s="114" t="s">
        <v>1242</v>
      </c>
      <c r="J589" s="114">
        <v>1</v>
      </c>
      <c r="K589" s="114" t="s">
        <v>1243</v>
      </c>
      <c r="L589" s="298"/>
      <c r="M589" s="114" t="s">
        <v>1377</v>
      </c>
      <c r="N589" s="114">
        <f t="shared" si="1005"/>
        <v>0</v>
      </c>
      <c r="O589" s="298"/>
      <c r="P589" s="298"/>
      <c r="Q589" s="298"/>
      <c r="R589" s="298"/>
      <c r="S589" s="298"/>
      <c r="T589" s="298"/>
      <c r="U589" s="298"/>
      <c r="V589" s="298"/>
      <c r="W589" s="298"/>
      <c r="X589" s="298"/>
      <c r="Y589" s="298"/>
      <c r="Z589" s="298"/>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5"/>
      <c r="BM589" s="311"/>
      <c r="BN589" s="313"/>
    </row>
    <row r="590" s="48" customFormat="1" ht="33.95" hidden="1" customHeight="1" outlineLevel="3" spans="2:66">
      <c r="B590" s="114" t="s">
        <v>799</v>
      </c>
      <c r="C590" s="115" t="s">
        <v>2175</v>
      </c>
      <c r="D590" s="48" t="s">
        <v>2176</v>
      </c>
      <c r="E590" s="114"/>
      <c r="F590" s="114" t="s">
        <v>1625</v>
      </c>
      <c r="G590" s="114" t="s">
        <v>943</v>
      </c>
      <c r="H590" s="114">
        <f t="shared" si="1004"/>
        <v>0</v>
      </c>
      <c r="I590" s="114" t="s">
        <v>1242</v>
      </c>
      <c r="J590" s="114">
        <v>1</v>
      </c>
      <c r="K590" s="114" t="s">
        <v>1243</v>
      </c>
      <c r="L590" s="298"/>
      <c r="M590" s="114" t="s">
        <v>1377</v>
      </c>
      <c r="N590" s="114">
        <f t="shared" si="1005"/>
        <v>0</v>
      </c>
      <c r="O590" s="298"/>
      <c r="P590" s="298"/>
      <c r="Q590" s="298"/>
      <c r="R590" s="298"/>
      <c r="S590" s="298"/>
      <c r="T590" s="298"/>
      <c r="U590" s="298"/>
      <c r="V590" s="298"/>
      <c r="W590" s="298"/>
      <c r="X590" s="298"/>
      <c r="Y590" s="298"/>
      <c r="Z590" s="298"/>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5"/>
      <c r="BM590" s="311"/>
      <c r="BN590" s="313"/>
    </row>
    <row r="591" s="48" customFormat="1" ht="33.95" hidden="1" customHeight="1" outlineLevel="3" spans="2:66">
      <c r="B591" s="114" t="s">
        <v>799</v>
      </c>
      <c r="C591" s="115" t="s">
        <v>2177</v>
      </c>
      <c r="D591" s="48" t="s">
        <v>2178</v>
      </c>
      <c r="E591" s="114"/>
      <c r="F591" s="114" t="s">
        <v>1625</v>
      </c>
      <c r="G591" s="114" t="s">
        <v>943</v>
      </c>
      <c r="H591" s="114">
        <f t="shared" si="1004"/>
        <v>0</v>
      </c>
      <c r="I591" s="114" t="s">
        <v>1242</v>
      </c>
      <c r="J591" s="114">
        <v>1</v>
      </c>
      <c r="K591" s="114" t="s">
        <v>1243</v>
      </c>
      <c r="L591" s="298"/>
      <c r="M591" s="114" t="s">
        <v>1377</v>
      </c>
      <c r="N591" s="114">
        <f t="shared" si="1005"/>
        <v>0</v>
      </c>
      <c r="O591" s="298"/>
      <c r="P591" s="298"/>
      <c r="Q591" s="298"/>
      <c r="R591" s="298"/>
      <c r="S591" s="298"/>
      <c r="T591" s="298"/>
      <c r="U591" s="298"/>
      <c r="V591" s="298"/>
      <c r="W591" s="298"/>
      <c r="X591" s="298"/>
      <c r="Y591" s="298"/>
      <c r="Z591" s="298"/>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5"/>
      <c r="BM591" s="311"/>
      <c r="BN591" s="313"/>
    </row>
    <row r="592" s="48" customFormat="1" ht="33.95" hidden="1" customHeight="1" outlineLevel="3" spans="2:66">
      <c r="B592" s="114" t="s">
        <v>799</v>
      </c>
      <c r="C592" s="115" t="s">
        <v>2179</v>
      </c>
      <c r="D592" s="48" t="s">
        <v>2180</v>
      </c>
      <c r="E592" s="114"/>
      <c r="F592" s="114" t="s">
        <v>1625</v>
      </c>
      <c r="G592" s="114" t="s">
        <v>943</v>
      </c>
      <c r="H592" s="114">
        <f t="shared" si="1004"/>
        <v>0</v>
      </c>
      <c r="I592" s="114" t="s">
        <v>1242</v>
      </c>
      <c r="J592" s="114">
        <v>1</v>
      </c>
      <c r="K592" s="114" t="s">
        <v>1243</v>
      </c>
      <c r="L592" s="298"/>
      <c r="M592" s="114" t="s">
        <v>1377</v>
      </c>
      <c r="N592" s="114">
        <f t="shared" si="1005"/>
        <v>0</v>
      </c>
      <c r="O592" s="298"/>
      <c r="P592" s="298"/>
      <c r="Q592" s="298"/>
      <c r="R592" s="298"/>
      <c r="S592" s="298"/>
      <c r="T592" s="298"/>
      <c r="U592" s="298"/>
      <c r="V592" s="298"/>
      <c r="W592" s="298"/>
      <c r="X592" s="298"/>
      <c r="Y592" s="298"/>
      <c r="Z592" s="298"/>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5"/>
      <c r="BM592" s="311"/>
      <c r="BN592" s="313"/>
    </row>
    <row r="593" s="48" customFormat="1" ht="33.95" hidden="1" customHeight="1" outlineLevel="3" spans="2:66">
      <c r="B593" s="114" t="s">
        <v>799</v>
      </c>
      <c r="C593" s="115" t="s">
        <v>2181</v>
      </c>
      <c r="D593" s="48" t="s">
        <v>2182</v>
      </c>
      <c r="E593" s="114"/>
      <c r="F593" s="114" t="s">
        <v>1625</v>
      </c>
      <c r="G593" s="114" t="s">
        <v>943</v>
      </c>
      <c r="H593" s="114">
        <f t="shared" si="1004"/>
        <v>0</v>
      </c>
      <c r="I593" s="114" t="s">
        <v>1242</v>
      </c>
      <c r="J593" s="114">
        <v>1</v>
      </c>
      <c r="K593" s="114" t="s">
        <v>1243</v>
      </c>
      <c r="L593" s="298"/>
      <c r="M593" s="114" t="s">
        <v>1377</v>
      </c>
      <c r="N593" s="114">
        <f t="shared" si="1005"/>
        <v>0</v>
      </c>
      <c r="O593" s="298"/>
      <c r="P593" s="298"/>
      <c r="Q593" s="298"/>
      <c r="R593" s="298"/>
      <c r="S593" s="298"/>
      <c r="T593" s="298"/>
      <c r="U593" s="298"/>
      <c r="V593" s="298"/>
      <c r="W593" s="298"/>
      <c r="X593" s="298"/>
      <c r="Y593" s="298"/>
      <c r="Z593" s="298"/>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5"/>
      <c r="BM593" s="311"/>
      <c r="BN593" s="313"/>
    </row>
    <row r="594" s="48" customFormat="1" ht="33.95" hidden="1" customHeight="1" outlineLevel="3" spans="2:66">
      <c r="B594" s="114" t="s">
        <v>799</v>
      </c>
      <c r="C594" s="115" t="s">
        <v>2183</v>
      </c>
      <c r="D594" s="48" t="s">
        <v>2184</v>
      </c>
      <c r="E594" s="114"/>
      <c r="F594" s="114" t="s">
        <v>1625</v>
      </c>
      <c r="G594" s="114" t="s">
        <v>943</v>
      </c>
      <c r="H594" s="114">
        <f t="shared" si="1004"/>
        <v>0</v>
      </c>
      <c r="I594" s="114" t="s">
        <v>1242</v>
      </c>
      <c r="J594" s="114">
        <v>1</v>
      </c>
      <c r="K594" s="114" t="s">
        <v>1243</v>
      </c>
      <c r="L594" s="298"/>
      <c r="M594" s="114" t="s">
        <v>1377</v>
      </c>
      <c r="N594" s="114">
        <f t="shared" si="1005"/>
        <v>0</v>
      </c>
      <c r="O594" s="298"/>
      <c r="P594" s="298"/>
      <c r="Q594" s="298"/>
      <c r="R594" s="298"/>
      <c r="S594" s="298"/>
      <c r="T594" s="298"/>
      <c r="U594" s="298"/>
      <c r="V594" s="298"/>
      <c r="W594" s="298"/>
      <c r="X594" s="298"/>
      <c r="Y594" s="298"/>
      <c r="Z594" s="298"/>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5"/>
      <c r="BM594" s="311"/>
      <c r="BN594" s="313"/>
    </row>
    <row r="595" s="48" customFormat="1" ht="33.95" hidden="1" customHeight="1" outlineLevel="3" spans="2:66">
      <c r="B595" s="114" t="s">
        <v>799</v>
      </c>
      <c r="C595" s="115" t="s">
        <v>2185</v>
      </c>
      <c r="D595" s="48" t="s">
        <v>2186</v>
      </c>
      <c r="E595" s="114"/>
      <c r="F595" s="114" t="s">
        <v>1625</v>
      </c>
      <c r="G595" s="114" t="s">
        <v>943</v>
      </c>
      <c r="H595" s="114">
        <f t="shared" si="1004"/>
        <v>0</v>
      </c>
      <c r="I595" s="114" t="s">
        <v>1242</v>
      </c>
      <c r="J595" s="114">
        <v>1</v>
      </c>
      <c r="K595" s="114" t="s">
        <v>1243</v>
      </c>
      <c r="L595" s="298"/>
      <c r="M595" s="114" t="s">
        <v>1377</v>
      </c>
      <c r="N595" s="114">
        <f t="shared" si="1005"/>
        <v>0</v>
      </c>
      <c r="O595" s="298"/>
      <c r="P595" s="298"/>
      <c r="Q595" s="298"/>
      <c r="R595" s="298"/>
      <c r="S595" s="298"/>
      <c r="T595" s="298"/>
      <c r="U595" s="298"/>
      <c r="V595" s="298"/>
      <c r="W595" s="298"/>
      <c r="X595" s="298"/>
      <c r="Y595" s="298"/>
      <c r="Z595" s="298"/>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5"/>
      <c r="BM595" s="311"/>
      <c r="BN595" s="313"/>
    </row>
    <row r="596" s="48" customFormat="1" ht="33.95" hidden="1" customHeight="1" outlineLevel="3" spans="2:66">
      <c r="B596" s="114" t="s">
        <v>799</v>
      </c>
      <c r="C596" s="115" t="s">
        <v>2187</v>
      </c>
      <c r="D596" s="48" t="s">
        <v>2188</v>
      </c>
      <c r="E596" s="114"/>
      <c r="F596" s="114" t="s">
        <v>1625</v>
      </c>
      <c r="G596" s="114" t="s">
        <v>943</v>
      </c>
      <c r="H596" s="114">
        <f t="shared" si="1004"/>
        <v>0</v>
      </c>
      <c r="I596" s="114" t="s">
        <v>1242</v>
      </c>
      <c r="J596" s="114">
        <v>1</v>
      </c>
      <c r="K596" s="114" t="s">
        <v>1243</v>
      </c>
      <c r="L596" s="298"/>
      <c r="M596" s="114" t="s">
        <v>1377</v>
      </c>
      <c r="N596" s="114">
        <f t="shared" si="1005"/>
        <v>0</v>
      </c>
      <c r="O596" s="298"/>
      <c r="P596" s="298"/>
      <c r="Q596" s="298"/>
      <c r="R596" s="298"/>
      <c r="S596" s="298"/>
      <c r="T596" s="298"/>
      <c r="U596" s="298"/>
      <c r="V596" s="298"/>
      <c r="W596" s="298"/>
      <c r="X596" s="298"/>
      <c r="Y596" s="298"/>
      <c r="Z596" s="298"/>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5"/>
      <c r="BM596" s="311"/>
      <c r="BN596" s="313"/>
    </row>
    <row r="597" s="48" customFormat="1" ht="33.95" hidden="1" customHeight="1" outlineLevel="3" spans="2:66">
      <c r="B597" s="114" t="s">
        <v>799</v>
      </c>
      <c r="C597" s="115" t="s">
        <v>2189</v>
      </c>
      <c r="D597" s="48" t="s">
        <v>2190</v>
      </c>
      <c r="E597" s="114"/>
      <c r="F597" s="114" t="s">
        <v>1625</v>
      </c>
      <c r="G597" s="114" t="s">
        <v>943</v>
      </c>
      <c r="H597" s="114">
        <f t="shared" si="1004"/>
        <v>0</v>
      </c>
      <c r="I597" s="114" t="s">
        <v>1242</v>
      </c>
      <c r="J597" s="114">
        <v>1</v>
      </c>
      <c r="K597" s="114" t="s">
        <v>1243</v>
      </c>
      <c r="L597" s="298"/>
      <c r="M597" s="114" t="s">
        <v>1377</v>
      </c>
      <c r="N597" s="114">
        <f t="shared" si="1005"/>
        <v>0</v>
      </c>
      <c r="O597" s="298"/>
      <c r="P597" s="298"/>
      <c r="Q597" s="298"/>
      <c r="R597" s="298"/>
      <c r="S597" s="298"/>
      <c r="T597" s="298"/>
      <c r="U597" s="298"/>
      <c r="V597" s="298"/>
      <c r="W597" s="298"/>
      <c r="X597" s="298"/>
      <c r="Y597" s="298"/>
      <c r="Z597" s="298"/>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5"/>
      <c r="BM597" s="311"/>
      <c r="BN597" s="313"/>
    </row>
    <row r="598" s="48" customFormat="1" ht="33.95" hidden="1" customHeight="1" outlineLevel="3" spans="2:66">
      <c r="B598" s="114" t="s">
        <v>799</v>
      </c>
      <c r="C598" s="115" t="s">
        <v>2191</v>
      </c>
      <c r="D598" s="48" t="s">
        <v>2192</v>
      </c>
      <c r="E598" s="114"/>
      <c r="F598" s="114" t="s">
        <v>1625</v>
      </c>
      <c r="G598" s="114" t="s">
        <v>943</v>
      </c>
      <c r="H598" s="114">
        <f t="shared" si="1004"/>
        <v>0</v>
      </c>
      <c r="I598" s="114" t="s">
        <v>1242</v>
      </c>
      <c r="J598" s="114">
        <v>1</v>
      </c>
      <c r="K598" s="114" t="s">
        <v>1243</v>
      </c>
      <c r="L598" s="298"/>
      <c r="M598" s="114" t="s">
        <v>1377</v>
      </c>
      <c r="N598" s="114">
        <f t="shared" si="1005"/>
        <v>0</v>
      </c>
      <c r="O598" s="298"/>
      <c r="P598" s="298"/>
      <c r="Q598" s="298"/>
      <c r="R598" s="298"/>
      <c r="S598" s="298"/>
      <c r="T598" s="298"/>
      <c r="U598" s="298"/>
      <c r="V598" s="298"/>
      <c r="W598" s="298"/>
      <c r="X598" s="298"/>
      <c r="Y598" s="298"/>
      <c r="Z598" s="298"/>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5"/>
      <c r="BM598" s="311"/>
      <c r="BN598" s="313"/>
    </row>
    <row r="599" s="48" customFormat="1" ht="33.95" hidden="1" customHeight="1" outlineLevel="3" spans="2:66">
      <c r="B599" s="114" t="s">
        <v>799</v>
      </c>
      <c r="C599" s="115" t="s">
        <v>2193</v>
      </c>
      <c r="D599" s="48" t="s">
        <v>2194</v>
      </c>
      <c r="E599" s="114"/>
      <c r="F599" s="114" t="s">
        <v>1625</v>
      </c>
      <c r="G599" s="114" t="s">
        <v>943</v>
      </c>
      <c r="H599" s="114">
        <f t="shared" si="1004"/>
        <v>0</v>
      </c>
      <c r="I599" s="114" t="s">
        <v>1242</v>
      </c>
      <c r="J599" s="114">
        <v>1</v>
      </c>
      <c r="K599" s="114" t="s">
        <v>1243</v>
      </c>
      <c r="L599" s="298"/>
      <c r="M599" s="114" t="s">
        <v>1377</v>
      </c>
      <c r="N599" s="114">
        <f t="shared" si="1005"/>
        <v>0</v>
      </c>
      <c r="O599" s="298"/>
      <c r="P599" s="298"/>
      <c r="Q599" s="298"/>
      <c r="R599" s="298"/>
      <c r="S599" s="298"/>
      <c r="T599" s="298"/>
      <c r="U599" s="298"/>
      <c r="V599" s="298"/>
      <c r="W599" s="298"/>
      <c r="X599" s="298"/>
      <c r="Y599" s="298"/>
      <c r="Z599" s="298"/>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5"/>
      <c r="BM599" s="311"/>
      <c r="BN599" s="313"/>
    </row>
    <row r="600" s="48" customFormat="1" ht="33.95" hidden="1" customHeight="1" outlineLevel="3" spans="2:66">
      <c r="B600" s="114" t="s">
        <v>799</v>
      </c>
      <c r="C600" s="115" t="s">
        <v>2195</v>
      </c>
      <c r="D600" s="48" t="s">
        <v>2196</v>
      </c>
      <c r="E600" s="114"/>
      <c r="F600" s="114" t="s">
        <v>1625</v>
      </c>
      <c r="G600" s="114" t="s">
        <v>943</v>
      </c>
      <c r="H600" s="114">
        <f t="shared" si="1004"/>
        <v>0</v>
      </c>
      <c r="I600" s="114" t="s">
        <v>1242</v>
      </c>
      <c r="J600" s="114">
        <v>1</v>
      </c>
      <c r="K600" s="114" t="s">
        <v>1243</v>
      </c>
      <c r="L600" s="298"/>
      <c r="M600" s="114" t="s">
        <v>1377</v>
      </c>
      <c r="N600" s="114">
        <f t="shared" si="1005"/>
        <v>0</v>
      </c>
      <c r="O600" s="316"/>
      <c r="P600" s="316"/>
      <c r="Q600" s="316"/>
      <c r="R600" s="316"/>
      <c r="S600" s="316"/>
      <c r="T600" s="316"/>
      <c r="U600" s="316"/>
      <c r="V600" s="316"/>
      <c r="W600" s="316"/>
      <c r="X600" s="316"/>
      <c r="Y600" s="316"/>
      <c r="Z600" s="316"/>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5"/>
      <c r="BM600" s="311"/>
      <c r="BN600" s="313"/>
    </row>
    <row r="601" s="29" customFormat="1" ht="33.95" hidden="1" customHeight="1" outlineLevel="2" collapsed="1" spans="2:66">
      <c r="B601" s="111" t="s">
        <v>794</v>
      </c>
      <c r="C601" s="112" t="s">
        <v>2197</v>
      </c>
      <c r="D601" s="29" t="s">
        <v>2198</v>
      </c>
      <c r="E601" s="111"/>
      <c r="F601" s="111"/>
      <c r="G601" s="111"/>
      <c r="H601" s="111">
        <f>SUM(H602:H604)</f>
        <v>0</v>
      </c>
      <c r="I601" s="111"/>
      <c r="J601" s="111"/>
      <c r="K601" s="111"/>
      <c r="L601" s="111"/>
      <c r="M601" s="111"/>
      <c r="N601" s="304"/>
      <c r="O601" s="287"/>
      <c r="P601" s="287"/>
      <c r="Q601" s="287"/>
      <c r="R601" s="287"/>
      <c r="S601" s="287"/>
      <c r="T601" s="287"/>
      <c r="U601" s="287"/>
      <c r="V601" s="287"/>
      <c r="W601" s="287"/>
      <c r="X601" s="287"/>
      <c r="Y601" s="287"/>
      <c r="Z601" s="287"/>
      <c r="AA601" s="287"/>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4"/>
      <c r="BM601" s="311"/>
      <c r="BN601" s="312"/>
    </row>
    <row r="602" s="48" customFormat="1" ht="33.95" hidden="1" customHeight="1" outlineLevel="3" spans="2:66">
      <c r="B602" s="114" t="s">
        <v>799</v>
      </c>
      <c r="C602" s="115" t="s">
        <v>2199</v>
      </c>
      <c r="D602" s="48" t="s">
        <v>2200</v>
      </c>
      <c r="E602" s="114"/>
      <c r="F602" s="114" t="s">
        <v>1625</v>
      </c>
      <c r="G602" s="114" t="s">
        <v>943</v>
      </c>
      <c r="H602" s="114">
        <f t="shared" ref="H602:H604" si="1020">J602*L602</f>
        <v>0</v>
      </c>
      <c r="I602" s="114" t="s">
        <v>1242</v>
      </c>
      <c r="J602" s="114">
        <v>1</v>
      </c>
      <c r="K602" s="114" t="s">
        <v>1243</v>
      </c>
      <c r="L602" s="298"/>
      <c r="M602" s="114" t="s">
        <v>1377</v>
      </c>
      <c r="N602" s="114">
        <f t="shared" ref="N602:N604" si="1021">COUNTA(O602:Z602)</f>
        <v>0</v>
      </c>
      <c r="O602" s="317"/>
      <c r="P602" s="317"/>
      <c r="Q602" s="317"/>
      <c r="R602" s="317"/>
      <c r="S602" s="317"/>
      <c r="T602" s="317"/>
      <c r="U602" s="317"/>
      <c r="V602" s="317"/>
      <c r="W602" s="317"/>
      <c r="X602" s="317"/>
      <c r="Y602" s="317"/>
      <c r="Z602" s="317"/>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5"/>
      <c r="BM602" s="311"/>
      <c r="BN602" s="313"/>
    </row>
    <row r="603" s="48" customFormat="1" ht="33.95" hidden="1" customHeight="1" outlineLevel="3" spans="2:66">
      <c r="B603" s="114" t="s">
        <v>799</v>
      </c>
      <c r="C603" s="115" t="s">
        <v>2201</v>
      </c>
      <c r="D603" s="48" t="s">
        <v>2202</v>
      </c>
      <c r="E603" s="114"/>
      <c r="F603" s="114" t="s">
        <v>1625</v>
      </c>
      <c r="G603" s="114" t="s">
        <v>943</v>
      </c>
      <c r="H603" s="114">
        <f t="shared" si="1020"/>
        <v>0</v>
      </c>
      <c r="I603" s="114" t="s">
        <v>1242</v>
      </c>
      <c r="J603" s="114">
        <v>1</v>
      </c>
      <c r="K603" s="114" t="s">
        <v>1243</v>
      </c>
      <c r="L603" s="298"/>
      <c r="M603" s="114" t="s">
        <v>1377</v>
      </c>
      <c r="N603" s="114">
        <f t="shared" si="1021"/>
        <v>0</v>
      </c>
      <c r="O603" s="298"/>
      <c r="P603" s="298"/>
      <c r="Q603" s="298"/>
      <c r="R603" s="298"/>
      <c r="S603" s="298"/>
      <c r="T603" s="298"/>
      <c r="U603" s="298"/>
      <c r="V603" s="298"/>
      <c r="W603" s="298"/>
      <c r="X603" s="298"/>
      <c r="Y603" s="298"/>
      <c r="Z603" s="298"/>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5"/>
      <c r="BM603" s="311"/>
      <c r="BN603" s="313"/>
    </row>
    <row r="604" s="48" customFormat="1" ht="33.95" hidden="1" customHeight="1" outlineLevel="3" spans="2:66">
      <c r="B604" s="114" t="s">
        <v>799</v>
      </c>
      <c r="C604" s="115" t="s">
        <v>2203</v>
      </c>
      <c r="D604" s="48" t="s">
        <v>2204</v>
      </c>
      <c r="E604" s="114"/>
      <c r="F604" s="114" t="s">
        <v>1625</v>
      </c>
      <c r="G604" s="114" t="s">
        <v>943</v>
      </c>
      <c r="H604" s="114">
        <f t="shared" si="1020"/>
        <v>0</v>
      </c>
      <c r="I604" s="114" t="s">
        <v>1242</v>
      </c>
      <c r="J604" s="114">
        <v>1</v>
      </c>
      <c r="K604" s="114" t="s">
        <v>1243</v>
      </c>
      <c r="L604" s="298"/>
      <c r="M604" s="114" t="s">
        <v>1377</v>
      </c>
      <c r="N604" s="114">
        <f t="shared" si="1021"/>
        <v>0</v>
      </c>
      <c r="O604" s="316"/>
      <c r="P604" s="316"/>
      <c r="Q604" s="316"/>
      <c r="R604" s="316"/>
      <c r="S604" s="316"/>
      <c r="T604" s="316"/>
      <c r="U604" s="316"/>
      <c r="V604" s="316"/>
      <c r="W604" s="316"/>
      <c r="X604" s="316"/>
      <c r="Y604" s="316"/>
      <c r="Z604" s="316"/>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5"/>
      <c r="BM604" s="311"/>
      <c r="BN604" s="313"/>
    </row>
    <row r="605" s="29" customFormat="1" ht="33.95" hidden="1" customHeight="1" outlineLevel="2" collapsed="1" spans="2:66">
      <c r="B605" s="111" t="s">
        <v>794</v>
      </c>
      <c r="C605" s="112" t="s">
        <v>2205</v>
      </c>
      <c r="D605" s="29" t="s">
        <v>2206</v>
      </c>
      <c r="E605" s="111"/>
      <c r="F605" s="111"/>
      <c r="G605" s="111"/>
      <c r="H605" s="111">
        <f>SUM(H606:H613)</f>
        <v>0</v>
      </c>
      <c r="I605" s="111"/>
      <c r="J605" s="111"/>
      <c r="K605" s="111"/>
      <c r="L605" s="111"/>
      <c r="M605" s="111"/>
      <c r="N605" s="304"/>
      <c r="O605" s="287"/>
      <c r="P605" s="287"/>
      <c r="Q605" s="287"/>
      <c r="R605" s="287"/>
      <c r="S605" s="287"/>
      <c r="T605" s="287"/>
      <c r="U605" s="287"/>
      <c r="V605" s="287"/>
      <c r="W605" s="287"/>
      <c r="X605" s="287"/>
      <c r="Y605" s="287"/>
      <c r="Z605" s="287"/>
      <c r="AA605" s="287"/>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4"/>
      <c r="BM605" s="311"/>
      <c r="BN605" s="312"/>
    </row>
    <row r="606" s="48" customFormat="1" ht="33.95" hidden="1" customHeight="1" outlineLevel="3" spans="2:66">
      <c r="B606" s="114" t="s">
        <v>799</v>
      </c>
      <c r="C606" s="115" t="s">
        <v>2207</v>
      </c>
      <c r="D606" s="48" t="s">
        <v>2208</v>
      </c>
      <c r="E606" s="114"/>
      <c r="F606" s="114" t="s">
        <v>1625</v>
      </c>
      <c r="G606" s="114" t="s">
        <v>943</v>
      </c>
      <c r="H606" s="114">
        <f t="shared" ref="H606:H613" si="1036">J606*L606</f>
        <v>0</v>
      </c>
      <c r="I606" s="114" t="s">
        <v>1242</v>
      </c>
      <c r="J606" s="114">
        <v>1</v>
      </c>
      <c r="K606" s="114" t="s">
        <v>1243</v>
      </c>
      <c r="L606" s="298"/>
      <c r="M606" s="114" t="s">
        <v>1377</v>
      </c>
      <c r="N606" s="114">
        <f t="shared" ref="N606:N613" si="1037">COUNTA(O606:Z606)</f>
        <v>0</v>
      </c>
      <c r="O606" s="317"/>
      <c r="P606" s="317"/>
      <c r="Q606" s="317"/>
      <c r="R606" s="317"/>
      <c r="S606" s="317"/>
      <c r="T606" s="317"/>
      <c r="U606" s="317"/>
      <c r="V606" s="317"/>
      <c r="W606" s="317"/>
      <c r="X606" s="317"/>
      <c r="Y606" s="317"/>
      <c r="Z606" s="317"/>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5"/>
      <c r="BM606" s="311"/>
      <c r="BN606" s="313"/>
    </row>
    <row r="607" s="48" customFormat="1" ht="33.95" hidden="1" customHeight="1" outlineLevel="3" spans="2:66">
      <c r="B607" s="114" t="s">
        <v>799</v>
      </c>
      <c r="C607" s="115" t="s">
        <v>2209</v>
      </c>
      <c r="D607" s="48" t="s">
        <v>2210</v>
      </c>
      <c r="E607" s="114"/>
      <c r="F607" s="114" t="s">
        <v>1625</v>
      </c>
      <c r="G607" s="114" t="s">
        <v>943</v>
      </c>
      <c r="H607" s="114">
        <f t="shared" si="1036"/>
        <v>0</v>
      </c>
      <c r="I607" s="114" t="s">
        <v>1242</v>
      </c>
      <c r="J607" s="114">
        <v>1</v>
      </c>
      <c r="K607" s="114" t="s">
        <v>1243</v>
      </c>
      <c r="L607" s="298"/>
      <c r="M607" s="114" t="s">
        <v>1377</v>
      </c>
      <c r="N607" s="114">
        <f t="shared" si="1037"/>
        <v>0</v>
      </c>
      <c r="O607" s="298"/>
      <c r="P607" s="298"/>
      <c r="Q607" s="298"/>
      <c r="R607" s="298"/>
      <c r="S607" s="298"/>
      <c r="T607" s="298"/>
      <c r="U607" s="298"/>
      <c r="V607" s="298"/>
      <c r="W607" s="298"/>
      <c r="X607" s="298"/>
      <c r="Y607" s="298"/>
      <c r="Z607" s="298"/>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5"/>
      <c r="BM607" s="311"/>
      <c r="BN607" s="313"/>
    </row>
    <row r="608" s="48" customFormat="1" ht="33.95" hidden="1" customHeight="1" outlineLevel="3" spans="2:66">
      <c r="B608" s="114" t="s">
        <v>799</v>
      </c>
      <c r="C608" s="115" t="s">
        <v>2211</v>
      </c>
      <c r="D608" s="48" t="s">
        <v>2212</v>
      </c>
      <c r="E608" s="114"/>
      <c r="F608" s="114" t="s">
        <v>1625</v>
      </c>
      <c r="G608" s="114" t="s">
        <v>943</v>
      </c>
      <c r="H608" s="114">
        <f t="shared" si="1036"/>
        <v>0</v>
      </c>
      <c r="I608" s="114" t="s">
        <v>1242</v>
      </c>
      <c r="J608" s="114">
        <v>1</v>
      </c>
      <c r="K608" s="114" t="s">
        <v>1243</v>
      </c>
      <c r="L608" s="298"/>
      <c r="M608" s="114" t="s">
        <v>1377</v>
      </c>
      <c r="N608" s="114">
        <f t="shared" si="1037"/>
        <v>0</v>
      </c>
      <c r="O608" s="298"/>
      <c r="P608" s="298"/>
      <c r="Q608" s="298"/>
      <c r="R608" s="298"/>
      <c r="S608" s="298"/>
      <c r="T608" s="298"/>
      <c r="U608" s="298"/>
      <c r="V608" s="298"/>
      <c r="W608" s="298"/>
      <c r="X608" s="298"/>
      <c r="Y608" s="298"/>
      <c r="Z608" s="298"/>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5"/>
      <c r="BM608" s="311"/>
      <c r="BN608" s="313"/>
    </row>
    <row r="609" s="48" customFormat="1" ht="33.95" hidden="1" customHeight="1" outlineLevel="3" spans="2:66">
      <c r="B609" s="114" t="s">
        <v>799</v>
      </c>
      <c r="C609" s="115" t="s">
        <v>2213</v>
      </c>
      <c r="D609" s="48" t="s">
        <v>2214</v>
      </c>
      <c r="E609" s="114"/>
      <c r="F609" s="114" t="s">
        <v>1625</v>
      </c>
      <c r="G609" s="114" t="s">
        <v>943</v>
      </c>
      <c r="H609" s="114">
        <f t="shared" si="1036"/>
        <v>0</v>
      </c>
      <c r="I609" s="114" t="s">
        <v>1242</v>
      </c>
      <c r="J609" s="114">
        <v>1</v>
      </c>
      <c r="K609" s="114" t="s">
        <v>1243</v>
      </c>
      <c r="L609" s="298"/>
      <c r="M609" s="114" t="s">
        <v>1377</v>
      </c>
      <c r="N609" s="114">
        <f t="shared" si="1037"/>
        <v>0</v>
      </c>
      <c r="O609" s="298"/>
      <c r="P609" s="298"/>
      <c r="Q609" s="298"/>
      <c r="R609" s="298"/>
      <c r="S609" s="298"/>
      <c r="T609" s="298"/>
      <c r="U609" s="298"/>
      <c r="V609" s="298"/>
      <c r="W609" s="298"/>
      <c r="X609" s="298"/>
      <c r="Y609" s="298"/>
      <c r="Z609" s="298"/>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5"/>
      <c r="BM609" s="311"/>
      <c r="BN609" s="313"/>
    </row>
    <row r="610" s="48" customFormat="1" ht="33.95" hidden="1" customHeight="1" outlineLevel="3" spans="2:66">
      <c r="B610" s="114" t="s">
        <v>799</v>
      </c>
      <c r="C610" s="115" t="s">
        <v>2215</v>
      </c>
      <c r="D610" s="48" t="s">
        <v>2216</v>
      </c>
      <c r="E610" s="114"/>
      <c r="F610" s="114" t="s">
        <v>1625</v>
      </c>
      <c r="G610" s="114" t="s">
        <v>943</v>
      </c>
      <c r="H610" s="114">
        <f t="shared" si="1036"/>
        <v>0</v>
      </c>
      <c r="I610" s="114" t="s">
        <v>1242</v>
      </c>
      <c r="J610" s="114">
        <v>1</v>
      </c>
      <c r="K610" s="114" t="s">
        <v>1243</v>
      </c>
      <c r="L610" s="298"/>
      <c r="M610" s="114" t="s">
        <v>1377</v>
      </c>
      <c r="N610" s="114">
        <f t="shared" si="1037"/>
        <v>0</v>
      </c>
      <c r="O610" s="298"/>
      <c r="P610" s="298"/>
      <c r="Q610" s="298"/>
      <c r="R610" s="298"/>
      <c r="S610" s="298"/>
      <c r="T610" s="298"/>
      <c r="U610" s="298"/>
      <c r="V610" s="298"/>
      <c r="W610" s="298"/>
      <c r="X610" s="298"/>
      <c r="Y610" s="298"/>
      <c r="Z610" s="298"/>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5"/>
      <c r="BM610" s="311"/>
      <c r="BN610" s="313"/>
    </row>
    <row r="611" s="48" customFormat="1" ht="33.95" hidden="1" customHeight="1" outlineLevel="3" spans="2:66">
      <c r="B611" s="114" t="s">
        <v>799</v>
      </c>
      <c r="C611" s="115" t="s">
        <v>2217</v>
      </c>
      <c r="D611" s="48" t="s">
        <v>2218</v>
      </c>
      <c r="E611" s="114"/>
      <c r="F611" s="114" t="s">
        <v>1625</v>
      </c>
      <c r="G611" s="114" t="s">
        <v>943</v>
      </c>
      <c r="H611" s="114">
        <f t="shared" si="1036"/>
        <v>0</v>
      </c>
      <c r="I611" s="114" t="s">
        <v>1242</v>
      </c>
      <c r="J611" s="114">
        <v>1</v>
      </c>
      <c r="K611" s="114" t="s">
        <v>1243</v>
      </c>
      <c r="L611" s="298"/>
      <c r="M611" s="114" t="s">
        <v>1377</v>
      </c>
      <c r="N611" s="114">
        <f t="shared" si="1037"/>
        <v>0</v>
      </c>
      <c r="O611" s="298"/>
      <c r="P611" s="298"/>
      <c r="Q611" s="298"/>
      <c r="R611" s="298"/>
      <c r="S611" s="298"/>
      <c r="T611" s="298"/>
      <c r="U611" s="298"/>
      <c r="V611" s="298"/>
      <c r="W611" s="298"/>
      <c r="X611" s="298"/>
      <c r="Y611" s="298"/>
      <c r="Z611" s="298"/>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5"/>
      <c r="BM611" s="311"/>
      <c r="BN611" s="313"/>
    </row>
    <row r="612" s="48" customFormat="1" ht="33.95" hidden="1" customHeight="1" outlineLevel="3" spans="2:66">
      <c r="B612" s="114" t="s">
        <v>799</v>
      </c>
      <c r="C612" s="115" t="s">
        <v>2219</v>
      </c>
      <c r="D612" s="48" t="s">
        <v>2220</v>
      </c>
      <c r="E612" s="114"/>
      <c r="F612" s="114" t="s">
        <v>1625</v>
      </c>
      <c r="G612" s="114" t="s">
        <v>943</v>
      </c>
      <c r="H612" s="114">
        <f t="shared" si="1036"/>
        <v>0</v>
      </c>
      <c r="I612" s="114" t="s">
        <v>1242</v>
      </c>
      <c r="J612" s="114">
        <v>1</v>
      </c>
      <c r="K612" s="114" t="s">
        <v>1243</v>
      </c>
      <c r="L612" s="298"/>
      <c r="M612" s="114" t="s">
        <v>1377</v>
      </c>
      <c r="N612" s="114">
        <f t="shared" si="1037"/>
        <v>0</v>
      </c>
      <c r="O612" s="298"/>
      <c r="P612" s="298"/>
      <c r="Q612" s="298"/>
      <c r="R612" s="298"/>
      <c r="S612" s="298"/>
      <c r="T612" s="298"/>
      <c r="U612" s="298"/>
      <c r="V612" s="298"/>
      <c r="W612" s="298"/>
      <c r="X612" s="298"/>
      <c r="Y612" s="298"/>
      <c r="Z612" s="298"/>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5"/>
      <c r="BM612" s="311"/>
      <c r="BN612" s="313"/>
    </row>
    <row r="613" s="48" customFormat="1" ht="33.95" hidden="1" customHeight="1" outlineLevel="3" spans="2:66">
      <c r="B613" s="114" t="s">
        <v>799</v>
      </c>
      <c r="C613" s="115" t="s">
        <v>2221</v>
      </c>
      <c r="D613" s="48" t="s">
        <v>2222</v>
      </c>
      <c r="E613" s="114"/>
      <c r="F613" s="114" t="s">
        <v>1625</v>
      </c>
      <c r="G613" s="114" t="s">
        <v>943</v>
      </c>
      <c r="H613" s="114">
        <f t="shared" si="1036"/>
        <v>0</v>
      </c>
      <c r="I613" s="114" t="s">
        <v>1242</v>
      </c>
      <c r="J613" s="114">
        <v>1</v>
      </c>
      <c r="K613" s="114" t="s">
        <v>1243</v>
      </c>
      <c r="L613" s="298"/>
      <c r="M613" s="114" t="s">
        <v>1377</v>
      </c>
      <c r="N613" s="114">
        <f t="shared" si="1037"/>
        <v>0</v>
      </c>
      <c r="O613" s="316"/>
      <c r="P613" s="316"/>
      <c r="Q613" s="316"/>
      <c r="R613" s="316"/>
      <c r="S613" s="316"/>
      <c r="T613" s="316"/>
      <c r="U613" s="316"/>
      <c r="V613" s="316"/>
      <c r="W613" s="316"/>
      <c r="X613" s="316"/>
      <c r="Y613" s="316"/>
      <c r="Z613" s="316"/>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5"/>
      <c r="BM613" s="311"/>
      <c r="BN613" s="313"/>
    </row>
    <row r="614" s="29" customFormat="1" ht="33.95" hidden="1" customHeight="1" outlineLevel="2" collapsed="1" spans="2:66">
      <c r="B614" s="111" t="s">
        <v>794</v>
      </c>
      <c r="C614" s="112" t="s">
        <v>2223</v>
      </c>
      <c r="D614" s="29" t="s">
        <v>2224</v>
      </c>
      <c r="E614" s="111"/>
      <c r="F614" s="111"/>
      <c r="G614" s="111"/>
      <c r="H614" s="111">
        <f>SUM(H615:H623)</f>
        <v>0</v>
      </c>
      <c r="I614" s="111"/>
      <c r="J614" s="111"/>
      <c r="K614" s="111"/>
      <c r="L614" s="111"/>
      <c r="M614" s="111"/>
      <c r="N614" s="304"/>
      <c r="O614" s="287"/>
      <c r="P614" s="287"/>
      <c r="Q614" s="287"/>
      <c r="R614" s="287"/>
      <c r="S614" s="287"/>
      <c r="T614" s="287"/>
      <c r="U614" s="287"/>
      <c r="V614" s="287"/>
      <c r="W614" s="287"/>
      <c r="X614" s="287"/>
      <c r="Y614" s="287"/>
      <c r="Z614" s="287"/>
      <c r="AA614" s="287"/>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4"/>
      <c r="BM614" s="311"/>
      <c r="BN614" s="312"/>
    </row>
    <row r="615" s="48" customFormat="1" ht="33.95" hidden="1" customHeight="1" outlineLevel="3" spans="2:66">
      <c r="B615" s="114" t="s">
        <v>799</v>
      </c>
      <c r="C615" s="115" t="s">
        <v>2225</v>
      </c>
      <c r="D615" s="48" t="s">
        <v>2226</v>
      </c>
      <c r="E615" s="114"/>
      <c r="F615" s="114" t="s">
        <v>1625</v>
      </c>
      <c r="G615" s="114" t="s">
        <v>943</v>
      </c>
      <c r="H615" s="114">
        <f t="shared" ref="H615:H623" si="1052">J615*L615</f>
        <v>0</v>
      </c>
      <c r="I615" s="114" t="s">
        <v>1242</v>
      </c>
      <c r="J615" s="114">
        <v>1</v>
      </c>
      <c r="K615" s="114" t="s">
        <v>1243</v>
      </c>
      <c r="L615" s="298"/>
      <c r="M615" s="114" t="s">
        <v>1377</v>
      </c>
      <c r="N615" s="114">
        <f t="shared" ref="N615:N623" si="1053">COUNTA(O615:Z615)</f>
        <v>0</v>
      </c>
      <c r="O615" s="317"/>
      <c r="P615" s="317"/>
      <c r="Q615" s="317"/>
      <c r="R615" s="317"/>
      <c r="S615" s="317"/>
      <c r="T615" s="317"/>
      <c r="U615" s="317"/>
      <c r="V615" s="317"/>
      <c r="W615" s="317"/>
      <c r="X615" s="317"/>
      <c r="Y615" s="317"/>
      <c r="Z615" s="317"/>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5"/>
      <c r="BM615" s="311"/>
      <c r="BN615" s="313"/>
    </row>
    <row r="616" s="48" customFormat="1" ht="33.95" hidden="1" customHeight="1" outlineLevel="3" spans="2:66">
      <c r="B616" s="114" t="s">
        <v>799</v>
      </c>
      <c r="C616" s="115" t="s">
        <v>2227</v>
      </c>
      <c r="D616" s="48" t="s">
        <v>2228</v>
      </c>
      <c r="E616" s="114"/>
      <c r="F616" s="114" t="s">
        <v>1625</v>
      </c>
      <c r="G616" s="114" t="s">
        <v>943</v>
      </c>
      <c r="H616" s="114">
        <f t="shared" si="1052"/>
        <v>0</v>
      </c>
      <c r="I616" s="114" t="s">
        <v>1242</v>
      </c>
      <c r="J616" s="114">
        <v>1</v>
      </c>
      <c r="K616" s="114" t="s">
        <v>1243</v>
      </c>
      <c r="L616" s="298"/>
      <c r="M616" s="114" t="s">
        <v>1377</v>
      </c>
      <c r="N616" s="114">
        <f t="shared" si="1053"/>
        <v>0</v>
      </c>
      <c r="O616" s="298"/>
      <c r="P616" s="298"/>
      <c r="Q616" s="298"/>
      <c r="R616" s="298"/>
      <c r="S616" s="298"/>
      <c r="T616" s="298"/>
      <c r="U616" s="298"/>
      <c r="V616" s="298"/>
      <c r="W616" s="298"/>
      <c r="X616" s="298"/>
      <c r="Y616" s="298"/>
      <c r="Z616" s="298"/>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5"/>
      <c r="BM616" s="311"/>
      <c r="BN616" s="313"/>
    </row>
    <row r="617" s="48" customFormat="1" ht="33.95" hidden="1" customHeight="1" outlineLevel="3" spans="2:66">
      <c r="B617" s="114" t="s">
        <v>799</v>
      </c>
      <c r="C617" s="115" t="s">
        <v>2229</v>
      </c>
      <c r="D617" s="48" t="s">
        <v>2230</v>
      </c>
      <c r="E617" s="114"/>
      <c r="F617" s="114" t="s">
        <v>1625</v>
      </c>
      <c r="G617" s="114" t="s">
        <v>943</v>
      </c>
      <c r="H617" s="114">
        <f t="shared" si="1052"/>
        <v>0</v>
      </c>
      <c r="I617" s="114" t="s">
        <v>1242</v>
      </c>
      <c r="J617" s="114">
        <v>1</v>
      </c>
      <c r="K617" s="114" t="s">
        <v>1243</v>
      </c>
      <c r="L617" s="298"/>
      <c r="M617" s="114" t="s">
        <v>1377</v>
      </c>
      <c r="N617" s="114">
        <f t="shared" si="1053"/>
        <v>0</v>
      </c>
      <c r="O617" s="298"/>
      <c r="P617" s="298"/>
      <c r="Q617" s="298"/>
      <c r="R617" s="298"/>
      <c r="S617" s="298"/>
      <c r="T617" s="298"/>
      <c r="U617" s="298"/>
      <c r="V617" s="298"/>
      <c r="W617" s="298"/>
      <c r="X617" s="298"/>
      <c r="Y617" s="298"/>
      <c r="Z617" s="298"/>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5"/>
      <c r="BM617" s="311"/>
      <c r="BN617" s="313"/>
    </row>
    <row r="618" s="48" customFormat="1" ht="33.95" hidden="1" customHeight="1" outlineLevel="3" spans="2:66">
      <c r="B618" s="114" t="s">
        <v>799</v>
      </c>
      <c r="C618" s="115" t="s">
        <v>2231</v>
      </c>
      <c r="D618" s="48" t="s">
        <v>2232</v>
      </c>
      <c r="E618" s="114"/>
      <c r="F618" s="114" t="s">
        <v>1625</v>
      </c>
      <c r="G618" s="114" t="s">
        <v>943</v>
      </c>
      <c r="H618" s="114">
        <f t="shared" si="1052"/>
        <v>0</v>
      </c>
      <c r="I618" s="114" t="s">
        <v>1242</v>
      </c>
      <c r="J618" s="114">
        <v>1</v>
      </c>
      <c r="K618" s="114" t="s">
        <v>1243</v>
      </c>
      <c r="L618" s="298"/>
      <c r="M618" s="114" t="s">
        <v>1377</v>
      </c>
      <c r="N618" s="114">
        <f t="shared" si="1053"/>
        <v>0</v>
      </c>
      <c r="O618" s="298"/>
      <c r="P618" s="298"/>
      <c r="Q618" s="298"/>
      <c r="R618" s="298"/>
      <c r="S618" s="298"/>
      <c r="T618" s="298"/>
      <c r="U618" s="298"/>
      <c r="V618" s="298"/>
      <c r="W618" s="298"/>
      <c r="X618" s="298"/>
      <c r="Y618" s="298"/>
      <c r="Z618" s="298"/>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5"/>
      <c r="BM618" s="311"/>
      <c r="BN618" s="313"/>
    </row>
    <row r="619" s="48" customFormat="1" ht="33.95" hidden="1" customHeight="1" outlineLevel="3" spans="2:66">
      <c r="B619" s="114" t="s">
        <v>799</v>
      </c>
      <c r="C619" s="115" t="s">
        <v>2233</v>
      </c>
      <c r="D619" s="48" t="s">
        <v>2234</v>
      </c>
      <c r="E619" s="114"/>
      <c r="F619" s="114" t="s">
        <v>1625</v>
      </c>
      <c r="G619" s="114" t="s">
        <v>943</v>
      </c>
      <c r="H619" s="114">
        <f t="shared" si="1052"/>
        <v>0</v>
      </c>
      <c r="I619" s="114" t="s">
        <v>1242</v>
      </c>
      <c r="J619" s="114">
        <v>1</v>
      </c>
      <c r="K619" s="114" t="s">
        <v>1243</v>
      </c>
      <c r="L619" s="298"/>
      <c r="M619" s="114" t="s">
        <v>1377</v>
      </c>
      <c r="N619" s="114">
        <f t="shared" si="1053"/>
        <v>0</v>
      </c>
      <c r="O619" s="298"/>
      <c r="P619" s="298"/>
      <c r="Q619" s="298"/>
      <c r="R619" s="298"/>
      <c r="S619" s="298"/>
      <c r="T619" s="298"/>
      <c r="U619" s="298"/>
      <c r="V619" s="298"/>
      <c r="W619" s="298"/>
      <c r="X619" s="298"/>
      <c r="Y619" s="298"/>
      <c r="Z619" s="298"/>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5"/>
      <c r="BM619" s="311"/>
      <c r="BN619" s="313"/>
    </row>
    <row r="620" s="48" customFormat="1" ht="33.95" hidden="1" customHeight="1" outlineLevel="3" spans="2:66">
      <c r="B620" s="114" t="s">
        <v>799</v>
      </c>
      <c r="C620" s="115" t="s">
        <v>2235</v>
      </c>
      <c r="D620" s="48" t="s">
        <v>2236</v>
      </c>
      <c r="E620" s="114"/>
      <c r="F620" s="114" t="s">
        <v>1625</v>
      </c>
      <c r="G620" s="114" t="s">
        <v>943</v>
      </c>
      <c r="H620" s="114">
        <f t="shared" si="1052"/>
        <v>0</v>
      </c>
      <c r="I620" s="114" t="s">
        <v>1242</v>
      </c>
      <c r="J620" s="114">
        <v>1</v>
      </c>
      <c r="K620" s="114" t="s">
        <v>1243</v>
      </c>
      <c r="L620" s="298"/>
      <c r="M620" s="114" t="s">
        <v>1377</v>
      </c>
      <c r="N620" s="114">
        <f t="shared" si="1053"/>
        <v>0</v>
      </c>
      <c r="O620" s="298"/>
      <c r="P620" s="298"/>
      <c r="Q620" s="298"/>
      <c r="R620" s="298"/>
      <c r="S620" s="298"/>
      <c r="T620" s="298"/>
      <c r="U620" s="298"/>
      <c r="V620" s="298"/>
      <c r="W620" s="298"/>
      <c r="X620" s="298"/>
      <c r="Y620" s="298"/>
      <c r="Z620" s="298"/>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5"/>
      <c r="BM620" s="311"/>
      <c r="BN620" s="313"/>
    </row>
    <row r="621" s="48" customFormat="1" ht="33.95" hidden="1" customHeight="1" outlineLevel="3" spans="2:66">
      <c r="B621" s="114" t="s">
        <v>799</v>
      </c>
      <c r="C621" s="115" t="s">
        <v>2237</v>
      </c>
      <c r="D621" s="48" t="s">
        <v>2238</v>
      </c>
      <c r="E621" s="114"/>
      <c r="F621" s="114" t="s">
        <v>1625</v>
      </c>
      <c r="G621" s="114" t="s">
        <v>943</v>
      </c>
      <c r="H621" s="114">
        <f t="shared" si="1052"/>
        <v>0</v>
      </c>
      <c r="I621" s="114" t="s">
        <v>1242</v>
      </c>
      <c r="J621" s="114">
        <v>1</v>
      </c>
      <c r="K621" s="114" t="s">
        <v>1243</v>
      </c>
      <c r="L621" s="298"/>
      <c r="M621" s="114" t="s">
        <v>1377</v>
      </c>
      <c r="N621" s="114">
        <f t="shared" si="1053"/>
        <v>0</v>
      </c>
      <c r="O621" s="298"/>
      <c r="P621" s="298"/>
      <c r="Q621" s="298"/>
      <c r="R621" s="298"/>
      <c r="S621" s="298"/>
      <c r="T621" s="298"/>
      <c r="U621" s="298"/>
      <c r="V621" s="298"/>
      <c r="W621" s="298"/>
      <c r="X621" s="298"/>
      <c r="Y621" s="298"/>
      <c r="Z621" s="298"/>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5"/>
      <c r="BM621" s="311"/>
      <c r="BN621" s="313"/>
    </row>
    <row r="622" s="48" customFormat="1" ht="33.95" hidden="1" customHeight="1" outlineLevel="3" spans="2:66">
      <c r="B622" s="114" t="s">
        <v>799</v>
      </c>
      <c r="C622" s="115" t="s">
        <v>2239</v>
      </c>
      <c r="D622" s="48" t="s">
        <v>2240</v>
      </c>
      <c r="E622" s="114"/>
      <c r="F622" s="114" t="s">
        <v>1625</v>
      </c>
      <c r="G622" s="114" t="s">
        <v>943</v>
      </c>
      <c r="H622" s="114">
        <f t="shared" si="1052"/>
        <v>0</v>
      </c>
      <c r="I622" s="114" t="s">
        <v>1242</v>
      </c>
      <c r="J622" s="114">
        <v>1</v>
      </c>
      <c r="K622" s="114" t="s">
        <v>1243</v>
      </c>
      <c r="L622" s="298"/>
      <c r="M622" s="114" t="s">
        <v>1377</v>
      </c>
      <c r="N622" s="114">
        <f t="shared" si="1053"/>
        <v>0</v>
      </c>
      <c r="O622" s="298"/>
      <c r="P622" s="298"/>
      <c r="Q622" s="298"/>
      <c r="R622" s="298"/>
      <c r="S622" s="298"/>
      <c r="T622" s="298"/>
      <c r="U622" s="298"/>
      <c r="V622" s="298"/>
      <c r="W622" s="298"/>
      <c r="X622" s="298"/>
      <c r="Y622" s="298"/>
      <c r="Z622" s="298"/>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5"/>
      <c r="BM622" s="311"/>
      <c r="BN622" s="313"/>
    </row>
    <row r="623" s="48" customFormat="1" ht="33.95" hidden="1" customHeight="1" outlineLevel="3" spans="2:66">
      <c r="B623" s="114" t="s">
        <v>799</v>
      </c>
      <c r="C623" s="115" t="s">
        <v>2241</v>
      </c>
      <c r="D623" s="48" t="s">
        <v>2242</v>
      </c>
      <c r="E623" s="114"/>
      <c r="F623" s="114" t="s">
        <v>1625</v>
      </c>
      <c r="G623" s="114" t="s">
        <v>943</v>
      </c>
      <c r="H623" s="114">
        <f t="shared" si="1052"/>
        <v>0</v>
      </c>
      <c r="I623" s="114" t="s">
        <v>1242</v>
      </c>
      <c r="J623" s="114">
        <v>1</v>
      </c>
      <c r="K623" s="114" t="s">
        <v>1243</v>
      </c>
      <c r="L623" s="298"/>
      <c r="M623" s="114" t="s">
        <v>1377</v>
      </c>
      <c r="N623" s="114">
        <f t="shared" si="1053"/>
        <v>0</v>
      </c>
      <c r="O623" s="316"/>
      <c r="P623" s="316"/>
      <c r="Q623" s="316"/>
      <c r="R623" s="316"/>
      <c r="S623" s="316"/>
      <c r="T623" s="316"/>
      <c r="U623" s="316"/>
      <c r="V623" s="316"/>
      <c r="W623" s="316"/>
      <c r="X623" s="316"/>
      <c r="Y623" s="316"/>
      <c r="Z623" s="316"/>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5"/>
      <c r="BM623" s="311"/>
      <c r="BN623" s="313"/>
    </row>
    <row r="624" s="29" customFormat="1" ht="33.95" hidden="1" customHeight="1" outlineLevel="2" collapsed="1" spans="2:66">
      <c r="B624" s="111" t="s">
        <v>794</v>
      </c>
      <c r="C624" s="112" t="s">
        <v>2243</v>
      </c>
      <c r="D624" s="29" t="s">
        <v>2244</v>
      </c>
      <c r="E624" s="111"/>
      <c r="F624" s="111"/>
      <c r="G624" s="111"/>
      <c r="H624" s="111">
        <f>SUM(H625:H626)</f>
        <v>0</v>
      </c>
      <c r="I624" s="111"/>
      <c r="J624" s="111"/>
      <c r="K624" s="111"/>
      <c r="L624" s="111"/>
      <c r="M624" s="111"/>
      <c r="N624" s="304"/>
      <c r="O624" s="287"/>
      <c r="P624" s="287"/>
      <c r="Q624" s="287"/>
      <c r="R624" s="287"/>
      <c r="S624" s="287"/>
      <c r="T624" s="287"/>
      <c r="U624" s="287"/>
      <c r="V624" s="287"/>
      <c r="W624" s="287"/>
      <c r="X624" s="287"/>
      <c r="Y624" s="287"/>
      <c r="Z624" s="287"/>
      <c r="AA624" s="287"/>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4"/>
      <c r="BM624" s="311"/>
      <c r="BN624" s="312"/>
    </row>
    <row r="625" s="48" customFormat="1" ht="33.95" hidden="1" customHeight="1" outlineLevel="3" spans="2:66">
      <c r="B625" s="114" t="s">
        <v>799</v>
      </c>
      <c r="C625" s="115" t="s">
        <v>2245</v>
      </c>
      <c r="D625" s="48" t="s">
        <v>2246</v>
      </c>
      <c r="E625" s="114"/>
      <c r="F625" s="114" t="s">
        <v>1625</v>
      </c>
      <c r="G625" s="114" t="s">
        <v>943</v>
      </c>
      <c r="H625" s="114">
        <f t="shared" ref="H625:H633" si="1068">J625*L625</f>
        <v>0</v>
      </c>
      <c r="I625" s="114" t="s">
        <v>1242</v>
      </c>
      <c r="J625" s="114">
        <v>1</v>
      </c>
      <c r="K625" s="114" t="s">
        <v>1243</v>
      </c>
      <c r="L625" s="298"/>
      <c r="M625" s="114" t="s">
        <v>1377</v>
      </c>
      <c r="N625" s="114">
        <f t="shared" ref="N625:N633" si="1069">COUNTA(O625:Z625)</f>
        <v>0</v>
      </c>
      <c r="O625" s="317"/>
      <c r="P625" s="317"/>
      <c r="Q625" s="317"/>
      <c r="R625" s="317"/>
      <c r="S625" s="317"/>
      <c r="T625" s="317"/>
      <c r="U625" s="317"/>
      <c r="V625" s="317"/>
      <c r="W625" s="317"/>
      <c r="X625" s="317"/>
      <c r="Y625" s="317"/>
      <c r="Z625" s="317"/>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5"/>
      <c r="BM625" s="311"/>
      <c r="BN625" s="313"/>
    </row>
    <row r="626" s="48" customFormat="1" ht="33.95" hidden="1" customHeight="1" outlineLevel="3" spans="2:66">
      <c r="B626" s="114" t="s">
        <v>799</v>
      </c>
      <c r="C626" s="115" t="s">
        <v>2247</v>
      </c>
      <c r="D626" s="48" t="s">
        <v>2248</v>
      </c>
      <c r="E626" s="114"/>
      <c r="F626" s="114" t="s">
        <v>1625</v>
      </c>
      <c r="G626" s="114" t="s">
        <v>943</v>
      </c>
      <c r="H626" s="114">
        <f t="shared" si="1068"/>
        <v>0</v>
      </c>
      <c r="I626" s="114" t="s">
        <v>1242</v>
      </c>
      <c r="J626" s="114">
        <v>1</v>
      </c>
      <c r="K626" s="114" t="s">
        <v>1243</v>
      </c>
      <c r="L626" s="298"/>
      <c r="M626" s="114" t="s">
        <v>1377</v>
      </c>
      <c r="N626" s="114">
        <f t="shared" si="1069"/>
        <v>0</v>
      </c>
      <c r="O626" s="316"/>
      <c r="P626" s="316"/>
      <c r="Q626" s="316"/>
      <c r="R626" s="316"/>
      <c r="S626" s="316"/>
      <c r="T626" s="316"/>
      <c r="U626" s="316"/>
      <c r="V626" s="316"/>
      <c r="W626" s="316"/>
      <c r="X626" s="316"/>
      <c r="Y626" s="316"/>
      <c r="Z626" s="316"/>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5"/>
      <c r="BM626" s="311"/>
      <c r="BN626" s="313"/>
    </row>
    <row r="627" s="29" customFormat="1" ht="33.95" hidden="1" customHeight="1" outlineLevel="2" collapsed="1" spans="2:66">
      <c r="B627" s="111" t="s">
        <v>794</v>
      </c>
      <c r="C627" s="112" t="s">
        <v>2249</v>
      </c>
      <c r="D627" s="29" t="s">
        <v>2250</v>
      </c>
      <c r="E627" s="111"/>
      <c r="F627" s="111"/>
      <c r="G627" s="111"/>
      <c r="H627" s="111">
        <f>SUM(H628:H633)</f>
        <v>0</v>
      </c>
      <c r="I627" s="111"/>
      <c r="J627" s="111"/>
      <c r="K627" s="111"/>
      <c r="L627" s="111"/>
      <c r="M627" s="111"/>
      <c r="N627" s="304"/>
      <c r="O627" s="287"/>
      <c r="P627" s="287"/>
      <c r="Q627" s="287"/>
      <c r="R627" s="287"/>
      <c r="S627" s="287"/>
      <c r="T627" s="287"/>
      <c r="U627" s="287"/>
      <c r="V627" s="287"/>
      <c r="W627" s="287"/>
      <c r="X627" s="287"/>
      <c r="Y627" s="287"/>
      <c r="Z627" s="287"/>
      <c r="AA627" s="287"/>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4"/>
      <c r="BM627" s="311"/>
      <c r="BN627" s="312"/>
    </row>
    <row r="628" s="48" customFormat="1" ht="33.95" hidden="1" customHeight="1" outlineLevel="3" spans="2:66">
      <c r="B628" s="114" t="s">
        <v>799</v>
      </c>
      <c r="C628" s="115" t="s">
        <v>2251</v>
      </c>
      <c r="D628" s="48" t="s">
        <v>2252</v>
      </c>
      <c r="E628" s="114"/>
      <c r="F628" s="114" t="s">
        <v>1625</v>
      </c>
      <c r="G628" s="114" t="s">
        <v>943</v>
      </c>
      <c r="H628" s="114">
        <f t="shared" si="1068"/>
        <v>0</v>
      </c>
      <c r="I628" s="114" t="s">
        <v>1242</v>
      </c>
      <c r="J628" s="114">
        <v>1</v>
      </c>
      <c r="K628" s="114" t="s">
        <v>1243</v>
      </c>
      <c r="L628" s="298"/>
      <c r="M628" s="114" t="s">
        <v>1377</v>
      </c>
      <c r="N628" s="114">
        <f t="shared" si="1069"/>
        <v>0</v>
      </c>
      <c r="O628" s="317"/>
      <c r="P628" s="317"/>
      <c r="Q628" s="317"/>
      <c r="R628" s="317"/>
      <c r="S628" s="317"/>
      <c r="T628" s="317"/>
      <c r="U628" s="317"/>
      <c r="V628" s="317"/>
      <c r="W628" s="317"/>
      <c r="X628" s="317"/>
      <c r="Y628" s="317"/>
      <c r="Z628" s="317"/>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5"/>
      <c r="BM628" s="311"/>
      <c r="BN628" s="313"/>
    </row>
    <row r="629" s="48" customFormat="1" ht="33.95" hidden="1" customHeight="1" outlineLevel="3" spans="2:66">
      <c r="B629" s="114" t="s">
        <v>799</v>
      </c>
      <c r="C629" s="115" t="s">
        <v>2253</v>
      </c>
      <c r="D629" s="48" t="s">
        <v>2254</v>
      </c>
      <c r="E629" s="114"/>
      <c r="F629" s="114" t="s">
        <v>1625</v>
      </c>
      <c r="G629" s="114" t="s">
        <v>943</v>
      </c>
      <c r="H629" s="114">
        <f t="shared" si="1068"/>
        <v>0</v>
      </c>
      <c r="I629" s="114" t="s">
        <v>1242</v>
      </c>
      <c r="J629" s="114">
        <v>1</v>
      </c>
      <c r="K629" s="114" t="s">
        <v>1243</v>
      </c>
      <c r="L629" s="298"/>
      <c r="M629" s="114" t="s">
        <v>1377</v>
      </c>
      <c r="N629" s="114">
        <f t="shared" si="1069"/>
        <v>0</v>
      </c>
      <c r="O629" s="298"/>
      <c r="P629" s="298"/>
      <c r="Q629" s="298"/>
      <c r="R629" s="298"/>
      <c r="S629" s="298"/>
      <c r="T629" s="298"/>
      <c r="U629" s="298"/>
      <c r="V629" s="298"/>
      <c r="W629" s="298"/>
      <c r="X629" s="298"/>
      <c r="Y629" s="298"/>
      <c r="Z629" s="298"/>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5"/>
      <c r="BM629" s="311"/>
      <c r="BN629" s="313"/>
    </row>
    <row r="630" s="48" customFormat="1" ht="33.95" hidden="1" customHeight="1" outlineLevel="3" spans="2:66">
      <c r="B630" s="114" t="s">
        <v>799</v>
      </c>
      <c r="C630" s="115" t="s">
        <v>2255</v>
      </c>
      <c r="D630" s="48" t="s">
        <v>2256</v>
      </c>
      <c r="E630" s="114"/>
      <c r="F630" s="114" t="s">
        <v>1625</v>
      </c>
      <c r="G630" s="114" t="s">
        <v>943</v>
      </c>
      <c r="H630" s="114">
        <f t="shared" si="1068"/>
        <v>0</v>
      </c>
      <c r="I630" s="114" t="s">
        <v>1242</v>
      </c>
      <c r="J630" s="114">
        <v>1</v>
      </c>
      <c r="K630" s="114" t="s">
        <v>1243</v>
      </c>
      <c r="L630" s="298"/>
      <c r="M630" s="114" t="s">
        <v>1377</v>
      </c>
      <c r="N630" s="114">
        <f t="shared" si="1069"/>
        <v>0</v>
      </c>
      <c r="O630" s="298"/>
      <c r="P630" s="298"/>
      <c r="Q630" s="298"/>
      <c r="R630" s="298"/>
      <c r="S630" s="298"/>
      <c r="T630" s="298"/>
      <c r="U630" s="298"/>
      <c r="V630" s="298"/>
      <c r="W630" s="298"/>
      <c r="X630" s="298"/>
      <c r="Y630" s="298"/>
      <c r="Z630" s="298"/>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5"/>
      <c r="BM630" s="311"/>
      <c r="BN630" s="313"/>
    </row>
    <row r="631" s="48" customFormat="1" ht="33.95" hidden="1" customHeight="1" outlineLevel="3" spans="2:66">
      <c r="B631" s="114" t="s">
        <v>799</v>
      </c>
      <c r="C631" s="115" t="s">
        <v>2257</v>
      </c>
      <c r="D631" s="48" t="s">
        <v>2258</v>
      </c>
      <c r="E631" s="114"/>
      <c r="F631" s="114" t="s">
        <v>1625</v>
      </c>
      <c r="G631" s="114" t="s">
        <v>943</v>
      </c>
      <c r="H631" s="114">
        <f t="shared" si="1068"/>
        <v>0</v>
      </c>
      <c r="I631" s="114" t="s">
        <v>1242</v>
      </c>
      <c r="J631" s="114">
        <v>1</v>
      </c>
      <c r="K631" s="114" t="s">
        <v>1243</v>
      </c>
      <c r="L631" s="298"/>
      <c r="M631" s="114" t="s">
        <v>1377</v>
      </c>
      <c r="N631" s="114">
        <f t="shared" si="1069"/>
        <v>0</v>
      </c>
      <c r="O631" s="298"/>
      <c r="P631" s="298"/>
      <c r="Q631" s="298"/>
      <c r="R631" s="298"/>
      <c r="S631" s="298"/>
      <c r="T631" s="298"/>
      <c r="U631" s="298"/>
      <c r="V631" s="298"/>
      <c r="W631" s="298"/>
      <c r="X631" s="298"/>
      <c r="Y631" s="298"/>
      <c r="Z631" s="298"/>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5"/>
      <c r="BM631" s="311"/>
      <c r="BN631" s="313"/>
    </row>
    <row r="632" s="48" customFormat="1" ht="33.95" hidden="1" customHeight="1" outlineLevel="3" spans="2:66">
      <c r="B632" s="114" t="s">
        <v>799</v>
      </c>
      <c r="C632" s="115" t="s">
        <v>2259</v>
      </c>
      <c r="D632" s="48" t="s">
        <v>2260</v>
      </c>
      <c r="E632" s="114"/>
      <c r="F632" s="114" t="s">
        <v>1625</v>
      </c>
      <c r="G632" s="114" t="s">
        <v>943</v>
      </c>
      <c r="H632" s="114">
        <f t="shared" si="1068"/>
        <v>0</v>
      </c>
      <c r="I632" s="114" t="s">
        <v>1242</v>
      </c>
      <c r="J632" s="114">
        <v>1</v>
      </c>
      <c r="K632" s="114" t="s">
        <v>1243</v>
      </c>
      <c r="L632" s="298"/>
      <c r="M632" s="114" t="s">
        <v>1377</v>
      </c>
      <c r="N632" s="114">
        <f t="shared" si="1069"/>
        <v>0</v>
      </c>
      <c r="O632" s="298"/>
      <c r="P632" s="298"/>
      <c r="Q632" s="298"/>
      <c r="R632" s="298"/>
      <c r="S632" s="298"/>
      <c r="T632" s="298"/>
      <c r="U632" s="298"/>
      <c r="V632" s="298"/>
      <c r="W632" s="298"/>
      <c r="X632" s="298"/>
      <c r="Y632" s="298"/>
      <c r="Z632" s="298"/>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5"/>
      <c r="BM632" s="311"/>
      <c r="BN632" s="313"/>
    </row>
    <row r="633" s="48" customFormat="1" ht="33.95" hidden="1" customHeight="1" outlineLevel="3" spans="2:66">
      <c r="B633" s="114" t="s">
        <v>799</v>
      </c>
      <c r="C633" s="115" t="s">
        <v>2261</v>
      </c>
      <c r="D633" s="48" t="s">
        <v>2262</v>
      </c>
      <c r="E633" s="114"/>
      <c r="F633" s="114" t="s">
        <v>1625</v>
      </c>
      <c r="G633" s="114" t="s">
        <v>943</v>
      </c>
      <c r="H633" s="114">
        <f t="shared" si="1068"/>
        <v>0</v>
      </c>
      <c r="I633" s="114" t="s">
        <v>1242</v>
      </c>
      <c r="J633" s="114">
        <v>1</v>
      </c>
      <c r="K633" s="114" t="s">
        <v>1243</v>
      </c>
      <c r="L633" s="298"/>
      <c r="M633" s="114" t="s">
        <v>1377</v>
      </c>
      <c r="N633" s="114">
        <f t="shared" si="1069"/>
        <v>0</v>
      </c>
      <c r="O633" s="316"/>
      <c r="P633" s="316"/>
      <c r="Q633" s="316"/>
      <c r="R633" s="316"/>
      <c r="S633" s="316"/>
      <c r="T633" s="316"/>
      <c r="U633" s="316"/>
      <c r="V633" s="316"/>
      <c r="W633" s="316"/>
      <c r="X633" s="316"/>
      <c r="Y633" s="316"/>
      <c r="Z633" s="316"/>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5"/>
      <c r="BM633" s="311"/>
      <c r="BN633" s="313"/>
    </row>
    <row r="634" s="29" customFormat="1" ht="33.95" hidden="1" customHeight="1" outlineLevel="2" collapsed="1" spans="2:66">
      <c r="B634" s="111" t="s">
        <v>794</v>
      </c>
      <c r="C634" s="112" t="s">
        <v>2263</v>
      </c>
      <c r="D634" s="29" t="s">
        <v>2264</v>
      </c>
      <c r="E634" s="111"/>
      <c r="F634" s="111"/>
      <c r="G634" s="111"/>
      <c r="H634" s="111">
        <f>SUM(H635:H642)</f>
        <v>0</v>
      </c>
      <c r="I634" s="111"/>
      <c r="J634" s="111"/>
      <c r="K634" s="111"/>
      <c r="L634" s="111"/>
      <c r="M634" s="111"/>
      <c r="N634" s="304"/>
      <c r="O634" s="287"/>
      <c r="P634" s="287"/>
      <c r="Q634" s="287"/>
      <c r="R634" s="287"/>
      <c r="S634" s="287"/>
      <c r="T634" s="287"/>
      <c r="U634" s="287"/>
      <c r="V634" s="287"/>
      <c r="W634" s="287"/>
      <c r="X634" s="287"/>
      <c r="Y634" s="287"/>
      <c r="Z634" s="287"/>
      <c r="AA634" s="287"/>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4"/>
      <c r="BM634" s="311"/>
      <c r="BN634" s="312"/>
    </row>
    <row r="635" s="48" customFormat="1" ht="33.95" hidden="1" customHeight="1" outlineLevel="3" spans="2:66">
      <c r="B635" s="114" t="s">
        <v>799</v>
      </c>
      <c r="C635" s="115" t="s">
        <v>2265</v>
      </c>
      <c r="D635" s="48" t="s">
        <v>2266</v>
      </c>
      <c r="E635" s="114"/>
      <c r="F635" s="114" t="s">
        <v>1625</v>
      </c>
      <c r="G635" s="114" t="s">
        <v>943</v>
      </c>
      <c r="H635" s="114">
        <f t="shared" ref="H635:H642" si="1085">J635*L635</f>
        <v>0</v>
      </c>
      <c r="I635" s="114" t="s">
        <v>1242</v>
      </c>
      <c r="J635" s="114">
        <v>1</v>
      </c>
      <c r="K635" s="114" t="s">
        <v>1243</v>
      </c>
      <c r="L635" s="298"/>
      <c r="M635" s="114" t="s">
        <v>1377</v>
      </c>
      <c r="N635" s="114">
        <f t="shared" ref="N635:N642" si="1086">COUNTA(O635:Z635)</f>
        <v>0</v>
      </c>
      <c r="O635" s="317"/>
      <c r="P635" s="317"/>
      <c r="Q635" s="317"/>
      <c r="R635" s="317"/>
      <c r="S635" s="317"/>
      <c r="T635" s="317"/>
      <c r="U635" s="317"/>
      <c r="V635" s="317"/>
      <c r="W635" s="317"/>
      <c r="X635" s="317"/>
      <c r="Y635" s="317"/>
      <c r="Z635" s="317"/>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5"/>
      <c r="BM635" s="311"/>
      <c r="BN635" s="313"/>
    </row>
    <row r="636" s="48" customFormat="1" ht="33.95" hidden="1" customHeight="1" outlineLevel="3" spans="2:66">
      <c r="B636" s="114" t="s">
        <v>799</v>
      </c>
      <c r="C636" s="115" t="s">
        <v>2267</v>
      </c>
      <c r="D636" s="48" t="s">
        <v>2268</v>
      </c>
      <c r="E636" s="114"/>
      <c r="F636" s="114" t="s">
        <v>1625</v>
      </c>
      <c r="G636" s="114" t="s">
        <v>943</v>
      </c>
      <c r="H636" s="114">
        <f t="shared" si="1085"/>
        <v>0</v>
      </c>
      <c r="I636" s="114" t="s">
        <v>1242</v>
      </c>
      <c r="J636" s="114">
        <v>1</v>
      </c>
      <c r="K636" s="114" t="s">
        <v>1243</v>
      </c>
      <c r="L636" s="298"/>
      <c r="M636" s="114" t="s">
        <v>1377</v>
      </c>
      <c r="N636" s="114">
        <f t="shared" si="1086"/>
        <v>0</v>
      </c>
      <c r="O636" s="298"/>
      <c r="P636" s="298"/>
      <c r="Q636" s="298"/>
      <c r="R636" s="298"/>
      <c r="S636" s="298"/>
      <c r="T636" s="298"/>
      <c r="U636" s="298"/>
      <c r="V636" s="298"/>
      <c r="W636" s="298"/>
      <c r="X636" s="298"/>
      <c r="Y636" s="298"/>
      <c r="Z636" s="298"/>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5"/>
      <c r="BM636" s="311"/>
      <c r="BN636" s="313"/>
    </row>
    <row r="637" s="48" customFormat="1" ht="33.95" hidden="1" customHeight="1" outlineLevel="3" spans="2:66">
      <c r="B637" s="114" t="s">
        <v>799</v>
      </c>
      <c r="C637" s="115" t="s">
        <v>2269</v>
      </c>
      <c r="D637" s="48" t="s">
        <v>2270</v>
      </c>
      <c r="E637" s="114"/>
      <c r="F637" s="114" t="s">
        <v>1625</v>
      </c>
      <c r="G637" s="114" t="s">
        <v>943</v>
      </c>
      <c r="H637" s="114">
        <f t="shared" si="1085"/>
        <v>0</v>
      </c>
      <c r="I637" s="114" t="s">
        <v>1242</v>
      </c>
      <c r="J637" s="114">
        <v>1</v>
      </c>
      <c r="K637" s="114" t="s">
        <v>1243</v>
      </c>
      <c r="L637" s="298"/>
      <c r="M637" s="114" t="s">
        <v>1377</v>
      </c>
      <c r="N637" s="114">
        <f t="shared" si="1086"/>
        <v>0</v>
      </c>
      <c r="O637" s="298"/>
      <c r="P637" s="298"/>
      <c r="Q637" s="298"/>
      <c r="R637" s="298"/>
      <c r="S637" s="298"/>
      <c r="T637" s="298"/>
      <c r="U637" s="298"/>
      <c r="V637" s="298"/>
      <c r="W637" s="298"/>
      <c r="X637" s="298"/>
      <c r="Y637" s="298"/>
      <c r="Z637" s="298"/>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5"/>
      <c r="BM637" s="311"/>
      <c r="BN637" s="313"/>
    </row>
    <row r="638" s="48" customFormat="1" ht="33.95" hidden="1" customHeight="1" outlineLevel="3" spans="2:66">
      <c r="B638" s="114" t="s">
        <v>799</v>
      </c>
      <c r="C638" s="115" t="s">
        <v>2271</v>
      </c>
      <c r="D638" s="48" t="s">
        <v>2272</v>
      </c>
      <c r="E638" s="114"/>
      <c r="F638" s="114" t="s">
        <v>1625</v>
      </c>
      <c r="G638" s="114" t="s">
        <v>943</v>
      </c>
      <c r="H638" s="114">
        <f t="shared" si="1085"/>
        <v>0</v>
      </c>
      <c r="I638" s="114" t="s">
        <v>1242</v>
      </c>
      <c r="J638" s="114">
        <v>1</v>
      </c>
      <c r="K638" s="114" t="s">
        <v>1243</v>
      </c>
      <c r="L638" s="298"/>
      <c r="M638" s="114" t="s">
        <v>1377</v>
      </c>
      <c r="N638" s="114">
        <f t="shared" si="1086"/>
        <v>0</v>
      </c>
      <c r="O638" s="298"/>
      <c r="P638" s="298"/>
      <c r="Q638" s="298"/>
      <c r="R638" s="298"/>
      <c r="S638" s="298"/>
      <c r="T638" s="298"/>
      <c r="U638" s="298"/>
      <c r="V638" s="298"/>
      <c r="W638" s="298"/>
      <c r="X638" s="298"/>
      <c r="Y638" s="298"/>
      <c r="Z638" s="298"/>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5"/>
      <c r="BM638" s="311"/>
      <c r="BN638" s="313"/>
    </row>
    <row r="639" s="48" customFormat="1" ht="33.95" hidden="1" customHeight="1" outlineLevel="3" spans="2:66">
      <c r="B639" s="114" t="s">
        <v>799</v>
      </c>
      <c r="C639" s="115" t="s">
        <v>2273</v>
      </c>
      <c r="D639" s="48" t="s">
        <v>2274</v>
      </c>
      <c r="E639" s="114"/>
      <c r="F639" s="114" t="s">
        <v>1625</v>
      </c>
      <c r="G639" s="114" t="s">
        <v>943</v>
      </c>
      <c r="H639" s="114">
        <f t="shared" si="1085"/>
        <v>0</v>
      </c>
      <c r="I639" s="114" t="s">
        <v>1242</v>
      </c>
      <c r="J639" s="114">
        <v>1</v>
      </c>
      <c r="K639" s="114" t="s">
        <v>1243</v>
      </c>
      <c r="L639" s="298"/>
      <c r="M639" s="114" t="s">
        <v>1377</v>
      </c>
      <c r="N639" s="114">
        <f t="shared" si="1086"/>
        <v>0</v>
      </c>
      <c r="O639" s="298"/>
      <c r="P639" s="298"/>
      <c r="Q639" s="298"/>
      <c r="R639" s="298"/>
      <c r="S639" s="298"/>
      <c r="T639" s="298"/>
      <c r="U639" s="298"/>
      <c r="V639" s="298"/>
      <c r="W639" s="298"/>
      <c r="X639" s="298"/>
      <c r="Y639" s="298"/>
      <c r="Z639" s="298"/>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5"/>
      <c r="BM639" s="311"/>
      <c r="BN639" s="313"/>
    </row>
    <row r="640" s="48" customFormat="1" ht="33.95" hidden="1" customHeight="1" outlineLevel="3" spans="2:66">
      <c r="B640" s="114" t="s">
        <v>799</v>
      </c>
      <c r="C640" s="115" t="s">
        <v>2275</v>
      </c>
      <c r="D640" s="48" t="s">
        <v>2276</v>
      </c>
      <c r="E640" s="114"/>
      <c r="F640" s="114" t="s">
        <v>1625</v>
      </c>
      <c r="G640" s="114" t="s">
        <v>943</v>
      </c>
      <c r="H640" s="114">
        <f t="shared" si="1085"/>
        <v>0</v>
      </c>
      <c r="I640" s="114" t="s">
        <v>1242</v>
      </c>
      <c r="J640" s="114">
        <v>1</v>
      </c>
      <c r="K640" s="114" t="s">
        <v>1243</v>
      </c>
      <c r="L640" s="298"/>
      <c r="M640" s="114" t="s">
        <v>1377</v>
      </c>
      <c r="N640" s="114">
        <f t="shared" si="1086"/>
        <v>0</v>
      </c>
      <c r="O640" s="298"/>
      <c r="P640" s="298"/>
      <c r="Q640" s="298"/>
      <c r="R640" s="298"/>
      <c r="S640" s="298"/>
      <c r="T640" s="298"/>
      <c r="U640" s="298"/>
      <c r="V640" s="298"/>
      <c r="W640" s="298"/>
      <c r="X640" s="298"/>
      <c r="Y640" s="298"/>
      <c r="Z640" s="298"/>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5"/>
      <c r="BM640" s="311"/>
      <c r="BN640" s="313"/>
    </row>
    <row r="641" s="48" customFormat="1" ht="33.95" hidden="1" customHeight="1" outlineLevel="3" spans="2:66">
      <c r="B641" s="114" t="s">
        <v>799</v>
      </c>
      <c r="C641" s="115" t="s">
        <v>2277</v>
      </c>
      <c r="D641" s="48" t="s">
        <v>2278</v>
      </c>
      <c r="E641" s="114"/>
      <c r="F641" s="114" t="s">
        <v>1625</v>
      </c>
      <c r="G641" s="114" t="s">
        <v>943</v>
      </c>
      <c r="H641" s="114">
        <f t="shared" si="1085"/>
        <v>0</v>
      </c>
      <c r="I641" s="114" t="s">
        <v>1242</v>
      </c>
      <c r="J641" s="114">
        <v>1</v>
      </c>
      <c r="K641" s="114" t="s">
        <v>1243</v>
      </c>
      <c r="L641" s="298"/>
      <c r="M641" s="114" t="s">
        <v>1377</v>
      </c>
      <c r="N641" s="114">
        <f t="shared" si="1086"/>
        <v>0</v>
      </c>
      <c r="O641" s="298"/>
      <c r="P641" s="298"/>
      <c r="Q641" s="298"/>
      <c r="R641" s="298"/>
      <c r="S641" s="298"/>
      <c r="T641" s="298"/>
      <c r="U641" s="298"/>
      <c r="V641" s="298"/>
      <c r="W641" s="298"/>
      <c r="X641" s="298"/>
      <c r="Y641" s="298"/>
      <c r="Z641" s="298"/>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5"/>
      <c r="BM641" s="311"/>
      <c r="BN641" s="313"/>
    </row>
    <row r="642" s="48" customFormat="1" ht="33.95" hidden="1" customHeight="1" outlineLevel="3" spans="2:66">
      <c r="B642" s="114" t="s">
        <v>799</v>
      </c>
      <c r="C642" s="115" t="s">
        <v>2279</v>
      </c>
      <c r="D642" s="48" t="s">
        <v>2280</v>
      </c>
      <c r="E642" s="114"/>
      <c r="F642" s="114" t="s">
        <v>1625</v>
      </c>
      <c r="G642" s="114" t="s">
        <v>943</v>
      </c>
      <c r="H642" s="114">
        <f t="shared" si="1085"/>
        <v>0</v>
      </c>
      <c r="I642" s="114" t="s">
        <v>1242</v>
      </c>
      <c r="J642" s="114">
        <v>1</v>
      </c>
      <c r="K642" s="114" t="s">
        <v>1243</v>
      </c>
      <c r="L642" s="298"/>
      <c r="M642" s="114" t="s">
        <v>1377</v>
      </c>
      <c r="N642" s="114">
        <f t="shared" si="1086"/>
        <v>0</v>
      </c>
      <c r="O642" s="316"/>
      <c r="P642" s="316"/>
      <c r="Q642" s="316"/>
      <c r="R642" s="316"/>
      <c r="S642" s="316"/>
      <c r="T642" s="316"/>
      <c r="U642" s="316"/>
      <c r="V642" s="316"/>
      <c r="W642" s="316"/>
      <c r="X642" s="316"/>
      <c r="Y642" s="316"/>
      <c r="Z642" s="316"/>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5"/>
      <c r="BM642" s="311"/>
      <c r="BN642" s="313"/>
    </row>
    <row r="643" s="29" customFormat="1" ht="33.95" hidden="1" customHeight="1" outlineLevel="2" collapsed="1" spans="2:66">
      <c r="B643" s="111" t="s">
        <v>794</v>
      </c>
      <c r="C643" s="112" t="s">
        <v>2281</v>
      </c>
      <c r="D643" s="29" t="s">
        <v>2282</v>
      </c>
      <c r="E643" s="111"/>
      <c r="F643" s="111"/>
      <c r="G643" s="111"/>
      <c r="H643" s="111">
        <f>SUM(H644:H645)</f>
        <v>0</v>
      </c>
      <c r="I643" s="111"/>
      <c r="J643" s="111"/>
      <c r="K643" s="111"/>
      <c r="L643" s="111"/>
      <c r="M643" s="111"/>
      <c r="N643" s="304"/>
      <c r="O643" s="287"/>
      <c r="P643" s="287"/>
      <c r="Q643" s="287"/>
      <c r="R643" s="287"/>
      <c r="S643" s="287"/>
      <c r="T643" s="287"/>
      <c r="U643" s="287"/>
      <c r="V643" s="287"/>
      <c r="W643" s="287"/>
      <c r="X643" s="287"/>
      <c r="Y643" s="287"/>
      <c r="Z643" s="287"/>
      <c r="AA643" s="287"/>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4"/>
      <c r="BM643" s="311"/>
      <c r="BN643" s="312"/>
    </row>
    <row r="644" s="48" customFormat="1" ht="33.95" hidden="1" customHeight="1" outlineLevel="3" spans="2:66">
      <c r="B644" s="114" t="s">
        <v>799</v>
      </c>
      <c r="C644" s="115" t="s">
        <v>2283</v>
      </c>
      <c r="D644" s="48" t="s">
        <v>2284</v>
      </c>
      <c r="E644" s="114"/>
      <c r="F644" s="114" t="s">
        <v>1625</v>
      </c>
      <c r="G644" s="114" t="s">
        <v>943</v>
      </c>
      <c r="H644" s="114">
        <f t="shared" ref="H644:H650" si="1101">J644*L644</f>
        <v>0</v>
      </c>
      <c r="I644" s="114" t="s">
        <v>1242</v>
      </c>
      <c r="J644" s="114">
        <v>1</v>
      </c>
      <c r="K644" s="114" t="s">
        <v>1243</v>
      </c>
      <c r="L644" s="298"/>
      <c r="M644" s="114" t="s">
        <v>1377</v>
      </c>
      <c r="N644" s="114">
        <f t="shared" ref="N644:N650" si="1102">COUNTA(O644:Z644)</f>
        <v>0</v>
      </c>
      <c r="O644" s="317"/>
      <c r="P644" s="317"/>
      <c r="Q644" s="317"/>
      <c r="R644" s="317"/>
      <c r="S644" s="317"/>
      <c r="T644" s="317"/>
      <c r="U644" s="317"/>
      <c r="V644" s="317"/>
      <c r="W644" s="317"/>
      <c r="X644" s="317"/>
      <c r="Y644" s="317"/>
      <c r="Z644" s="317"/>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5"/>
      <c r="BM644" s="311"/>
      <c r="BN644" s="313"/>
    </row>
    <row r="645" s="48" customFormat="1" ht="33.95" hidden="1" customHeight="1" outlineLevel="3" spans="2:66">
      <c r="B645" s="114" t="s">
        <v>799</v>
      </c>
      <c r="C645" s="115" t="s">
        <v>2285</v>
      </c>
      <c r="D645" s="48" t="s">
        <v>2286</v>
      </c>
      <c r="E645" s="114"/>
      <c r="F645" s="114" t="s">
        <v>1625</v>
      </c>
      <c r="G645" s="114" t="s">
        <v>943</v>
      </c>
      <c r="H645" s="114">
        <f t="shared" si="1101"/>
        <v>0</v>
      </c>
      <c r="I645" s="114" t="s">
        <v>1242</v>
      </c>
      <c r="J645" s="114">
        <v>1</v>
      </c>
      <c r="K645" s="114" t="s">
        <v>1243</v>
      </c>
      <c r="L645" s="298"/>
      <c r="M645" s="114" t="s">
        <v>1377</v>
      </c>
      <c r="N645" s="114">
        <f t="shared" si="1102"/>
        <v>0</v>
      </c>
      <c r="O645" s="316"/>
      <c r="P645" s="316"/>
      <c r="Q645" s="316"/>
      <c r="R645" s="316"/>
      <c r="S645" s="316"/>
      <c r="T645" s="316"/>
      <c r="U645" s="316"/>
      <c r="V645" s="316"/>
      <c r="W645" s="316"/>
      <c r="X645" s="316"/>
      <c r="Y645" s="316"/>
      <c r="Z645" s="316"/>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5"/>
      <c r="BM645" s="311"/>
      <c r="BN645" s="313"/>
    </row>
    <row r="646" s="29" customFormat="1" ht="33.95" hidden="1" customHeight="1" outlineLevel="2" collapsed="1" spans="2:66">
      <c r="B646" s="111" t="s">
        <v>794</v>
      </c>
      <c r="C646" s="112" t="s">
        <v>2287</v>
      </c>
      <c r="D646" s="29" t="s">
        <v>2288</v>
      </c>
      <c r="E646" s="111"/>
      <c r="F646" s="111"/>
      <c r="G646" s="111"/>
      <c r="H646" s="111">
        <f>SUM(H647:H650)</f>
        <v>0</v>
      </c>
      <c r="I646" s="111"/>
      <c r="J646" s="111"/>
      <c r="K646" s="111"/>
      <c r="L646" s="111"/>
      <c r="M646" s="111"/>
      <c r="N646" s="304"/>
      <c r="O646" s="287"/>
      <c r="P646" s="287"/>
      <c r="Q646" s="287"/>
      <c r="R646" s="287"/>
      <c r="S646" s="287"/>
      <c r="T646" s="287"/>
      <c r="U646" s="287"/>
      <c r="V646" s="287"/>
      <c r="W646" s="287"/>
      <c r="X646" s="287"/>
      <c r="Y646" s="287"/>
      <c r="Z646" s="287"/>
      <c r="AA646" s="287"/>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4"/>
      <c r="BM646" s="311"/>
      <c r="BN646" s="312"/>
    </row>
    <row r="647" s="48" customFormat="1" ht="33.95" hidden="1" customHeight="1" outlineLevel="3" spans="2:66">
      <c r="B647" s="114" t="s">
        <v>799</v>
      </c>
      <c r="C647" s="115" t="s">
        <v>2289</v>
      </c>
      <c r="D647" s="48" t="s">
        <v>2290</v>
      </c>
      <c r="E647" s="114" t="s">
        <v>2291</v>
      </c>
      <c r="F647" s="114" t="s">
        <v>1625</v>
      </c>
      <c r="G647" s="114" t="s">
        <v>943</v>
      </c>
      <c r="H647" s="114">
        <f t="shared" si="1101"/>
        <v>0</v>
      </c>
      <c r="I647" s="114" t="s">
        <v>1242</v>
      </c>
      <c r="J647" s="114">
        <v>1</v>
      </c>
      <c r="K647" s="114" t="s">
        <v>1243</v>
      </c>
      <c r="L647" s="298"/>
      <c r="M647" s="114" t="s">
        <v>1377</v>
      </c>
      <c r="N647" s="114">
        <f t="shared" si="1102"/>
        <v>0</v>
      </c>
      <c r="O647" s="317"/>
      <c r="P647" s="317"/>
      <c r="Q647" s="317"/>
      <c r="R647" s="317"/>
      <c r="S647" s="317"/>
      <c r="T647" s="317"/>
      <c r="U647" s="317"/>
      <c r="V647" s="317"/>
      <c r="W647" s="317"/>
      <c r="X647" s="317"/>
      <c r="Y647" s="317"/>
      <c r="Z647" s="317"/>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5"/>
      <c r="BM647" s="311"/>
      <c r="BN647" s="313"/>
    </row>
    <row r="648" s="48" customFormat="1" ht="33.95" hidden="1" customHeight="1" outlineLevel="3" spans="2:66">
      <c r="B648" s="114" t="s">
        <v>799</v>
      </c>
      <c r="C648" s="115" t="s">
        <v>2292</v>
      </c>
      <c r="D648" s="48" t="s">
        <v>2293</v>
      </c>
      <c r="E648" s="114" t="s">
        <v>2294</v>
      </c>
      <c r="F648" s="114" t="s">
        <v>1625</v>
      </c>
      <c r="G648" s="114" t="s">
        <v>943</v>
      </c>
      <c r="H648" s="114">
        <f t="shared" si="1101"/>
        <v>0</v>
      </c>
      <c r="I648" s="114" t="s">
        <v>1242</v>
      </c>
      <c r="J648" s="114">
        <v>1</v>
      </c>
      <c r="K648" s="114" t="s">
        <v>1243</v>
      </c>
      <c r="L648" s="298"/>
      <c r="M648" s="114" t="s">
        <v>1377</v>
      </c>
      <c r="N648" s="114">
        <f t="shared" si="1102"/>
        <v>0</v>
      </c>
      <c r="O648" s="298"/>
      <c r="P648" s="298"/>
      <c r="Q648" s="298"/>
      <c r="R648" s="298"/>
      <c r="S648" s="298"/>
      <c r="T648" s="298"/>
      <c r="U648" s="298"/>
      <c r="V648" s="298"/>
      <c r="W648" s="298"/>
      <c r="X648" s="298"/>
      <c r="Y648" s="298"/>
      <c r="Z648" s="298"/>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5"/>
      <c r="BM648" s="311"/>
      <c r="BN648" s="313"/>
    </row>
    <row r="649" s="48" customFormat="1" ht="33.95" hidden="1" customHeight="1" outlineLevel="3" spans="2:66">
      <c r="B649" s="114" t="s">
        <v>799</v>
      </c>
      <c r="C649" s="115" t="s">
        <v>2295</v>
      </c>
      <c r="D649" s="48" t="s">
        <v>2296</v>
      </c>
      <c r="E649" s="114" t="s">
        <v>2297</v>
      </c>
      <c r="F649" s="114" t="s">
        <v>1625</v>
      </c>
      <c r="G649" s="114" t="s">
        <v>943</v>
      </c>
      <c r="H649" s="114">
        <f t="shared" si="1101"/>
        <v>0</v>
      </c>
      <c r="I649" s="114" t="s">
        <v>1242</v>
      </c>
      <c r="J649" s="114">
        <v>1</v>
      </c>
      <c r="K649" s="114" t="s">
        <v>1243</v>
      </c>
      <c r="L649" s="298"/>
      <c r="M649" s="114" t="s">
        <v>1377</v>
      </c>
      <c r="N649" s="114">
        <f t="shared" si="1102"/>
        <v>0</v>
      </c>
      <c r="O649" s="298"/>
      <c r="P649" s="298"/>
      <c r="Q649" s="298"/>
      <c r="R649" s="298"/>
      <c r="S649" s="298"/>
      <c r="T649" s="298"/>
      <c r="U649" s="298"/>
      <c r="V649" s="298"/>
      <c r="W649" s="298"/>
      <c r="X649" s="298"/>
      <c r="Y649" s="298"/>
      <c r="Z649" s="298"/>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5"/>
      <c r="BM649" s="311"/>
      <c r="BN649" s="313"/>
    </row>
    <row r="650" s="48" customFormat="1" ht="33.95" hidden="1" customHeight="1" outlineLevel="3" spans="2:66">
      <c r="B650" s="114" t="s">
        <v>799</v>
      </c>
      <c r="C650" s="115" t="s">
        <v>2298</v>
      </c>
      <c r="D650" s="48" t="s">
        <v>2299</v>
      </c>
      <c r="E650" s="114"/>
      <c r="F650" s="114" t="s">
        <v>1625</v>
      </c>
      <c r="G650" s="114" t="s">
        <v>943</v>
      </c>
      <c r="H650" s="114">
        <f t="shared" si="1101"/>
        <v>0</v>
      </c>
      <c r="I650" s="114" t="s">
        <v>1242</v>
      </c>
      <c r="J650" s="114">
        <v>1</v>
      </c>
      <c r="K650" s="114" t="s">
        <v>1243</v>
      </c>
      <c r="L650" s="298"/>
      <c r="M650" s="114" t="s">
        <v>1377</v>
      </c>
      <c r="N650" s="114">
        <f t="shared" si="1102"/>
        <v>0</v>
      </c>
      <c r="O650" s="316"/>
      <c r="P650" s="316"/>
      <c r="Q650" s="316"/>
      <c r="R650" s="316"/>
      <c r="S650" s="316"/>
      <c r="T650" s="316"/>
      <c r="U650" s="316"/>
      <c r="V650" s="316"/>
      <c r="W650" s="316"/>
      <c r="X650" s="316"/>
      <c r="Y650" s="316"/>
      <c r="Z650" s="316"/>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5"/>
      <c r="BM650" s="311"/>
      <c r="BN650" s="313"/>
    </row>
    <row r="651" s="29" customFormat="1" ht="33.95" hidden="1" customHeight="1" outlineLevel="2" spans="2:66">
      <c r="B651" s="111" t="s">
        <v>799</v>
      </c>
      <c r="C651" s="112" t="s">
        <v>2300</v>
      </c>
      <c r="D651" s="29" t="s">
        <v>2301</v>
      </c>
      <c r="G651" s="111" t="s">
        <v>1851</v>
      </c>
      <c r="H651" s="111">
        <f>J651*L651*N651</f>
        <v>0</v>
      </c>
      <c r="I651" s="111" t="s">
        <v>1242</v>
      </c>
      <c r="J651" s="111">
        <v>1</v>
      </c>
      <c r="K651" s="111" t="s">
        <v>1243</v>
      </c>
      <c r="L651" s="298">
        <f>预算主表!P88/12</f>
        <v>0</v>
      </c>
      <c r="M651" s="111" t="s">
        <v>1244</v>
      </c>
      <c r="N651" s="304">
        <v>12</v>
      </c>
      <c r="O651" s="287"/>
      <c r="P651" s="287"/>
      <c r="Q651" s="287"/>
      <c r="R651" s="287"/>
      <c r="S651" s="287"/>
      <c r="T651" s="287"/>
      <c r="U651" s="287"/>
      <c r="V651" s="287"/>
      <c r="W651" s="287"/>
      <c r="X651" s="287"/>
      <c r="Y651" s="287"/>
      <c r="Z651" s="287"/>
      <c r="AA651" s="287"/>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4"/>
      <c r="BM651" s="311"/>
      <c r="BN651" s="312"/>
    </row>
    <row r="652" s="107" customFormat="1" ht="33.95" hidden="1" customHeight="1" outlineLevel="1" collapsed="1" spans="2:66">
      <c r="B652" s="108" t="s">
        <v>794</v>
      </c>
      <c r="C652" s="109">
        <v>1.4</v>
      </c>
      <c r="D652" s="107" t="s">
        <v>215</v>
      </c>
      <c r="G652" s="108"/>
      <c r="H652" s="108">
        <f>SUM(H653:H657)</f>
        <v>0</v>
      </c>
      <c r="N652" s="303"/>
      <c r="O652" s="286"/>
      <c r="P652" s="286"/>
      <c r="Q652" s="286"/>
      <c r="R652" s="286"/>
      <c r="S652" s="286"/>
      <c r="T652" s="286"/>
      <c r="U652" s="286"/>
      <c r="V652" s="286"/>
      <c r="W652" s="286"/>
      <c r="X652" s="286"/>
      <c r="Y652" s="286"/>
      <c r="Z652" s="286"/>
      <c r="AA652" s="286"/>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3"/>
      <c r="BM652" s="311"/>
      <c r="BN652" s="286"/>
    </row>
    <row r="653" s="29" customFormat="1" ht="33.95" hidden="1" customHeight="1" outlineLevel="2" spans="2:66">
      <c r="B653" s="111" t="s">
        <v>799</v>
      </c>
      <c r="C653" s="112" t="s">
        <v>84</v>
      </c>
      <c r="D653" s="29" t="s">
        <v>85</v>
      </c>
      <c r="E653" s="111" t="s">
        <v>2302</v>
      </c>
      <c r="F653" s="111"/>
      <c r="G653" s="111" t="s">
        <v>1851</v>
      </c>
      <c r="H653" s="111">
        <f t="shared" ref="H653:H657" si="1129">J653*L653*N653</f>
        <v>0</v>
      </c>
      <c r="I653" s="111" t="s">
        <v>2303</v>
      </c>
      <c r="J653" s="298">
        <f>预算主表!P100/(12*L653)</f>
        <v>0</v>
      </c>
      <c r="K653" s="111" t="s">
        <v>2304</v>
      </c>
      <c r="L653" s="298">
        <v>5.24</v>
      </c>
      <c r="M653" s="111" t="s">
        <v>2305</v>
      </c>
      <c r="N653" s="304">
        <v>12</v>
      </c>
      <c r="O653" s="287"/>
      <c r="P653" s="287"/>
      <c r="Q653" s="287"/>
      <c r="R653" s="287"/>
      <c r="S653" s="287"/>
      <c r="T653" s="287"/>
      <c r="U653" s="287"/>
      <c r="V653" s="287"/>
      <c r="W653" s="287"/>
      <c r="X653" s="287"/>
      <c r="Y653" s="287"/>
      <c r="Z653" s="287"/>
      <c r="AA653" s="287"/>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4"/>
      <c r="BM653" s="311"/>
      <c r="BN653" s="312"/>
    </row>
    <row r="654" s="29" customFormat="1" ht="33.95" hidden="1" customHeight="1" outlineLevel="2" spans="2:66">
      <c r="B654" s="111" t="s">
        <v>799</v>
      </c>
      <c r="C654" s="112" t="s">
        <v>88</v>
      </c>
      <c r="D654" s="29" t="s">
        <v>89</v>
      </c>
      <c r="E654" s="111" t="s">
        <v>2306</v>
      </c>
      <c r="F654" s="111"/>
      <c r="G654" s="111" t="s">
        <v>1851</v>
      </c>
      <c r="H654" s="111">
        <f t="shared" si="1129"/>
        <v>0</v>
      </c>
      <c r="I654" s="111" t="s">
        <v>2307</v>
      </c>
      <c r="J654" s="298">
        <f>预算主表!P101/(12*L654)</f>
        <v>0</v>
      </c>
      <c r="K654" s="111" t="s">
        <v>2308</v>
      </c>
      <c r="L654" s="298">
        <v>0.69</v>
      </c>
      <c r="M654" s="111" t="s">
        <v>2309</v>
      </c>
      <c r="N654" s="304">
        <v>12</v>
      </c>
      <c r="O654" s="287"/>
      <c r="P654" s="287"/>
      <c r="Q654" s="287"/>
      <c r="R654" s="287"/>
      <c r="S654" s="287"/>
      <c r="T654" s="287"/>
      <c r="U654" s="287"/>
      <c r="V654" s="287"/>
      <c r="W654" s="287"/>
      <c r="X654" s="287"/>
      <c r="Y654" s="287"/>
      <c r="Z654" s="287"/>
      <c r="AA654" s="287"/>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4"/>
      <c r="BM654" s="311"/>
      <c r="BN654" s="312"/>
    </row>
    <row r="655" s="29" customFormat="1" ht="33.95" hidden="1" customHeight="1" outlineLevel="2" spans="2:66">
      <c r="B655" s="111" t="s">
        <v>799</v>
      </c>
      <c r="C655" s="112" t="s">
        <v>96</v>
      </c>
      <c r="D655" s="29" t="s">
        <v>97</v>
      </c>
      <c r="E655" s="111" t="s">
        <v>2310</v>
      </c>
      <c r="F655" s="111"/>
      <c r="G655" s="111" t="s">
        <v>1851</v>
      </c>
      <c r="H655" s="111">
        <f t="shared" si="1129"/>
        <v>0</v>
      </c>
      <c r="I655" s="111" t="s">
        <v>2311</v>
      </c>
      <c r="J655" s="298"/>
      <c r="K655" s="111" t="s">
        <v>2304</v>
      </c>
      <c r="L655" s="298"/>
      <c r="M655" s="111" t="s">
        <v>2305</v>
      </c>
      <c r="N655" s="304">
        <v>12</v>
      </c>
      <c r="O655" s="287"/>
      <c r="P655" s="287"/>
      <c r="Q655" s="287"/>
      <c r="R655" s="287"/>
      <c r="S655" s="287"/>
      <c r="T655" s="287"/>
      <c r="U655" s="287"/>
      <c r="V655" s="287"/>
      <c r="W655" s="287"/>
      <c r="X655" s="287"/>
      <c r="Y655" s="287"/>
      <c r="Z655" s="287"/>
      <c r="AA655" s="287"/>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4"/>
      <c r="BM655" s="311"/>
      <c r="BN655" s="312"/>
    </row>
    <row r="656" s="29" customFormat="1" ht="33.95" hidden="1" customHeight="1" outlineLevel="2" spans="2:66">
      <c r="B656" s="111" t="s">
        <v>799</v>
      </c>
      <c r="C656" s="112" t="s">
        <v>92</v>
      </c>
      <c r="D656" s="29" t="s">
        <v>93</v>
      </c>
      <c r="E656" s="111" t="s">
        <v>2312</v>
      </c>
      <c r="F656" s="111" t="s">
        <v>1625</v>
      </c>
      <c r="G656" s="111" t="s">
        <v>1851</v>
      </c>
      <c r="H656" s="111">
        <f>J656*L656</f>
        <v>0</v>
      </c>
      <c r="I656" s="111" t="s">
        <v>2313</v>
      </c>
      <c r="J656" s="298"/>
      <c r="K656" s="111" t="s">
        <v>1243</v>
      </c>
      <c r="L656" s="298"/>
      <c r="M656" s="111" t="s">
        <v>2314</v>
      </c>
      <c r="N656" s="111">
        <f>COUNTA(O656:Z656)</f>
        <v>0</v>
      </c>
      <c r="O656" s="323"/>
      <c r="P656" s="323"/>
      <c r="Q656" s="323"/>
      <c r="R656" s="323"/>
      <c r="S656" s="323"/>
      <c r="T656" s="323"/>
      <c r="U656" s="323"/>
      <c r="V656" s="323"/>
      <c r="W656" s="323"/>
      <c r="X656" s="323"/>
      <c r="Y656" s="323"/>
      <c r="Z656" s="323"/>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4"/>
      <c r="BM656" s="311"/>
      <c r="BN656" s="312"/>
    </row>
    <row r="657" s="29" customFormat="1" ht="33.95" hidden="1" customHeight="1" outlineLevel="2" spans="2:66">
      <c r="B657" s="111" t="s">
        <v>799</v>
      </c>
      <c r="C657" s="112" t="s">
        <v>100</v>
      </c>
      <c r="D657" s="29" t="s">
        <v>101</v>
      </c>
      <c r="E657" s="111" t="s">
        <v>2315</v>
      </c>
      <c r="F657" s="111"/>
      <c r="G657" s="111" t="s">
        <v>1851</v>
      </c>
      <c r="H657" s="111">
        <f t="shared" si="1129"/>
        <v>0</v>
      </c>
      <c r="I657" s="111" t="s">
        <v>1242</v>
      </c>
      <c r="J657" s="111">
        <v>1</v>
      </c>
      <c r="K657" s="111" t="s">
        <v>1243</v>
      </c>
      <c r="L657" s="298"/>
      <c r="M657" s="111" t="s">
        <v>1244</v>
      </c>
      <c r="N657" s="304">
        <v>12</v>
      </c>
      <c r="O657" s="287"/>
      <c r="P657" s="287"/>
      <c r="Q657" s="287"/>
      <c r="R657" s="287"/>
      <c r="S657" s="287"/>
      <c r="T657" s="287"/>
      <c r="U657" s="287"/>
      <c r="V657" s="287"/>
      <c r="W657" s="287"/>
      <c r="X657" s="287"/>
      <c r="Y657" s="287"/>
      <c r="Z657" s="287"/>
      <c r="AA657" s="287"/>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4"/>
      <c r="BM657" s="311"/>
      <c r="BN657" s="312"/>
    </row>
    <row r="658" s="107" customFormat="1" ht="33.95" hidden="1" customHeight="1" outlineLevel="1" collapsed="1" spans="2:66">
      <c r="B658" s="108" t="s">
        <v>794</v>
      </c>
      <c r="C658" s="322">
        <v>1.5</v>
      </c>
      <c r="D658" s="107" t="s">
        <v>216</v>
      </c>
      <c r="G658" s="108"/>
      <c r="H658" s="108">
        <f>SUM(H659:H667)</f>
        <v>4800</v>
      </c>
      <c r="N658" s="303"/>
      <c r="O658" s="286"/>
      <c r="P658" s="286"/>
      <c r="Q658" s="286"/>
      <c r="R658" s="286"/>
      <c r="S658" s="286"/>
      <c r="T658" s="286"/>
      <c r="U658" s="286"/>
      <c r="V658" s="286"/>
      <c r="W658" s="286"/>
      <c r="X658" s="286"/>
      <c r="Y658" s="286"/>
      <c r="Z658" s="286"/>
      <c r="AA658" s="286"/>
      <c r="AB658" s="108">
        <f t="shared" ref="AB658:AF658" si="1131">SUM(AB659:AB667)</f>
        <v>4800</v>
      </c>
      <c r="AC658" s="108">
        <f t="shared" si="1131"/>
        <v>400</v>
      </c>
      <c r="AF658" s="108">
        <f t="shared" si="1131"/>
        <v>400</v>
      </c>
      <c r="AI658" s="108">
        <f>SUM(AI659:AI667)</f>
        <v>400</v>
      </c>
      <c r="AL658" s="108">
        <f>SUM(AL659:AL667)</f>
        <v>400</v>
      </c>
      <c r="AO658" s="108">
        <f>SUM(AO659:AO667)</f>
        <v>400</v>
      </c>
      <c r="AR658" s="108">
        <f>SUM(AR659:AR667)</f>
        <v>400</v>
      </c>
      <c r="AU658" s="108">
        <f>SUM(AU659:AU667)</f>
        <v>400</v>
      </c>
      <c r="AX658" s="108">
        <f>SUM(AX659:AX667)</f>
        <v>400</v>
      </c>
      <c r="BA658" s="108">
        <f>SUM(BA659:BA667)</f>
        <v>400</v>
      </c>
      <c r="BD658" s="108">
        <f>SUM(BD659:BD667)</f>
        <v>400</v>
      </c>
      <c r="BG658" s="108">
        <f>SUM(BG659:BG667)</f>
        <v>400</v>
      </c>
      <c r="BJ658" s="108">
        <f>SUM(BJ659:BJ667)</f>
        <v>400</v>
      </c>
      <c r="BL658" s="303"/>
      <c r="BM658" s="311"/>
      <c r="BN658" s="286"/>
    </row>
    <row r="659" s="29" customFormat="1" ht="33.95" hidden="1" customHeight="1" outlineLevel="2" spans="2:66">
      <c r="B659" s="111" t="s">
        <v>799</v>
      </c>
      <c r="C659" s="112" t="s">
        <v>135</v>
      </c>
      <c r="D659" s="29" t="s">
        <v>136</v>
      </c>
      <c r="E659" s="111" t="s">
        <v>2316</v>
      </c>
      <c r="F659" s="111"/>
      <c r="G659" s="111" t="s">
        <v>943</v>
      </c>
      <c r="H659" s="111">
        <f>J659*L659*N659</f>
        <v>0</v>
      </c>
      <c r="I659" s="111" t="s">
        <v>1242</v>
      </c>
      <c r="J659" s="298"/>
      <c r="K659" s="111" t="s">
        <v>1396</v>
      </c>
      <c r="L659" s="111">
        <v>100</v>
      </c>
      <c r="M659" s="111" t="s">
        <v>1417</v>
      </c>
      <c r="N659" s="111">
        <f>COUNTA(O659:Z659)</f>
        <v>0</v>
      </c>
      <c r="O659" s="323"/>
      <c r="P659" s="323"/>
      <c r="Q659" s="323"/>
      <c r="R659" s="323"/>
      <c r="S659" s="323"/>
      <c r="T659" s="323"/>
      <c r="U659" s="323"/>
      <c r="V659" s="323"/>
      <c r="W659" s="323"/>
      <c r="X659" s="323"/>
      <c r="Y659" s="323"/>
      <c r="Z659" s="323"/>
      <c r="AA659" s="111"/>
      <c r="AB659" s="325">
        <f>SUM(AC659,AF659,AI659,AL659,AO659,AR659,AU659,AX659,BA659,BD659,BG659,BJ659)</f>
        <v>0</v>
      </c>
      <c r="AC659" s="325">
        <f>IF(O659="√",$J659*$L659/$N659,0)</f>
        <v>0</v>
      </c>
      <c r="AD659" s="325"/>
      <c r="AE659" s="325"/>
      <c r="AF659" s="325">
        <f>IF(P659="√",$J659*$L659/$N659,0)</f>
        <v>0</v>
      </c>
      <c r="AG659" s="325"/>
      <c r="AH659" s="325"/>
      <c r="AI659" s="325">
        <f>IF(Q659="√",$J659*$L659/$N659,0)</f>
        <v>0</v>
      </c>
      <c r="AJ659" s="325"/>
      <c r="AK659" s="325"/>
      <c r="AL659" s="325">
        <f>IF(R659="√",$J659*$L659/$N659,0)</f>
        <v>0</v>
      </c>
      <c r="AM659" s="325"/>
      <c r="AN659" s="325"/>
      <c r="AO659" s="325">
        <f>IF(S659="√",$J659*$L659/$N659,0)</f>
        <v>0</v>
      </c>
      <c r="AP659" s="325"/>
      <c r="AQ659" s="325"/>
      <c r="AR659" s="325">
        <f>IF(T659="√",$J659*$L659/$N659,0)</f>
        <v>0</v>
      </c>
      <c r="AS659" s="325"/>
      <c r="AT659" s="325"/>
      <c r="AU659" s="325">
        <f>IF(U659="√",$J659*$L659/$N659,0)</f>
        <v>0</v>
      </c>
      <c r="AV659" s="325"/>
      <c r="AW659" s="325"/>
      <c r="AX659" s="325">
        <f>IF(V659="√",$J659*$L659/$N659,0)</f>
        <v>0</v>
      </c>
      <c r="AY659" s="325"/>
      <c r="AZ659" s="325"/>
      <c r="BA659" s="325">
        <f>IF(W659="√",$J659*$L659/$N659,0)</f>
        <v>0</v>
      </c>
      <c r="BB659" s="325"/>
      <c r="BC659" s="325"/>
      <c r="BD659" s="325">
        <f>IF(X659="√",$J659*$L659/$N659,0)</f>
        <v>0</v>
      </c>
      <c r="BE659" s="325"/>
      <c r="BF659" s="325"/>
      <c r="BG659" s="325">
        <f>IF(Y659="√",$J659*$L659/$N659,0)</f>
        <v>0</v>
      </c>
      <c r="BH659" s="325"/>
      <c r="BI659" s="325"/>
      <c r="BJ659" s="325">
        <f>IF(Z659="√",$J659*$L659/$N659,0)</f>
        <v>0</v>
      </c>
      <c r="BK659" s="325"/>
      <c r="BL659" s="326"/>
      <c r="BM659" s="311"/>
      <c r="BN659" s="312"/>
    </row>
    <row r="660" s="29" customFormat="1" ht="33.95" hidden="1" customHeight="1" outlineLevel="2" spans="2:66">
      <c r="B660" s="111" t="s">
        <v>799</v>
      </c>
      <c r="C660" s="112" t="s">
        <v>137</v>
      </c>
      <c r="D660" s="29" t="s">
        <v>138</v>
      </c>
      <c r="E660" s="111" t="s">
        <v>2317</v>
      </c>
      <c r="F660" s="111"/>
      <c r="G660" s="111" t="s">
        <v>1851</v>
      </c>
      <c r="H660" s="111">
        <f t="shared" ref="H660:H667" si="1132">J660*L660*N660</f>
        <v>0</v>
      </c>
      <c r="I660" s="111" t="s">
        <v>1242</v>
      </c>
      <c r="J660" s="111">
        <v>1</v>
      </c>
      <c r="K660" s="111" t="s">
        <v>1243</v>
      </c>
      <c r="L660" s="298">
        <f>预算主表!P116/12</f>
        <v>0</v>
      </c>
      <c r="M660" s="111" t="s">
        <v>1244</v>
      </c>
      <c r="N660" s="304">
        <v>12</v>
      </c>
      <c r="O660" s="287"/>
      <c r="P660" s="287"/>
      <c r="Q660" s="287"/>
      <c r="R660" s="287"/>
      <c r="S660" s="287"/>
      <c r="T660" s="287"/>
      <c r="U660" s="287"/>
      <c r="V660" s="287"/>
      <c r="W660" s="287"/>
      <c r="X660" s="287"/>
      <c r="Y660" s="287"/>
      <c r="Z660" s="287"/>
      <c r="AA660" s="287"/>
      <c r="AB660" s="325">
        <f t="shared" ref="AB660:AB667" si="1133">SUM(AC660,AF660,AI660,AL660,AO660,AR660,AU660,AX660,BA660,BD660,BG660,BJ660)</f>
        <v>0</v>
      </c>
      <c r="AC660" s="325">
        <f t="shared" ref="AC660:AC667" si="1134">$H660/12</f>
        <v>0</v>
      </c>
      <c r="AD660" s="325"/>
      <c r="AE660" s="325"/>
      <c r="AF660" s="325">
        <f t="shared" ref="AF660:AF667" si="1135">$H660/12</f>
        <v>0</v>
      </c>
      <c r="AG660" s="325"/>
      <c r="AH660" s="325"/>
      <c r="AI660" s="325">
        <f t="shared" ref="AI660:AI667" si="1136">$H660/12</f>
        <v>0</v>
      </c>
      <c r="AJ660" s="325"/>
      <c r="AK660" s="325"/>
      <c r="AL660" s="325">
        <f t="shared" ref="AL660:AL667" si="1137">$H660/12</f>
        <v>0</v>
      </c>
      <c r="AM660" s="325"/>
      <c r="AN660" s="325"/>
      <c r="AO660" s="325">
        <f t="shared" ref="AO660:AO667" si="1138">$H660/12</f>
        <v>0</v>
      </c>
      <c r="AP660" s="325"/>
      <c r="AQ660" s="325"/>
      <c r="AR660" s="325">
        <f t="shared" ref="AR660:AR667" si="1139">$H660/12</f>
        <v>0</v>
      </c>
      <c r="AS660" s="325"/>
      <c r="AT660" s="325"/>
      <c r="AU660" s="325">
        <f t="shared" ref="AU660:AU667" si="1140">$H660/12</f>
        <v>0</v>
      </c>
      <c r="AV660" s="325"/>
      <c r="AW660" s="325"/>
      <c r="AX660" s="325">
        <f t="shared" ref="AX660:AX667" si="1141">$H660/12</f>
        <v>0</v>
      </c>
      <c r="AY660" s="325"/>
      <c r="AZ660" s="325"/>
      <c r="BA660" s="325">
        <f t="shared" ref="BA660:BA667" si="1142">$H660/12</f>
        <v>0</v>
      </c>
      <c r="BB660" s="325"/>
      <c r="BC660" s="325"/>
      <c r="BD660" s="325">
        <f t="shared" ref="BD660:BD667" si="1143">$H660/12</f>
        <v>0</v>
      </c>
      <c r="BE660" s="325"/>
      <c r="BF660" s="325"/>
      <c r="BG660" s="325">
        <f t="shared" ref="BG660:BG667" si="1144">$H660/12</f>
        <v>0</v>
      </c>
      <c r="BH660" s="325"/>
      <c r="BI660" s="325"/>
      <c r="BJ660" s="325">
        <f t="shared" ref="BJ660:BJ667" si="1145">$H660/12</f>
        <v>0</v>
      </c>
      <c r="BK660" s="325"/>
      <c r="BL660" s="326"/>
      <c r="BM660" s="311"/>
      <c r="BN660" s="312"/>
    </row>
    <row r="661" s="29" customFormat="1" ht="33.95" hidden="1" customHeight="1" outlineLevel="2" spans="2:66">
      <c r="B661" s="111" t="s">
        <v>799</v>
      </c>
      <c r="C661" s="112" t="s">
        <v>141</v>
      </c>
      <c r="D661" s="29" t="s">
        <v>142</v>
      </c>
      <c r="E661" s="111" t="s">
        <v>2318</v>
      </c>
      <c r="F661" s="111"/>
      <c r="G661" s="111" t="s">
        <v>1851</v>
      </c>
      <c r="H661" s="111">
        <f t="shared" si="1132"/>
        <v>0</v>
      </c>
      <c r="I661" s="111" t="s">
        <v>1242</v>
      </c>
      <c r="J661" s="111">
        <v>1</v>
      </c>
      <c r="K661" s="111" t="s">
        <v>1243</v>
      </c>
      <c r="L661" s="298">
        <f>预算主表!P117/12</f>
        <v>0</v>
      </c>
      <c r="M661" s="111" t="s">
        <v>1244</v>
      </c>
      <c r="N661" s="304">
        <v>12</v>
      </c>
      <c r="O661" s="287"/>
      <c r="P661" s="287"/>
      <c r="Q661" s="287"/>
      <c r="R661" s="287"/>
      <c r="S661" s="287"/>
      <c r="T661" s="287"/>
      <c r="U661" s="287"/>
      <c r="V661" s="287"/>
      <c r="W661" s="287"/>
      <c r="X661" s="287"/>
      <c r="Y661" s="287"/>
      <c r="Z661" s="287"/>
      <c r="AA661" s="287"/>
      <c r="AB661" s="325">
        <f t="shared" si="1133"/>
        <v>0</v>
      </c>
      <c r="AC661" s="325">
        <f t="shared" si="1134"/>
        <v>0</v>
      </c>
      <c r="AD661" s="325"/>
      <c r="AE661" s="325"/>
      <c r="AF661" s="325">
        <f t="shared" si="1135"/>
        <v>0</v>
      </c>
      <c r="AG661" s="325"/>
      <c r="AH661" s="325"/>
      <c r="AI661" s="325">
        <f t="shared" si="1136"/>
        <v>0</v>
      </c>
      <c r="AJ661" s="325"/>
      <c r="AK661" s="325"/>
      <c r="AL661" s="325">
        <f t="shared" si="1137"/>
        <v>0</v>
      </c>
      <c r="AM661" s="325"/>
      <c r="AN661" s="325"/>
      <c r="AO661" s="325">
        <f t="shared" si="1138"/>
        <v>0</v>
      </c>
      <c r="AP661" s="325"/>
      <c r="AQ661" s="325"/>
      <c r="AR661" s="325">
        <f t="shared" si="1139"/>
        <v>0</v>
      </c>
      <c r="AS661" s="325"/>
      <c r="AT661" s="325"/>
      <c r="AU661" s="325">
        <f t="shared" si="1140"/>
        <v>0</v>
      </c>
      <c r="AV661" s="325"/>
      <c r="AW661" s="325"/>
      <c r="AX661" s="325">
        <f t="shared" si="1141"/>
        <v>0</v>
      </c>
      <c r="AY661" s="325"/>
      <c r="AZ661" s="325"/>
      <c r="BA661" s="325">
        <f t="shared" si="1142"/>
        <v>0</v>
      </c>
      <c r="BB661" s="325"/>
      <c r="BC661" s="325"/>
      <c r="BD661" s="325">
        <f t="shared" si="1143"/>
        <v>0</v>
      </c>
      <c r="BE661" s="325"/>
      <c r="BF661" s="325"/>
      <c r="BG661" s="325">
        <f t="shared" si="1144"/>
        <v>0</v>
      </c>
      <c r="BH661" s="325"/>
      <c r="BI661" s="325"/>
      <c r="BJ661" s="325">
        <f t="shared" si="1145"/>
        <v>0</v>
      </c>
      <c r="BK661" s="325"/>
      <c r="BL661" s="326"/>
      <c r="BM661" s="311"/>
      <c r="BN661" s="312"/>
    </row>
    <row r="662" s="29" customFormat="1" ht="33.95" hidden="1" customHeight="1" outlineLevel="2" spans="2:66">
      <c r="B662" s="111" t="s">
        <v>799</v>
      </c>
      <c r="C662" s="112" t="s">
        <v>102</v>
      </c>
      <c r="D662" s="29" t="s">
        <v>103</v>
      </c>
      <c r="E662" s="111" t="s">
        <v>2319</v>
      </c>
      <c r="F662" s="111"/>
      <c r="G662" s="111" t="s">
        <v>1851</v>
      </c>
      <c r="H662" s="111">
        <f t="shared" si="1132"/>
        <v>0</v>
      </c>
      <c r="I662" s="111" t="s">
        <v>1242</v>
      </c>
      <c r="J662" s="111">
        <v>1</v>
      </c>
      <c r="K662" s="111" t="s">
        <v>1243</v>
      </c>
      <c r="L662" s="298"/>
      <c r="M662" s="111" t="s">
        <v>1244</v>
      </c>
      <c r="N662" s="304">
        <v>12</v>
      </c>
      <c r="O662" s="287"/>
      <c r="P662" s="287"/>
      <c r="Q662" s="287"/>
      <c r="R662" s="287"/>
      <c r="S662" s="287"/>
      <c r="T662" s="287"/>
      <c r="U662" s="287"/>
      <c r="V662" s="287"/>
      <c r="W662" s="287"/>
      <c r="X662" s="287"/>
      <c r="Y662" s="287"/>
      <c r="Z662" s="287"/>
      <c r="AA662" s="287"/>
      <c r="AB662" s="325">
        <f t="shared" si="1133"/>
        <v>0</v>
      </c>
      <c r="AC662" s="325">
        <f t="shared" si="1134"/>
        <v>0</v>
      </c>
      <c r="AD662" s="325"/>
      <c r="AE662" s="325"/>
      <c r="AF662" s="325">
        <f t="shared" si="1135"/>
        <v>0</v>
      </c>
      <c r="AG662" s="325"/>
      <c r="AH662" s="325"/>
      <c r="AI662" s="325">
        <f t="shared" si="1136"/>
        <v>0</v>
      </c>
      <c r="AJ662" s="325"/>
      <c r="AK662" s="325"/>
      <c r="AL662" s="325">
        <f t="shared" si="1137"/>
        <v>0</v>
      </c>
      <c r="AM662" s="325"/>
      <c r="AN662" s="325"/>
      <c r="AO662" s="325">
        <f t="shared" si="1138"/>
        <v>0</v>
      </c>
      <c r="AP662" s="325"/>
      <c r="AQ662" s="325"/>
      <c r="AR662" s="325">
        <f t="shared" si="1139"/>
        <v>0</v>
      </c>
      <c r="AS662" s="325"/>
      <c r="AT662" s="325"/>
      <c r="AU662" s="325">
        <f t="shared" si="1140"/>
        <v>0</v>
      </c>
      <c r="AV662" s="325"/>
      <c r="AW662" s="325"/>
      <c r="AX662" s="325">
        <f t="shared" si="1141"/>
        <v>0</v>
      </c>
      <c r="AY662" s="325"/>
      <c r="AZ662" s="325"/>
      <c r="BA662" s="325">
        <f t="shared" si="1142"/>
        <v>0</v>
      </c>
      <c r="BB662" s="325"/>
      <c r="BC662" s="325"/>
      <c r="BD662" s="325">
        <f t="shared" si="1143"/>
        <v>0</v>
      </c>
      <c r="BE662" s="325"/>
      <c r="BF662" s="325"/>
      <c r="BG662" s="325">
        <f t="shared" si="1144"/>
        <v>0</v>
      </c>
      <c r="BH662" s="325"/>
      <c r="BI662" s="325"/>
      <c r="BJ662" s="325">
        <f t="shared" si="1145"/>
        <v>0</v>
      </c>
      <c r="BK662" s="325"/>
      <c r="BL662" s="326"/>
      <c r="BM662" s="311"/>
      <c r="BN662" s="312"/>
    </row>
    <row r="663" s="29" customFormat="1" ht="33.95" hidden="1" customHeight="1" outlineLevel="2" spans="2:66">
      <c r="B663" s="111" t="s">
        <v>799</v>
      </c>
      <c r="C663" s="112" t="s">
        <v>143</v>
      </c>
      <c r="D663" s="29" t="s">
        <v>144</v>
      </c>
      <c r="E663" s="111"/>
      <c r="F663" s="111"/>
      <c r="G663" s="111" t="s">
        <v>1851</v>
      </c>
      <c r="H663" s="111">
        <f t="shared" si="1132"/>
        <v>0</v>
      </c>
      <c r="I663" s="111" t="s">
        <v>1242</v>
      </c>
      <c r="J663" s="111">
        <v>1</v>
      </c>
      <c r="K663" s="111" t="s">
        <v>1243</v>
      </c>
      <c r="L663" s="298"/>
      <c r="M663" s="111" t="s">
        <v>1244</v>
      </c>
      <c r="N663" s="304">
        <v>12</v>
      </c>
      <c r="O663" s="287"/>
      <c r="P663" s="287"/>
      <c r="Q663" s="287"/>
      <c r="R663" s="287"/>
      <c r="S663" s="287"/>
      <c r="T663" s="287"/>
      <c r="U663" s="287"/>
      <c r="V663" s="287"/>
      <c r="W663" s="287"/>
      <c r="X663" s="287"/>
      <c r="Y663" s="287"/>
      <c r="Z663" s="287"/>
      <c r="AA663" s="287"/>
      <c r="AB663" s="325">
        <f t="shared" si="1133"/>
        <v>0</v>
      </c>
      <c r="AC663" s="325">
        <f t="shared" si="1134"/>
        <v>0</v>
      </c>
      <c r="AD663" s="325"/>
      <c r="AE663" s="325"/>
      <c r="AF663" s="325">
        <f t="shared" si="1135"/>
        <v>0</v>
      </c>
      <c r="AG663" s="325"/>
      <c r="AH663" s="325"/>
      <c r="AI663" s="325">
        <f t="shared" si="1136"/>
        <v>0</v>
      </c>
      <c r="AJ663" s="325"/>
      <c r="AK663" s="325"/>
      <c r="AL663" s="325">
        <f t="shared" si="1137"/>
        <v>0</v>
      </c>
      <c r="AM663" s="325"/>
      <c r="AN663" s="325"/>
      <c r="AO663" s="325">
        <f t="shared" si="1138"/>
        <v>0</v>
      </c>
      <c r="AP663" s="325"/>
      <c r="AQ663" s="325"/>
      <c r="AR663" s="325">
        <f t="shared" si="1139"/>
        <v>0</v>
      </c>
      <c r="AS663" s="325"/>
      <c r="AT663" s="325"/>
      <c r="AU663" s="325">
        <f t="shared" si="1140"/>
        <v>0</v>
      </c>
      <c r="AV663" s="325"/>
      <c r="AW663" s="325"/>
      <c r="AX663" s="325">
        <f t="shared" si="1141"/>
        <v>0</v>
      </c>
      <c r="AY663" s="325"/>
      <c r="AZ663" s="325"/>
      <c r="BA663" s="325">
        <f t="shared" si="1142"/>
        <v>0</v>
      </c>
      <c r="BB663" s="325"/>
      <c r="BC663" s="325"/>
      <c r="BD663" s="325">
        <f t="shared" si="1143"/>
        <v>0</v>
      </c>
      <c r="BE663" s="325"/>
      <c r="BF663" s="325"/>
      <c r="BG663" s="325">
        <f t="shared" si="1144"/>
        <v>0</v>
      </c>
      <c r="BH663" s="325"/>
      <c r="BI663" s="325"/>
      <c r="BJ663" s="325">
        <f t="shared" si="1145"/>
        <v>0</v>
      </c>
      <c r="BK663" s="325"/>
      <c r="BL663" s="326"/>
      <c r="BM663" s="311"/>
      <c r="BN663" s="312"/>
    </row>
    <row r="664" s="29" customFormat="1" ht="33.95" hidden="1" customHeight="1" outlineLevel="2" spans="2:66">
      <c r="B664" s="111" t="s">
        <v>799</v>
      </c>
      <c r="C664" s="112" t="s">
        <v>147</v>
      </c>
      <c r="D664" s="29" t="s">
        <v>148</v>
      </c>
      <c r="E664" s="111" t="s">
        <v>2320</v>
      </c>
      <c r="F664" s="111"/>
      <c r="G664" s="111" t="s">
        <v>1851</v>
      </c>
      <c r="H664" s="111">
        <f t="shared" si="1132"/>
        <v>0</v>
      </c>
      <c r="I664" s="111" t="s">
        <v>1242</v>
      </c>
      <c r="J664" s="111">
        <v>1</v>
      </c>
      <c r="K664" s="111" t="s">
        <v>1243</v>
      </c>
      <c r="L664" s="298">
        <f>预算主表!P119/12</f>
        <v>0</v>
      </c>
      <c r="M664" s="111" t="s">
        <v>1244</v>
      </c>
      <c r="N664" s="304">
        <v>12</v>
      </c>
      <c r="O664" s="287"/>
      <c r="P664" s="287"/>
      <c r="Q664" s="287"/>
      <c r="R664" s="287"/>
      <c r="S664" s="287"/>
      <c r="T664" s="287"/>
      <c r="U664" s="287"/>
      <c r="V664" s="287"/>
      <c r="W664" s="287"/>
      <c r="X664" s="287"/>
      <c r="Y664" s="287"/>
      <c r="Z664" s="287"/>
      <c r="AA664" s="287"/>
      <c r="AB664" s="325">
        <f t="shared" si="1133"/>
        <v>0</v>
      </c>
      <c r="AC664" s="325">
        <f t="shared" si="1134"/>
        <v>0</v>
      </c>
      <c r="AD664" s="325"/>
      <c r="AE664" s="325"/>
      <c r="AF664" s="325">
        <f t="shared" si="1135"/>
        <v>0</v>
      </c>
      <c r="AG664" s="325"/>
      <c r="AH664" s="325"/>
      <c r="AI664" s="325">
        <f t="shared" si="1136"/>
        <v>0</v>
      </c>
      <c r="AJ664" s="325"/>
      <c r="AK664" s="325"/>
      <c r="AL664" s="325">
        <f t="shared" si="1137"/>
        <v>0</v>
      </c>
      <c r="AM664" s="325"/>
      <c r="AN664" s="325"/>
      <c r="AO664" s="325">
        <f t="shared" si="1138"/>
        <v>0</v>
      </c>
      <c r="AP664" s="325"/>
      <c r="AQ664" s="325"/>
      <c r="AR664" s="325">
        <f t="shared" si="1139"/>
        <v>0</v>
      </c>
      <c r="AS664" s="325"/>
      <c r="AT664" s="325"/>
      <c r="AU664" s="325">
        <f t="shared" si="1140"/>
        <v>0</v>
      </c>
      <c r="AV664" s="325"/>
      <c r="AW664" s="325"/>
      <c r="AX664" s="325">
        <f t="shared" si="1141"/>
        <v>0</v>
      </c>
      <c r="AY664" s="325"/>
      <c r="AZ664" s="325"/>
      <c r="BA664" s="325">
        <f t="shared" si="1142"/>
        <v>0</v>
      </c>
      <c r="BB664" s="325"/>
      <c r="BC664" s="325"/>
      <c r="BD664" s="325">
        <f t="shared" si="1143"/>
        <v>0</v>
      </c>
      <c r="BE664" s="325"/>
      <c r="BF664" s="325"/>
      <c r="BG664" s="325">
        <f t="shared" si="1144"/>
        <v>0</v>
      </c>
      <c r="BH664" s="325"/>
      <c r="BI664" s="325"/>
      <c r="BJ664" s="325">
        <f t="shared" si="1145"/>
        <v>0</v>
      </c>
      <c r="BK664" s="325"/>
      <c r="BL664" s="326"/>
      <c r="BM664" s="311"/>
      <c r="BN664" s="312"/>
    </row>
    <row r="665" s="29" customFormat="1" ht="33.95" hidden="1" customHeight="1" outlineLevel="2" spans="2:66">
      <c r="B665" s="111" t="s">
        <v>799</v>
      </c>
      <c r="C665" s="112" t="s">
        <v>153</v>
      </c>
      <c r="D665" s="29" t="s">
        <v>154</v>
      </c>
      <c r="E665" s="111" t="s">
        <v>2321</v>
      </c>
      <c r="F665" s="111"/>
      <c r="G665" s="111" t="s">
        <v>1851</v>
      </c>
      <c r="H665" s="111">
        <f t="shared" si="1132"/>
        <v>0</v>
      </c>
      <c r="I665" s="111" t="s">
        <v>1242</v>
      </c>
      <c r="J665" s="111">
        <v>1</v>
      </c>
      <c r="K665" s="111" t="s">
        <v>1243</v>
      </c>
      <c r="L665" s="298">
        <f>预算主表!P125/12</f>
        <v>0</v>
      </c>
      <c r="M665" s="111" t="s">
        <v>1244</v>
      </c>
      <c r="N665" s="304">
        <v>12</v>
      </c>
      <c r="O665" s="287"/>
      <c r="P665" s="287"/>
      <c r="Q665" s="287"/>
      <c r="R665" s="287"/>
      <c r="S665" s="287"/>
      <c r="T665" s="287"/>
      <c r="U665" s="287"/>
      <c r="V665" s="287"/>
      <c r="W665" s="287"/>
      <c r="X665" s="287"/>
      <c r="Y665" s="287"/>
      <c r="Z665" s="287"/>
      <c r="AA665" s="287"/>
      <c r="AB665" s="325">
        <f t="shared" si="1133"/>
        <v>0</v>
      </c>
      <c r="AC665" s="325">
        <f t="shared" si="1134"/>
        <v>0</v>
      </c>
      <c r="AD665" s="325"/>
      <c r="AE665" s="325"/>
      <c r="AF665" s="325">
        <f t="shared" si="1135"/>
        <v>0</v>
      </c>
      <c r="AG665" s="325"/>
      <c r="AH665" s="325"/>
      <c r="AI665" s="325">
        <f t="shared" si="1136"/>
        <v>0</v>
      </c>
      <c r="AJ665" s="325"/>
      <c r="AK665" s="325"/>
      <c r="AL665" s="325">
        <f t="shared" si="1137"/>
        <v>0</v>
      </c>
      <c r="AM665" s="325"/>
      <c r="AN665" s="325"/>
      <c r="AO665" s="325">
        <f t="shared" si="1138"/>
        <v>0</v>
      </c>
      <c r="AP665" s="325"/>
      <c r="AQ665" s="325"/>
      <c r="AR665" s="325">
        <f t="shared" si="1139"/>
        <v>0</v>
      </c>
      <c r="AS665" s="325"/>
      <c r="AT665" s="325"/>
      <c r="AU665" s="325">
        <f t="shared" si="1140"/>
        <v>0</v>
      </c>
      <c r="AV665" s="325"/>
      <c r="AW665" s="325"/>
      <c r="AX665" s="325">
        <f t="shared" si="1141"/>
        <v>0</v>
      </c>
      <c r="AY665" s="325"/>
      <c r="AZ665" s="325"/>
      <c r="BA665" s="325">
        <f t="shared" si="1142"/>
        <v>0</v>
      </c>
      <c r="BB665" s="325"/>
      <c r="BC665" s="325"/>
      <c r="BD665" s="325">
        <f t="shared" si="1143"/>
        <v>0</v>
      </c>
      <c r="BE665" s="325"/>
      <c r="BF665" s="325"/>
      <c r="BG665" s="325">
        <f t="shared" si="1144"/>
        <v>0</v>
      </c>
      <c r="BH665" s="325"/>
      <c r="BI665" s="325"/>
      <c r="BJ665" s="325">
        <f t="shared" si="1145"/>
        <v>0</v>
      </c>
      <c r="BK665" s="325"/>
      <c r="BL665" s="326"/>
      <c r="BM665" s="311"/>
      <c r="BN665" s="312"/>
    </row>
    <row r="666" s="29" customFormat="1" ht="33.95" hidden="1" customHeight="1" outlineLevel="2" spans="2:66">
      <c r="B666" s="111" t="s">
        <v>799</v>
      </c>
      <c r="C666" s="112" t="s">
        <v>157</v>
      </c>
      <c r="D666" s="29" t="s">
        <v>158</v>
      </c>
      <c r="E666" s="111" t="s">
        <v>2322</v>
      </c>
      <c r="F666" s="111"/>
      <c r="G666" s="111" t="s">
        <v>1851</v>
      </c>
      <c r="H666" s="111">
        <f t="shared" si="1132"/>
        <v>4800</v>
      </c>
      <c r="I666" s="111" t="s">
        <v>1242</v>
      </c>
      <c r="J666" s="111">
        <v>1</v>
      </c>
      <c r="K666" s="111" t="s">
        <v>1243</v>
      </c>
      <c r="L666" s="298">
        <f>预算主表!P127/12</f>
        <v>400</v>
      </c>
      <c r="M666" s="111" t="s">
        <v>1244</v>
      </c>
      <c r="N666" s="304">
        <v>12</v>
      </c>
      <c r="O666" s="287"/>
      <c r="P666" s="287"/>
      <c r="Q666" s="287"/>
      <c r="R666" s="287"/>
      <c r="S666" s="287"/>
      <c r="T666" s="287"/>
      <c r="U666" s="287"/>
      <c r="V666" s="287"/>
      <c r="W666" s="287"/>
      <c r="X666" s="287"/>
      <c r="Y666" s="287"/>
      <c r="Z666" s="287"/>
      <c r="AA666" s="287"/>
      <c r="AB666" s="325">
        <f t="shared" si="1133"/>
        <v>4800</v>
      </c>
      <c r="AC666" s="325">
        <f t="shared" si="1134"/>
        <v>400</v>
      </c>
      <c r="AD666" s="325"/>
      <c r="AE666" s="325"/>
      <c r="AF666" s="325">
        <f t="shared" si="1135"/>
        <v>400</v>
      </c>
      <c r="AG666" s="325"/>
      <c r="AH666" s="325"/>
      <c r="AI666" s="325">
        <f t="shared" si="1136"/>
        <v>400</v>
      </c>
      <c r="AJ666" s="325"/>
      <c r="AK666" s="325"/>
      <c r="AL666" s="325">
        <f t="shared" si="1137"/>
        <v>400</v>
      </c>
      <c r="AM666" s="325"/>
      <c r="AN666" s="325"/>
      <c r="AO666" s="325">
        <f t="shared" si="1138"/>
        <v>400</v>
      </c>
      <c r="AP666" s="325"/>
      <c r="AQ666" s="325"/>
      <c r="AR666" s="325">
        <f t="shared" si="1139"/>
        <v>400</v>
      </c>
      <c r="AS666" s="325"/>
      <c r="AT666" s="325"/>
      <c r="AU666" s="325">
        <f t="shared" si="1140"/>
        <v>400</v>
      </c>
      <c r="AV666" s="325"/>
      <c r="AW666" s="325"/>
      <c r="AX666" s="325">
        <f t="shared" si="1141"/>
        <v>400</v>
      </c>
      <c r="AY666" s="325"/>
      <c r="AZ666" s="325"/>
      <c r="BA666" s="325">
        <f t="shared" si="1142"/>
        <v>400</v>
      </c>
      <c r="BB666" s="325"/>
      <c r="BC666" s="325"/>
      <c r="BD666" s="325">
        <f t="shared" si="1143"/>
        <v>400</v>
      </c>
      <c r="BE666" s="325"/>
      <c r="BF666" s="325"/>
      <c r="BG666" s="325">
        <f t="shared" si="1144"/>
        <v>400</v>
      </c>
      <c r="BH666" s="325"/>
      <c r="BI666" s="325"/>
      <c r="BJ666" s="325">
        <f t="shared" si="1145"/>
        <v>400</v>
      </c>
      <c r="BK666" s="325"/>
      <c r="BL666" s="326"/>
      <c r="BM666" s="311"/>
      <c r="BN666" s="312"/>
    </row>
    <row r="667" s="29" customFormat="1" ht="33.95" hidden="1" customHeight="1" outlineLevel="2" spans="2:66">
      <c r="B667" s="111" t="s">
        <v>799</v>
      </c>
      <c r="C667" s="112" t="s">
        <v>78</v>
      </c>
      <c r="D667" s="29" t="s">
        <v>79</v>
      </c>
      <c r="E667" s="111" t="s">
        <v>2323</v>
      </c>
      <c r="F667" s="111"/>
      <c r="G667" s="111" t="s">
        <v>1851</v>
      </c>
      <c r="H667" s="111">
        <f t="shared" si="1132"/>
        <v>0</v>
      </c>
      <c r="I667" s="111" t="s">
        <v>1242</v>
      </c>
      <c r="J667" s="111">
        <v>1</v>
      </c>
      <c r="K667" s="111" t="s">
        <v>1243</v>
      </c>
      <c r="L667" s="298">
        <f>预算主表!P98/12</f>
        <v>0</v>
      </c>
      <c r="M667" s="111" t="s">
        <v>1244</v>
      </c>
      <c r="N667" s="304">
        <v>12</v>
      </c>
      <c r="O667" s="287"/>
      <c r="P667" s="287"/>
      <c r="Q667" s="287"/>
      <c r="R667" s="287"/>
      <c r="S667" s="287"/>
      <c r="T667" s="287"/>
      <c r="U667" s="287"/>
      <c r="V667" s="287"/>
      <c r="W667" s="287"/>
      <c r="X667" s="287"/>
      <c r="Y667" s="287"/>
      <c r="Z667" s="287"/>
      <c r="AA667" s="287"/>
      <c r="AB667" s="325">
        <f t="shared" si="1133"/>
        <v>0</v>
      </c>
      <c r="AC667" s="325">
        <f t="shared" si="1134"/>
        <v>0</v>
      </c>
      <c r="AD667" s="325"/>
      <c r="AE667" s="325"/>
      <c r="AF667" s="325">
        <f t="shared" si="1135"/>
        <v>0</v>
      </c>
      <c r="AG667" s="325"/>
      <c r="AH667" s="325"/>
      <c r="AI667" s="325">
        <f t="shared" si="1136"/>
        <v>0</v>
      </c>
      <c r="AJ667" s="325"/>
      <c r="AK667" s="325"/>
      <c r="AL667" s="325">
        <f t="shared" si="1137"/>
        <v>0</v>
      </c>
      <c r="AM667" s="325"/>
      <c r="AN667" s="325"/>
      <c r="AO667" s="325">
        <f t="shared" si="1138"/>
        <v>0</v>
      </c>
      <c r="AP667" s="325"/>
      <c r="AQ667" s="325"/>
      <c r="AR667" s="325">
        <f t="shared" si="1139"/>
        <v>0</v>
      </c>
      <c r="AS667" s="325"/>
      <c r="AT667" s="325"/>
      <c r="AU667" s="325">
        <f t="shared" si="1140"/>
        <v>0</v>
      </c>
      <c r="AV667" s="325"/>
      <c r="AW667" s="325"/>
      <c r="AX667" s="325">
        <f t="shared" si="1141"/>
        <v>0</v>
      </c>
      <c r="AY667" s="325"/>
      <c r="AZ667" s="325"/>
      <c r="BA667" s="325">
        <f t="shared" si="1142"/>
        <v>0</v>
      </c>
      <c r="BB667" s="325"/>
      <c r="BC667" s="325"/>
      <c r="BD667" s="325">
        <f t="shared" si="1143"/>
        <v>0</v>
      </c>
      <c r="BE667" s="325"/>
      <c r="BF667" s="325"/>
      <c r="BG667" s="325">
        <f t="shared" si="1144"/>
        <v>0</v>
      </c>
      <c r="BH667" s="325"/>
      <c r="BI667" s="325"/>
      <c r="BJ667" s="325">
        <f t="shared" si="1145"/>
        <v>0</v>
      </c>
      <c r="BK667" s="325"/>
      <c r="BL667" s="326"/>
      <c r="BM667" s="311"/>
      <c r="BN667" s="312"/>
    </row>
    <row r="668" s="107" customFormat="1" ht="33.95" hidden="1" customHeight="1" outlineLevel="1" collapsed="1" spans="2:66">
      <c r="B668" s="108" t="s">
        <v>794</v>
      </c>
      <c r="C668" s="109">
        <v>1.6</v>
      </c>
      <c r="D668" s="107" t="s">
        <v>217</v>
      </c>
      <c r="F668" s="107" t="s">
        <v>2324</v>
      </c>
      <c r="G668" s="108"/>
      <c r="H668" s="108">
        <f>H669+H691+H692+H693+H694</f>
        <v>640</v>
      </c>
      <c r="N668" s="303"/>
      <c r="O668" s="286"/>
      <c r="P668" s="286"/>
      <c r="Q668" s="286"/>
      <c r="R668" s="286"/>
      <c r="S668" s="286"/>
      <c r="T668" s="286"/>
      <c r="U668" s="286"/>
      <c r="V668" s="286"/>
      <c r="W668" s="286"/>
      <c r="X668" s="286"/>
      <c r="Y668" s="286"/>
      <c r="Z668" s="286"/>
      <c r="AA668" s="286"/>
      <c r="AB668" s="108">
        <f t="shared" ref="AB668:AF668" si="1146">AB669+AB691+AB692+AB693+AB694</f>
        <v>640</v>
      </c>
      <c r="AC668" s="108">
        <f t="shared" si="1146"/>
        <v>640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3"/>
      <c r="BM668" s="311"/>
      <c r="BN668" s="286"/>
    </row>
    <row r="669" s="29" customFormat="1" ht="33.95" hidden="1" customHeight="1" outlineLevel="2" collapsed="1" spans="2:66">
      <c r="B669" s="111" t="s">
        <v>794</v>
      </c>
      <c r="C669" s="112" t="s">
        <v>2325</v>
      </c>
      <c r="D669" s="29" t="s">
        <v>2326</v>
      </c>
      <c r="G669" s="111"/>
      <c r="H669" s="111">
        <f>SUM(H670:H690)</f>
        <v>0</v>
      </c>
      <c r="I669" s="111"/>
      <c r="N669" s="324"/>
      <c r="O669" s="287"/>
      <c r="P669" s="287"/>
      <c r="Q669" s="287"/>
      <c r="R669" s="287"/>
      <c r="S669" s="287"/>
      <c r="T669" s="287"/>
      <c r="U669" s="287"/>
      <c r="V669" s="287"/>
      <c r="W669" s="287"/>
      <c r="X669" s="287"/>
      <c r="Y669" s="287"/>
      <c r="Z669" s="287"/>
      <c r="AA669" s="312"/>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4"/>
      <c r="BM669" s="311"/>
      <c r="BN669" s="312"/>
    </row>
    <row r="670" s="48" customFormat="1" ht="33.95" hidden="1" customHeight="1" outlineLevel="3" spans="2:66">
      <c r="B670" s="114" t="s">
        <v>799</v>
      </c>
      <c r="C670" s="115" t="s">
        <v>2327</v>
      </c>
      <c r="D670" s="48" t="s">
        <v>2328</v>
      </c>
      <c r="F670" s="114" t="s">
        <v>1625</v>
      </c>
      <c r="G670" s="114" t="s">
        <v>943</v>
      </c>
      <c r="H670" s="114">
        <f t="shared" ref="H670:H681" si="1148">J670*L670</f>
        <v>0</v>
      </c>
      <c r="I670" s="114" t="s">
        <v>1242</v>
      </c>
      <c r="J670" s="298"/>
      <c r="K670" s="114" t="s">
        <v>1396</v>
      </c>
      <c r="L670" s="114">
        <v>1700</v>
      </c>
      <c r="M670" s="114" t="s">
        <v>1675</v>
      </c>
      <c r="N670" s="114">
        <f t="shared" ref="N670:N681" si="1149">COUNTA(O670:Z670)</f>
        <v>0</v>
      </c>
      <c r="O670" s="317"/>
      <c r="P670" s="317"/>
      <c r="Q670" s="317"/>
      <c r="R670" s="317"/>
      <c r="S670" s="317"/>
      <c r="T670" s="317"/>
      <c r="U670" s="317"/>
      <c r="V670" s="317"/>
      <c r="W670" s="317"/>
      <c r="X670" s="317"/>
      <c r="Y670" s="317"/>
      <c r="Z670" s="317"/>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5"/>
      <c r="BM670" s="311"/>
      <c r="BN670" s="313"/>
    </row>
    <row r="671" s="48" customFormat="1" ht="33.95" hidden="1" customHeight="1" outlineLevel="3" spans="2:66">
      <c r="B671" s="114" t="s">
        <v>799</v>
      </c>
      <c r="C671" s="115" t="s">
        <v>2329</v>
      </c>
      <c r="D671" s="48" t="s">
        <v>2330</v>
      </c>
      <c r="F671" s="114" t="s">
        <v>1625</v>
      </c>
      <c r="G671" s="114" t="s">
        <v>943</v>
      </c>
      <c r="H671" s="114">
        <f t="shared" si="1148"/>
        <v>0</v>
      </c>
      <c r="I671" s="114" t="s">
        <v>1242</v>
      </c>
      <c r="J671" s="298"/>
      <c r="K671" s="114" t="s">
        <v>1396</v>
      </c>
      <c r="L671" s="114">
        <v>510</v>
      </c>
      <c r="M671" s="114" t="s">
        <v>1675</v>
      </c>
      <c r="N671" s="114">
        <f t="shared" si="1149"/>
        <v>0</v>
      </c>
      <c r="O671" s="298"/>
      <c r="P671" s="298"/>
      <c r="Q671" s="298"/>
      <c r="R671" s="298"/>
      <c r="S671" s="298"/>
      <c r="T671" s="298"/>
      <c r="U671" s="298"/>
      <c r="V671" s="298"/>
      <c r="W671" s="298"/>
      <c r="X671" s="298"/>
      <c r="Y671" s="298"/>
      <c r="Z671" s="298"/>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5"/>
      <c r="BM671" s="311"/>
      <c r="BN671" s="313"/>
    </row>
    <row r="672" s="48" customFormat="1" ht="33.95" hidden="1" customHeight="1" outlineLevel="3" spans="2:66">
      <c r="B672" s="114" t="s">
        <v>799</v>
      </c>
      <c r="C672" s="115" t="s">
        <v>2331</v>
      </c>
      <c r="D672" s="48" t="s">
        <v>2332</v>
      </c>
      <c r="F672" s="114" t="s">
        <v>1625</v>
      </c>
      <c r="G672" s="114" t="s">
        <v>943</v>
      </c>
      <c r="H672" s="114">
        <f t="shared" si="1148"/>
        <v>0</v>
      </c>
      <c r="I672" s="114" t="s">
        <v>1242</v>
      </c>
      <c r="J672" s="298"/>
      <c r="K672" s="114" t="s">
        <v>1396</v>
      </c>
      <c r="L672" s="114">
        <v>200</v>
      </c>
      <c r="M672" s="114" t="s">
        <v>1675</v>
      </c>
      <c r="N672" s="114">
        <f t="shared" si="1149"/>
        <v>0</v>
      </c>
      <c r="O672" s="298"/>
      <c r="P672" s="298"/>
      <c r="Q672" s="298"/>
      <c r="R672" s="298"/>
      <c r="S672" s="298"/>
      <c r="T672" s="298"/>
      <c r="U672" s="298"/>
      <c r="V672" s="298"/>
      <c r="W672" s="298"/>
      <c r="X672" s="298"/>
      <c r="Y672" s="298"/>
      <c r="Z672" s="298"/>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5"/>
      <c r="BM672" s="311"/>
      <c r="BN672" s="313"/>
    </row>
    <row r="673" s="48" customFormat="1" ht="33.95" hidden="1" customHeight="1" outlineLevel="3" spans="2:66">
      <c r="B673" s="114" t="s">
        <v>799</v>
      </c>
      <c r="C673" s="115" t="s">
        <v>2333</v>
      </c>
      <c r="D673" s="48" t="s">
        <v>2334</v>
      </c>
      <c r="E673" s="114" t="s">
        <v>2335</v>
      </c>
      <c r="F673" s="114" t="s">
        <v>1625</v>
      </c>
      <c r="G673" s="114" t="s">
        <v>943</v>
      </c>
      <c r="H673" s="114">
        <f t="shared" si="1148"/>
        <v>0</v>
      </c>
      <c r="I673" s="114" t="s">
        <v>1242</v>
      </c>
      <c r="J673" s="298"/>
      <c r="K673" s="114" t="s">
        <v>1396</v>
      </c>
      <c r="L673" s="114">
        <v>450</v>
      </c>
      <c r="M673" s="114" t="s">
        <v>1675</v>
      </c>
      <c r="N673" s="114">
        <f t="shared" si="1149"/>
        <v>0</v>
      </c>
      <c r="O673" s="298"/>
      <c r="P673" s="298"/>
      <c r="Q673" s="298"/>
      <c r="R673" s="298"/>
      <c r="S673" s="298"/>
      <c r="T673" s="298"/>
      <c r="U673" s="298"/>
      <c r="V673" s="298"/>
      <c r="W673" s="298"/>
      <c r="X673" s="298"/>
      <c r="Y673" s="298"/>
      <c r="Z673" s="298"/>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5"/>
      <c r="BM673" s="311"/>
      <c r="BN673" s="313"/>
    </row>
    <row r="674" s="48" customFormat="1" ht="33.95" hidden="1" customHeight="1" outlineLevel="3" spans="2:66">
      <c r="B674" s="114" t="s">
        <v>799</v>
      </c>
      <c r="C674" s="115" t="s">
        <v>2336</v>
      </c>
      <c r="D674" s="48" t="s">
        <v>2337</v>
      </c>
      <c r="E674" s="114" t="s">
        <v>2338</v>
      </c>
      <c r="F674" s="114" t="s">
        <v>1625</v>
      </c>
      <c r="G674" s="114" t="s">
        <v>943</v>
      </c>
      <c r="H674" s="114">
        <f t="shared" si="1148"/>
        <v>0</v>
      </c>
      <c r="I674" s="114" t="s">
        <v>1242</v>
      </c>
      <c r="J674" s="298"/>
      <c r="K674" s="114" t="s">
        <v>1396</v>
      </c>
      <c r="L674" s="114">
        <v>460</v>
      </c>
      <c r="M674" s="114" t="s">
        <v>1675</v>
      </c>
      <c r="N674" s="114">
        <f t="shared" si="1149"/>
        <v>0</v>
      </c>
      <c r="O674" s="298"/>
      <c r="P674" s="298"/>
      <c r="Q674" s="298"/>
      <c r="R674" s="298"/>
      <c r="S674" s="298"/>
      <c r="T674" s="298"/>
      <c r="U674" s="298"/>
      <c r="V674" s="298"/>
      <c r="W674" s="298"/>
      <c r="X674" s="298"/>
      <c r="Y674" s="298"/>
      <c r="Z674" s="298"/>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5"/>
      <c r="BM674" s="311"/>
      <c r="BN674" s="313"/>
    </row>
    <row r="675" s="48" customFormat="1" ht="33.95" hidden="1" customHeight="1" outlineLevel="3" spans="2:66">
      <c r="B675" s="114" t="s">
        <v>799</v>
      </c>
      <c r="C675" s="115" t="s">
        <v>2339</v>
      </c>
      <c r="D675" s="48" t="s">
        <v>2340</v>
      </c>
      <c r="E675" s="114" t="s">
        <v>2341</v>
      </c>
      <c r="F675" s="114" t="s">
        <v>1625</v>
      </c>
      <c r="G675" s="114" t="s">
        <v>943</v>
      </c>
      <c r="H675" s="114">
        <f t="shared" si="1148"/>
        <v>0</v>
      </c>
      <c r="I675" s="114" t="s">
        <v>1242</v>
      </c>
      <c r="J675" s="298"/>
      <c r="K675" s="114" t="s">
        <v>1396</v>
      </c>
      <c r="L675" s="114">
        <v>1300</v>
      </c>
      <c r="M675" s="114" t="s">
        <v>1675</v>
      </c>
      <c r="N675" s="114">
        <f t="shared" si="1149"/>
        <v>0</v>
      </c>
      <c r="O675" s="298"/>
      <c r="P675" s="298"/>
      <c r="Q675" s="298"/>
      <c r="R675" s="298"/>
      <c r="S675" s="298"/>
      <c r="T675" s="298"/>
      <c r="U675" s="298"/>
      <c r="V675" s="298"/>
      <c r="W675" s="298"/>
      <c r="X675" s="298"/>
      <c r="Y675" s="298"/>
      <c r="Z675" s="298"/>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5"/>
      <c r="BM675" s="311"/>
      <c r="BN675" s="313"/>
    </row>
    <row r="676" s="48" customFormat="1" ht="33.95" hidden="1" customHeight="1" outlineLevel="3" spans="2:66">
      <c r="B676" s="114" t="s">
        <v>799</v>
      </c>
      <c r="C676" s="115" t="s">
        <v>2342</v>
      </c>
      <c r="D676" s="48" t="s">
        <v>2343</v>
      </c>
      <c r="E676" s="114" t="s">
        <v>2344</v>
      </c>
      <c r="F676" s="114" t="s">
        <v>1625</v>
      </c>
      <c r="G676" s="114" t="s">
        <v>943</v>
      </c>
      <c r="H676" s="114">
        <f t="shared" si="1148"/>
        <v>0</v>
      </c>
      <c r="I676" s="114" t="s">
        <v>1242</v>
      </c>
      <c r="J676" s="298"/>
      <c r="K676" s="114" t="s">
        <v>1396</v>
      </c>
      <c r="L676" s="114">
        <v>1100</v>
      </c>
      <c r="M676" s="114" t="s">
        <v>1675</v>
      </c>
      <c r="N676" s="114">
        <f t="shared" si="1149"/>
        <v>0</v>
      </c>
      <c r="O676" s="298"/>
      <c r="P676" s="298"/>
      <c r="Q676" s="298"/>
      <c r="R676" s="298"/>
      <c r="S676" s="298"/>
      <c r="T676" s="298"/>
      <c r="U676" s="298"/>
      <c r="V676" s="298"/>
      <c r="W676" s="298"/>
      <c r="X676" s="298"/>
      <c r="Y676" s="298"/>
      <c r="Z676" s="298"/>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5"/>
      <c r="BM676" s="311"/>
      <c r="BN676" s="313"/>
    </row>
    <row r="677" s="48" customFormat="1" ht="33.95" hidden="1" customHeight="1" outlineLevel="3" spans="2:66">
      <c r="B677" s="114" t="s">
        <v>799</v>
      </c>
      <c r="C677" s="115" t="s">
        <v>2345</v>
      </c>
      <c r="D677" s="48" t="s">
        <v>2346</v>
      </c>
      <c r="E677" s="114" t="s">
        <v>2347</v>
      </c>
      <c r="F677" s="114" t="s">
        <v>1625</v>
      </c>
      <c r="G677" s="114" t="s">
        <v>943</v>
      </c>
      <c r="H677" s="114">
        <f t="shared" si="1148"/>
        <v>0</v>
      </c>
      <c r="I677" s="114" t="s">
        <v>1242</v>
      </c>
      <c r="J677" s="298"/>
      <c r="K677" s="114" t="s">
        <v>1396</v>
      </c>
      <c r="L677" s="114">
        <v>240</v>
      </c>
      <c r="M677" s="114" t="s">
        <v>1675</v>
      </c>
      <c r="N677" s="114">
        <f t="shared" si="1149"/>
        <v>0</v>
      </c>
      <c r="O677" s="298"/>
      <c r="P677" s="298"/>
      <c r="Q677" s="298"/>
      <c r="R677" s="298"/>
      <c r="S677" s="298"/>
      <c r="T677" s="298"/>
      <c r="U677" s="298"/>
      <c r="V677" s="298"/>
      <c r="W677" s="298"/>
      <c r="X677" s="298"/>
      <c r="Y677" s="298"/>
      <c r="Z677" s="298"/>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5"/>
      <c r="BM677" s="311"/>
      <c r="BN677" s="313"/>
    </row>
    <row r="678" s="48" customFormat="1" ht="33.95" hidden="1" customHeight="1" outlineLevel="3" spans="2:66">
      <c r="B678" s="114" t="s">
        <v>799</v>
      </c>
      <c r="C678" s="115" t="s">
        <v>2348</v>
      </c>
      <c r="D678" s="48" t="s">
        <v>2349</v>
      </c>
      <c r="E678" s="114" t="s">
        <v>2350</v>
      </c>
      <c r="F678" s="114" t="s">
        <v>1625</v>
      </c>
      <c r="G678" s="114" t="s">
        <v>943</v>
      </c>
      <c r="H678" s="114">
        <f t="shared" si="1148"/>
        <v>0</v>
      </c>
      <c r="I678" s="114" t="s">
        <v>1242</v>
      </c>
      <c r="J678" s="298"/>
      <c r="K678" s="114" t="s">
        <v>1396</v>
      </c>
      <c r="L678" s="114">
        <v>1200</v>
      </c>
      <c r="M678" s="114" t="s">
        <v>1675</v>
      </c>
      <c r="N678" s="114">
        <f t="shared" si="1149"/>
        <v>0</v>
      </c>
      <c r="O678" s="298"/>
      <c r="P678" s="298"/>
      <c r="Q678" s="298"/>
      <c r="R678" s="298"/>
      <c r="S678" s="298"/>
      <c r="T678" s="298"/>
      <c r="U678" s="298"/>
      <c r="V678" s="298"/>
      <c r="W678" s="298"/>
      <c r="X678" s="298"/>
      <c r="Y678" s="298"/>
      <c r="Z678" s="298"/>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5"/>
      <c r="BM678" s="311"/>
      <c r="BN678" s="313"/>
    </row>
    <row r="679" s="48" customFormat="1" ht="33.95" hidden="1" customHeight="1" outlineLevel="3" spans="2:66">
      <c r="B679" s="114" t="s">
        <v>799</v>
      </c>
      <c r="C679" s="115" t="s">
        <v>2351</v>
      </c>
      <c r="D679" s="48" t="s">
        <v>2352</v>
      </c>
      <c r="E679" s="114" t="s">
        <v>2353</v>
      </c>
      <c r="F679" s="114" t="s">
        <v>1625</v>
      </c>
      <c r="G679" s="114" t="s">
        <v>943</v>
      </c>
      <c r="H679" s="114">
        <f t="shared" si="1148"/>
        <v>0</v>
      </c>
      <c r="I679" s="114" t="s">
        <v>1242</v>
      </c>
      <c r="J679" s="298"/>
      <c r="K679" s="114" t="s">
        <v>1396</v>
      </c>
      <c r="L679" s="114">
        <v>225</v>
      </c>
      <c r="M679" s="114" t="s">
        <v>1675</v>
      </c>
      <c r="N679" s="114">
        <f t="shared" si="1149"/>
        <v>0</v>
      </c>
      <c r="O679" s="298"/>
      <c r="P679" s="298"/>
      <c r="Q679" s="298"/>
      <c r="R679" s="298"/>
      <c r="S679" s="298"/>
      <c r="T679" s="298"/>
      <c r="U679" s="298"/>
      <c r="V679" s="298"/>
      <c r="W679" s="298"/>
      <c r="X679" s="298"/>
      <c r="Y679" s="298"/>
      <c r="Z679" s="298"/>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5"/>
      <c r="BM679" s="311"/>
      <c r="BN679" s="313"/>
    </row>
    <row r="680" s="48" customFormat="1" ht="33.95" hidden="1" customHeight="1" outlineLevel="3" spans="2:66">
      <c r="B680" s="114" t="s">
        <v>799</v>
      </c>
      <c r="C680" s="115" t="s">
        <v>2354</v>
      </c>
      <c r="D680" s="48" t="s">
        <v>2355</v>
      </c>
      <c r="E680" s="114" t="s">
        <v>2356</v>
      </c>
      <c r="F680" s="114" t="s">
        <v>1625</v>
      </c>
      <c r="G680" s="114" t="s">
        <v>943</v>
      </c>
      <c r="H680" s="114">
        <f t="shared" si="1148"/>
        <v>0</v>
      </c>
      <c r="I680" s="114" t="s">
        <v>1242</v>
      </c>
      <c r="J680" s="298"/>
      <c r="K680" s="114" t="s">
        <v>1396</v>
      </c>
      <c r="L680" s="114">
        <v>4000</v>
      </c>
      <c r="M680" s="114" t="s">
        <v>1675</v>
      </c>
      <c r="N680" s="114">
        <f t="shared" si="1149"/>
        <v>0</v>
      </c>
      <c r="O680" s="298"/>
      <c r="P680" s="298"/>
      <c r="Q680" s="298"/>
      <c r="R680" s="298"/>
      <c r="S680" s="298"/>
      <c r="T680" s="298"/>
      <c r="U680" s="298"/>
      <c r="V680" s="298"/>
      <c r="W680" s="298"/>
      <c r="X680" s="298"/>
      <c r="Y680" s="298"/>
      <c r="Z680" s="298"/>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5"/>
      <c r="BM680" s="311"/>
      <c r="BN680" s="313"/>
    </row>
    <row r="681" s="48" customFormat="1" ht="33.95" hidden="1" customHeight="1" outlineLevel="3" spans="2:66">
      <c r="B681" s="114" t="s">
        <v>799</v>
      </c>
      <c r="C681" s="115" t="s">
        <v>2357</v>
      </c>
      <c r="D681" s="48" t="s">
        <v>2358</v>
      </c>
      <c r="E681" s="114" t="s">
        <v>2359</v>
      </c>
      <c r="F681" s="114" t="s">
        <v>1625</v>
      </c>
      <c r="G681" s="114" t="s">
        <v>943</v>
      </c>
      <c r="H681" s="114">
        <f t="shared" si="1148"/>
        <v>0</v>
      </c>
      <c r="I681" s="114" t="s">
        <v>1242</v>
      </c>
      <c r="J681" s="298"/>
      <c r="K681" s="114" t="s">
        <v>1633</v>
      </c>
      <c r="L681" s="114">
        <v>4100</v>
      </c>
      <c r="M681" s="114" t="s">
        <v>1634</v>
      </c>
      <c r="N681" s="114">
        <f t="shared" si="1149"/>
        <v>0</v>
      </c>
      <c r="O681" s="298"/>
      <c r="P681" s="298"/>
      <c r="Q681" s="298"/>
      <c r="R681" s="298"/>
      <c r="S681" s="298"/>
      <c r="T681" s="298"/>
      <c r="U681" s="298"/>
      <c r="V681" s="298"/>
      <c r="W681" s="298"/>
      <c r="X681" s="298"/>
      <c r="Y681" s="298"/>
      <c r="Z681" s="298"/>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5"/>
      <c r="BM681" s="311"/>
      <c r="BN681" s="313"/>
    </row>
    <row r="682" s="48" customFormat="1" ht="33.95" hidden="1" customHeight="1" outlineLevel="3" spans="2:66">
      <c r="B682" s="114" t="s">
        <v>799</v>
      </c>
      <c r="C682" s="115" t="s">
        <v>2360</v>
      </c>
      <c r="D682" s="48" t="s">
        <v>2361</v>
      </c>
      <c r="E682" s="114" t="s">
        <v>2362</v>
      </c>
      <c r="F682" s="114" t="s">
        <v>1625</v>
      </c>
      <c r="G682" s="114" t="s">
        <v>943</v>
      </c>
      <c r="H682" s="114">
        <f t="shared" ref="H682:H690" si="1163">J682*L682</f>
        <v>0</v>
      </c>
      <c r="I682" s="114" t="s">
        <v>1242</v>
      </c>
      <c r="J682" s="298"/>
      <c r="K682" s="114" t="s">
        <v>1396</v>
      </c>
      <c r="L682" s="114">
        <v>1500</v>
      </c>
      <c r="M682" s="114" t="s">
        <v>1675</v>
      </c>
      <c r="N682" s="114">
        <f t="shared" ref="N682:N689" si="1164">COUNTA(O682:Z682)</f>
        <v>0</v>
      </c>
      <c r="O682" s="298"/>
      <c r="P682" s="298"/>
      <c r="Q682" s="298"/>
      <c r="R682" s="298"/>
      <c r="S682" s="298"/>
      <c r="T682" s="298"/>
      <c r="U682" s="298"/>
      <c r="V682" s="298"/>
      <c r="W682" s="298"/>
      <c r="X682" s="298"/>
      <c r="Y682" s="298"/>
      <c r="Z682" s="298"/>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5"/>
      <c r="BM682" s="311"/>
      <c r="BN682" s="313"/>
    </row>
    <row r="683" s="48" customFormat="1" ht="33.95" hidden="1" customHeight="1" outlineLevel="3" spans="2:66">
      <c r="B683" s="114" t="s">
        <v>799</v>
      </c>
      <c r="C683" s="115" t="s">
        <v>2363</v>
      </c>
      <c r="D683" s="48" t="s">
        <v>2364</v>
      </c>
      <c r="E683" s="114"/>
      <c r="F683" s="114" t="s">
        <v>1625</v>
      </c>
      <c r="G683" s="114" t="s">
        <v>943</v>
      </c>
      <c r="H683" s="114">
        <f t="shared" si="1163"/>
        <v>0</v>
      </c>
      <c r="I683" s="114" t="s">
        <v>1242</v>
      </c>
      <c r="J683" s="298"/>
      <c r="K683" s="114" t="s">
        <v>1396</v>
      </c>
      <c r="L683" s="114">
        <v>5000</v>
      </c>
      <c r="M683" s="114" t="s">
        <v>1675</v>
      </c>
      <c r="N683" s="114">
        <f t="shared" si="1164"/>
        <v>0</v>
      </c>
      <c r="O683" s="298"/>
      <c r="P683" s="298"/>
      <c r="Q683" s="298"/>
      <c r="R683" s="298"/>
      <c r="S683" s="298"/>
      <c r="T683" s="298"/>
      <c r="U683" s="298"/>
      <c r="V683" s="298"/>
      <c r="W683" s="298"/>
      <c r="X683" s="298"/>
      <c r="Y683" s="298"/>
      <c r="Z683" s="298"/>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5"/>
      <c r="BM683" s="311"/>
      <c r="BN683" s="313"/>
    </row>
    <row r="684" s="48" customFormat="1" ht="33.95" hidden="1" customHeight="1" outlineLevel="3" spans="2:66">
      <c r="B684" s="114" t="s">
        <v>799</v>
      </c>
      <c r="C684" s="115" t="s">
        <v>2365</v>
      </c>
      <c r="D684" s="48" t="s">
        <v>2366</v>
      </c>
      <c r="E684" s="114"/>
      <c r="F684" s="114" t="s">
        <v>1625</v>
      </c>
      <c r="G684" s="114" t="s">
        <v>943</v>
      </c>
      <c r="H684" s="114">
        <f t="shared" si="1163"/>
        <v>0</v>
      </c>
      <c r="I684" s="114" t="s">
        <v>1242</v>
      </c>
      <c r="J684" s="298"/>
      <c r="K684" s="114" t="s">
        <v>1396</v>
      </c>
      <c r="L684" s="114">
        <v>8500</v>
      </c>
      <c r="M684" s="114" t="s">
        <v>1675</v>
      </c>
      <c r="N684" s="114">
        <f t="shared" si="1164"/>
        <v>0</v>
      </c>
      <c r="O684" s="298"/>
      <c r="P684" s="298"/>
      <c r="Q684" s="298"/>
      <c r="R684" s="298"/>
      <c r="S684" s="298"/>
      <c r="T684" s="298"/>
      <c r="U684" s="298"/>
      <c r="V684" s="298"/>
      <c r="W684" s="298"/>
      <c r="X684" s="298"/>
      <c r="Y684" s="298"/>
      <c r="Z684" s="298"/>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5"/>
      <c r="BM684" s="311"/>
      <c r="BN684" s="313"/>
    </row>
    <row r="685" s="48" customFormat="1" ht="33.95" hidden="1" customHeight="1" outlineLevel="3" spans="2:66">
      <c r="B685" s="114" t="s">
        <v>799</v>
      </c>
      <c r="C685" s="115" t="s">
        <v>2367</v>
      </c>
      <c r="D685" s="48" t="s">
        <v>2368</v>
      </c>
      <c r="E685" s="114"/>
      <c r="F685" s="114" t="s">
        <v>1625</v>
      </c>
      <c r="G685" s="114" t="s">
        <v>943</v>
      </c>
      <c r="H685" s="114">
        <f t="shared" si="1163"/>
        <v>0</v>
      </c>
      <c r="I685" s="114" t="s">
        <v>1242</v>
      </c>
      <c r="J685" s="298"/>
      <c r="K685" s="114" t="s">
        <v>1396</v>
      </c>
      <c r="L685" s="114">
        <v>2700</v>
      </c>
      <c r="M685" s="114" t="s">
        <v>1675</v>
      </c>
      <c r="N685" s="114">
        <f t="shared" si="1164"/>
        <v>0</v>
      </c>
      <c r="O685" s="298"/>
      <c r="P685" s="298"/>
      <c r="Q685" s="298"/>
      <c r="R685" s="298"/>
      <c r="S685" s="298"/>
      <c r="T685" s="298"/>
      <c r="U685" s="298"/>
      <c r="V685" s="298"/>
      <c r="W685" s="298"/>
      <c r="X685" s="298"/>
      <c r="Y685" s="298"/>
      <c r="Z685" s="298"/>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5"/>
      <c r="BM685" s="311"/>
      <c r="BN685" s="313"/>
    </row>
    <row r="686" s="48" customFormat="1" ht="33.95" hidden="1" customHeight="1" outlineLevel="3" spans="2:66">
      <c r="B686" s="114" t="s">
        <v>799</v>
      </c>
      <c r="C686" s="115" t="s">
        <v>2369</v>
      </c>
      <c r="D686" s="48" t="s">
        <v>2370</v>
      </c>
      <c r="E686" s="114" t="s">
        <v>2371</v>
      </c>
      <c r="F686" s="114" t="s">
        <v>1625</v>
      </c>
      <c r="G686" s="114" t="s">
        <v>943</v>
      </c>
      <c r="H686" s="114">
        <f t="shared" si="1163"/>
        <v>0</v>
      </c>
      <c r="I686" s="114" t="s">
        <v>1242</v>
      </c>
      <c r="J686" s="298"/>
      <c r="K686" s="114" t="s">
        <v>1396</v>
      </c>
      <c r="L686" s="114">
        <v>400</v>
      </c>
      <c r="M686" s="114" t="s">
        <v>1675</v>
      </c>
      <c r="N686" s="114">
        <f t="shared" si="1164"/>
        <v>0</v>
      </c>
      <c r="O686" s="298"/>
      <c r="P686" s="298"/>
      <c r="Q686" s="298"/>
      <c r="R686" s="298"/>
      <c r="S686" s="298"/>
      <c r="T686" s="298"/>
      <c r="U686" s="298"/>
      <c r="V686" s="298"/>
      <c r="W686" s="298"/>
      <c r="X686" s="298"/>
      <c r="Y686" s="298"/>
      <c r="Z686" s="298"/>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5"/>
      <c r="BM686" s="311"/>
      <c r="BN686" s="313"/>
    </row>
    <row r="687" s="48" customFormat="1" ht="33.95" hidden="1" customHeight="1" outlineLevel="3" spans="2:66">
      <c r="B687" s="114" t="s">
        <v>799</v>
      </c>
      <c r="C687" s="115" t="s">
        <v>2372</v>
      </c>
      <c r="D687" s="48" t="s">
        <v>2334</v>
      </c>
      <c r="E687" s="114" t="s">
        <v>2335</v>
      </c>
      <c r="F687" s="114" t="s">
        <v>1625</v>
      </c>
      <c r="G687" s="114" t="s">
        <v>943</v>
      </c>
      <c r="H687" s="114">
        <f t="shared" si="1163"/>
        <v>0</v>
      </c>
      <c r="I687" s="114" t="s">
        <v>1242</v>
      </c>
      <c r="J687" s="298"/>
      <c r="K687" s="114" t="s">
        <v>1396</v>
      </c>
      <c r="L687" s="114">
        <v>450</v>
      </c>
      <c r="M687" s="114" t="s">
        <v>1675</v>
      </c>
      <c r="N687" s="114">
        <f t="shared" si="1164"/>
        <v>0</v>
      </c>
      <c r="O687" s="298"/>
      <c r="P687" s="298"/>
      <c r="Q687" s="298"/>
      <c r="R687" s="298"/>
      <c r="S687" s="298"/>
      <c r="T687" s="298"/>
      <c r="U687" s="298"/>
      <c r="V687" s="298"/>
      <c r="W687" s="298"/>
      <c r="X687" s="298"/>
      <c r="Y687" s="298"/>
      <c r="Z687" s="298"/>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5"/>
      <c r="BM687" s="311"/>
      <c r="BN687" s="313"/>
    </row>
    <row r="688" s="48" customFormat="1" ht="33.95" hidden="1" customHeight="1" outlineLevel="3" spans="2:66">
      <c r="B688" s="114" t="s">
        <v>799</v>
      </c>
      <c r="C688" s="115" t="s">
        <v>2373</v>
      </c>
      <c r="D688" s="48" t="s">
        <v>2337</v>
      </c>
      <c r="E688" s="114" t="s">
        <v>2338</v>
      </c>
      <c r="F688" s="114" t="s">
        <v>1625</v>
      </c>
      <c r="G688" s="114" t="s">
        <v>943</v>
      </c>
      <c r="H688" s="114">
        <f t="shared" si="1163"/>
        <v>0</v>
      </c>
      <c r="I688" s="114" t="s">
        <v>1242</v>
      </c>
      <c r="J688" s="298"/>
      <c r="K688" s="114" t="s">
        <v>1396</v>
      </c>
      <c r="L688" s="114">
        <v>460</v>
      </c>
      <c r="M688" s="114" t="s">
        <v>1675</v>
      </c>
      <c r="N688" s="114">
        <f t="shared" si="1164"/>
        <v>0</v>
      </c>
      <c r="O688" s="298"/>
      <c r="P688" s="298"/>
      <c r="Q688" s="298"/>
      <c r="R688" s="298"/>
      <c r="S688" s="298"/>
      <c r="T688" s="298"/>
      <c r="U688" s="298"/>
      <c r="V688" s="298"/>
      <c r="W688" s="298"/>
      <c r="X688" s="298"/>
      <c r="Y688" s="298"/>
      <c r="Z688" s="298"/>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5"/>
      <c r="BM688" s="311"/>
      <c r="BN688" s="313"/>
    </row>
    <row r="689" s="48" customFormat="1" ht="33.95" hidden="1" customHeight="1" outlineLevel="3" spans="2:66">
      <c r="B689" s="114" t="s">
        <v>799</v>
      </c>
      <c r="C689" s="115" t="s">
        <v>2374</v>
      </c>
      <c r="D689" s="48" t="s">
        <v>2375</v>
      </c>
      <c r="E689" s="114" t="s">
        <v>2376</v>
      </c>
      <c r="F689" s="114" t="s">
        <v>1625</v>
      </c>
      <c r="G689" s="114" t="s">
        <v>943</v>
      </c>
      <c r="H689" s="114">
        <f t="shared" si="1163"/>
        <v>0</v>
      </c>
      <c r="I689" s="114" t="s">
        <v>1242</v>
      </c>
      <c r="J689" s="298"/>
      <c r="K689" s="114" t="s">
        <v>1396</v>
      </c>
      <c r="L689" s="114">
        <v>500</v>
      </c>
      <c r="M689" s="114" t="s">
        <v>1675</v>
      </c>
      <c r="N689" s="114">
        <f t="shared" si="1164"/>
        <v>0</v>
      </c>
      <c r="O689" s="316"/>
      <c r="P689" s="316"/>
      <c r="Q689" s="316"/>
      <c r="R689" s="316"/>
      <c r="S689" s="316"/>
      <c r="T689" s="316"/>
      <c r="U689" s="316"/>
      <c r="V689" s="316"/>
      <c r="W689" s="316"/>
      <c r="X689" s="316"/>
      <c r="Y689" s="316"/>
      <c r="Z689" s="316"/>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5"/>
      <c r="BM689" s="311"/>
      <c r="BN689" s="313"/>
    </row>
    <row r="690" s="48" customFormat="1" ht="33.95" hidden="1" customHeight="1" outlineLevel="3" spans="2:66">
      <c r="B690" s="114" t="s">
        <v>799</v>
      </c>
      <c r="C690" s="115" t="s">
        <v>2377</v>
      </c>
      <c r="D690" s="48" t="s">
        <v>2378</v>
      </c>
      <c r="E690" s="114"/>
      <c r="F690" s="114"/>
      <c r="G690" s="114" t="s">
        <v>943</v>
      </c>
      <c r="H690" s="114">
        <f t="shared" si="1163"/>
        <v>0</v>
      </c>
      <c r="I690" s="114" t="s">
        <v>1242</v>
      </c>
      <c r="J690" s="298">
        <v>12</v>
      </c>
      <c r="K690" s="114" t="s">
        <v>1243</v>
      </c>
      <c r="L690" s="298">
        <f>预算主表!P123/12</f>
        <v>0</v>
      </c>
      <c r="M690" s="114" t="s">
        <v>1244</v>
      </c>
      <c r="N690" s="305">
        <v>12</v>
      </c>
      <c r="O690" s="288"/>
      <c r="P690" s="288"/>
      <c r="Q690" s="288"/>
      <c r="R690" s="288"/>
      <c r="S690" s="288"/>
      <c r="T690" s="288"/>
      <c r="U690" s="288"/>
      <c r="V690" s="288"/>
      <c r="W690" s="288"/>
      <c r="X690" s="288"/>
      <c r="Y690" s="288"/>
      <c r="Z690" s="288"/>
      <c r="AA690" s="288"/>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5"/>
      <c r="BM690" s="311"/>
      <c r="BN690" s="313"/>
    </row>
    <row r="691" s="29" customFormat="1" ht="33.95" hidden="1" customHeight="1" outlineLevel="2" collapsed="1" spans="2:66">
      <c r="B691" s="111" t="s">
        <v>799</v>
      </c>
      <c r="C691" s="112" t="s">
        <v>2379</v>
      </c>
      <c r="D691" s="29" t="s">
        <v>2380</v>
      </c>
      <c r="E691" s="111" t="s">
        <v>2381</v>
      </c>
      <c r="F691" s="111" t="s">
        <v>1625</v>
      </c>
      <c r="G691" s="111" t="s">
        <v>943</v>
      </c>
      <c r="H691" s="111">
        <f t="shared" ref="H691:H694" si="1178">J691*L691</f>
        <v>640</v>
      </c>
      <c r="I691" s="111" t="s">
        <v>1242</v>
      </c>
      <c r="J691" s="111">
        <v>1</v>
      </c>
      <c r="K691" s="111" t="s">
        <v>1243</v>
      </c>
      <c r="L691" s="298">
        <f>预算主表!P132</f>
        <v>640</v>
      </c>
      <c r="M691" s="111" t="s">
        <v>1377</v>
      </c>
      <c r="N691" s="111">
        <f t="shared" ref="N691:N694" si="1179">COUNTA(O691:Z691)</f>
        <v>1</v>
      </c>
      <c r="O691" s="317" t="s">
        <v>1292</v>
      </c>
      <c r="P691" s="317"/>
      <c r="Q691" s="317"/>
      <c r="R691" s="317"/>
      <c r="S691" s="317"/>
      <c r="T691" s="317"/>
      <c r="U691" s="317"/>
      <c r="V691" s="317"/>
      <c r="W691" s="317"/>
      <c r="X691" s="317"/>
      <c r="Y691" s="317"/>
      <c r="Z691" s="317"/>
      <c r="AA691" s="111"/>
      <c r="AB691" s="111">
        <f t="shared" si="1165"/>
        <v>640</v>
      </c>
      <c r="AC691" s="111">
        <f t="shared" ref="AC691:AC694" si="1180">IF(O691="√",$J691*$L691/$N691,0)</f>
        <v>640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4"/>
      <c r="BM691" s="311"/>
      <c r="BN691" s="312"/>
    </row>
    <row r="692" s="29" customFormat="1" ht="33.95" hidden="1" customHeight="1" outlineLevel="2" collapsed="1" spans="2:66">
      <c r="B692" s="111" t="s">
        <v>799</v>
      </c>
      <c r="C692" s="112" t="s">
        <v>2382</v>
      </c>
      <c r="D692" s="29" t="s">
        <v>2383</v>
      </c>
      <c r="E692" s="111" t="s">
        <v>2384</v>
      </c>
      <c r="F692" s="111" t="s">
        <v>1625</v>
      </c>
      <c r="G692" s="111" t="s">
        <v>943</v>
      </c>
      <c r="H692" s="111">
        <f t="shared" si="1178"/>
        <v>0</v>
      </c>
      <c r="I692" s="111" t="s">
        <v>1242</v>
      </c>
      <c r="J692" s="111">
        <v>1</v>
      </c>
      <c r="K692" s="111" t="s">
        <v>1243</v>
      </c>
      <c r="L692" s="298"/>
      <c r="M692" s="111" t="s">
        <v>1377</v>
      </c>
      <c r="N692" s="111">
        <f t="shared" si="1179"/>
        <v>1</v>
      </c>
      <c r="O692" s="298" t="s">
        <v>1292</v>
      </c>
      <c r="P692" s="298"/>
      <c r="Q692" s="298"/>
      <c r="R692" s="298"/>
      <c r="S692" s="298"/>
      <c r="T692" s="298"/>
      <c r="U692" s="298"/>
      <c r="V692" s="298"/>
      <c r="W692" s="298"/>
      <c r="X692" s="298"/>
      <c r="Y692" s="298"/>
      <c r="Z692" s="298"/>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4"/>
      <c r="BM692" s="311"/>
      <c r="BN692" s="312"/>
    </row>
    <row r="693" s="29" customFormat="1" ht="33.95" hidden="1" customHeight="1" outlineLevel="2" collapsed="1" spans="2:66">
      <c r="B693" s="111" t="s">
        <v>799</v>
      </c>
      <c r="C693" s="112" t="s">
        <v>2385</v>
      </c>
      <c r="D693" s="29" t="s">
        <v>2386</v>
      </c>
      <c r="F693" s="111" t="s">
        <v>1625</v>
      </c>
      <c r="G693" s="111" t="s">
        <v>943</v>
      </c>
      <c r="H693" s="111">
        <f t="shared" si="1178"/>
        <v>0</v>
      </c>
      <c r="I693" s="111" t="s">
        <v>1242</v>
      </c>
      <c r="J693" s="111">
        <v>1</v>
      </c>
      <c r="K693" s="111" t="s">
        <v>1243</v>
      </c>
      <c r="L693" s="298">
        <f>预算主表!P93</f>
        <v>0</v>
      </c>
      <c r="M693" s="111" t="s">
        <v>1377</v>
      </c>
      <c r="N693" s="111">
        <f t="shared" si="1179"/>
        <v>1</v>
      </c>
      <c r="O693" s="298" t="s">
        <v>1292</v>
      </c>
      <c r="P693" s="298"/>
      <c r="Q693" s="298"/>
      <c r="R693" s="298"/>
      <c r="S693" s="298"/>
      <c r="T693" s="298"/>
      <c r="U693" s="298"/>
      <c r="V693" s="298"/>
      <c r="W693" s="298"/>
      <c r="X693" s="298"/>
      <c r="Y693" s="298"/>
      <c r="Z693" s="298"/>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4"/>
      <c r="BM693" s="311"/>
      <c r="BN693" s="312"/>
    </row>
    <row r="694" s="29" customFormat="1" ht="33.95" hidden="1" customHeight="1" outlineLevel="2" collapsed="1" spans="2:66">
      <c r="B694" s="111" t="s">
        <v>799</v>
      </c>
      <c r="C694" s="112" t="s">
        <v>2387</v>
      </c>
      <c r="D694" s="29" t="s">
        <v>2388</v>
      </c>
      <c r="F694" s="111" t="s">
        <v>1625</v>
      </c>
      <c r="G694" s="111" t="s">
        <v>943</v>
      </c>
      <c r="H694" s="111">
        <f t="shared" si="1178"/>
        <v>0</v>
      </c>
      <c r="I694" s="111" t="s">
        <v>1242</v>
      </c>
      <c r="J694" s="111">
        <v>1</v>
      </c>
      <c r="K694" s="111" t="s">
        <v>1243</v>
      </c>
      <c r="L694" s="298">
        <f>预算主表!P95</f>
        <v>0</v>
      </c>
      <c r="M694" s="111" t="s">
        <v>1377</v>
      </c>
      <c r="N694" s="111">
        <f t="shared" si="1179"/>
        <v>1</v>
      </c>
      <c r="O694" s="298" t="s">
        <v>1292</v>
      </c>
      <c r="P694" s="298"/>
      <c r="Q694" s="298"/>
      <c r="R694" s="298"/>
      <c r="S694" s="298"/>
      <c r="T694" s="298"/>
      <c r="U694" s="298"/>
      <c r="V694" s="298"/>
      <c r="W694" s="298"/>
      <c r="X694" s="298"/>
      <c r="Y694" s="298"/>
      <c r="Z694" s="298"/>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4"/>
      <c r="BM694" s="311"/>
      <c r="BN694" s="312"/>
    </row>
  </sheetData>
  <sheetProtection formatCells="0" formatColumns="0" formatRows="0" autoFilter="0" pivotTables="0"/>
  <autoFilter xmlns:etc="http://www.wps.cn/officeDocument/2017/etCustomData" ref="A3:BN694" etc:filterBottomFollowUsedRange="0">
    <filterColumn colId="7">
      <filters>
        <filter val="640.00"/>
        <filter val="42,000.00"/>
        <filter val="104,807.30"/>
        <filter val="4,800.00"/>
        <filter val="329,146.92"/>
        <filter val="376,586.92"/>
        <filter val="324,429.94"/>
        <filter val="53,207.55"/>
        <filter val="4,716.98"/>
        <filter val="166,415.09"/>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30:Z235 O300:Z302 O237:Z238 O625:Z626 O248:Z256 O265:Z273 O258:Z261 O310:Z313 O275:Z282 O635:Z642 O284:Z290 O292:Z293 O644:Z645 O295:Z298 O647:Z650 O691:Z694 O304:Z306 O670:Z689 O316:Z334 O336:Z355 O357:Z364 O374:Z380 O366:Z372 O513:Z519 O384:Z398 O400:Z409 O411:Z417 O419:Z429 O441:Z445 O432:Z439 O504:Z511 O447:Z459 O469:Z475 O463:Z467 O488:Z492 O521:Z539 O478:Z485 O494:Z501 O606:Z613 O542:Z551 O553:Z569 O584:Z600 O602:Z604 O615:Z623 O628:Z633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8" sqref="H8"/>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2389</v>
      </c>
      <c r="D2" s="250"/>
      <c r="E2" s="250"/>
      <c r="F2" s="250"/>
      <c r="G2" s="250"/>
      <c r="H2" s="250"/>
      <c r="I2" s="250"/>
      <c r="J2" s="250"/>
      <c r="K2" s="250"/>
      <c r="L2" s="250"/>
      <c r="M2" s="250"/>
      <c r="N2" s="250"/>
      <c r="O2" s="250"/>
      <c r="P2" s="250"/>
      <c r="Q2" s="250"/>
      <c r="R2" s="250"/>
      <c r="S2" s="250"/>
    </row>
    <row r="3" ht="27" customHeight="1" spans="3:19">
      <c r="C3" s="81" t="s">
        <v>2390</v>
      </c>
      <c r="D3" s="251" t="s">
        <v>2391</v>
      </c>
      <c r="F3" s="252" t="s">
        <v>2392</v>
      </c>
      <c r="G3" s="253"/>
      <c r="H3" s="253"/>
      <c r="I3" s="253"/>
      <c r="J3" s="253"/>
      <c r="K3" s="253"/>
      <c r="L3" s="253"/>
      <c r="M3" s="253"/>
      <c r="N3" s="253"/>
      <c r="O3" s="253"/>
      <c r="P3" s="253"/>
      <c r="Q3" s="253"/>
      <c r="R3" s="253"/>
      <c r="S3" s="259"/>
    </row>
    <row r="4" ht="27" customHeight="1" spans="3:19">
      <c r="C4" s="81" t="s">
        <v>2393</v>
      </c>
      <c r="D4" s="251" t="s">
        <v>2394</v>
      </c>
      <c r="F4" s="81" t="s">
        <v>2395</v>
      </c>
      <c r="G4" s="254" t="s">
        <v>2396</v>
      </c>
      <c r="H4" s="81" t="s">
        <v>1242</v>
      </c>
      <c r="I4" s="81" t="s">
        <v>1242</v>
      </c>
      <c r="J4" s="81" t="s">
        <v>1242</v>
      </c>
      <c r="K4" s="81" t="s">
        <v>1242</v>
      </c>
      <c r="L4" s="81" t="s">
        <v>1242</v>
      </c>
      <c r="M4" s="81" t="s">
        <v>1242</v>
      </c>
      <c r="N4" s="81" t="s">
        <v>1242</v>
      </c>
      <c r="O4" s="81" t="s">
        <v>1242</v>
      </c>
      <c r="P4" s="81" t="s">
        <v>1242</v>
      </c>
      <c r="Q4" s="81" t="s">
        <v>1242</v>
      </c>
      <c r="R4" s="81" t="s">
        <v>1242</v>
      </c>
      <c r="S4" s="81" t="s">
        <v>1242</v>
      </c>
    </row>
    <row r="5" ht="27" customHeight="1" spans="3:19">
      <c r="C5" s="81" t="s">
        <v>2397</v>
      </c>
      <c r="D5" s="251" t="s">
        <v>2398</v>
      </c>
      <c r="F5" s="81"/>
      <c r="G5" s="255"/>
      <c r="H5" s="81" t="s">
        <v>766</v>
      </c>
      <c r="I5" s="81" t="s">
        <v>767</v>
      </c>
      <c r="J5" s="81" t="s">
        <v>768</v>
      </c>
      <c r="K5" s="81" t="s">
        <v>769</v>
      </c>
      <c r="L5" s="81" t="s">
        <v>770</v>
      </c>
      <c r="M5" s="81" t="s">
        <v>771</v>
      </c>
      <c r="N5" s="81" t="s">
        <v>772</v>
      </c>
      <c r="O5" s="81" t="s">
        <v>773</v>
      </c>
      <c r="P5" s="81" t="s">
        <v>774</v>
      </c>
      <c r="Q5" s="81" t="s">
        <v>775</v>
      </c>
      <c r="R5" s="81" t="s">
        <v>776</v>
      </c>
      <c r="S5" s="81" t="s">
        <v>777</v>
      </c>
    </row>
    <row r="6" ht="27" customHeight="1" spans="3:19">
      <c r="C6" s="81" t="s">
        <v>2399</v>
      </c>
      <c r="D6" s="256"/>
      <c r="F6" s="81" t="s">
        <v>2400</v>
      </c>
      <c r="G6" s="81" t="s">
        <v>1304</v>
      </c>
      <c r="H6" s="257"/>
      <c r="I6" s="257"/>
      <c r="J6" s="257"/>
      <c r="K6" s="257"/>
      <c r="L6" s="257"/>
      <c r="M6" s="257"/>
      <c r="N6" s="257"/>
      <c r="O6" s="257"/>
      <c r="P6" s="257"/>
      <c r="Q6" s="257"/>
      <c r="R6" s="257"/>
      <c r="S6" s="257"/>
    </row>
    <row r="7" ht="27" customHeight="1" spans="3:19">
      <c r="C7" s="81" t="s">
        <v>2401</v>
      </c>
      <c r="D7" s="251" t="s">
        <v>2402</v>
      </c>
      <c r="F7" s="81" t="s">
        <v>2403</v>
      </c>
      <c r="G7" s="81" t="s">
        <v>1396</v>
      </c>
      <c r="H7" s="257"/>
      <c r="I7" s="257"/>
      <c r="J7" s="257"/>
      <c r="K7" s="257"/>
      <c r="L7" s="257"/>
      <c r="M7" s="257"/>
      <c r="N7" s="257"/>
      <c r="O7" s="257"/>
      <c r="P7" s="257"/>
      <c r="Q7" s="257"/>
      <c r="R7" s="257"/>
      <c r="S7" s="257"/>
    </row>
    <row r="8" ht="27" customHeight="1" spans="3:19">
      <c r="C8" s="81" t="s">
        <v>170</v>
      </c>
      <c r="D8" s="251" t="s">
        <v>2404</v>
      </c>
      <c r="F8" s="81" t="s">
        <v>2405</v>
      </c>
      <c r="G8" s="81" t="s">
        <v>1033</v>
      </c>
      <c r="H8" s="257">
        <v>9008</v>
      </c>
      <c r="I8" s="257">
        <v>9008</v>
      </c>
      <c r="J8" s="257">
        <v>9008</v>
      </c>
      <c r="K8" s="257">
        <v>9008</v>
      </c>
      <c r="L8" s="257">
        <v>9008</v>
      </c>
      <c r="M8" s="257">
        <v>9008</v>
      </c>
      <c r="N8" s="257">
        <v>9008</v>
      </c>
      <c r="O8" s="257">
        <v>9008</v>
      </c>
      <c r="P8" s="257">
        <v>9008</v>
      </c>
      <c r="Q8" s="257">
        <v>9008</v>
      </c>
      <c r="R8" s="257">
        <v>9008</v>
      </c>
      <c r="S8" s="257">
        <v>9008</v>
      </c>
    </row>
    <row r="9" ht="27" customHeight="1" spans="3:19">
      <c r="C9" s="81" t="s">
        <v>2406</v>
      </c>
      <c r="D9" s="251" t="s">
        <v>2407</v>
      </c>
      <c r="F9" s="81" t="s">
        <v>1032</v>
      </c>
      <c r="G9" s="81" t="s">
        <v>1033</v>
      </c>
      <c r="H9" s="257">
        <v>9008</v>
      </c>
      <c r="I9" s="257">
        <v>9008</v>
      </c>
      <c r="J9" s="257">
        <v>9008</v>
      </c>
      <c r="K9" s="257">
        <v>9008</v>
      </c>
      <c r="L9" s="257">
        <v>9008</v>
      </c>
      <c r="M9" s="257">
        <v>9008</v>
      </c>
      <c r="N9" s="257">
        <v>9008</v>
      </c>
      <c r="O9" s="257">
        <v>9008</v>
      </c>
      <c r="P9" s="257">
        <v>9008</v>
      </c>
      <c r="Q9" s="257">
        <v>9008</v>
      </c>
      <c r="R9" s="257">
        <v>9008</v>
      </c>
      <c r="S9" s="257">
        <v>9008</v>
      </c>
    </row>
    <row r="10" ht="27" customHeight="1" spans="3:19">
      <c r="C10" s="81" t="s">
        <v>2408</v>
      </c>
      <c r="D10" s="251" t="s">
        <v>2409</v>
      </c>
      <c r="F10" s="81" t="s">
        <v>2410</v>
      </c>
      <c r="G10" s="81" t="s">
        <v>1033</v>
      </c>
      <c r="H10" s="257">
        <v>9008</v>
      </c>
      <c r="I10" s="257">
        <v>9008</v>
      </c>
      <c r="J10" s="257">
        <v>9008</v>
      </c>
      <c r="K10" s="257">
        <v>9008</v>
      </c>
      <c r="L10" s="257">
        <v>9008</v>
      </c>
      <c r="M10" s="257">
        <v>9008</v>
      </c>
      <c r="N10" s="257">
        <v>9008</v>
      </c>
      <c r="O10" s="257">
        <v>9008</v>
      </c>
      <c r="P10" s="257">
        <v>9008</v>
      </c>
      <c r="Q10" s="257">
        <v>9008</v>
      </c>
      <c r="R10" s="257">
        <v>9008</v>
      </c>
      <c r="S10" s="257">
        <v>9008</v>
      </c>
    </row>
    <row r="11" ht="27" customHeight="1" spans="3:19">
      <c r="C11" s="81" t="s">
        <v>2411</v>
      </c>
      <c r="D11" s="251" t="s">
        <v>2412</v>
      </c>
      <c r="F11" s="81" t="s">
        <v>1096</v>
      </c>
      <c r="G11" s="81" t="s">
        <v>1033</v>
      </c>
      <c r="H11" s="257"/>
      <c r="I11" s="257"/>
      <c r="J11" s="257"/>
      <c r="K11" s="257"/>
      <c r="L11" s="257"/>
      <c r="M11" s="257"/>
      <c r="N11" s="257"/>
      <c r="O11" s="257"/>
      <c r="P11" s="257"/>
      <c r="Q11" s="257"/>
      <c r="R11" s="257"/>
      <c r="S11" s="257"/>
    </row>
    <row r="12" ht="27" customHeight="1" spans="3:19">
      <c r="C12" s="81" t="s">
        <v>2413</v>
      </c>
      <c r="D12" s="251" t="s">
        <v>2398</v>
      </c>
      <c r="F12" s="81" t="s">
        <v>1177</v>
      </c>
      <c r="G12" s="81" t="s">
        <v>1033</v>
      </c>
      <c r="H12" s="257">
        <v>9008</v>
      </c>
      <c r="I12" s="257">
        <v>9008</v>
      </c>
      <c r="J12" s="257">
        <v>9008</v>
      </c>
      <c r="K12" s="257">
        <v>9008</v>
      </c>
      <c r="L12" s="257">
        <v>9008</v>
      </c>
      <c r="M12" s="257">
        <v>9008</v>
      </c>
      <c r="N12" s="257">
        <v>9008</v>
      </c>
      <c r="O12" s="257">
        <v>9008</v>
      </c>
      <c r="P12" s="257">
        <v>9008</v>
      </c>
      <c r="Q12" s="257">
        <v>9008</v>
      </c>
      <c r="R12" s="257">
        <v>9008</v>
      </c>
      <c r="S12" s="257">
        <v>9008</v>
      </c>
    </row>
    <row r="13" ht="27" customHeight="1" spans="3:19">
      <c r="C13" s="81" t="s">
        <v>2414</v>
      </c>
      <c r="D13" s="251"/>
      <c r="F13" s="81" t="s">
        <v>2313</v>
      </c>
      <c r="G13" s="81" t="s">
        <v>1033</v>
      </c>
      <c r="H13" s="257">
        <v>9008</v>
      </c>
      <c r="I13" s="257">
        <v>9008</v>
      </c>
      <c r="J13" s="257">
        <v>9008</v>
      </c>
      <c r="K13" s="257">
        <v>9008</v>
      </c>
      <c r="L13" s="257">
        <v>9008</v>
      </c>
      <c r="M13" s="257">
        <v>9008</v>
      </c>
      <c r="N13" s="257">
        <v>9008</v>
      </c>
      <c r="O13" s="257">
        <v>9008</v>
      </c>
      <c r="P13" s="257">
        <v>9008</v>
      </c>
      <c r="Q13" s="257">
        <v>9008</v>
      </c>
      <c r="R13" s="257">
        <v>9008</v>
      </c>
      <c r="S13" s="257">
        <v>9008</v>
      </c>
    </row>
    <row r="14" ht="27" customHeight="1" spans="3:4">
      <c r="C14" s="81" t="s">
        <v>2415</v>
      </c>
      <c r="D14" s="251" t="s">
        <v>2416</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2417</v>
      </c>
      <c r="D17" s="250"/>
      <c r="E17" s="250"/>
      <c r="F17" s="250"/>
      <c r="G17" s="250"/>
      <c r="H17" s="250"/>
      <c r="I17" s="250"/>
      <c r="J17" s="250"/>
      <c r="K17" s="250"/>
      <c r="L17" s="250"/>
      <c r="M17" s="250"/>
      <c r="N17" s="250"/>
      <c r="O17" s="250"/>
      <c r="P17" s="250"/>
      <c r="Q17" s="250"/>
      <c r="R17" s="250"/>
      <c r="S17" s="250"/>
    </row>
    <row r="18" ht="27" customHeight="1" spans="3:19">
      <c r="C18" s="81" t="s">
        <v>2418</v>
      </c>
      <c r="D18" s="258" t="s">
        <v>2412</v>
      </c>
      <c r="F18" s="252" t="s">
        <v>2419</v>
      </c>
      <c r="G18" s="253"/>
      <c r="H18" s="253"/>
      <c r="I18" s="253"/>
      <c r="J18" s="253"/>
      <c r="K18" s="253"/>
      <c r="L18" s="253"/>
      <c r="M18" s="253"/>
      <c r="N18" s="253"/>
      <c r="O18" s="253"/>
      <c r="P18" s="253"/>
      <c r="Q18" s="253"/>
      <c r="R18" s="253"/>
      <c r="S18" s="259"/>
    </row>
    <row r="19" ht="27" customHeight="1" spans="3:19">
      <c r="C19" s="81" t="s">
        <v>2420</v>
      </c>
      <c r="D19" s="258" t="s">
        <v>2421</v>
      </c>
      <c r="F19" s="81" t="s">
        <v>2395</v>
      </c>
      <c r="G19" s="254" t="s">
        <v>2396</v>
      </c>
      <c r="H19" s="81" t="s">
        <v>1242</v>
      </c>
      <c r="I19" s="81" t="s">
        <v>1242</v>
      </c>
      <c r="J19" s="81" t="s">
        <v>1242</v>
      </c>
      <c r="K19" s="81" t="s">
        <v>1242</v>
      </c>
      <c r="L19" s="81" t="s">
        <v>1242</v>
      </c>
      <c r="M19" s="81" t="s">
        <v>1242</v>
      </c>
      <c r="N19" s="81" t="s">
        <v>1242</v>
      </c>
      <c r="O19" s="81" t="s">
        <v>1242</v>
      </c>
      <c r="P19" s="81" t="s">
        <v>1242</v>
      </c>
      <c r="Q19" s="81" t="s">
        <v>1242</v>
      </c>
      <c r="R19" s="81" t="s">
        <v>1242</v>
      </c>
      <c r="S19" s="81" t="s">
        <v>1242</v>
      </c>
    </row>
    <row r="20" ht="27" customHeight="1" spans="3:19">
      <c r="C20" s="81" t="s">
        <v>2422</v>
      </c>
      <c r="D20" s="258" t="s">
        <v>2423</v>
      </c>
      <c r="F20" s="81"/>
      <c r="G20" s="255"/>
      <c r="H20" s="81" t="s">
        <v>766</v>
      </c>
      <c r="I20" s="81" t="s">
        <v>767</v>
      </c>
      <c r="J20" s="81" t="s">
        <v>768</v>
      </c>
      <c r="K20" s="81" t="s">
        <v>769</v>
      </c>
      <c r="L20" s="81" t="s">
        <v>770</v>
      </c>
      <c r="M20" s="81" t="s">
        <v>771</v>
      </c>
      <c r="N20" s="81" t="s">
        <v>772</v>
      </c>
      <c r="O20" s="81" t="s">
        <v>773</v>
      </c>
      <c r="P20" s="81" t="s">
        <v>774</v>
      </c>
      <c r="Q20" s="81" t="s">
        <v>775</v>
      </c>
      <c r="R20" s="81" t="s">
        <v>776</v>
      </c>
      <c r="S20" s="81" t="s">
        <v>777</v>
      </c>
    </row>
    <row r="21" ht="27" customHeight="1" spans="3:19">
      <c r="C21" s="81" t="s">
        <v>2424</v>
      </c>
      <c r="D21" s="90" t="str">
        <f>VLOOKUP(D4,'附表1-数据库'!B46:C383,2,FALSE)</f>
        <v>一类城市</v>
      </c>
      <c r="F21" s="80" t="s">
        <v>1148</v>
      </c>
      <c r="G21" s="80" t="s">
        <v>1150</v>
      </c>
      <c r="H21" s="251"/>
      <c r="I21" s="251"/>
      <c r="J21" s="251"/>
      <c r="K21" s="251"/>
      <c r="L21" s="251"/>
      <c r="M21" s="251"/>
      <c r="N21" s="251"/>
      <c r="O21" s="251"/>
      <c r="P21" s="251"/>
      <c r="Q21" s="251"/>
      <c r="R21" s="251"/>
      <c r="S21" s="251"/>
    </row>
    <row r="22" ht="27" customHeight="1" spans="3:19">
      <c r="C22" s="247"/>
      <c r="F22" s="80" t="s">
        <v>1153</v>
      </c>
      <c r="G22" s="80" t="s">
        <v>1150</v>
      </c>
      <c r="H22" s="251"/>
      <c r="I22" s="251"/>
      <c r="J22" s="251"/>
      <c r="K22" s="251"/>
      <c r="L22" s="251"/>
      <c r="M22" s="251"/>
      <c r="N22" s="251"/>
      <c r="O22" s="251"/>
      <c r="P22" s="251"/>
      <c r="Q22" s="251"/>
      <c r="R22" s="251"/>
      <c r="S22" s="251"/>
    </row>
    <row r="23" ht="27" customHeight="1" spans="6:19">
      <c r="F23" s="80" t="s">
        <v>1155</v>
      </c>
      <c r="G23" s="80" t="s">
        <v>1150</v>
      </c>
      <c r="H23" s="251"/>
      <c r="I23" s="251"/>
      <c r="J23" s="251"/>
      <c r="K23" s="251"/>
      <c r="L23" s="251"/>
      <c r="M23" s="251"/>
      <c r="N23" s="251"/>
      <c r="O23" s="251"/>
      <c r="P23" s="251"/>
      <c r="Q23" s="251"/>
      <c r="R23" s="251"/>
      <c r="S23" s="251"/>
    </row>
    <row r="24" ht="27" customHeight="1" spans="6:19">
      <c r="F24" s="80" t="s">
        <v>1157</v>
      </c>
      <c r="G24" s="80" t="s">
        <v>1150</v>
      </c>
      <c r="H24" s="251"/>
      <c r="I24" s="251"/>
      <c r="J24" s="251"/>
      <c r="K24" s="251"/>
      <c r="L24" s="251"/>
      <c r="M24" s="251"/>
      <c r="N24" s="251"/>
      <c r="O24" s="251"/>
      <c r="P24" s="251"/>
      <c r="Q24" s="251"/>
      <c r="R24" s="251"/>
      <c r="S24" s="251"/>
    </row>
    <row r="25" ht="27" customHeight="1" spans="6:19">
      <c r="F25" s="80" t="s">
        <v>1159</v>
      </c>
      <c r="G25" s="80" t="s">
        <v>1150</v>
      </c>
      <c r="H25" s="251"/>
      <c r="I25" s="251"/>
      <c r="J25" s="251"/>
      <c r="K25" s="251"/>
      <c r="L25" s="251"/>
      <c r="M25" s="251"/>
      <c r="N25" s="251"/>
      <c r="O25" s="251"/>
      <c r="P25" s="251"/>
      <c r="Q25" s="251"/>
      <c r="R25" s="251"/>
      <c r="S25" s="251"/>
    </row>
    <row r="26" ht="27" customHeight="1" spans="6:19">
      <c r="F26" s="80" t="s">
        <v>1161</v>
      </c>
      <c r="G26" s="80" t="s">
        <v>1150</v>
      </c>
      <c r="H26" s="251"/>
      <c r="I26" s="251"/>
      <c r="J26" s="251"/>
      <c r="K26" s="251"/>
      <c r="L26" s="251"/>
      <c r="M26" s="251"/>
      <c r="N26" s="251"/>
      <c r="O26" s="251"/>
      <c r="P26" s="251"/>
      <c r="Q26" s="251"/>
      <c r="R26" s="251"/>
      <c r="S26" s="251"/>
    </row>
    <row r="27" ht="27" customHeight="1" spans="6:19">
      <c r="F27" s="80" t="s">
        <v>1163</v>
      </c>
      <c r="G27" s="80" t="s">
        <v>1150</v>
      </c>
      <c r="H27" s="251"/>
      <c r="I27" s="251"/>
      <c r="J27" s="251"/>
      <c r="K27" s="251"/>
      <c r="L27" s="251"/>
      <c r="M27" s="251"/>
      <c r="N27" s="251"/>
      <c r="O27" s="251"/>
      <c r="P27" s="251"/>
      <c r="Q27" s="251"/>
      <c r="R27" s="251"/>
      <c r="S27" s="251"/>
    </row>
    <row r="28" ht="27" customHeight="1" spans="6:19">
      <c r="F28" s="80" t="s">
        <v>1165</v>
      </c>
      <c r="G28" s="80" t="s">
        <v>1150</v>
      </c>
      <c r="H28" s="251"/>
      <c r="I28" s="251"/>
      <c r="J28" s="251"/>
      <c r="K28" s="251"/>
      <c r="L28" s="251"/>
      <c r="M28" s="251"/>
      <c r="N28" s="251"/>
      <c r="O28" s="251"/>
      <c r="P28" s="251"/>
      <c r="Q28" s="251"/>
      <c r="R28" s="251"/>
      <c r="S28" s="251"/>
    </row>
    <row r="29" ht="27" customHeight="1" spans="6:19">
      <c r="F29" s="80" t="s">
        <v>1167</v>
      </c>
      <c r="G29" s="80" t="s">
        <v>1150</v>
      </c>
      <c r="H29" s="251"/>
      <c r="I29" s="251"/>
      <c r="J29" s="251"/>
      <c r="K29" s="251"/>
      <c r="L29" s="251"/>
      <c r="M29" s="251"/>
      <c r="N29" s="251"/>
      <c r="O29" s="251"/>
      <c r="P29" s="251"/>
      <c r="Q29" s="251"/>
      <c r="R29" s="251"/>
      <c r="S29" s="251"/>
    </row>
    <row r="30" ht="27" customHeight="1" spans="6:19">
      <c r="F30" s="80" t="s">
        <v>1169</v>
      </c>
      <c r="G30" s="80" t="s">
        <v>1150</v>
      </c>
      <c r="H30" s="251"/>
      <c r="I30" s="251"/>
      <c r="J30" s="251"/>
      <c r="K30" s="251"/>
      <c r="L30" s="251"/>
      <c r="M30" s="251"/>
      <c r="N30" s="251"/>
      <c r="O30" s="251"/>
      <c r="P30" s="251"/>
      <c r="Q30" s="251"/>
      <c r="R30" s="251"/>
      <c r="S30" s="251"/>
    </row>
    <row r="31" ht="27" customHeight="1" spans="6:19">
      <c r="F31" s="80" t="s">
        <v>1171</v>
      </c>
      <c r="G31" s="80" t="s">
        <v>1150</v>
      </c>
      <c r="H31" s="251"/>
      <c r="I31" s="251"/>
      <c r="J31" s="251"/>
      <c r="K31" s="251"/>
      <c r="L31" s="251"/>
      <c r="M31" s="251"/>
      <c r="N31" s="251"/>
      <c r="O31" s="251"/>
      <c r="P31" s="251"/>
      <c r="Q31" s="251"/>
      <c r="R31" s="251"/>
      <c r="S31" s="251"/>
    </row>
    <row r="32" ht="27" customHeight="1" spans="6:19">
      <c r="F32" s="80" t="s">
        <v>1173</v>
      </c>
      <c r="G32" s="80" t="s">
        <v>1150</v>
      </c>
      <c r="H32" s="251"/>
      <c r="I32" s="251"/>
      <c r="J32" s="251"/>
      <c r="K32" s="251"/>
      <c r="L32" s="251"/>
      <c r="M32" s="251"/>
      <c r="N32" s="251"/>
      <c r="O32" s="251"/>
      <c r="P32" s="251"/>
      <c r="Q32" s="251"/>
      <c r="R32" s="251"/>
      <c r="S32" s="251"/>
    </row>
    <row r="33" ht="27" customHeight="1" spans="6:19">
      <c r="F33" s="80" t="s">
        <v>1175</v>
      </c>
      <c r="G33" s="80" t="s">
        <v>1150</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55" activePane="bottomRight" state="frozen"/>
      <selection/>
      <selection pane="topRight"/>
      <selection pane="bottomLeft"/>
      <selection pane="bottomRight" activeCell="G174" sqref="G174"/>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2425</v>
      </c>
      <c r="C1" s="219" t="s">
        <v>2426</v>
      </c>
      <c r="D1" s="220" t="s">
        <v>2427</v>
      </c>
      <c r="E1" s="219" t="s">
        <v>2396</v>
      </c>
      <c r="F1" s="221" t="s">
        <v>766</v>
      </c>
      <c r="G1" s="221" t="s">
        <v>767</v>
      </c>
      <c r="H1" s="221" t="s">
        <v>768</v>
      </c>
      <c r="I1" s="221" t="s">
        <v>769</v>
      </c>
      <c r="J1" s="221" t="s">
        <v>770</v>
      </c>
      <c r="K1" s="221" t="s">
        <v>771</v>
      </c>
      <c r="L1" s="221" t="s">
        <v>772</v>
      </c>
      <c r="M1" s="221" t="s">
        <v>773</v>
      </c>
      <c r="N1" s="221" t="s">
        <v>774</v>
      </c>
      <c r="O1" s="221" t="s">
        <v>775</v>
      </c>
      <c r="P1" s="221" t="s">
        <v>776</v>
      </c>
      <c r="Q1" s="221" t="s">
        <v>777</v>
      </c>
    </row>
    <row r="2" spans="1:17">
      <c r="A2" s="216">
        <v>1</v>
      </c>
      <c r="B2" s="222" t="s">
        <v>2428</v>
      </c>
      <c r="C2" s="222" t="s">
        <v>745</v>
      </c>
      <c r="D2" s="223">
        <f t="shared" ref="D2:D65" si="0">IFERROR(SUM(F2:Q2)/COUNTIF(F2:Q2,"&lt;&gt;0"),0)</f>
        <v>10</v>
      </c>
      <c r="E2" s="223" t="s">
        <v>805</v>
      </c>
      <c r="F2" s="224">
        <f t="shared" ref="F2:Q2" si="1">F3+F4+F5</f>
        <v>65</v>
      </c>
      <c r="G2" s="224">
        <f t="shared" si="1"/>
        <v>5</v>
      </c>
      <c r="H2" s="224">
        <f t="shared" si="1"/>
        <v>5</v>
      </c>
      <c r="I2" s="224">
        <f t="shared" si="1"/>
        <v>5</v>
      </c>
      <c r="J2" s="224">
        <f t="shared" si="1"/>
        <v>5</v>
      </c>
      <c r="K2" s="224">
        <f t="shared" si="1"/>
        <v>5</v>
      </c>
      <c r="L2" s="224">
        <f t="shared" si="1"/>
        <v>5</v>
      </c>
      <c r="M2" s="224">
        <f t="shared" si="1"/>
        <v>5</v>
      </c>
      <c r="N2" s="224">
        <f t="shared" si="1"/>
        <v>5</v>
      </c>
      <c r="O2" s="224">
        <f t="shared" si="1"/>
        <v>5</v>
      </c>
      <c r="P2" s="224">
        <f t="shared" si="1"/>
        <v>5</v>
      </c>
      <c r="Q2" s="224">
        <f t="shared" si="1"/>
        <v>5</v>
      </c>
    </row>
    <row r="3" spans="1:17">
      <c r="A3" s="216">
        <v>1</v>
      </c>
      <c r="B3" s="222" t="s">
        <v>2428</v>
      </c>
      <c r="C3" s="225" t="s">
        <v>109</v>
      </c>
      <c r="D3" s="226">
        <f t="shared" si="0"/>
        <v>2.58333333333333</v>
      </c>
      <c r="E3" s="226" t="s">
        <v>805</v>
      </c>
      <c r="F3" s="227">
        <f t="shared" ref="F3:Q3" si="2">F7+F35+F71+F115+F155+F175+F195+F211</f>
        <v>20</v>
      </c>
      <c r="G3" s="227">
        <f t="shared" si="2"/>
        <v>1</v>
      </c>
      <c r="H3" s="227">
        <f t="shared" si="2"/>
        <v>1</v>
      </c>
      <c r="I3" s="227">
        <f t="shared" si="2"/>
        <v>1</v>
      </c>
      <c r="J3" s="227">
        <f t="shared" si="2"/>
        <v>1</v>
      </c>
      <c r="K3" s="227">
        <f t="shared" si="2"/>
        <v>1</v>
      </c>
      <c r="L3" s="227">
        <f t="shared" si="2"/>
        <v>1</v>
      </c>
      <c r="M3" s="227">
        <f t="shared" si="2"/>
        <v>1</v>
      </c>
      <c r="N3" s="227">
        <f t="shared" si="2"/>
        <v>1</v>
      </c>
      <c r="O3" s="227">
        <f t="shared" si="2"/>
        <v>1</v>
      </c>
      <c r="P3" s="227">
        <f t="shared" si="2"/>
        <v>1</v>
      </c>
      <c r="Q3" s="227">
        <f t="shared" si="2"/>
        <v>1</v>
      </c>
    </row>
    <row r="4" spans="1:17">
      <c r="A4" s="216">
        <v>1</v>
      </c>
      <c r="B4" s="222" t="s">
        <v>2428</v>
      </c>
      <c r="C4" s="228" t="s">
        <v>68</v>
      </c>
      <c r="D4" s="229">
        <f t="shared" si="0"/>
        <v>20</v>
      </c>
      <c r="E4" s="229" t="s">
        <v>805</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2428</v>
      </c>
      <c r="C5" s="231" t="s">
        <v>19</v>
      </c>
      <c r="D5" s="232">
        <f t="shared" si="0"/>
        <v>5.75</v>
      </c>
      <c r="E5" s="232" t="s">
        <v>805</v>
      </c>
      <c r="F5" s="233">
        <f t="shared" ref="F5:Q5" si="4">F9+F37+F73+F117+F157+F177+F197+F213</f>
        <v>25</v>
      </c>
      <c r="G5" s="233">
        <f t="shared" si="4"/>
        <v>4</v>
      </c>
      <c r="H5" s="233">
        <f t="shared" si="4"/>
        <v>4</v>
      </c>
      <c r="I5" s="233">
        <f t="shared" si="4"/>
        <v>4</v>
      </c>
      <c r="J5" s="233">
        <f t="shared" si="4"/>
        <v>4</v>
      </c>
      <c r="K5" s="233">
        <f t="shared" si="4"/>
        <v>4</v>
      </c>
      <c r="L5" s="233">
        <f t="shared" si="4"/>
        <v>4</v>
      </c>
      <c r="M5" s="233">
        <f t="shared" si="4"/>
        <v>4</v>
      </c>
      <c r="N5" s="233">
        <f t="shared" si="4"/>
        <v>4</v>
      </c>
      <c r="O5" s="233">
        <f t="shared" si="4"/>
        <v>4</v>
      </c>
      <c r="P5" s="233">
        <f t="shared" si="4"/>
        <v>4</v>
      </c>
      <c r="Q5" s="233">
        <f t="shared" si="4"/>
        <v>4</v>
      </c>
    </row>
    <row r="6" spans="1:17">
      <c r="A6" s="216">
        <v>1</v>
      </c>
      <c r="B6" s="234" t="s">
        <v>187</v>
      </c>
      <c r="C6" s="234" t="s">
        <v>745</v>
      </c>
      <c r="D6" s="235">
        <f t="shared" si="0"/>
        <v>0</v>
      </c>
      <c r="E6" s="235" t="s">
        <v>805</v>
      </c>
      <c r="F6" s="236">
        <f t="shared" ref="F6:Q6" si="5">F7+F8+F9</f>
        <v>0</v>
      </c>
      <c r="G6" s="236">
        <f t="shared" si="5"/>
        <v>0</v>
      </c>
      <c r="H6" s="236">
        <f t="shared" si="5"/>
        <v>0</v>
      </c>
      <c r="I6" s="236">
        <f t="shared" si="5"/>
        <v>0</v>
      </c>
      <c r="J6" s="236">
        <f t="shared" si="5"/>
        <v>0</v>
      </c>
      <c r="K6" s="236">
        <f t="shared" si="5"/>
        <v>0</v>
      </c>
      <c r="L6" s="236">
        <f t="shared" si="5"/>
        <v>0</v>
      </c>
      <c r="M6" s="236">
        <f t="shared" si="5"/>
        <v>0</v>
      </c>
      <c r="N6" s="236">
        <f t="shared" si="5"/>
        <v>0</v>
      </c>
      <c r="O6" s="236">
        <f t="shared" si="5"/>
        <v>0</v>
      </c>
      <c r="P6" s="236">
        <f t="shared" si="5"/>
        <v>0</v>
      </c>
      <c r="Q6" s="236">
        <f t="shared" si="5"/>
        <v>0</v>
      </c>
    </row>
    <row r="7" spans="1:17">
      <c r="A7" s="216">
        <v>1</v>
      </c>
      <c r="B7" s="234" t="s">
        <v>187</v>
      </c>
      <c r="C7" s="225" t="s">
        <v>109</v>
      </c>
      <c r="D7" s="226">
        <f t="shared" si="0"/>
        <v>0</v>
      </c>
      <c r="E7" s="226" t="s">
        <v>805</v>
      </c>
      <c r="F7" s="227">
        <f t="shared" ref="F7:Q7" si="6">F11+F15+F19+F23+F27+F31</f>
        <v>0</v>
      </c>
      <c r="G7" s="227">
        <f t="shared" si="6"/>
        <v>0</v>
      </c>
      <c r="H7" s="227">
        <f t="shared" si="6"/>
        <v>0</v>
      </c>
      <c r="I7" s="227">
        <f t="shared" si="6"/>
        <v>0</v>
      </c>
      <c r="J7" s="227">
        <f t="shared" si="6"/>
        <v>0</v>
      </c>
      <c r="K7" s="227">
        <f t="shared" si="6"/>
        <v>0</v>
      </c>
      <c r="L7" s="227">
        <f t="shared" si="6"/>
        <v>0</v>
      </c>
      <c r="M7" s="227">
        <f t="shared" si="6"/>
        <v>0</v>
      </c>
      <c r="N7" s="227">
        <f t="shared" si="6"/>
        <v>0</v>
      </c>
      <c r="O7" s="227">
        <f t="shared" si="6"/>
        <v>0</v>
      </c>
      <c r="P7" s="227">
        <f t="shared" si="6"/>
        <v>0</v>
      </c>
      <c r="Q7" s="227">
        <f t="shared" si="6"/>
        <v>0</v>
      </c>
    </row>
    <row r="8" spans="1:17">
      <c r="A8" s="216">
        <v>1</v>
      </c>
      <c r="B8" s="234" t="s">
        <v>187</v>
      </c>
      <c r="C8" s="228" t="s">
        <v>68</v>
      </c>
      <c r="D8" s="229">
        <f t="shared" si="0"/>
        <v>0</v>
      </c>
      <c r="E8" s="229" t="s">
        <v>805</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805</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801</v>
      </c>
      <c r="C10" s="238" t="s">
        <v>745</v>
      </c>
      <c r="D10" s="239">
        <f t="shared" si="0"/>
        <v>0</v>
      </c>
      <c r="E10" s="239" t="s">
        <v>805</v>
      </c>
      <c r="F10" s="240">
        <f t="shared" ref="F10:Q10" si="9">F11+F12+F13</f>
        <v>0</v>
      </c>
      <c r="G10" s="240">
        <f t="shared" si="9"/>
        <v>0</v>
      </c>
      <c r="H10" s="240">
        <f t="shared" si="9"/>
        <v>0</v>
      </c>
      <c r="I10" s="240">
        <f t="shared" si="9"/>
        <v>0</v>
      </c>
      <c r="J10" s="240">
        <f t="shared" si="9"/>
        <v>0</v>
      </c>
      <c r="K10" s="240">
        <f t="shared" si="9"/>
        <v>0</v>
      </c>
      <c r="L10" s="240">
        <f t="shared" si="9"/>
        <v>0</v>
      </c>
      <c r="M10" s="240">
        <f t="shared" si="9"/>
        <v>0</v>
      </c>
      <c r="N10" s="240">
        <f t="shared" si="9"/>
        <v>0</v>
      </c>
      <c r="O10" s="240">
        <f t="shared" si="9"/>
        <v>0</v>
      </c>
      <c r="P10" s="240">
        <f t="shared" si="9"/>
        <v>0</v>
      </c>
      <c r="Q10" s="240">
        <f t="shared" si="9"/>
        <v>0</v>
      </c>
    </row>
    <row r="11" outlineLevel="1" spans="1:17">
      <c r="A11" s="216">
        <v>2</v>
      </c>
      <c r="B11" s="237" t="s">
        <v>801</v>
      </c>
      <c r="C11" s="225" t="s">
        <v>109</v>
      </c>
      <c r="D11" s="226">
        <f t="shared" si="0"/>
        <v>0</v>
      </c>
      <c r="E11" s="226" t="s">
        <v>805</v>
      </c>
      <c r="F11" s="241">
        <f>自有人工预算!E11</f>
        <v>0</v>
      </c>
      <c r="G11" s="241">
        <f>自有人工预算!F11</f>
        <v>0</v>
      </c>
      <c r="H11" s="241">
        <f>自有人工预算!G11</f>
        <v>0</v>
      </c>
      <c r="I11" s="241">
        <f>自有人工预算!H11</f>
        <v>0</v>
      </c>
      <c r="J11" s="241">
        <f>自有人工预算!I11</f>
        <v>0</v>
      </c>
      <c r="K11" s="241">
        <f>自有人工预算!J11</f>
        <v>0</v>
      </c>
      <c r="L11" s="241">
        <f>自有人工预算!K11</f>
        <v>0</v>
      </c>
      <c r="M11" s="241">
        <f>自有人工预算!L11</f>
        <v>0</v>
      </c>
      <c r="N11" s="241">
        <f>自有人工预算!M11</f>
        <v>0</v>
      </c>
      <c r="O11" s="241">
        <f>自有人工预算!N11</f>
        <v>0</v>
      </c>
      <c r="P11" s="241">
        <f>自有人工预算!O11</f>
        <v>0</v>
      </c>
      <c r="Q11" s="241">
        <f>自有人工预算!P11</f>
        <v>0</v>
      </c>
    </row>
    <row r="12" outlineLevel="1" spans="1:17">
      <c r="A12" s="216">
        <v>2</v>
      </c>
      <c r="B12" s="237" t="s">
        <v>801</v>
      </c>
      <c r="C12" s="228" t="s">
        <v>68</v>
      </c>
      <c r="D12" s="229">
        <f t="shared" si="0"/>
        <v>0</v>
      </c>
      <c r="E12" s="229" t="s">
        <v>805</v>
      </c>
      <c r="F12" s="241"/>
      <c r="G12" s="241"/>
      <c r="H12" s="241"/>
      <c r="I12" s="241"/>
      <c r="J12" s="241"/>
      <c r="K12" s="241"/>
      <c r="L12" s="241"/>
      <c r="M12" s="241"/>
      <c r="N12" s="241"/>
      <c r="O12" s="241"/>
      <c r="P12" s="241"/>
      <c r="Q12" s="241"/>
    </row>
    <row r="13" outlineLevel="1" spans="1:17">
      <c r="A13" s="216">
        <v>2</v>
      </c>
      <c r="B13" s="237" t="s">
        <v>801</v>
      </c>
      <c r="C13" s="231" t="s">
        <v>19</v>
      </c>
      <c r="D13" s="232">
        <f t="shared" si="0"/>
        <v>0</v>
      </c>
      <c r="E13" s="232" t="s">
        <v>805</v>
      </c>
      <c r="F13" s="241"/>
      <c r="G13" s="241"/>
      <c r="H13" s="241"/>
      <c r="I13" s="241"/>
      <c r="J13" s="241"/>
      <c r="K13" s="241"/>
      <c r="L13" s="241"/>
      <c r="M13" s="241"/>
      <c r="N13" s="241"/>
      <c r="O13" s="241"/>
      <c r="P13" s="241"/>
      <c r="Q13" s="241"/>
    </row>
    <row r="14" outlineLevel="1" spans="1:17">
      <c r="A14" s="216">
        <v>3</v>
      </c>
      <c r="B14" s="237" t="s">
        <v>808</v>
      </c>
      <c r="C14" s="238" t="s">
        <v>745</v>
      </c>
      <c r="D14" s="239">
        <f t="shared" si="0"/>
        <v>0</v>
      </c>
      <c r="E14" s="239" t="s">
        <v>805</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808</v>
      </c>
      <c r="C15" s="225" t="s">
        <v>109</v>
      </c>
      <c r="D15" s="226">
        <f t="shared" si="0"/>
        <v>0</v>
      </c>
      <c r="E15" s="226" t="s">
        <v>805</v>
      </c>
      <c r="F15" s="241"/>
      <c r="G15" s="241"/>
      <c r="H15" s="241"/>
      <c r="I15" s="241"/>
      <c r="J15" s="241"/>
      <c r="K15" s="241"/>
      <c r="L15" s="241"/>
      <c r="M15" s="241"/>
      <c r="N15" s="241"/>
      <c r="O15" s="241"/>
      <c r="P15" s="241"/>
      <c r="Q15" s="241"/>
    </row>
    <row r="16" outlineLevel="1" spans="1:17">
      <c r="A16" s="216">
        <v>3</v>
      </c>
      <c r="B16" s="237" t="s">
        <v>808</v>
      </c>
      <c r="C16" s="228" t="s">
        <v>68</v>
      </c>
      <c r="D16" s="229">
        <f t="shared" si="0"/>
        <v>0</v>
      </c>
      <c r="E16" s="229" t="s">
        <v>805</v>
      </c>
      <c r="F16" s="241"/>
      <c r="G16" s="241"/>
      <c r="H16" s="241"/>
      <c r="I16" s="241"/>
      <c r="J16" s="241"/>
      <c r="K16" s="241"/>
      <c r="L16" s="241"/>
      <c r="M16" s="241"/>
      <c r="N16" s="241"/>
      <c r="O16" s="241"/>
      <c r="P16" s="241"/>
      <c r="Q16" s="241"/>
    </row>
    <row r="17" outlineLevel="1" spans="1:17">
      <c r="A17" s="216">
        <v>3</v>
      </c>
      <c r="B17" s="237" t="s">
        <v>808</v>
      </c>
      <c r="C17" s="231" t="s">
        <v>19</v>
      </c>
      <c r="D17" s="232">
        <f t="shared" si="0"/>
        <v>0</v>
      </c>
      <c r="E17" s="232" t="s">
        <v>805</v>
      </c>
      <c r="F17" s="241"/>
      <c r="G17" s="241"/>
      <c r="H17" s="241"/>
      <c r="I17" s="241"/>
      <c r="J17" s="241"/>
      <c r="K17" s="241"/>
      <c r="L17" s="241"/>
      <c r="M17" s="241"/>
      <c r="N17" s="241"/>
      <c r="O17" s="241"/>
      <c r="P17" s="241"/>
      <c r="Q17" s="241"/>
    </row>
    <row r="18" outlineLevel="1" spans="1:17">
      <c r="A18" s="216">
        <v>4</v>
      </c>
      <c r="B18" s="237" t="s">
        <v>811</v>
      </c>
      <c r="C18" s="238" t="s">
        <v>745</v>
      </c>
      <c r="D18" s="239">
        <f t="shared" si="0"/>
        <v>0</v>
      </c>
      <c r="E18" s="239" t="s">
        <v>805</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811</v>
      </c>
      <c r="C19" s="225" t="s">
        <v>109</v>
      </c>
      <c r="D19" s="226">
        <f t="shared" si="0"/>
        <v>0</v>
      </c>
      <c r="E19" s="226" t="s">
        <v>805</v>
      </c>
      <c r="F19" s="241"/>
      <c r="G19" s="241"/>
      <c r="H19" s="241"/>
      <c r="I19" s="241"/>
      <c r="J19" s="241"/>
      <c r="K19" s="241"/>
      <c r="L19" s="241"/>
      <c r="M19" s="241"/>
      <c r="N19" s="241"/>
      <c r="O19" s="241"/>
      <c r="P19" s="241"/>
      <c r="Q19" s="241"/>
    </row>
    <row r="20" outlineLevel="1" spans="1:17">
      <c r="A20" s="216">
        <v>4</v>
      </c>
      <c r="B20" s="237" t="s">
        <v>811</v>
      </c>
      <c r="C20" s="228" t="s">
        <v>68</v>
      </c>
      <c r="D20" s="229">
        <f t="shared" si="0"/>
        <v>0</v>
      </c>
      <c r="E20" s="229" t="s">
        <v>805</v>
      </c>
      <c r="F20" s="241"/>
      <c r="G20" s="241"/>
      <c r="H20" s="241"/>
      <c r="I20" s="241"/>
      <c r="J20" s="241"/>
      <c r="K20" s="241"/>
      <c r="L20" s="241"/>
      <c r="M20" s="241"/>
      <c r="N20" s="241"/>
      <c r="O20" s="241"/>
      <c r="P20" s="241"/>
      <c r="Q20" s="241"/>
    </row>
    <row r="21" outlineLevel="1" spans="1:17">
      <c r="A21" s="216">
        <v>4</v>
      </c>
      <c r="B21" s="237" t="s">
        <v>811</v>
      </c>
      <c r="C21" s="231" t="s">
        <v>19</v>
      </c>
      <c r="D21" s="232">
        <f t="shared" si="0"/>
        <v>0</v>
      </c>
      <c r="E21" s="232" t="s">
        <v>805</v>
      </c>
      <c r="F21" s="241"/>
      <c r="G21" s="241"/>
      <c r="H21" s="241"/>
      <c r="I21" s="241"/>
      <c r="J21" s="241"/>
      <c r="K21" s="241"/>
      <c r="L21" s="241"/>
      <c r="M21" s="241"/>
      <c r="N21" s="241"/>
      <c r="O21" s="241"/>
      <c r="P21" s="241"/>
      <c r="Q21" s="241"/>
    </row>
    <row r="22" outlineLevel="1" spans="1:17">
      <c r="A22" s="216">
        <v>5</v>
      </c>
      <c r="B22" s="237" t="s">
        <v>814</v>
      </c>
      <c r="C22" s="238" t="s">
        <v>745</v>
      </c>
      <c r="D22" s="239">
        <f t="shared" si="0"/>
        <v>0</v>
      </c>
      <c r="E22" s="239" t="s">
        <v>805</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814</v>
      </c>
      <c r="C23" s="225" t="s">
        <v>109</v>
      </c>
      <c r="D23" s="226">
        <f t="shared" si="0"/>
        <v>0</v>
      </c>
      <c r="E23" s="226" t="s">
        <v>805</v>
      </c>
      <c r="F23" s="241"/>
      <c r="G23" s="241"/>
      <c r="H23" s="241"/>
      <c r="I23" s="241"/>
      <c r="J23" s="241"/>
      <c r="K23" s="241"/>
      <c r="L23" s="241"/>
      <c r="M23" s="241"/>
      <c r="N23" s="241"/>
      <c r="O23" s="241"/>
      <c r="P23" s="241"/>
      <c r="Q23" s="241"/>
    </row>
    <row r="24" outlineLevel="1" spans="1:17">
      <c r="A24" s="216">
        <v>5</v>
      </c>
      <c r="B24" s="237" t="s">
        <v>814</v>
      </c>
      <c r="C24" s="228" t="s">
        <v>68</v>
      </c>
      <c r="D24" s="229">
        <f t="shared" si="0"/>
        <v>0</v>
      </c>
      <c r="E24" s="229" t="s">
        <v>805</v>
      </c>
      <c r="F24" s="241"/>
      <c r="G24" s="241"/>
      <c r="H24" s="241"/>
      <c r="I24" s="241"/>
      <c r="J24" s="241"/>
      <c r="K24" s="241"/>
      <c r="L24" s="241"/>
      <c r="M24" s="241"/>
      <c r="N24" s="241"/>
      <c r="O24" s="241"/>
      <c r="P24" s="241"/>
      <c r="Q24" s="241"/>
    </row>
    <row r="25" outlineLevel="1" spans="1:17">
      <c r="A25" s="216">
        <v>5</v>
      </c>
      <c r="B25" s="237" t="s">
        <v>814</v>
      </c>
      <c r="C25" s="231" t="s">
        <v>19</v>
      </c>
      <c r="D25" s="232">
        <f t="shared" si="0"/>
        <v>0</v>
      </c>
      <c r="E25" s="232" t="s">
        <v>805</v>
      </c>
      <c r="F25" s="241"/>
      <c r="G25" s="241"/>
      <c r="H25" s="241"/>
      <c r="I25" s="241"/>
      <c r="J25" s="241"/>
      <c r="K25" s="241"/>
      <c r="L25" s="241"/>
      <c r="M25" s="241"/>
      <c r="N25" s="241"/>
      <c r="O25" s="241"/>
      <c r="P25" s="241"/>
      <c r="Q25" s="241"/>
    </row>
    <row r="26" outlineLevel="1" spans="1:17">
      <c r="A26" s="216">
        <v>6</v>
      </c>
      <c r="B26" s="237" t="s">
        <v>817</v>
      </c>
      <c r="C26" s="238" t="s">
        <v>745</v>
      </c>
      <c r="D26" s="239">
        <f t="shared" si="0"/>
        <v>0</v>
      </c>
      <c r="E26" s="239" t="s">
        <v>805</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817</v>
      </c>
      <c r="C27" s="225" t="s">
        <v>109</v>
      </c>
      <c r="D27" s="226">
        <f t="shared" si="0"/>
        <v>0</v>
      </c>
      <c r="E27" s="226" t="s">
        <v>805</v>
      </c>
      <c r="F27" s="241"/>
      <c r="G27" s="241"/>
      <c r="H27" s="241"/>
      <c r="I27" s="241"/>
      <c r="J27" s="241"/>
      <c r="K27" s="241"/>
      <c r="L27" s="241"/>
      <c r="M27" s="241"/>
      <c r="N27" s="241"/>
      <c r="O27" s="241"/>
      <c r="P27" s="241"/>
      <c r="Q27" s="241"/>
    </row>
    <row r="28" outlineLevel="1" spans="1:17">
      <c r="A28" s="216">
        <v>6</v>
      </c>
      <c r="B28" s="237" t="s">
        <v>817</v>
      </c>
      <c r="C28" s="228" t="s">
        <v>68</v>
      </c>
      <c r="D28" s="229">
        <f t="shared" si="0"/>
        <v>0</v>
      </c>
      <c r="E28" s="229" t="s">
        <v>805</v>
      </c>
      <c r="F28" s="241"/>
      <c r="G28" s="241"/>
      <c r="H28" s="241"/>
      <c r="I28" s="241"/>
      <c r="J28" s="241"/>
      <c r="K28" s="241"/>
      <c r="L28" s="241"/>
      <c r="M28" s="241"/>
      <c r="N28" s="241"/>
      <c r="O28" s="241"/>
      <c r="P28" s="241"/>
      <c r="Q28" s="241"/>
    </row>
    <row r="29" outlineLevel="1" spans="1:17">
      <c r="A29" s="216">
        <v>6</v>
      </c>
      <c r="B29" s="237" t="s">
        <v>817</v>
      </c>
      <c r="C29" s="231" t="s">
        <v>19</v>
      </c>
      <c r="D29" s="232">
        <f t="shared" si="0"/>
        <v>0</v>
      </c>
      <c r="E29" s="232" t="s">
        <v>805</v>
      </c>
      <c r="F29" s="241"/>
      <c r="G29" s="241"/>
      <c r="H29" s="241"/>
      <c r="I29" s="241"/>
      <c r="J29" s="241"/>
      <c r="K29" s="241"/>
      <c r="L29" s="241"/>
      <c r="M29" s="241"/>
      <c r="N29" s="241"/>
      <c r="O29" s="241"/>
      <c r="P29" s="241"/>
      <c r="Q29" s="241"/>
    </row>
    <row r="30" outlineLevel="1" spans="1:17">
      <c r="A30" s="216">
        <v>7</v>
      </c>
      <c r="B30" s="237" t="s">
        <v>820</v>
      </c>
      <c r="C30" s="238" t="s">
        <v>745</v>
      </c>
      <c r="D30" s="239">
        <f t="shared" si="0"/>
        <v>0</v>
      </c>
      <c r="E30" s="239" t="s">
        <v>805</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820</v>
      </c>
      <c r="C31" s="225" t="s">
        <v>109</v>
      </c>
      <c r="D31" s="226">
        <f t="shared" si="0"/>
        <v>0</v>
      </c>
      <c r="E31" s="226" t="s">
        <v>805</v>
      </c>
      <c r="F31" s="241"/>
      <c r="G31" s="241"/>
      <c r="H31" s="241"/>
      <c r="I31" s="241"/>
      <c r="J31" s="241"/>
      <c r="K31" s="241"/>
      <c r="L31" s="241"/>
      <c r="M31" s="241"/>
      <c r="N31" s="241"/>
      <c r="O31" s="241"/>
      <c r="P31" s="241"/>
      <c r="Q31" s="241"/>
    </row>
    <row r="32" outlineLevel="1" spans="1:17">
      <c r="A32" s="216">
        <v>7</v>
      </c>
      <c r="B32" s="237" t="s">
        <v>820</v>
      </c>
      <c r="C32" s="228" t="s">
        <v>68</v>
      </c>
      <c r="D32" s="229">
        <f t="shared" si="0"/>
        <v>0</v>
      </c>
      <c r="E32" s="229" t="s">
        <v>805</v>
      </c>
      <c r="F32" s="241"/>
      <c r="G32" s="241"/>
      <c r="H32" s="241"/>
      <c r="I32" s="241"/>
      <c r="J32" s="241"/>
      <c r="K32" s="241"/>
      <c r="L32" s="241"/>
      <c r="M32" s="241"/>
      <c r="N32" s="241"/>
      <c r="O32" s="241"/>
      <c r="P32" s="241"/>
      <c r="Q32" s="241"/>
    </row>
    <row r="33" outlineLevel="1" spans="1:17">
      <c r="A33" s="216">
        <v>7</v>
      </c>
      <c r="B33" s="237" t="s">
        <v>820</v>
      </c>
      <c r="C33" s="231" t="s">
        <v>19</v>
      </c>
      <c r="D33" s="232">
        <f t="shared" si="0"/>
        <v>0</v>
      </c>
      <c r="E33" s="232" t="s">
        <v>805</v>
      </c>
      <c r="F33" s="241"/>
      <c r="G33" s="241"/>
      <c r="H33" s="241"/>
      <c r="I33" s="241"/>
      <c r="J33" s="241"/>
      <c r="K33" s="241"/>
      <c r="L33" s="241"/>
      <c r="M33" s="241"/>
      <c r="N33" s="241"/>
      <c r="O33" s="241"/>
      <c r="P33" s="241"/>
      <c r="Q33" s="241"/>
    </row>
    <row r="34" spans="1:17">
      <c r="A34" s="216">
        <v>8</v>
      </c>
      <c r="B34" s="234" t="s">
        <v>203</v>
      </c>
      <c r="C34" s="234" t="s">
        <v>745</v>
      </c>
      <c r="D34" s="235">
        <f t="shared" si="0"/>
        <v>60</v>
      </c>
      <c r="E34" s="235" t="s">
        <v>805</v>
      </c>
      <c r="F34" s="236">
        <f t="shared" ref="F34:Q34" si="15">F35+F36+F37</f>
        <v>60</v>
      </c>
      <c r="G34" s="236">
        <f t="shared" si="15"/>
        <v>0</v>
      </c>
      <c r="H34" s="236">
        <f t="shared" si="15"/>
        <v>0</v>
      </c>
      <c r="I34" s="236">
        <f t="shared" si="15"/>
        <v>0</v>
      </c>
      <c r="J34" s="236">
        <f t="shared" si="15"/>
        <v>0</v>
      </c>
      <c r="K34" s="236">
        <f t="shared" si="15"/>
        <v>0</v>
      </c>
      <c r="L34" s="236">
        <f t="shared" si="15"/>
        <v>0</v>
      </c>
      <c r="M34" s="236">
        <f t="shared" si="15"/>
        <v>0</v>
      </c>
      <c r="N34" s="236">
        <f t="shared" si="15"/>
        <v>0</v>
      </c>
      <c r="O34" s="236">
        <f t="shared" si="15"/>
        <v>0</v>
      </c>
      <c r="P34" s="236">
        <f t="shared" si="15"/>
        <v>0</v>
      </c>
      <c r="Q34" s="236">
        <f t="shared" si="15"/>
        <v>0</v>
      </c>
    </row>
    <row r="35" spans="1:17">
      <c r="A35" s="216">
        <v>8</v>
      </c>
      <c r="B35" s="234" t="s">
        <v>203</v>
      </c>
      <c r="C35" s="225" t="s">
        <v>109</v>
      </c>
      <c r="D35" s="226">
        <f t="shared" si="0"/>
        <v>19</v>
      </c>
      <c r="E35" s="226" t="s">
        <v>805</v>
      </c>
      <c r="F35" s="227">
        <v>19</v>
      </c>
      <c r="G35" s="227">
        <f t="shared" ref="G35:Q35" si="16">G39+G43+G47+G51+G55+G59+G63+G67</f>
        <v>0</v>
      </c>
      <c r="H35" s="227">
        <f t="shared" si="16"/>
        <v>0</v>
      </c>
      <c r="I35" s="227">
        <f t="shared" si="16"/>
        <v>0</v>
      </c>
      <c r="J35" s="227">
        <f t="shared" si="16"/>
        <v>0</v>
      </c>
      <c r="K35" s="227">
        <f t="shared" si="16"/>
        <v>0</v>
      </c>
      <c r="L35" s="227">
        <f t="shared" si="16"/>
        <v>0</v>
      </c>
      <c r="M35" s="227">
        <f t="shared" si="16"/>
        <v>0</v>
      </c>
      <c r="N35" s="227">
        <f t="shared" si="16"/>
        <v>0</v>
      </c>
      <c r="O35" s="227">
        <f t="shared" si="16"/>
        <v>0</v>
      </c>
      <c r="P35" s="227">
        <f t="shared" si="16"/>
        <v>0</v>
      </c>
      <c r="Q35" s="227">
        <f t="shared" si="16"/>
        <v>0</v>
      </c>
    </row>
    <row r="36" spans="1:17">
      <c r="A36" s="216">
        <v>8</v>
      </c>
      <c r="B36" s="234" t="s">
        <v>203</v>
      </c>
      <c r="C36" s="228" t="s">
        <v>68</v>
      </c>
      <c r="D36" s="229">
        <f t="shared" si="0"/>
        <v>20</v>
      </c>
      <c r="E36" s="229" t="s">
        <v>805</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805</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841</v>
      </c>
      <c r="C38" s="238" t="s">
        <v>745</v>
      </c>
      <c r="D38" s="239">
        <f t="shared" si="0"/>
        <v>0</v>
      </c>
      <c r="E38" s="239" t="s">
        <v>805</v>
      </c>
      <c r="F38" s="240">
        <f t="shared" ref="F38:Q38" si="19">F39+F40+F41</f>
        <v>0</v>
      </c>
      <c r="G38" s="240">
        <f t="shared" si="19"/>
        <v>0</v>
      </c>
      <c r="H38" s="240">
        <f t="shared" si="19"/>
        <v>0</v>
      </c>
      <c r="I38" s="240">
        <f t="shared" si="19"/>
        <v>0</v>
      </c>
      <c r="J38" s="240">
        <f t="shared" si="19"/>
        <v>0</v>
      </c>
      <c r="K38" s="240">
        <f t="shared" si="19"/>
        <v>0</v>
      </c>
      <c r="L38" s="240">
        <f t="shared" si="19"/>
        <v>0</v>
      </c>
      <c r="M38" s="240">
        <f t="shared" si="19"/>
        <v>0</v>
      </c>
      <c r="N38" s="240">
        <f t="shared" si="19"/>
        <v>0</v>
      </c>
      <c r="O38" s="240">
        <f t="shared" si="19"/>
        <v>0</v>
      </c>
      <c r="P38" s="240">
        <f t="shared" si="19"/>
        <v>0</v>
      </c>
      <c r="Q38" s="240">
        <f t="shared" si="19"/>
        <v>0</v>
      </c>
    </row>
    <row r="39" outlineLevel="1" spans="1:17">
      <c r="A39" s="216">
        <v>9</v>
      </c>
      <c r="B39" s="237" t="s">
        <v>841</v>
      </c>
      <c r="C39" s="225" t="s">
        <v>109</v>
      </c>
      <c r="D39" s="226">
        <f t="shared" si="0"/>
        <v>0</v>
      </c>
      <c r="E39" s="226" t="s">
        <v>805</v>
      </c>
      <c r="F39" s="241">
        <f>自有人工预算!E13</f>
        <v>0</v>
      </c>
      <c r="G39" s="241">
        <f>自有人工预算!F13</f>
        <v>0</v>
      </c>
      <c r="H39" s="241">
        <f>自有人工预算!G13</f>
        <v>0</v>
      </c>
      <c r="I39" s="241">
        <f>自有人工预算!H13</f>
        <v>0</v>
      </c>
      <c r="J39" s="241">
        <f>自有人工预算!I13</f>
        <v>0</v>
      </c>
      <c r="K39" s="241">
        <f>自有人工预算!J13</f>
        <v>0</v>
      </c>
      <c r="L39" s="241">
        <f>自有人工预算!K13</f>
        <v>0</v>
      </c>
      <c r="M39" s="241">
        <f>自有人工预算!L13</f>
        <v>0</v>
      </c>
      <c r="N39" s="241">
        <f>自有人工预算!M13</f>
        <v>0</v>
      </c>
      <c r="O39" s="241">
        <f>自有人工预算!N13</f>
        <v>0</v>
      </c>
      <c r="P39" s="241">
        <f>自有人工预算!O13</f>
        <v>0</v>
      </c>
      <c r="Q39" s="241">
        <f>自有人工预算!P13</f>
        <v>0</v>
      </c>
    </row>
    <row r="40" outlineLevel="1" spans="1:17">
      <c r="A40" s="216">
        <v>9</v>
      </c>
      <c r="B40" s="237" t="s">
        <v>841</v>
      </c>
      <c r="C40" s="228" t="s">
        <v>68</v>
      </c>
      <c r="D40" s="229">
        <f t="shared" si="0"/>
        <v>0</v>
      </c>
      <c r="E40" s="229" t="s">
        <v>805</v>
      </c>
      <c r="F40" s="241"/>
      <c r="G40" s="241"/>
      <c r="H40" s="241"/>
      <c r="I40" s="241"/>
      <c r="J40" s="241"/>
      <c r="K40" s="241"/>
      <c r="L40" s="241"/>
      <c r="M40" s="241"/>
      <c r="N40" s="241"/>
      <c r="O40" s="241"/>
      <c r="P40" s="241"/>
      <c r="Q40" s="241"/>
    </row>
    <row r="41" outlineLevel="1" spans="1:17">
      <c r="A41" s="216">
        <v>9</v>
      </c>
      <c r="B41" s="237" t="s">
        <v>841</v>
      </c>
      <c r="C41" s="231" t="s">
        <v>19</v>
      </c>
      <c r="D41" s="232">
        <f t="shared" si="0"/>
        <v>0</v>
      </c>
      <c r="E41" s="232" t="s">
        <v>805</v>
      </c>
      <c r="F41" s="241"/>
      <c r="G41" s="241"/>
      <c r="H41" s="241"/>
      <c r="I41" s="241"/>
      <c r="J41" s="241"/>
      <c r="K41" s="241"/>
      <c r="L41" s="241"/>
      <c r="M41" s="241"/>
      <c r="N41" s="241"/>
      <c r="O41" s="241"/>
      <c r="P41" s="241"/>
      <c r="Q41" s="241"/>
    </row>
    <row r="42" outlineLevel="1" spans="1:17">
      <c r="A42" s="216">
        <v>10</v>
      </c>
      <c r="B42" s="237" t="s">
        <v>844</v>
      </c>
      <c r="C42" s="238" t="s">
        <v>745</v>
      </c>
      <c r="D42" s="239">
        <f t="shared" si="0"/>
        <v>0</v>
      </c>
      <c r="E42" s="239" t="s">
        <v>805</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844</v>
      </c>
      <c r="C43" s="225" t="s">
        <v>109</v>
      </c>
      <c r="D43" s="226">
        <f t="shared" si="0"/>
        <v>0</v>
      </c>
      <c r="E43" s="226" t="s">
        <v>805</v>
      </c>
      <c r="F43" s="241"/>
      <c r="G43" s="241"/>
      <c r="H43" s="241"/>
      <c r="I43" s="241"/>
      <c r="J43" s="241"/>
      <c r="K43" s="241"/>
      <c r="L43" s="241"/>
      <c r="M43" s="241"/>
      <c r="N43" s="241"/>
      <c r="O43" s="241"/>
      <c r="P43" s="241"/>
      <c r="Q43" s="241"/>
    </row>
    <row r="44" outlineLevel="1" spans="1:17">
      <c r="A44" s="216">
        <v>10</v>
      </c>
      <c r="B44" s="237" t="s">
        <v>844</v>
      </c>
      <c r="C44" s="228" t="s">
        <v>68</v>
      </c>
      <c r="D44" s="229">
        <f t="shared" si="0"/>
        <v>0</v>
      </c>
      <c r="E44" s="229" t="s">
        <v>805</v>
      </c>
      <c r="F44" s="241"/>
      <c r="G44" s="241"/>
      <c r="H44" s="241"/>
      <c r="I44" s="241"/>
      <c r="J44" s="241"/>
      <c r="K44" s="241"/>
      <c r="L44" s="241"/>
      <c r="M44" s="241"/>
      <c r="N44" s="241"/>
      <c r="O44" s="241"/>
      <c r="P44" s="241"/>
      <c r="Q44" s="241"/>
    </row>
    <row r="45" outlineLevel="1" spans="1:17">
      <c r="A45" s="216">
        <v>10</v>
      </c>
      <c r="B45" s="237" t="s">
        <v>844</v>
      </c>
      <c r="C45" s="231" t="s">
        <v>19</v>
      </c>
      <c r="D45" s="232">
        <f t="shared" si="0"/>
        <v>0</v>
      </c>
      <c r="E45" s="232" t="s">
        <v>805</v>
      </c>
      <c r="F45" s="241"/>
      <c r="G45" s="241"/>
      <c r="H45" s="241"/>
      <c r="I45" s="241"/>
      <c r="J45" s="241"/>
      <c r="K45" s="241"/>
      <c r="L45" s="241"/>
      <c r="M45" s="241"/>
      <c r="N45" s="241"/>
      <c r="O45" s="241"/>
      <c r="P45" s="241"/>
      <c r="Q45" s="241"/>
    </row>
    <row r="46" outlineLevel="1" spans="1:17">
      <c r="A46" s="216">
        <v>11</v>
      </c>
      <c r="B46" s="237" t="s">
        <v>846</v>
      </c>
      <c r="C46" s="238" t="s">
        <v>745</v>
      </c>
      <c r="D46" s="239">
        <f t="shared" si="0"/>
        <v>0</v>
      </c>
      <c r="E46" s="239" t="s">
        <v>805</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846</v>
      </c>
      <c r="C47" s="225" t="s">
        <v>109</v>
      </c>
      <c r="D47" s="226">
        <f t="shared" si="0"/>
        <v>0</v>
      </c>
      <c r="E47" s="226" t="s">
        <v>805</v>
      </c>
      <c r="F47" s="241"/>
      <c r="G47" s="241"/>
      <c r="H47" s="241"/>
      <c r="I47" s="241"/>
      <c r="J47" s="241"/>
      <c r="K47" s="241"/>
      <c r="L47" s="241"/>
      <c r="M47" s="241"/>
      <c r="N47" s="241"/>
      <c r="O47" s="241"/>
      <c r="P47" s="241"/>
      <c r="Q47" s="241"/>
    </row>
    <row r="48" outlineLevel="1" spans="1:17">
      <c r="A48" s="216">
        <v>11</v>
      </c>
      <c r="B48" s="237" t="s">
        <v>846</v>
      </c>
      <c r="C48" s="228" t="s">
        <v>68</v>
      </c>
      <c r="D48" s="229">
        <f t="shared" si="0"/>
        <v>0</v>
      </c>
      <c r="E48" s="229" t="s">
        <v>805</v>
      </c>
      <c r="F48" s="241"/>
      <c r="G48" s="241"/>
      <c r="H48" s="241"/>
      <c r="I48" s="241"/>
      <c r="J48" s="241"/>
      <c r="K48" s="241"/>
      <c r="L48" s="241"/>
      <c r="M48" s="241"/>
      <c r="N48" s="241"/>
      <c r="O48" s="241"/>
      <c r="P48" s="241"/>
      <c r="Q48" s="241"/>
    </row>
    <row r="49" outlineLevel="1" spans="1:17">
      <c r="A49" s="216">
        <v>11</v>
      </c>
      <c r="B49" s="237" t="s">
        <v>846</v>
      </c>
      <c r="C49" s="231" t="s">
        <v>19</v>
      </c>
      <c r="D49" s="232">
        <f t="shared" si="0"/>
        <v>0</v>
      </c>
      <c r="E49" s="232" t="s">
        <v>805</v>
      </c>
      <c r="F49" s="241"/>
      <c r="G49" s="241"/>
      <c r="H49" s="241"/>
      <c r="I49" s="241"/>
      <c r="J49" s="241"/>
      <c r="K49" s="241"/>
      <c r="L49" s="241"/>
      <c r="M49" s="241"/>
      <c r="N49" s="241"/>
      <c r="O49" s="241"/>
      <c r="P49" s="241"/>
      <c r="Q49" s="241"/>
    </row>
    <row r="50" outlineLevel="1" spans="1:17">
      <c r="A50" s="216">
        <v>12</v>
      </c>
      <c r="B50" s="237" t="s">
        <v>849</v>
      </c>
      <c r="C50" s="238" t="s">
        <v>745</v>
      </c>
      <c r="D50" s="239">
        <f t="shared" si="0"/>
        <v>0</v>
      </c>
      <c r="E50" s="239" t="s">
        <v>805</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849</v>
      </c>
      <c r="C51" s="225" t="s">
        <v>109</v>
      </c>
      <c r="D51" s="226">
        <f t="shared" si="0"/>
        <v>0</v>
      </c>
      <c r="E51" s="226" t="s">
        <v>805</v>
      </c>
      <c r="F51" s="241"/>
      <c r="G51" s="241"/>
      <c r="H51" s="241"/>
      <c r="I51" s="241"/>
      <c r="J51" s="241"/>
      <c r="K51" s="241"/>
      <c r="L51" s="241"/>
      <c r="M51" s="241"/>
      <c r="N51" s="241"/>
      <c r="O51" s="241"/>
      <c r="P51" s="241"/>
      <c r="Q51" s="241"/>
    </row>
    <row r="52" outlineLevel="1" spans="1:17">
      <c r="A52" s="216">
        <v>12</v>
      </c>
      <c r="B52" s="237" t="s">
        <v>849</v>
      </c>
      <c r="C52" s="228" t="s">
        <v>68</v>
      </c>
      <c r="D52" s="229">
        <f t="shared" si="0"/>
        <v>0</v>
      </c>
      <c r="E52" s="229" t="s">
        <v>805</v>
      </c>
      <c r="F52" s="241"/>
      <c r="G52" s="241"/>
      <c r="H52" s="241"/>
      <c r="I52" s="241"/>
      <c r="J52" s="241"/>
      <c r="K52" s="241"/>
      <c r="L52" s="241"/>
      <c r="M52" s="241"/>
      <c r="N52" s="241"/>
      <c r="O52" s="241"/>
      <c r="P52" s="241"/>
      <c r="Q52" s="241"/>
    </row>
    <row r="53" outlineLevel="1" spans="1:17">
      <c r="A53" s="216">
        <v>12</v>
      </c>
      <c r="B53" s="237" t="s">
        <v>849</v>
      </c>
      <c r="C53" s="231" t="s">
        <v>19</v>
      </c>
      <c r="D53" s="232">
        <f t="shared" si="0"/>
        <v>0</v>
      </c>
      <c r="E53" s="232" t="s">
        <v>805</v>
      </c>
      <c r="F53" s="241"/>
      <c r="G53" s="241"/>
      <c r="H53" s="241"/>
      <c r="I53" s="241"/>
      <c r="J53" s="241"/>
      <c r="K53" s="241"/>
      <c r="L53" s="241"/>
      <c r="M53" s="241"/>
      <c r="N53" s="241"/>
      <c r="O53" s="241"/>
      <c r="P53" s="241"/>
      <c r="Q53" s="241"/>
    </row>
    <row r="54" outlineLevel="1" spans="1:17">
      <c r="A54" s="216">
        <v>13</v>
      </c>
      <c r="B54" s="237" t="s">
        <v>852</v>
      </c>
      <c r="C54" s="238" t="s">
        <v>745</v>
      </c>
      <c r="D54" s="239">
        <f t="shared" si="0"/>
        <v>0</v>
      </c>
      <c r="E54" s="239" t="s">
        <v>805</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852</v>
      </c>
      <c r="C55" s="225" t="s">
        <v>109</v>
      </c>
      <c r="D55" s="226">
        <f t="shared" si="0"/>
        <v>0</v>
      </c>
      <c r="E55" s="226" t="s">
        <v>805</v>
      </c>
      <c r="F55" s="241"/>
      <c r="G55" s="241"/>
      <c r="H55" s="241"/>
      <c r="I55" s="241"/>
      <c r="J55" s="241"/>
      <c r="K55" s="241"/>
      <c r="L55" s="241"/>
      <c r="M55" s="241"/>
      <c r="N55" s="241"/>
      <c r="O55" s="241"/>
      <c r="P55" s="241"/>
      <c r="Q55" s="241"/>
    </row>
    <row r="56" outlineLevel="1" spans="1:17">
      <c r="A56" s="216">
        <v>13</v>
      </c>
      <c r="B56" s="237" t="s">
        <v>852</v>
      </c>
      <c r="C56" s="228" t="s">
        <v>68</v>
      </c>
      <c r="D56" s="229">
        <f t="shared" si="0"/>
        <v>0</v>
      </c>
      <c r="E56" s="229" t="s">
        <v>805</v>
      </c>
      <c r="F56" s="241"/>
      <c r="G56" s="241"/>
      <c r="H56" s="241"/>
      <c r="I56" s="241"/>
      <c r="J56" s="241"/>
      <c r="K56" s="241"/>
      <c r="L56" s="241"/>
      <c r="M56" s="241"/>
      <c r="N56" s="241"/>
      <c r="O56" s="241"/>
      <c r="P56" s="241"/>
      <c r="Q56" s="241"/>
    </row>
    <row r="57" outlineLevel="1" spans="1:17">
      <c r="A57" s="216">
        <v>13</v>
      </c>
      <c r="B57" s="237" t="s">
        <v>852</v>
      </c>
      <c r="C57" s="231" t="s">
        <v>19</v>
      </c>
      <c r="D57" s="232">
        <f t="shared" si="0"/>
        <v>0</v>
      </c>
      <c r="E57" s="232" t="s">
        <v>805</v>
      </c>
      <c r="F57" s="241"/>
      <c r="G57" s="241"/>
      <c r="H57" s="241"/>
      <c r="I57" s="241"/>
      <c r="J57" s="241"/>
      <c r="K57" s="241"/>
      <c r="L57" s="241"/>
      <c r="M57" s="241"/>
      <c r="N57" s="241"/>
      <c r="O57" s="241"/>
      <c r="P57" s="241"/>
      <c r="Q57" s="241"/>
    </row>
    <row r="58" outlineLevel="1" spans="1:17">
      <c r="A58" s="216">
        <v>14</v>
      </c>
      <c r="B58" s="237" t="s">
        <v>855</v>
      </c>
      <c r="C58" s="238" t="s">
        <v>745</v>
      </c>
      <c r="D58" s="239">
        <f t="shared" si="0"/>
        <v>0</v>
      </c>
      <c r="E58" s="239" t="s">
        <v>805</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855</v>
      </c>
      <c r="C59" s="225" t="s">
        <v>109</v>
      </c>
      <c r="D59" s="226">
        <f t="shared" si="0"/>
        <v>0</v>
      </c>
      <c r="E59" s="226" t="s">
        <v>805</v>
      </c>
      <c r="F59" s="241"/>
      <c r="G59" s="241"/>
      <c r="H59" s="241"/>
      <c r="I59" s="241"/>
      <c r="J59" s="241"/>
      <c r="K59" s="241"/>
      <c r="L59" s="241"/>
      <c r="M59" s="241"/>
      <c r="N59" s="241"/>
      <c r="O59" s="241"/>
      <c r="P59" s="241"/>
      <c r="Q59" s="241"/>
    </row>
    <row r="60" outlineLevel="1" spans="1:17">
      <c r="A60" s="216">
        <v>14</v>
      </c>
      <c r="B60" s="237" t="s">
        <v>855</v>
      </c>
      <c r="C60" s="228" t="s">
        <v>68</v>
      </c>
      <c r="D60" s="229">
        <f t="shared" si="0"/>
        <v>0</v>
      </c>
      <c r="E60" s="229" t="s">
        <v>805</v>
      </c>
      <c r="F60" s="241"/>
      <c r="G60" s="241"/>
      <c r="H60" s="241"/>
      <c r="I60" s="241"/>
      <c r="J60" s="241"/>
      <c r="K60" s="241"/>
      <c r="L60" s="241"/>
      <c r="M60" s="241"/>
      <c r="N60" s="241"/>
      <c r="O60" s="241"/>
      <c r="P60" s="241"/>
      <c r="Q60" s="241"/>
    </row>
    <row r="61" outlineLevel="1" spans="1:17">
      <c r="A61" s="216">
        <v>14</v>
      </c>
      <c r="B61" s="237" t="s">
        <v>855</v>
      </c>
      <c r="C61" s="231" t="s">
        <v>19</v>
      </c>
      <c r="D61" s="232">
        <f t="shared" si="0"/>
        <v>0</v>
      </c>
      <c r="E61" s="232" t="s">
        <v>805</v>
      </c>
      <c r="F61" s="241"/>
      <c r="G61" s="241"/>
      <c r="H61" s="241"/>
      <c r="I61" s="241"/>
      <c r="J61" s="241"/>
      <c r="K61" s="241"/>
      <c r="L61" s="241"/>
      <c r="M61" s="241"/>
      <c r="N61" s="241"/>
      <c r="O61" s="241"/>
      <c r="P61" s="241"/>
      <c r="Q61" s="241"/>
    </row>
    <row r="62" outlineLevel="1" spans="1:17">
      <c r="A62" s="216">
        <v>15</v>
      </c>
      <c r="B62" s="237" t="s">
        <v>858</v>
      </c>
      <c r="C62" s="238" t="s">
        <v>745</v>
      </c>
      <c r="D62" s="239">
        <f t="shared" si="0"/>
        <v>0</v>
      </c>
      <c r="E62" s="239" t="s">
        <v>805</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858</v>
      </c>
      <c r="C63" s="225" t="s">
        <v>109</v>
      </c>
      <c r="D63" s="226">
        <f t="shared" si="0"/>
        <v>0</v>
      </c>
      <c r="E63" s="226" t="s">
        <v>805</v>
      </c>
      <c r="F63" s="241"/>
      <c r="G63" s="241"/>
      <c r="H63" s="241"/>
      <c r="I63" s="241"/>
      <c r="J63" s="241"/>
      <c r="K63" s="241"/>
      <c r="L63" s="241"/>
      <c r="M63" s="241"/>
      <c r="N63" s="241"/>
      <c r="O63" s="241"/>
      <c r="P63" s="241"/>
      <c r="Q63" s="241"/>
    </row>
    <row r="64" outlineLevel="1" spans="1:17">
      <c r="A64" s="216">
        <v>15</v>
      </c>
      <c r="B64" s="237" t="s">
        <v>858</v>
      </c>
      <c r="C64" s="228" t="s">
        <v>68</v>
      </c>
      <c r="D64" s="229">
        <f t="shared" si="0"/>
        <v>0</v>
      </c>
      <c r="E64" s="229" t="s">
        <v>805</v>
      </c>
      <c r="F64" s="241"/>
      <c r="G64" s="241"/>
      <c r="H64" s="241"/>
      <c r="I64" s="241"/>
      <c r="J64" s="241"/>
      <c r="K64" s="241"/>
      <c r="L64" s="241"/>
      <c r="M64" s="241"/>
      <c r="N64" s="241"/>
      <c r="O64" s="241"/>
      <c r="P64" s="241"/>
      <c r="Q64" s="241"/>
    </row>
    <row r="65" outlineLevel="1" spans="1:17">
      <c r="A65" s="216">
        <v>15</v>
      </c>
      <c r="B65" s="237" t="s">
        <v>858</v>
      </c>
      <c r="C65" s="231" t="s">
        <v>19</v>
      </c>
      <c r="D65" s="232">
        <f t="shared" si="0"/>
        <v>0</v>
      </c>
      <c r="E65" s="232" t="s">
        <v>805</v>
      </c>
      <c r="F65" s="241"/>
      <c r="G65" s="241"/>
      <c r="H65" s="241"/>
      <c r="I65" s="241"/>
      <c r="J65" s="241"/>
      <c r="K65" s="241"/>
      <c r="L65" s="241"/>
      <c r="M65" s="241"/>
      <c r="N65" s="241"/>
      <c r="O65" s="241"/>
      <c r="P65" s="241"/>
      <c r="Q65" s="241"/>
    </row>
    <row r="66" outlineLevel="1" spans="1:17">
      <c r="A66" s="216">
        <v>16</v>
      </c>
      <c r="B66" s="237" t="s">
        <v>861</v>
      </c>
      <c r="C66" s="238" t="s">
        <v>745</v>
      </c>
      <c r="D66" s="239">
        <f t="shared" ref="D66:D129" si="26">IFERROR(SUM(F66:Q66)/COUNTIF(F66:Q66,"&lt;&gt;0"),0)</f>
        <v>0</v>
      </c>
      <c r="E66" s="239" t="s">
        <v>805</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861</v>
      </c>
      <c r="C67" s="225" t="s">
        <v>109</v>
      </c>
      <c r="D67" s="226">
        <f t="shared" si="26"/>
        <v>0</v>
      </c>
      <c r="E67" s="226" t="s">
        <v>805</v>
      </c>
      <c r="F67" s="241"/>
      <c r="G67" s="241"/>
      <c r="H67" s="241"/>
      <c r="I67" s="241"/>
      <c r="J67" s="241"/>
      <c r="K67" s="241"/>
      <c r="L67" s="241"/>
      <c r="M67" s="241"/>
      <c r="N67" s="241"/>
      <c r="O67" s="241"/>
      <c r="P67" s="241"/>
      <c r="Q67" s="241"/>
    </row>
    <row r="68" outlineLevel="1" spans="1:17">
      <c r="A68" s="216">
        <v>16</v>
      </c>
      <c r="B68" s="237" t="s">
        <v>861</v>
      </c>
      <c r="C68" s="228" t="s">
        <v>68</v>
      </c>
      <c r="D68" s="229">
        <f t="shared" si="26"/>
        <v>0</v>
      </c>
      <c r="E68" s="229" t="s">
        <v>805</v>
      </c>
      <c r="F68" s="241"/>
      <c r="G68" s="241"/>
      <c r="H68" s="241"/>
      <c r="I68" s="241"/>
      <c r="J68" s="241"/>
      <c r="K68" s="241"/>
      <c r="L68" s="241"/>
      <c r="M68" s="241"/>
      <c r="N68" s="241"/>
      <c r="O68" s="241"/>
      <c r="P68" s="241"/>
      <c r="Q68" s="241"/>
    </row>
    <row r="69" outlineLevel="1" spans="1:17">
      <c r="A69" s="216">
        <v>16</v>
      </c>
      <c r="B69" s="237" t="s">
        <v>861</v>
      </c>
      <c r="C69" s="231" t="s">
        <v>19</v>
      </c>
      <c r="D69" s="232">
        <f t="shared" si="26"/>
        <v>0</v>
      </c>
      <c r="E69" s="232" t="s">
        <v>805</v>
      </c>
      <c r="F69" s="241"/>
      <c r="G69" s="241"/>
      <c r="H69" s="241"/>
      <c r="I69" s="241"/>
      <c r="J69" s="241"/>
      <c r="K69" s="241"/>
      <c r="L69" s="241"/>
      <c r="M69" s="241"/>
      <c r="N69" s="241"/>
      <c r="O69" s="241"/>
      <c r="P69" s="241"/>
      <c r="Q69" s="241"/>
    </row>
    <row r="70" spans="1:17">
      <c r="A70" s="216">
        <v>17</v>
      </c>
      <c r="B70" s="234" t="s">
        <v>191</v>
      </c>
      <c r="C70" s="234" t="s">
        <v>745</v>
      </c>
      <c r="D70" s="235">
        <f t="shared" si="26"/>
        <v>3</v>
      </c>
      <c r="E70" s="235" t="s">
        <v>805</v>
      </c>
      <c r="F70" s="236">
        <f t="shared" ref="F70:Q70" si="28">F71+F72+F73</f>
        <v>3</v>
      </c>
      <c r="G70" s="236">
        <f t="shared" si="28"/>
        <v>3</v>
      </c>
      <c r="H70" s="236">
        <f t="shared" si="28"/>
        <v>3</v>
      </c>
      <c r="I70" s="236">
        <f t="shared" si="28"/>
        <v>3</v>
      </c>
      <c r="J70" s="236">
        <f t="shared" si="28"/>
        <v>3</v>
      </c>
      <c r="K70" s="236">
        <f t="shared" si="28"/>
        <v>3</v>
      </c>
      <c r="L70" s="236">
        <f t="shared" si="28"/>
        <v>3</v>
      </c>
      <c r="M70" s="236">
        <f t="shared" si="28"/>
        <v>3</v>
      </c>
      <c r="N70" s="236">
        <f t="shared" si="28"/>
        <v>3</v>
      </c>
      <c r="O70" s="236">
        <f t="shared" si="28"/>
        <v>3</v>
      </c>
      <c r="P70" s="236">
        <f t="shared" si="28"/>
        <v>3</v>
      </c>
      <c r="Q70" s="236">
        <f t="shared" si="28"/>
        <v>3</v>
      </c>
    </row>
    <row r="71" spans="1:17">
      <c r="A71" s="216">
        <v>17</v>
      </c>
      <c r="B71" s="234" t="s">
        <v>191</v>
      </c>
      <c r="C71" s="225" t="s">
        <v>109</v>
      </c>
      <c r="D71" s="226">
        <f t="shared" si="26"/>
        <v>0</v>
      </c>
      <c r="E71" s="226" t="s">
        <v>805</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805</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3</v>
      </c>
      <c r="E73" s="232" t="s">
        <v>805</v>
      </c>
      <c r="F73" s="233">
        <f t="shared" ref="F73:Q73" si="31">F77+F81+F85+F89+F93+F97+F101+F105+F109+F113</f>
        <v>3</v>
      </c>
      <c r="G73" s="233">
        <f t="shared" si="31"/>
        <v>3</v>
      </c>
      <c r="H73" s="233">
        <f t="shared" si="31"/>
        <v>3</v>
      </c>
      <c r="I73" s="233">
        <f t="shared" si="31"/>
        <v>3</v>
      </c>
      <c r="J73" s="233">
        <f t="shared" si="31"/>
        <v>3</v>
      </c>
      <c r="K73" s="233">
        <f t="shared" si="31"/>
        <v>3</v>
      </c>
      <c r="L73" s="233">
        <f t="shared" si="31"/>
        <v>3</v>
      </c>
      <c r="M73" s="233">
        <f t="shared" si="31"/>
        <v>3</v>
      </c>
      <c r="N73" s="233">
        <f t="shared" si="31"/>
        <v>3</v>
      </c>
      <c r="O73" s="233">
        <f t="shared" si="31"/>
        <v>3</v>
      </c>
      <c r="P73" s="233">
        <f t="shared" si="31"/>
        <v>3</v>
      </c>
      <c r="Q73" s="233">
        <f t="shared" si="31"/>
        <v>3</v>
      </c>
    </row>
    <row r="74" outlineLevel="1" spans="1:17">
      <c r="A74" s="216">
        <v>18</v>
      </c>
      <c r="B74" s="237" t="s">
        <v>885</v>
      </c>
      <c r="C74" s="238" t="s">
        <v>745</v>
      </c>
      <c r="D74" s="239">
        <f t="shared" si="26"/>
        <v>3</v>
      </c>
      <c r="E74" s="239" t="s">
        <v>805</v>
      </c>
      <c r="F74" s="240">
        <f t="shared" ref="F74:Q74" si="32">F75+F76+F77</f>
        <v>3</v>
      </c>
      <c r="G74" s="240">
        <f t="shared" si="32"/>
        <v>3</v>
      </c>
      <c r="H74" s="240">
        <f t="shared" si="32"/>
        <v>3</v>
      </c>
      <c r="I74" s="240">
        <f t="shared" si="32"/>
        <v>3</v>
      </c>
      <c r="J74" s="240">
        <f t="shared" si="32"/>
        <v>3</v>
      </c>
      <c r="K74" s="240">
        <f t="shared" si="32"/>
        <v>3</v>
      </c>
      <c r="L74" s="240">
        <f t="shared" si="32"/>
        <v>3</v>
      </c>
      <c r="M74" s="240">
        <f t="shared" si="32"/>
        <v>3</v>
      </c>
      <c r="N74" s="240">
        <f t="shared" si="32"/>
        <v>3</v>
      </c>
      <c r="O74" s="240">
        <f t="shared" si="32"/>
        <v>3</v>
      </c>
      <c r="P74" s="240">
        <f t="shared" si="32"/>
        <v>3</v>
      </c>
      <c r="Q74" s="240">
        <f t="shared" si="32"/>
        <v>3</v>
      </c>
    </row>
    <row r="75" outlineLevel="1" spans="1:17">
      <c r="A75" s="216">
        <v>18</v>
      </c>
      <c r="B75" s="237" t="s">
        <v>885</v>
      </c>
      <c r="C75" s="225" t="s">
        <v>109</v>
      </c>
      <c r="D75" s="226">
        <f t="shared" si="26"/>
        <v>0</v>
      </c>
      <c r="E75" s="226" t="s">
        <v>805</v>
      </c>
      <c r="F75" s="241">
        <f>自有人工预算!E12</f>
        <v>0</v>
      </c>
      <c r="G75" s="241">
        <f>自有人工预算!F12</f>
        <v>0</v>
      </c>
      <c r="H75" s="241">
        <f>自有人工预算!G12</f>
        <v>0</v>
      </c>
      <c r="I75" s="241">
        <f>自有人工预算!H12</f>
        <v>0</v>
      </c>
      <c r="J75" s="241">
        <f>自有人工预算!I12</f>
        <v>0</v>
      </c>
      <c r="K75" s="241">
        <f>自有人工预算!J12</f>
        <v>0</v>
      </c>
      <c r="L75" s="241">
        <f>自有人工预算!K12</f>
        <v>0</v>
      </c>
      <c r="M75" s="241">
        <f>自有人工预算!L12</f>
        <v>0</v>
      </c>
      <c r="N75" s="241">
        <f>自有人工预算!M12</f>
        <v>0</v>
      </c>
      <c r="O75" s="241">
        <f>自有人工预算!N12</f>
        <v>0</v>
      </c>
      <c r="P75" s="241">
        <f>自有人工预算!O12</f>
        <v>0</v>
      </c>
      <c r="Q75" s="241">
        <f>自有人工预算!P12</f>
        <v>0</v>
      </c>
    </row>
    <row r="76" outlineLevel="1" spans="1:17">
      <c r="A76" s="216">
        <v>18</v>
      </c>
      <c r="B76" s="237" t="s">
        <v>885</v>
      </c>
      <c r="C76" s="228" t="s">
        <v>68</v>
      </c>
      <c r="D76" s="229">
        <f t="shared" si="26"/>
        <v>0</v>
      </c>
      <c r="E76" s="229" t="s">
        <v>805</v>
      </c>
      <c r="F76" s="241"/>
      <c r="G76" s="241"/>
      <c r="H76" s="241"/>
      <c r="I76" s="241"/>
      <c r="J76" s="241"/>
      <c r="K76" s="241"/>
      <c r="L76" s="241"/>
      <c r="M76" s="241"/>
      <c r="N76" s="241"/>
      <c r="O76" s="241"/>
      <c r="P76" s="241"/>
      <c r="Q76" s="241"/>
    </row>
    <row r="77" outlineLevel="1" spans="1:17">
      <c r="A77" s="216">
        <v>18</v>
      </c>
      <c r="B77" s="237" t="s">
        <v>885</v>
      </c>
      <c r="C77" s="231" t="s">
        <v>19</v>
      </c>
      <c r="D77" s="232">
        <f t="shared" si="26"/>
        <v>3</v>
      </c>
      <c r="E77" s="232" t="s">
        <v>805</v>
      </c>
      <c r="F77" s="241">
        <v>3</v>
      </c>
      <c r="G77" s="241">
        <v>3</v>
      </c>
      <c r="H77" s="241">
        <v>3</v>
      </c>
      <c r="I77" s="241">
        <v>3</v>
      </c>
      <c r="J77" s="241">
        <v>3</v>
      </c>
      <c r="K77" s="241">
        <v>3</v>
      </c>
      <c r="L77" s="241">
        <v>3</v>
      </c>
      <c r="M77" s="241">
        <v>3</v>
      </c>
      <c r="N77" s="241">
        <v>3</v>
      </c>
      <c r="O77" s="241">
        <v>3</v>
      </c>
      <c r="P77" s="241">
        <v>3</v>
      </c>
      <c r="Q77" s="241">
        <v>3</v>
      </c>
    </row>
    <row r="78" outlineLevel="1" spans="1:17">
      <c r="A78" s="216">
        <v>19</v>
      </c>
      <c r="B78" s="237" t="s">
        <v>888</v>
      </c>
      <c r="C78" s="238" t="s">
        <v>745</v>
      </c>
      <c r="D78" s="239">
        <f t="shared" si="26"/>
        <v>0</v>
      </c>
      <c r="E78" s="239" t="s">
        <v>805</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888</v>
      </c>
      <c r="C79" s="225" t="s">
        <v>109</v>
      </c>
      <c r="D79" s="226">
        <f t="shared" si="26"/>
        <v>0</v>
      </c>
      <c r="E79" s="226" t="s">
        <v>805</v>
      </c>
      <c r="F79" s="241"/>
      <c r="G79" s="241"/>
      <c r="H79" s="241"/>
      <c r="I79" s="241"/>
      <c r="J79" s="241"/>
      <c r="K79" s="241"/>
      <c r="L79" s="241"/>
      <c r="M79" s="241"/>
      <c r="N79" s="241"/>
      <c r="O79" s="241"/>
      <c r="P79" s="241"/>
      <c r="Q79" s="241"/>
    </row>
    <row r="80" outlineLevel="1" spans="1:17">
      <c r="A80" s="216">
        <v>19</v>
      </c>
      <c r="B80" s="237" t="s">
        <v>888</v>
      </c>
      <c r="C80" s="228" t="s">
        <v>68</v>
      </c>
      <c r="D80" s="229">
        <f t="shared" si="26"/>
        <v>0</v>
      </c>
      <c r="E80" s="229" t="s">
        <v>805</v>
      </c>
      <c r="F80" s="241"/>
      <c r="G80" s="241"/>
      <c r="H80" s="241"/>
      <c r="I80" s="241"/>
      <c r="J80" s="241"/>
      <c r="K80" s="241"/>
      <c r="L80" s="241"/>
      <c r="M80" s="241"/>
      <c r="N80" s="241"/>
      <c r="O80" s="241"/>
      <c r="P80" s="241"/>
      <c r="Q80" s="241"/>
    </row>
    <row r="81" outlineLevel="1" spans="1:17">
      <c r="A81" s="216">
        <v>19</v>
      </c>
      <c r="B81" s="237" t="s">
        <v>888</v>
      </c>
      <c r="C81" s="231" t="s">
        <v>19</v>
      </c>
      <c r="D81" s="232">
        <f t="shared" si="26"/>
        <v>0</v>
      </c>
      <c r="E81" s="232" t="s">
        <v>805</v>
      </c>
      <c r="F81" s="241"/>
      <c r="G81" s="241"/>
      <c r="H81" s="241"/>
      <c r="I81" s="241"/>
      <c r="J81" s="241"/>
      <c r="K81" s="241"/>
      <c r="L81" s="241"/>
      <c r="M81" s="241"/>
      <c r="N81" s="241"/>
      <c r="O81" s="241"/>
      <c r="P81" s="241"/>
      <c r="Q81" s="241"/>
    </row>
    <row r="82" outlineLevel="1" spans="1:17">
      <c r="A82" s="216">
        <v>20</v>
      </c>
      <c r="B82" s="237" t="s">
        <v>891</v>
      </c>
      <c r="C82" s="238" t="s">
        <v>745</v>
      </c>
      <c r="D82" s="239">
        <f t="shared" si="26"/>
        <v>0</v>
      </c>
      <c r="E82" s="239" t="s">
        <v>805</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891</v>
      </c>
      <c r="C83" s="225" t="s">
        <v>109</v>
      </c>
      <c r="D83" s="226">
        <f t="shared" si="26"/>
        <v>0</v>
      </c>
      <c r="E83" s="226" t="s">
        <v>805</v>
      </c>
      <c r="F83" s="241"/>
      <c r="G83" s="241"/>
      <c r="H83" s="241"/>
      <c r="I83" s="241"/>
      <c r="J83" s="241"/>
      <c r="K83" s="241"/>
      <c r="L83" s="241"/>
      <c r="M83" s="241"/>
      <c r="N83" s="241"/>
      <c r="O83" s="241"/>
      <c r="P83" s="241"/>
      <c r="Q83" s="241"/>
    </row>
    <row r="84" outlineLevel="1" spans="1:17">
      <c r="A84" s="216">
        <v>20</v>
      </c>
      <c r="B84" s="237" t="s">
        <v>891</v>
      </c>
      <c r="C84" s="228" t="s">
        <v>68</v>
      </c>
      <c r="D84" s="229">
        <f t="shared" si="26"/>
        <v>0</v>
      </c>
      <c r="E84" s="229" t="s">
        <v>805</v>
      </c>
      <c r="F84" s="241"/>
      <c r="G84" s="241"/>
      <c r="H84" s="241"/>
      <c r="I84" s="241"/>
      <c r="J84" s="241"/>
      <c r="K84" s="241"/>
      <c r="L84" s="241"/>
      <c r="M84" s="241"/>
      <c r="N84" s="241"/>
      <c r="O84" s="241"/>
      <c r="P84" s="241"/>
      <c r="Q84" s="241"/>
    </row>
    <row r="85" outlineLevel="1" spans="1:17">
      <c r="A85" s="216">
        <v>20</v>
      </c>
      <c r="B85" s="237" t="s">
        <v>891</v>
      </c>
      <c r="C85" s="231" t="s">
        <v>19</v>
      </c>
      <c r="D85" s="232">
        <f t="shared" si="26"/>
        <v>0</v>
      </c>
      <c r="E85" s="232" t="s">
        <v>805</v>
      </c>
      <c r="F85" s="241"/>
      <c r="G85" s="241"/>
      <c r="H85" s="241"/>
      <c r="I85" s="241"/>
      <c r="J85" s="241"/>
      <c r="K85" s="241"/>
      <c r="L85" s="241"/>
      <c r="M85" s="241"/>
      <c r="N85" s="241"/>
      <c r="O85" s="241"/>
      <c r="P85" s="241"/>
      <c r="Q85" s="241"/>
    </row>
    <row r="86" outlineLevel="1" spans="1:17">
      <c r="A86" s="216">
        <v>21</v>
      </c>
      <c r="B86" s="237" t="s">
        <v>894</v>
      </c>
      <c r="C86" s="238" t="s">
        <v>745</v>
      </c>
      <c r="D86" s="239">
        <f t="shared" si="26"/>
        <v>0</v>
      </c>
      <c r="E86" s="239" t="s">
        <v>805</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894</v>
      </c>
      <c r="C87" s="225" t="s">
        <v>109</v>
      </c>
      <c r="D87" s="226">
        <f t="shared" si="26"/>
        <v>0</v>
      </c>
      <c r="E87" s="226" t="s">
        <v>805</v>
      </c>
      <c r="F87" s="241"/>
      <c r="G87" s="241"/>
      <c r="H87" s="241"/>
      <c r="I87" s="241"/>
      <c r="J87" s="241"/>
      <c r="K87" s="241"/>
      <c r="L87" s="241"/>
      <c r="M87" s="241"/>
      <c r="N87" s="241"/>
      <c r="O87" s="241"/>
      <c r="P87" s="241"/>
      <c r="Q87" s="241"/>
    </row>
    <row r="88" outlineLevel="1" spans="1:17">
      <c r="A88" s="216">
        <v>21</v>
      </c>
      <c r="B88" s="237" t="s">
        <v>894</v>
      </c>
      <c r="C88" s="228" t="s">
        <v>68</v>
      </c>
      <c r="D88" s="229">
        <f t="shared" si="26"/>
        <v>0</v>
      </c>
      <c r="E88" s="229" t="s">
        <v>805</v>
      </c>
      <c r="F88" s="241"/>
      <c r="G88" s="241"/>
      <c r="H88" s="241"/>
      <c r="I88" s="241"/>
      <c r="J88" s="241"/>
      <c r="K88" s="241"/>
      <c r="L88" s="241"/>
      <c r="M88" s="241"/>
      <c r="N88" s="241"/>
      <c r="O88" s="241"/>
      <c r="P88" s="241"/>
      <c r="Q88" s="241"/>
    </row>
    <row r="89" outlineLevel="1" spans="1:17">
      <c r="A89" s="216">
        <v>21</v>
      </c>
      <c r="B89" s="237" t="s">
        <v>894</v>
      </c>
      <c r="C89" s="231" t="s">
        <v>19</v>
      </c>
      <c r="D89" s="232">
        <f t="shared" si="26"/>
        <v>0</v>
      </c>
      <c r="E89" s="232" t="s">
        <v>805</v>
      </c>
      <c r="F89" s="241"/>
      <c r="G89" s="241"/>
      <c r="H89" s="241"/>
      <c r="I89" s="241"/>
      <c r="J89" s="241"/>
      <c r="K89" s="241"/>
      <c r="L89" s="241"/>
      <c r="M89" s="241"/>
      <c r="N89" s="241"/>
      <c r="O89" s="241"/>
      <c r="P89" s="241"/>
      <c r="Q89" s="241"/>
    </row>
    <row r="90" outlineLevel="1" spans="1:17">
      <c r="A90" s="216">
        <v>22</v>
      </c>
      <c r="B90" s="237" t="s">
        <v>897</v>
      </c>
      <c r="C90" s="238" t="s">
        <v>745</v>
      </c>
      <c r="D90" s="239">
        <f t="shared" si="26"/>
        <v>0</v>
      </c>
      <c r="E90" s="239" t="s">
        <v>805</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897</v>
      </c>
      <c r="C91" s="225" t="s">
        <v>109</v>
      </c>
      <c r="D91" s="226">
        <f t="shared" si="26"/>
        <v>0</v>
      </c>
      <c r="E91" s="226" t="s">
        <v>805</v>
      </c>
      <c r="F91" s="241"/>
      <c r="G91" s="241"/>
      <c r="H91" s="241"/>
      <c r="I91" s="241"/>
      <c r="J91" s="241"/>
      <c r="K91" s="241"/>
      <c r="L91" s="241"/>
      <c r="M91" s="241"/>
      <c r="N91" s="241"/>
      <c r="O91" s="241"/>
      <c r="P91" s="241"/>
      <c r="Q91" s="241"/>
    </row>
    <row r="92" outlineLevel="1" spans="1:17">
      <c r="A92" s="216">
        <v>22</v>
      </c>
      <c r="B92" s="237" t="s">
        <v>897</v>
      </c>
      <c r="C92" s="228" t="s">
        <v>68</v>
      </c>
      <c r="D92" s="229">
        <f t="shared" si="26"/>
        <v>0</v>
      </c>
      <c r="E92" s="229" t="s">
        <v>805</v>
      </c>
      <c r="F92" s="241"/>
      <c r="G92" s="241"/>
      <c r="H92" s="241"/>
      <c r="I92" s="241"/>
      <c r="J92" s="241"/>
      <c r="K92" s="241"/>
      <c r="L92" s="241"/>
      <c r="M92" s="241"/>
      <c r="N92" s="241"/>
      <c r="O92" s="241"/>
      <c r="P92" s="241"/>
      <c r="Q92" s="241"/>
    </row>
    <row r="93" outlineLevel="1" spans="1:17">
      <c r="A93" s="216">
        <v>22</v>
      </c>
      <c r="B93" s="237" t="s">
        <v>897</v>
      </c>
      <c r="C93" s="231" t="s">
        <v>19</v>
      </c>
      <c r="D93" s="232">
        <f t="shared" si="26"/>
        <v>0</v>
      </c>
      <c r="E93" s="232" t="s">
        <v>805</v>
      </c>
      <c r="F93" s="241"/>
      <c r="G93" s="241"/>
      <c r="H93" s="241"/>
      <c r="I93" s="241"/>
      <c r="J93" s="241"/>
      <c r="K93" s="241"/>
      <c r="L93" s="241"/>
      <c r="M93" s="241"/>
      <c r="N93" s="241"/>
      <c r="O93" s="241"/>
      <c r="P93" s="241"/>
      <c r="Q93" s="241"/>
    </row>
    <row r="94" outlineLevel="1" spans="1:17">
      <c r="A94" s="216">
        <v>23</v>
      </c>
      <c r="B94" s="237" t="s">
        <v>900</v>
      </c>
      <c r="C94" s="238" t="s">
        <v>745</v>
      </c>
      <c r="D94" s="239">
        <f t="shared" si="26"/>
        <v>0</v>
      </c>
      <c r="E94" s="239" t="s">
        <v>805</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900</v>
      </c>
      <c r="C95" s="225" t="s">
        <v>109</v>
      </c>
      <c r="D95" s="226">
        <f t="shared" si="26"/>
        <v>0</v>
      </c>
      <c r="E95" s="226" t="s">
        <v>805</v>
      </c>
      <c r="F95" s="241"/>
      <c r="G95" s="241"/>
      <c r="H95" s="241"/>
      <c r="I95" s="241"/>
      <c r="J95" s="241"/>
      <c r="K95" s="241"/>
      <c r="L95" s="241"/>
      <c r="M95" s="241"/>
      <c r="N95" s="241"/>
      <c r="O95" s="241"/>
      <c r="P95" s="241"/>
      <c r="Q95" s="241"/>
    </row>
    <row r="96" outlineLevel="1" spans="1:17">
      <c r="A96" s="216">
        <v>23</v>
      </c>
      <c r="B96" s="237" t="s">
        <v>900</v>
      </c>
      <c r="C96" s="228" t="s">
        <v>68</v>
      </c>
      <c r="D96" s="229">
        <f t="shared" si="26"/>
        <v>0</v>
      </c>
      <c r="E96" s="229" t="s">
        <v>805</v>
      </c>
      <c r="F96" s="241"/>
      <c r="G96" s="241"/>
      <c r="H96" s="241"/>
      <c r="I96" s="241"/>
      <c r="J96" s="241"/>
      <c r="K96" s="241"/>
      <c r="L96" s="241"/>
      <c r="M96" s="241"/>
      <c r="N96" s="241"/>
      <c r="O96" s="241"/>
      <c r="P96" s="241"/>
      <c r="Q96" s="241"/>
    </row>
    <row r="97" outlineLevel="1" spans="1:17">
      <c r="A97" s="216">
        <v>23</v>
      </c>
      <c r="B97" s="237" t="s">
        <v>900</v>
      </c>
      <c r="C97" s="231" t="s">
        <v>19</v>
      </c>
      <c r="D97" s="232">
        <f t="shared" si="26"/>
        <v>0</v>
      </c>
      <c r="E97" s="232" t="s">
        <v>805</v>
      </c>
      <c r="F97" s="241"/>
      <c r="G97" s="241"/>
      <c r="H97" s="241"/>
      <c r="I97" s="241"/>
      <c r="J97" s="241"/>
      <c r="K97" s="241"/>
      <c r="L97" s="241"/>
      <c r="M97" s="241"/>
      <c r="N97" s="241"/>
      <c r="O97" s="241"/>
      <c r="P97" s="241"/>
      <c r="Q97" s="241"/>
    </row>
    <row r="98" outlineLevel="1" spans="1:17">
      <c r="A98" s="216">
        <v>24</v>
      </c>
      <c r="B98" s="237" t="s">
        <v>903</v>
      </c>
      <c r="C98" s="238" t="s">
        <v>745</v>
      </c>
      <c r="D98" s="239">
        <f t="shared" si="26"/>
        <v>0</v>
      </c>
      <c r="E98" s="239" t="s">
        <v>805</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903</v>
      </c>
      <c r="C99" s="225" t="s">
        <v>109</v>
      </c>
      <c r="D99" s="226">
        <f t="shared" si="26"/>
        <v>0</v>
      </c>
      <c r="E99" s="226" t="s">
        <v>805</v>
      </c>
      <c r="F99" s="241"/>
      <c r="G99" s="241"/>
      <c r="H99" s="241"/>
      <c r="I99" s="241"/>
      <c r="J99" s="241"/>
      <c r="K99" s="241"/>
      <c r="L99" s="241"/>
      <c r="M99" s="241"/>
      <c r="N99" s="241"/>
      <c r="O99" s="241"/>
      <c r="P99" s="241"/>
      <c r="Q99" s="241"/>
    </row>
    <row r="100" outlineLevel="1" spans="1:17">
      <c r="A100" s="216">
        <v>24</v>
      </c>
      <c r="B100" s="237" t="s">
        <v>903</v>
      </c>
      <c r="C100" s="228" t="s">
        <v>68</v>
      </c>
      <c r="D100" s="229">
        <f t="shared" si="26"/>
        <v>0</v>
      </c>
      <c r="E100" s="229" t="s">
        <v>805</v>
      </c>
      <c r="F100" s="241"/>
      <c r="G100" s="241"/>
      <c r="H100" s="241"/>
      <c r="I100" s="241"/>
      <c r="J100" s="241"/>
      <c r="K100" s="241"/>
      <c r="L100" s="241"/>
      <c r="M100" s="241"/>
      <c r="N100" s="241"/>
      <c r="O100" s="241"/>
      <c r="P100" s="241"/>
      <c r="Q100" s="241"/>
    </row>
    <row r="101" outlineLevel="1" spans="1:17">
      <c r="A101" s="216">
        <v>24</v>
      </c>
      <c r="B101" s="237" t="s">
        <v>903</v>
      </c>
      <c r="C101" s="231" t="s">
        <v>19</v>
      </c>
      <c r="D101" s="232">
        <f t="shared" si="26"/>
        <v>0</v>
      </c>
      <c r="E101" s="232" t="s">
        <v>805</v>
      </c>
      <c r="F101" s="241"/>
      <c r="G101" s="241"/>
      <c r="H101" s="241"/>
      <c r="I101" s="241"/>
      <c r="J101" s="241"/>
      <c r="K101" s="241"/>
      <c r="L101" s="241"/>
      <c r="M101" s="241"/>
      <c r="N101" s="241"/>
      <c r="O101" s="241"/>
      <c r="P101" s="241"/>
      <c r="Q101" s="241"/>
    </row>
    <row r="102" outlineLevel="1" spans="1:17">
      <c r="A102" s="216">
        <v>25</v>
      </c>
      <c r="B102" s="237" t="s">
        <v>906</v>
      </c>
      <c r="C102" s="238" t="s">
        <v>745</v>
      </c>
      <c r="D102" s="239">
        <f t="shared" si="26"/>
        <v>0</v>
      </c>
      <c r="E102" s="239" t="s">
        <v>805</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906</v>
      </c>
      <c r="C103" s="225" t="s">
        <v>109</v>
      </c>
      <c r="D103" s="226">
        <f t="shared" si="26"/>
        <v>0</v>
      </c>
      <c r="E103" s="226" t="s">
        <v>805</v>
      </c>
      <c r="F103" s="241"/>
      <c r="G103" s="241"/>
      <c r="H103" s="241"/>
      <c r="I103" s="241"/>
      <c r="J103" s="241"/>
      <c r="K103" s="241"/>
      <c r="L103" s="241"/>
      <c r="M103" s="241"/>
      <c r="N103" s="241"/>
      <c r="O103" s="241"/>
      <c r="P103" s="241"/>
      <c r="Q103" s="241"/>
    </row>
    <row r="104" outlineLevel="1" spans="1:17">
      <c r="A104" s="216">
        <v>25</v>
      </c>
      <c r="B104" s="237" t="s">
        <v>906</v>
      </c>
      <c r="C104" s="228" t="s">
        <v>68</v>
      </c>
      <c r="D104" s="229">
        <f t="shared" si="26"/>
        <v>0</v>
      </c>
      <c r="E104" s="229" t="s">
        <v>805</v>
      </c>
      <c r="F104" s="241"/>
      <c r="G104" s="241"/>
      <c r="H104" s="241"/>
      <c r="I104" s="241"/>
      <c r="J104" s="241"/>
      <c r="K104" s="241"/>
      <c r="L104" s="241"/>
      <c r="M104" s="241"/>
      <c r="N104" s="241"/>
      <c r="O104" s="241"/>
      <c r="P104" s="241"/>
      <c r="Q104" s="241"/>
    </row>
    <row r="105" outlineLevel="1" spans="1:17">
      <c r="A105" s="216">
        <v>25</v>
      </c>
      <c r="B105" s="237" t="s">
        <v>906</v>
      </c>
      <c r="C105" s="231" t="s">
        <v>19</v>
      </c>
      <c r="D105" s="232">
        <f t="shared" si="26"/>
        <v>0</v>
      </c>
      <c r="E105" s="232" t="s">
        <v>805</v>
      </c>
      <c r="F105" s="241"/>
      <c r="G105" s="241"/>
      <c r="H105" s="241"/>
      <c r="I105" s="241"/>
      <c r="J105" s="241"/>
      <c r="K105" s="241"/>
      <c r="L105" s="241"/>
      <c r="M105" s="241"/>
      <c r="N105" s="241"/>
      <c r="O105" s="241"/>
      <c r="P105" s="241"/>
      <c r="Q105" s="241"/>
    </row>
    <row r="106" outlineLevel="1" spans="1:17">
      <c r="A106" s="216">
        <v>26</v>
      </c>
      <c r="B106" s="237" t="s">
        <v>909</v>
      </c>
      <c r="C106" s="238" t="s">
        <v>745</v>
      </c>
      <c r="D106" s="239">
        <f t="shared" si="26"/>
        <v>0</v>
      </c>
      <c r="E106" s="239" t="s">
        <v>805</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909</v>
      </c>
      <c r="C107" s="225" t="s">
        <v>109</v>
      </c>
      <c r="D107" s="226">
        <f t="shared" si="26"/>
        <v>0</v>
      </c>
      <c r="E107" s="226" t="s">
        <v>805</v>
      </c>
      <c r="F107" s="241"/>
      <c r="G107" s="241"/>
      <c r="H107" s="241"/>
      <c r="I107" s="241"/>
      <c r="J107" s="241"/>
      <c r="K107" s="241"/>
      <c r="L107" s="241"/>
      <c r="M107" s="241"/>
      <c r="N107" s="241"/>
      <c r="O107" s="241"/>
      <c r="P107" s="241"/>
      <c r="Q107" s="241"/>
    </row>
    <row r="108" outlineLevel="1" spans="1:17">
      <c r="A108" s="216">
        <v>26</v>
      </c>
      <c r="B108" s="237" t="s">
        <v>909</v>
      </c>
      <c r="C108" s="228" t="s">
        <v>68</v>
      </c>
      <c r="D108" s="229">
        <f t="shared" si="26"/>
        <v>0</v>
      </c>
      <c r="E108" s="229" t="s">
        <v>805</v>
      </c>
      <c r="F108" s="241"/>
      <c r="G108" s="241"/>
      <c r="H108" s="241"/>
      <c r="I108" s="241"/>
      <c r="J108" s="241"/>
      <c r="K108" s="241"/>
      <c r="L108" s="241"/>
      <c r="M108" s="241"/>
      <c r="N108" s="241"/>
      <c r="O108" s="241"/>
      <c r="P108" s="241"/>
      <c r="Q108" s="241"/>
    </row>
    <row r="109" outlineLevel="1" spans="1:17">
      <c r="A109" s="216">
        <v>26</v>
      </c>
      <c r="B109" s="237" t="s">
        <v>909</v>
      </c>
      <c r="C109" s="231" t="s">
        <v>19</v>
      </c>
      <c r="D109" s="232">
        <f t="shared" si="26"/>
        <v>0</v>
      </c>
      <c r="E109" s="232" t="s">
        <v>805</v>
      </c>
      <c r="F109" s="241"/>
      <c r="G109" s="241"/>
      <c r="H109" s="241"/>
      <c r="I109" s="241"/>
      <c r="J109" s="241"/>
      <c r="K109" s="241"/>
      <c r="L109" s="241"/>
      <c r="M109" s="241"/>
      <c r="N109" s="241"/>
      <c r="O109" s="241"/>
      <c r="P109" s="241"/>
      <c r="Q109" s="241"/>
    </row>
    <row r="110" outlineLevel="1" spans="1:17">
      <c r="A110" s="216">
        <v>27</v>
      </c>
      <c r="B110" s="237" t="s">
        <v>912</v>
      </c>
      <c r="C110" s="238" t="s">
        <v>745</v>
      </c>
      <c r="D110" s="239">
        <f t="shared" si="26"/>
        <v>0</v>
      </c>
      <c r="E110" s="239" t="s">
        <v>805</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912</v>
      </c>
      <c r="C111" s="225" t="s">
        <v>109</v>
      </c>
      <c r="D111" s="226">
        <f t="shared" si="26"/>
        <v>0</v>
      </c>
      <c r="E111" s="226" t="s">
        <v>805</v>
      </c>
      <c r="F111" s="241"/>
      <c r="G111" s="241"/>
      <c r="H111" s="241"/>
      <c r="I111" s="241"/>
      <c r="J111" s="241"/>
      <c r="K111" s="241"/>
      <c r="L111" s="241"/>
      <c r="M111" s="241"/>
      <c r="N111" s="241"/>
      <c r="O111" s="241"/>
      <c r="P111" s="241"/>
      <c r="Q111" s="241"/>
    </row>
    <row r="112" outlineLevel="1" spans="1:17">
      <c r="A112" s="216">
        <v>27</v>
      </c>
      <c r="B112" s="237" t="s">
        <v>912</v>
      </c>
      <c r="C112" s="228" t="s">
        <v>68</v>
      </c>
      <c r="D112" s="229">
        <f t="shared" si="26"/>
        <v>0</v>
      </c>
      <c r="E112" s="229" t="s">
        <v>805</v>
      </c>
      <c r="F112" s="241"/>
      <c r="G112" s="241"/>
      <c r="H112" s="241"/>
      <c r="I112" s="241"/>
      <c r="J112" s="241"/>
      <c r="K112" s="241"/>
      <c r="L112" s="241"/>
      <c r="M112" s="241"/>
      <c r="N112" s="241"/>
      <c r="O112" s="241"/>
      <c r="P112" s="241"/>
      <c r="Q112" s="241"/>
    </row>
    <row r="113" outlineLevel="1" spans="1:17">
      <c r="A113" s="216">
        <v>27</v>
      </c>
      <c r="B113" s="237" t="s">
        <v>912</v>
      </c>
      <c r="C113" s="231" t="s">
        <v>19</v>
      </c>
      <c r="D113" s="232">
        <f t="shared" si="26"/>
        <v>0</v>
      </c>
      <c r="E113" s="232" t="s">
        <v>805</v>
      </c>
      <c r="F113" s="241"/>
      <c r="G113" s="241"/>
      <c r="H113" s="241"/>
      <c r="I113" s="241"/>
      <c r="J113" s="241"/>
      <c r="K113" s="241"/>
      <c r="L113" s="241"/>
      <c r="M113" s="241"/>
      <c r="N113" s="241"/>
      <c r="O113" s="241"/>
      <c r="P113" s="241"/>
      <c r="Q113" s="241"/>
    </row>
    <row r="114" spans="1:17">
      <c r="A114" s="216">
        <v>28</v>
      </c>
      <c r="B114" s="234" t="s">
        <v>195</v>
      </c>
      <c r="C114" s="234" t="s">
        <v>745</v>
      </c>
      <c r="D114" s="235">
        <f t="shared" si="26"/>
        <v>1</v>
      </c>
      <c r="E114" s="235" t="s">
        <v>805</v>
      </c>
      <c r="F114" s="236">
        <f t="shared" ref="F114:Q114" si="42">F115+F116+F117</f>
        <v>1</v>
      </c>
      <c r="G114" s="236">
        <f t="shared" si="42"/>
        <v>1</v>
      </c>
      <c r="H114" s="236">
        <f t="shared" si="42"/>
        <v>1</v>
      </c>
      <c r="I114" s="236">
        <f t="shared" si="42"/>
        <v>1</v>
      </c>
      <c r="J114" s="236">
        <f t="shared" si="42"/>
        <v>1</v>
      </c>
      <c r="K114" s="236">
        <f t="shared" si="42"/>
        <v>1</v>
      </c>
      <c r="L114" s="236">
        <f t="shared" si="42"/>
        <v>1</v>
      </c>
      <c r="M114" s="236">
        <f t="shared" si="42"/>
        <v>1</v>
      </c>
      <c r="N114" s="236">
        <f t="shared" si="42"/>
        <v>1</v>
      </c>
      <c r="O114" s="236">
        <f t="shared" si="42"/>
        <v>1</v>
      </c>
      <c r="P114" s="236">
        <f t="shared" si="42"/>
        <v>1</v>
      </c>
      <c r="Q114" s="236">
        <f t="shared" si="42"/>
        <v>1</v>
      </c>
    </row>
    <row r="115" spans="1:17">
      <c r="A115" s="216">
        <v>28</v>
      </c>
      <c r="B115" s="234" t="s">
        <v>195</v>
      </c>
      <c r="C115" s="225" t="s">
        <v>109</v>
      </c>
      <c r="D115" s="226">
        <f t="shared" si="26"/>
        <v>1</v>
      </c>
      <c r="E115" s="226" t="s">
        <v>805</v>
      </c>
      <c r="F115" s="227">
        <f t="shared" ref="F115:Q115" si="43">F119+F123+F127+F131+F135+F139+F143+F147+F151</f>
        <v>1</v>
      </c>
      <c r="G115" s="227">
        <f t="shared" si="43"/>
        <v>1</v>
      </c>
      <c r="H115" s="227">
        <f t="shared" si="43"/>
        <v>1</v>
      </c>
      <c r="I115" s="227">
        <f t="shared" si="43"/>
        <v>1</v>
      </c>
      <c r="J115" s="227">
        <f t="shared" si="43"/>
        <v>1</v>
      </c>
      <c r="K115" s="227">
        <f t="shared" si="43"/>
        <v>1</v>
      </c>
      <c r="L115" s="227">
        <f t="shared" si="43"/>
        <v>1</v>
      </c>
      <c r="M115" s="227">
        <f t="shared" si="43"/>
        <v>1</v>
      </c>
      <c r="N115" s="227">
        <f t="shared" si="43"/>
        <v>1</v>
      </c>
      <c r="O115" s="227">
        <f t="shared" si="43"/>
        <v>1</v>
      </c>
      <c r="P115" s="227">
        <f t="shared" si="43"/>
        <v>1</v>
      </c>
      <c r="Q115" s="227">
        <f t="shared" si="43"/>
        <v>1</v>
      </c>
    </row>
    <row r="116" spans="1:17">
      <c r="A116" s="216">
        <v>28</v>
      </c>
      <c r="B116" s="234" t="s">
        <v>195</v>
      </c>
      <c r="C116" s="228" t="s">
        <v>68</v>
      </c>
      <c r="D116" s="229">
        <f t="shared" si="26"/>
        <v>0</v>
      </c>
      <c r="E116" s="229" t="s">
        <v>805</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805</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986</v>
      </c>
      <c r="C118" s="238" t="s">
        <v>745</v>
      </c>
      <c r="D118" s="239">
        <f t="shared" si="26"/>
        <v>1</v>
      </c>
      <c r="E118" s="239" t="s">
        <v>805</v>
      </c>
      <c r="F118" s="240">
        <f t="shared" ref="F118:Q118" si="46">F119+F120+F121</f>
        <v>1</v>
      </c>
      <c r="G118" s="240">
        <f t="shared" si="46"/>
        <v>1</v>
      </c>
      <c r="H118" s="240">
        <f t="shared" si="46"/>
        <v>1</v>
      </c>
      <c r="I118" s="240">
        <f t="shared" si="46"/>
        <v>1</v>
      </c>
      <c r="J118" s="240">
        <f t="shared" si="46"/>
        <v>1</v>
      </c>
      <c r="K118" s="240">
        <f t="shared" si="46"/>
        <v>1</v>
      </c>
      <c r="L118" s="240">
        <f t="shared" si="46"/>
        <v>1</v>
      </c>
      <c r="M118" s="240">
        <f t="shared" si="46"/>
        <v>1</v>
      </c>
      <c r="N118" s="240">
        <f t="shared" si="46"/>
        <v>1</v>
      </c>
      <c r="O118" s="240">
        <f t="shared" si="46"/>
        <v>1</v>
      </c>
      <c r="P118" s="240">
        <f t="shared" si="46"/>
        <v>1</v>
      </c>
      <c r="Q118" s="240">
        <f t="shared" si="46"/>
        <v>1</v>
      </c>
    </row>
    <row r="119" outlineLevel="1" spans="1:17">
      <c r="A119" s="216">
        <v>29</v>
      </c>
      <c r="B119" s="237" t="s">
        <v>986</v>
      </c>
      <c r="C119" s="225" t="s">
        <v>109</v>
      </c>
      <c r="D119" s="226">
        <f t="shared" si="26"/>
        <v>1</v>
      </c>
      <c r="E119" s="226" t="s">
        <v>805</v>
      </c>
      <c r="F119" s="241">
        <f>自有人工预算!E10</f>
        <v>1</v>
      </c>
      <c r="G119" s="241">
        <f>自有人工预算!F10</f>
        <v>1</v>
      </c>
      <c r="H119" s="241">
        <f>自有人工预算!G10</f>
        <v>1</v>
      </c>
      <c r="I119" s="241">
        <f>自有人工预算!H10</f>
        <v>1</v>
      </c>
      <c r="J119" s="241">
        <f>自有人工预算!I10</f>
        <v>1</v>
      </c>
      <c r="K119" s="241">
        <f>自有人工预算!J10</f>
        <v>1</v>
      </c>
      <c r="L119" s="241">
        <f>自有人工预算!K10</f>
        <v>1</v>
      </c>
      <c r="M119" s="241">
        <f>自有人工预算!L10</f>
        <v>1</v>
      </c>
      <c r="N119" s="241">
        <f>自有人工预算!M10</f>
        <v>1</v>
      </c>
      <c r="O119" s="241">
        <f>自有人工预算!N10</f>
        <v>1</v>
      </c>
      <c r="P119" s="241">
        <f>自有人工预算!O10</f>
        <v>1</v>
      </c>
      <c r="Q119" s="241">
        <f>自有人工预算!P10</f>
        <v>1</v>
      </c>
    </row>
    <row r="120" outlineLevel="1" spans="1:17">
      <c r="A120" s="216">
        <v>29</v>
      </c>
      <c r="B120" s="237" t="s">
        <v>986</v>
      </c>
      <c r="C120" s="228" t="s">
        <v>68</v>
      </c>
      <c r="D120" s="229">
        <f t="shared" si="26"/>
        <v>0</v>
      </c>
      <c r="E120" s="229" t="s">
        <v>805</v>
      </c>
      <c r="F120" s="241"/>
      <c r="G120" s="241"/>
      <c r="H120" s="241"/>
      <c r="I120" s="241"/>
      <c r="J120" s="241"/>
      <c r="K120" s="241"/>
      <c r="L120" s="241"/>
      <c r="M120" s="241"/>
      <c r="N120" s="241"/>
      <c r="O120" s="241"/>
      <c r="P120" s="241"/>
      <c r="Q120" s="241"/>
    </row>
    <row r="121" outlineLevel="1" spans="1:17">
      <c r="A121" s="216">
        <v>29</v>
      </c>
      <c r="B121" s="237" t="s">
        <v>986</v>
      </c>
      <c r="C121" s="231" t="s">
        <v>19</v>
      </c>
      <c r="D121" s="232">
        <f t="shared" si="26"/>
        <v>0</v>
      </c>
      <c r="E121" s="232" t="s">
        <v>805</v>
      </c>
      <c r="F121" s="241"/>
      <c r="G121" s="241"/>
      <c r="H121" s="241"/>
      <c r="I121" s="241"/>
      <c r="J121" s="241"/>
      <c r="K121" s="241"/>
      <c r="L121" s="241"/>
      <c r="M121" s="241"/>
      <c r="N121" s="241"/>
      <c r="O121" s="241"/>
      <c r="P121" s="241"/>
      <c r="Q121" s="241"/>
    </row>
    <row r="122" outlineLevel="1" spans="1:17">
      <c r="A122" s="216">
        <v>30</v>
      </c>
      <c r="B122" s="237" t="s">
        <v>989</v>
      </c>
      <c r="C122" s="238" t="s">
        <v>745</v>
      </c>
      <c r="D122" s="239">
        <f t="shared" si="26"/>
        <v>0</v>
      </c>
      <c r="E122" s="239" t="s">
        <v>805</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989</v>
      </c>
      <c r="C123" s="225" t="s">
        <v>109</v>
      </c>
      <c r="D123" s="226">
        <f t="shared" si="26"/>
        <v>0</v>
      </c>
      <c r="E123" s="226" t="s">
        <v>805</v>
      </c>
      <c r="F123" s="241"/>
      <c r="G123" s="241"/>
      <c r="H123" s="241"/>
      <c r="I123" s="241"/>
      <c r="J123" s="241"/>
      <c r="K123" s="241"/>
      <c r="L123" s="241"/>
      <c r="M123" s="241"/>
      <c r="N123" s="241"/>
      <c r="O123" s="241"/>
      <c r="P123" s="241"/>
      <c r="Q123" s="241"/>
    </row>
    <row r="124" outlineLevel="1" spans="1:17">
      <c r="A124" s="216">
        <v>30</v>
      </c>
      <c r="B124" s="237" t="s">
        <v>989</v>
      </c>
      <c r="C124" s="228" t="s">
        <v>68</v>
      </c>
      <c r="D124" s="229">
        <f t="shared" si="26"/>
        <v>0</v>
      </c>
      <c r="E124" s="229" t="s">
        <v>805</v>
      </c>
      <c r="F124" s="241"/>
      <c r="G124" s="241"/>
      <c r="H124" s="241"/>
      <c r="I124" s="241"/>
      <c r="J124" s="241"/>
      <c r="K124" s="241"/>
      <c r="L124" s="241"/>
      <c r="M124" s="241"/>
      <c r="N124" s="241"/>
      <c r="O124" s="241"/>
      <c r="P124" s="241"/>
      <c r="Q124" s="241"/>
    </row>
    <row r="125" outlineLevel="1" spans="1:17">
      <c r="A125" s="216">
        <v>30</v>
      </c>
      <c r="B125" s="237" t="s">
        <v>989</v>
      </c>
      <c r="C125" s="231" t="s">
        <v>19</v>
      </c>
      <c r="D125" s="232">
        <f t="shared" si="26"/>
        <v>0</v>
      </c>
      <c r="E125" s="232" t="s">
        <v>805</v>
      </c>
      <c r="F125" s="241"/>
      <c r="G125" s="241"/>
      <c r="H125" s="241"/>
      <c r="I125" s="241"/>
      <c r="J125" s="241"/>
      <c r="K125" s="241"/>
      <c r="L125" s="241"/>
      <c r="M125" s="241"/>
      <c r="N125" s="241"/>
      <c r="O125" s="241"/>
      <c r="P125" s="241"/>
      <c r="Q125" s="241"/>
    </row>
    <row r="126" outlineLevel="1" spans="1:17">
      <c r="A126" s="216">
        <v>31</v>
      </c>
      <c r="B126" s="237" t="s">
        <v>992</v>
      </c>
      <c r="C126" s="238" t="s">
        <v>745</v>
      </c>
      <c r="D126" s="239">
        <f t="shared" si="26"/>
        <v>0</v>
      </c>
      <c r="E126" s="239" t="s">
        <v>805</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992</v>
      </c>
      <c r="C127" s="225" t="s">
        <v>109</v>
      </c>
      <c r="D127" s="226">
        <f t="shared" si="26"/>
        <v>0</v>
      </c>
      <c r="E127" s="226" t="s">
        <v>805</v>
      </c>
      <c r="F127" s="241"/>
      <c r="G127" s="241"/>
      <c r="H127" s="241"/>
      <c r="I127" s="241"/>
      <c r="J127" s="241"/>
      <c r="K127" s="241"/>
      <c r="L127" s="241"/>
      <c r="M127" s="241"/>
      <c r="N127" s="241"/>
      <c r="O127" s="241"/>
      <c r="P127" s="241"/>
      <c r="Q127" s="241"/>
    </row>
    <row r="128" outlineLevel="1" spans="1:17">
      <c r="A128" s="216">
        <v>31</v>
      </c>
      <c r="B128" s="237" t="s">
        <v>992</v>
      </c>
      <c r="C128" s="228" t="s">
        <v>68</v>
      </c>
      <c r="D128" s="229">
        <f t="shared" si="26"/>
        <v>0</v>
      </c>
      <c r="E128" s="229" t="s">
        <v>805</v>
      </c>
      <c r="F128" s="241"/>
      <c r="G128" s="241"/>
      <c r="H128" s="241"/>
      <c r="I128" s="241"/>
      <c r="J128" s="241"/>
      <c r="K128" s="241"/>
      <c r="L128" s="241"/>
      <c r="M128" s="241"/>
      <c r="N128" s="241"/>
      <c r="O128" s="241"/>
      <c r="P128" s="241"/>
      <c r="Q128" s="241"/>
    </row>
    <row r="129" outlineLevel="1" spans="1:17">
      <c r="A129" s="216">
        <v>31</v>
      </c>
      <c r="B129" s="237" t="s">
        <v>992</v>
      </c>
      <c r="C129" s="231" t="s">
        <v>19</v>
      </c>
      <c r="D129" s="232">
        <f t="shared" si="26"/>
        <v>0</v>
      </c>
      <c r="E129" s="232" t="s">
        <v>805</v>
      </c>
      <c r="F129" s="241"/>
      <c r="G129" s="241"/>
      <c r="H129" s="241"/>
      <c r="I129" s="241"/>
      <c r="J129" s="241"/>
      <c r="K129" s="241"/>
      <c r="L129" s="241"/>
      <c r="M129" s="241"/>
      <c r="N129" s="241"/>
      <c r="O129" s="241"/>
      <c r="P129" s="241"/>
      <c r="Q129" s="241"/>
    </row>
    <row r="130" outlineLevel="1" spans="1:17">
      <c r="A130" s="216">
        <v>32</v>
      </c>
      <c r="B130" s="237" t="s">
        <v>995</v>
      </c>
      <c r="C130" s="238" t="s">
        <v>745</v>
      </c>
      <c r="D130" s="239">
        <f t="shared" ref="D130:D193" si="49">IFERROR(SUM(F130:Q130)/COUNTIF(F130:Q130,"&lt;&gt;0"),0)</f>
        <v>0</v>
      </c>
      <c r="E130" s="239" t="s">
        <v>805</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995</v>
      </c>
      <c r="C131" s="225" t="s">
        <v>109</v>
      </c>
      <c r="D131" s="226">
        <f t="shared" si="49"/>
        <v>0</v>
      </c>
      <c r="E131" s="226" t="s">
        <v>805</v>
      </c>
      <c r="F131" s="241"/>
      <c r="G131" s="241"/>
      <c r="H131" s="241"/>
      <c r="I131" s="241"/>
      <c r="J131" s="241"/>
      <c r="K131" s="241"/>
      <c r="L131" s="241"/>
      <c r="M131" s="241"/>
      <c r="N131" s="241"/>
      <c r="O131" s="241"/>
      <c r="P131" s="241"/>
      <c r="Q131" s="241"/>
    </row>
    <row r="132" outlineLevel="1" spans="1:17">
      <c r="A132" s="216">
        <v>32</v>
      </c>
      <c r="B132" s="237" t="s">
        <v>995</v>
      </c>
      <c r="C132" s="228" t="s">
        <v>68</v>
      </c>
      <c r="D132" s="229">
        <f t="shared" si="49"/>
        <v>0</v>
      </c>
      <c r="E132" s="229" t="s">
        <v>805</v>
      </c>
      <c r="F132" s="241"/>
      <c r="G132" s="241"/>
      <c r="H132" s="241"/>
      <c r="I132" s="241"/>
      <c r="J132" s="241"/>
      <c r="K132" s="241"/>
      <c r="L132" s="241"/>
      <c r="M132" s="241"/>
      <c r="N132" s="241"/>
      <c r="O132" s="241"/>
      <c r="P132" s="241"/>
      <c r="Q132" s="241"/>
    </row>
    <row r="133" outlineLevel="1" spans="1:17">
      <c r="A133" s="216">
        <v>32</v>
      </c>
      <c r="B133" s="237" t="s">
        <v>995</v>
      </c>
      <c r="C133" s="231" t="s">
        <v>19</v>
      </c>
      <c r="D133" s="232">
        <f t="shared" si="49"/>
        <v>0</v>
      </c>
      <c r="E133" s="232" t="s">
        <v>805</v>
      </c>
      <c r="F133" s="241"/>
      <c r="G133" s="241"/>
      <c r="H133" s="241"/>
      <c r="I133" s="241"/>
      <c r="J133" s="241"/>
      <c r="K133" s="241"/>
      <c r="L133" s="241"/>
      <c r="M133" s="241"/>
      <c r="N133" s="241"/>
      <c r="O133" s="241"/>
      <c r="P133" s="241"/>
      <c r="Q133" s="241"/>
    </row>
    <row r="134" outlineLevel="1" spans="1:17">
      <c r="A134" s="216">
        <v>33</v>
      </c>
      <c r="B134" s="237" t="s">
        <v>998</v>
      </c>
      <c r="C134" s="238" t="s">
        <v>745</v>
      </c>
      <c r="D134" s="239">
        <f t="shared" si="49"/>
        <v>0</v>
      </c>
      <c r="E134" s="239" t="s">
        <v>805</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998</v>
      </c>
      <c r="C135" s="225" t="s">
        <v>109</v>
      </c>
      <c r="D135" s="226">
        <f t="shared" si="49"/>
        <v>0</v>
      </c>
      <c r="E135" s="226" t="s">
        <v>805</v>
      </c>
      <c r="F135" s="241"/>
      <c r="G135" s="241"/>
      <c r="H135" s="241"/>
      <c r="I135" s="241"/>
      <c r="J135" s="241"/>
      <c r="K135" s="241"/>
      <c r="L135" s="241"/>
      <c r="M135" s="241"/>
      <c r="N135" s="241"/>
      <c r="O135" s="241"/>
      <c r="P135" s="241"/>
      <c r="Q135" s="241"/>
    </row>
    <row r="136" outlineLevel="1" spans="1:17">
      <c r="A136" s="216">
        <v>33</v>
      </c>
      <c r="B136" s="237" t="s">
        <v>998</v>
      </c>
      <c r="C136" s="228" t="s">
        <v>68</v>
      </c>
      <c r="D136" s="229">
        <f t="shared" si="49"/>
        <v>0</v>
      </c>
      <c r="E136" s="229" t="s">
        <v>805</v>
      </c>
      <c r="F136" s="241"/>
      <c r="G136" s="241"/>
      <c r="H136" s="241"/>
      <c r="I136" s="241"/>
      <c r="J136" s="241"/>
      <c r="K136" s="241"/>
      <c r="L136" s="241"/>
      <c r="M136" s="241"/>
      <c r="N136" s="241"/>
      <c r="O136" s="241"/>
      <c r="P136" s="241"/>
      <c r="Q136" s="241"/>
    </row>
    <row r="137" outlineLevel="1" spans="1:17">
      <c r="A137" s="216">
        <v>33</v>
      </c>
      <c r="B137" s="237" t="s">
        <v>998</v>
      </c>
      <c r="C137" s="231" t="s">
        <v>19</v>
      </c>
      <c r="D137" s="232">
        <f t="shared" si="49"/>
        <v>0</v>
      </c>
      <c r="E137" s="232" t="s">
        <v>805</v>
      </c>
      <c r="F137" s="241"/>
      <c r="G137" s="241"/>
      <c r="H137" s="241"/>
      <c r="I137" s="241"/>
      <c r="J137" s="241"/>
      <c r="K137" s="241"/>
      <c r="L137" s="241"/>
      <c r="M137" s="241"/>
      <c r="N137" s="241"/>
      <c r="O137" s="241"/>
      <c r="P137" s="241"/>
      <c r="Q137" s="241"/>
    </row>
    <row r="138" outlineLevel="1" spans="1:17">
      <c r="A138" s="216">
        <v>34</v>
      </c>
      <c r="B138" s="237" t="s">
        <v>1000</v>
      </c>
      <c r="C138" s="238" t="s">
        <v>745</v>
      </c>
      <c r="D138" s="239">
        <f t="shared" si="49"/>
        <v>0</v>
      </c>
      <c r="E138" s="239" t="s">
        <v>805</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1000</v>
      </c>
      <c r="C139" s="225" t="s">
        <v>109</v>
      </c>
      <c r="D139" s="226">
        <f t="shared" si="49"/>
        <v>0</v>
      </c>
      <c r="E139" s="226" t="s">
        <v>805</v>
      </c>
      <c r="F139" s="241"/>
      <c r="G139" s="241"/>
      <c r="H139" s="241"/>
      <c r="I139" s="241"/>
      <c r="J139" s="241"/>
      <c r="K139" s="241"/>
      <c r="L139" s="241"/>
      <c r="M139" s="241"/>
      <c r="N139" s="241"/>
      <c r="O139" s="241"/>
      <c r="P139" s="241"/>
      <c r="Q139" s="241"/>
    </row>
    <row r="140" outlineLevel="1" spans="1:17">
      <c r="A140" s="216">
        <v>34</v>
      </c>
      <c r="B140" s="237" t="s">
        <v>1000</v>
      </c>
      <c r="C140" s="228" t="s">
        <v>68</v>
      </c>
      <c r="D140" s="229">
        <f t="shared" si="49"/>
        <v>0</v>
      </c>
      <c r="E140" s="229" t="s">
        <v>805</v>
      </c>
      <c r="F140" s="241"/>
      <c r="G140" s="241"/>
      <c r="H140" s="241"/>
      <c r="I140" s="241"/>
      <c r="J140" s="241"/>
      <c r="K140" s="241"/>
      <c r="L140" s="241"/>
      <c r="M140" s="241"/>
      <c r="N140" s="241"/>
      <c r="O140" s="241"/>
      <c r="P140" s="241"/>
      <c r="Q140" s="241"/>
    </row>
    <row r="141" outlineLevel="1" spans="1:17">
      <c r="A141" s="216">
        <v>34</v>
      </c>
      <c r="B141" s="237" t="s">
        <v>1000</v>
      </c>
      <c r="C141" s="231" t="s">
        <v>19</v>
      </c>
      <c r="D141" s="232">
        <f t="shared" si="49"/>
        <v>0</v>
      </c>
      <c r="E141" s="232" t="s">
        <v>805</v>
      </c>
      <c r="F141" s="241"/>
      <c r="G141" s="241"/>
      <c r="H141" s="241"/>
      <c r="I141" s="241"/>
      <c r="J141" s="241"/>
      <c r="K141" s="241"/>
      <c r="L141" s="241"/>
      <c r="M141" s="241"/>
      <c r="N141" s="241"/>
      <c r="O141" s="241"/>
      <c r="P141" s="241"/>
      <c r="Q141" s="241"/>
    </row>
    <row r="142" outlineLevel="1" spans="1:17">
      <c r="A142" s="216">
        <v>35</v>
      </c>
      <c r="B142" s="237" t="s">
        <v>1002</v>
      </c>
      <c r="C142" s="238" t="s">
        <v>745</v>
      </c>
      <c r="D142" s="239">
        <f t="shared" si="49"/>
        <v>0</v>
      </c>
      <c r="E142" s="239" t="s">
        <v>805</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1002</v>
      </c>
      <c r="C143" s="225" t="s">
        <v>109</v>
      </c>
      <c r="D143" s="226">
        <f t="shared" si="49"/>
        <v>0</v>
      </c>
      <c r="E143" s="226" t="s">
        <v>805</v>
      </c>
      <c r="F143" s="241"/>
      <c r="G143" s="241"/>
      <c r="H143" s="241"/>
      <c r="I143" s="241"/>
      <c r="J143" s="241"/>
      <c r="K143" s="241"/>
      <c r="L143" s="241"/>
      <c r="M143" s="241"/>
      <c r="N143" s="241"/>
      <c r="O143" s="241"/>
      <c r="P143" s="241"/>
      <c r="Q143" s="241"/>
    </row>
    <row r="144" outlineLevel="1" spans="1:17">
      <c r="A144" s="216">
        <v>35</v>
      </c>
      <c r="B144" s="237" t="s">
        <v>1002</v>
      </c>
      <c r="C144" s="228" t="s">
        <v>68</v>
      </c>
      <c r="D144" s="229">
        <f t="shared" si="49"/>
        <v>0</v>
      </c>
      <c r="E144" s="229" t="s">
        <v>805</v>
      </c>
      <c r="F144" s="241"/>
      <c r="G144" s="241"/>
      <c r="H144" s="241"/>
      <c r="I144" s="241"/>
      <c r="J144" s="241"/>
      <c r="K144" s="241"/>
      <c r="L144" s="241"/>
      <c r="M144" s="241"/>
      <c r="N144" s="241"/>
      <c r="O144" s="241"/>
      <c r="P144" s="241"/>
      <c r="Q144" s="241"/>
    </row>
    <row r="145" outlineLevel="1" spans="1:17">
      <c r="A145" s="216">
        <v>35</v>
      </c>
      <c r="B145" s="237" t="s">
        <v>1002</v>
      </c>
      <c r="C145" s="231" t="s">
        <v>19</v>
      </c>
      <c r="D145" s="232">
        <f t="shared" si="49"/>
        <v>0</v>
      </c>
      <c r="E145" s="232" t="s">
        <v>805</v>
      </c>
      <c r="F145" s="241"/>
      <c r="G145" s="241"/>
      <c r="H145" s="241"/>
      <c r="I145" s="241"/>
      <c r="J145" s="241"/>
      <c r="K145" s="241"/>
      <c r="L145" s="241"/>
      <c r="M145" s="241"/>
      <c r="N145" s="241"/>
      <c r="O145" s="241"/>
      <c r="P145" s="241"/>
      <c r="Q145" s="241"/>
    </row>
    <row r="146" outlineLevel="1" spans="1:17">
      <c r="A146" s="216">
        <v>36</v>
      </c>
      <c r="B146" s="237" t="s">
        <v>1004</v>
      </c>
      <c r="C146" s="238" t="s">
        <v>745</v>
      </c>
      <c r="D146" s="239">
        <f t="shared" si="49"/>
        <v>0</v>
      </c>
      <c r="E146" s="239" t="s">
        <v>805</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1004</v>
      </c>
      <c r="C147" s="225" t="s">
        <v>109</v>
      </c>
      <c r="D147" s="226">
        <f t="shared" si="49"/>
        <v>0</v>
      </c>
      <c r="E147" s="226" t="s">
        <v>805</v>
      </c>
      <c r="F147" s="241"/>
      <c r="G147" s="241"/>
      <c r="H147" s="241"/>
      <c r="I147" s="241"/>
      <c r="J147" s="241"/>
      <c r="K147" s="241"/>
      <c r="L147" s="241"/>
      <c r="M147" s="241"/>
      <c r="N147" s="241"/>
      <c r="O147" s="241"/>
      <c r="P147" s="241"/>
      <c r="Q147" s="241"/>
    </row>
    <row r="148" outlineLevel="1" spans="1:17">
      <c r="A148" s="216">
        <v>36</v>
      </c>
      <c r="B148" s="237" t="s">
        <v>1004</v>
      </c>
      <c r="C148" s="228" t="s">
        <v>68</v>
      </c>
      <c r="D148" s="229">
        <f t="shared" si="49"/>
        <v>0</v>
      </c>
      <c r="E148" s="229" t="s">
        <v>805</v>
      </c>
      <c r="F148" s="241"/>
      <c r="G148" s="241"/>
      <c r="H148" s="241"/>
      <c r="I148" s="241"/>
      <c r="J148" s="241"/>
      <c r="K148" s="241"/>
      <c r="L148" s="241"/>
      <c r="M148" s="241"/>
      <c r="N148" s="241"/>
      <c r="O148" s="241"/>
      <c r="P148" s="241"/>
      <c r="Q148" s="241"/>
    </row>
    <row r="149" outlineLevel="1" spans="1:17">
      <c r="A149" s="216">
        <v>36</v>
      </c>
      <c r="B149" s="237" t="s">
        <v>1004</v>
      </c>
      <c r="C149" s="231" t="s">
        <v>19</v>
      </c>
      <c r="D149" s="232">
        <f t="shared" si="49"/>
        <v>0</v>
      </c>
      <c r="E149" s="232" t="s">
        <v>805</v>
      </c>
      <c r="F149" s="241"/>
      <c r="G149" s="241"/>
      <c r="H149" s="241"/>
      <c r="I149" s="241"/>
      <c r="J149" s="241"/>
      <c r="K149" s="241"/>
      <c r="L149" s="241"/>
      <c r="M149" s="241"/>
      <c r="N149" s="241"/>
      <c r="O149" s="241"/>
      <c r="P149" s="241"/>
      <c r="Q149" s="241"/>
    </row>
    <row r="150" outlineLevel="1" spans="1:17">
      <c r="A150" s="216">
        <v>37</v>
      </c>
      <c r="B150" s="237" t="s">
        <v>1007</v>
      </c>
      <c r="C150" s="238" t="s">
        <v>745</v>
      </c>
      <c r="D150" s="239">
        <f t="shared" si="49"/>
        <v>0</v>
      </c>
      <c r="E150" s="239" t="s">
        <v>805</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1007</v>
      </c>
      <c r="C151" s="225" t="s">
        <v>109</v>
      </c>
      <c r="D151" s="226">
        <f t="shared" si="49"/>
        <v>0</v>
      </c>
      <c r="E151" s="226" t="s">
        <v>805</v>
      </c>
      <c r="F151" s="241"/>
      <c r="G151" s="241"/>
      <c r="H151" s="241"/>
      <c r="I151" s="241"/>
      <c r="J151" s="241"/>
      <c r="K151" s="241"/>
      <c r="L151" s="241"/>
      <c r="M151" s="241"/>
      <c r="N151" s="241"/>
      <c r="O151" s="241"/>
      <c r="P151" s="241"/>
      <c r="Q151" s="241"/>
    </row>
    <row r="152" outlineLevel="1" spans="1:17">
      <c r="A152" s="216">
        <v>37</v>
      </c>
      <c r="B152" s="237" t="s">
        <v>1007</v>
      </c>
      <c r="C152" s="228" t="s">
        <v>68</v>
      </c>
      <c r="D152" s="229">
        <f t="shared" si="49"/>
        <v>0</v>
      </c>
      <c r="E152" s="229" t="s">
        <v>805</v>
      </c>
      <c r="F152" s="241"/>
      <c r="G152" s="241"/>
      <c r="H152" s="241"/>
      <c r="I152" s="241"/>
      <c r="J152" s="241"/>
      <c r="K152" s="241"/>
      <c r="L152" s="241"/>
      <c r="M152" s="241"/>
      <c r="N152" s="241"/>
      <c r="O152" s="241"/>
      <c r="P152" s="241"/>
      <c r="Q152" s="241"/>
    </row>
    <row r="153" outlineLevel="1" spans="1:17">
      <c r="A153" s="216">
        <v>37</v>
      </c>
      <c r="B153" s="237" t="s">
        <v>1007</v>
      </c>
      <c r="C153" s="231" t="s">
        <v>19</v>
      </c>
      <c r="D153" s="232">
        <f t="shared" si="49"/>
        <v>0</v>
      </c>
      <c r="E153" s="232" t="s">
        <v>805</v>
      </c>
      <c r="F153" s="241"/>
      <c r="G153" s="241"/>
      <c r="H153" s="241"/>
      <c r="I153" s="241"/>
      <c r="J153" s="241"/>
      <c r="K153" s="241"/>
      <c r="L153" s="241"/>
      <c r="M153" s="241"/>
      <c r="N153" s="241"/>
      <c r="O153" s="241"/>
      <c r="P153" s="241"/>
      <c r="Q153" s="241"/>
    </row>
    <row r="154" spans="1:17">
      <c r="A154" s="216">
        <v>38</v>
      </c>
      <c r="B154" s="234" t="s">
        <v>199</v>
      </c>
      <c r="C154" s="234" t="s">
        <v>745</v>
      </c>
      <c r="D154" s="235">
        <f t="shared" si="49"/>
        <v>0</v>
      </c>
      <c r="E154" s="235" t="s">
        <v>805</v>
      </c>
      <c r="F154" s="236">
        <f t="shared" ref="F154:Q154" si="56">F155+F156+F157</f>
        <v>0</v>
      </c>
      <c r="G154" s="236">
        <f t="shared" si="56"/>
        <v>0</v>
      </c>
      <c r="H154" s="236">
        <f t="shared" si="56"/>
        <v>0</v>
      </c>
      <c r="I154" s="236">
        <f t="shared" si="56"/>
        <v>0</v>
      </c>
      <c r="J154" s="236">
        <f t="shared" si="56"/>
        <v>0</v>
      </c>
      <c r="K154" s="236">
        <f t="shared" si="56"/>
        <v>0</v>
      </c>
      <c r="L154" s="236">
        <f t="shared" si="56"/>
        <v>0</v>
      </c>
      <c r="M154" s="236">
        <f t="shared" si="56"/>
        <v>0</v>
      </c>
      <c r="N154" s="236">
        <f t="shared" si="56"/>
        <v>0</v>
      </c>
      <c r="O154" s="236">
        <f t="shared" si="56"/>
        <v>0</v>
      </c>
      <c r="P154" s="236">
        <f t="shared" si="56"/>
        <v>0</v>
      </c>
      <c r="Q154" s="236">
        <f t="shared" si="56"/>
        <v>0</v>
      </c>
    </row>
    <row r="155" spans="1:17">
      <c r="A155" s="216">
        <v>38</v>
      </c>
      <c r="B155" s="234" t="s">
        <v>199</v>
      </c>
      <c r="C155" s="225" t="s">
        <v>109</v>
      </c>
      <c r="D155" s="226">
        <f t="shared" si="49"/>
        <v>0</v>
      </c>
      <c r="E155" s="226" t="s">
        <v>805</v>
      </c>
      <c r="F155" s="227">
        <f t="shared" ref="F155:Q155" si="57">F159+F163+F167+F171</f>
        <v>0</v>
      </c>
      <c r="G155" s="227">
        <f t="shared" si="57"/>
        <v>0</v>
      </c>
      <c r="H155" s="227">
        <f t="shared" si="57"/>
        <v>0</v>
      </c>
      <c r="I155" s="227">
        <f t="shared" si="57"/>
        <v>0</v>
      </c>
      <c r="J155" s="227">
        <f t="shared" si="57"/>
        <v>0</v>
      </c>
      <c r="K155" s="227">
        <f t="shared" si="57"/>
        <v>0</v>
      </c>
      <c r="L155" s="227">
        <f t="shared" si="57"/>
        <v>0</v>
      </c>
      <c r="M155" s="227">
        <f t="shared" si="57"/>
        <v>0</v>
      </c>
      <c r="N155" s="227">
        <f t="shared" si="57"/>
        <v>0</v>
      </c>
      <c r="O155" s="227">
        <f t="shared" si="57"/>
        <v>0</v>
      </c>
      <c r="P155" s="227">
        <f t="shared" si="57"/>
        <v>0</v>
      </c>
      <c r="Q155" s="227">
        <f t="shared" si="57"/>
        <v>0</v>
      </c>
    </row>
    <row r="156" spans="1:17">
      <c r="A156" s="216">
        <v>38</v>
      </c>
      <c r="B156" s="234" t="s">
        <v>199</v>
      </c>
      <c r="C156" s="228" t="s">
        <v>68</v>
      </c>
      <c r="D156" s="229">
        <f t="shared" si="49"/>
        <v>0</v>
      </c>
      <c r="E156" s="229" t="s">
        <v>805</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805</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1037</v>
      </c>
      <c r="C158" s="238" t="s">
        <v>745</v>
      </c>
      <c r="D158" s="239">
        <f t="shared" si="49"/>
        <v>0</v>
      </c>
      <c r="E158" s="239" t="s">
        <v>805</v>
      </c>
      <c r="F158" s="240">
        <f t="shared" ref="F158:Q158" si="60">F159+F160+F161</f>
        <v>0</v>
      </c>
      <c r="G158" s="240">
        <f t="shared" si="60"/>
        <v>0</v>
      </c>
      <c r="H158" s="240">
        <f t="shared" si="60"/>
        <v>0</v>
      </c>
      <c r="I158" s="240">
        <f t="shared" si="60"/>
        <v>0</v>
      </c>
      <c r="J158" s="240">
        <f t="shared" si="60"/>
        <v>0</v>
      </c>
      <c r="K158" s="240">
        <f t="shared" si="60"/>
        <v>0</v>
      </c>
      <c r="L158" s="240">
        <f t="shared" si="60"/>
        <v>0</v>
      </c>
      <c r="M158" s="240">
        <f t="shared" si="60"/>
        <v>0</v>
      </c>
      <c r="N158" s="240">
        <f t="shared" si="60"/>
        <v>0</v>
      </c>
      <c r="O158" s="240">
        <f t="shared" si="60"/>
        <v>0</v>
      </c>
      <c r="P158" s="240">
        <f t="shared" si="60"/>
        <v>0</v>
      </c>
      <c r="Q158" s="240">
        <f t="shared" si="60"/>
        <v>0</v>
      </c>
    </row>
    <row r="159" outlineLevel="1" spans="1:17">
      <c r="A159" s="216">
        <v>39</v>
      </c>
      <c r="B159" s="237" t="s">
        <v>1037</v>
      </c>
      <c r="C159" s="225" t="s">
        <v>109</v>
      </c>
      <c r="D159" s="226">
        <f t="shared" si="49"/>
        <v>0</v>
      </c>
      <c r="E159" s="226" t="s">
        <v>805</v>
      </c>
      <c r="F159" s="241">
        <f>自有人工预算!E9</f>
        <v>0</v>
      </c>
      <c r="G159" s="241">
        <f>自有人工预算!F9</f>
        <v>0</v>
      </c>
      <c r="H159" s="241">
        <f>自有人工预算!G9</f>
        <v>0</v>
      </c>
      <c r="I159" s="241">
        <f>自有人工预算!H9</f>
        <v>0</v>
      </c>
      <c r="J159" s="241">
        <f>自有人工预算!I9</f>
        <v>0</v>
      </c>
      <c r="K159" s="241">
        <f>自有人工预算!J9</f>
        <v>0</v>
      </c>
      <c r="L159" s="241">
        <f>自有人工预算!K9</f>
        <v>0</v>
      </c>
      <c r="M159" s="241">
        <f>自有人工预算!L9</f>
        <v>0</v>
      </c>
      <c r="N159" s="241">
        <f>自有人工预算!M9</f>
        <v>0</v>
      </c>
      <c r="O159" s="241">
        <f>自有人工预算!N9</f>
        <v>0</v>
      </c>
      <c r="P159" s="241">
        <f>自有人工预算!O9</f>
        <v>0</v>
      </c>
      <c r="Q159" s="241">
        <f>自有人工预算!P9</f>
        <v>0</v>
      </c>
    </row>
    <row r="160" outlineLevel="1" spans="1:17">
      <c r="A160" s="216">
        <v>39</v>
      </c>
      <c r="B160" s="237" t="s">
        <v>1037</v>
      </c>
      <c r="C160" s="228" t="s">
        <v>68</v>
      </c>
      <c r="D160" s="229">
        <f t="shared" si="49"/>
        <v>0</v>
      </c>
      <c r="E160" s="229" t="s">
        <v>805</v>
      </c>
      <c r="F160" s="241"/>
      <c r="G160" s="241"/>
      <c r="H160" s="241"/>
      <c r="I160" s="241"/>
      <c r="J160" s="241"/>
      <c r="K160" s="241"/>
      <c r="L160" s="241"/>
      <c r="M160" s="241"/>
      <c r="N160" s="241"/>
      <c r="O160" s="241"/>
      <c r="P160" s="241"/>
      <c r="Q160" s="241"/>
    </row>
    <row r="161" outlineLevel="1" spans="1:17">
      <c r="A161" s="216">
        <v>39</v>
      </c>
      <c r="B161" s="237" t="s">
        <v>1037</v>
      </c>
      <c r="C161" s="231" t="s">
        <v>19</v>
      </c>
      <c r="D161" s="232">
        <f t="shared" si="49"/>
        <v>0</v>
      </c>
      <c r="E161" s="232" t="s">
        <v>805</v>
      </c>
      <c r="F161" s="241"/>
      <c r="G161" s="241"/>
      <c r="H161" s="241"/>
      <c r="I161" s="241"/>
      <c r="J161" s="241"/>
      <c r="K161" s="241"/>
      <c r="L161" s="241"/>
      <c r="M161" s="241"/>
      <c r="N161" s="241"/>
      <c r="O161" s="241"/>
      <c r="P161" s="241"/>
      <c r="Q161" s="241"/>
    </row>
    <row r="162" outlineLevel="1" spans="1:17">
      <c r="A162" s="216">
        <v>40</v>
      </c>
      <c r="B162" s="237" t="s">
        <v>1040</v>
      </c>
      <c r="C162" s="238" t="s">
        <v>745</v>
      </c>
      <c r="D162" s="239">
        <f t="shared" si="49"/>
        <v>0</v>
      </c>
      <c r="E162" s="239" t="s">
        <v>805</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1040</v>
      </c>
      <c r="C163" s="225" t="s">
        <v>109</v>
      </c>
      <c r="D163" s="226">
        <f t="shared" si="49"/>
        <v>0</v>
      </c>
      <c r="E163" s="226" t="s">
        <v>805</v>
      </c>
      <c r="F163" s="241"/>
      <c r="G163" s="241"/>
      <c r="H163" s="241"/>
      <c r="I163" s="241"/>
      <c r="J163" s="241"/>
      <c r="K163" s="241"/>
      <c r="L163" s="241"/>
      <c r="M163" s="241"/>
      <c r="N163" s="241"/>
      <c r="O163" s="241"/>
      <c r="P163" s="241"/>
      <c r="Q163" s="241"/>
    </row>
    <row r="164" outlineLevel="1" spans="1:17">
      <c r="A164" s="216">
        <v>40</v>
      </c>
      <c r="B164" s="237" t="s">
        <v>1040</v>
      </c>
      <c r="C164" s="228" t="s">
        <v>68</v>
      </c>
      <c r="D164" s="229">
        <f t="shared" si="49"/>
        <v>0</v>
      </c>
      <c r="E164" s="229" t="s">
        <v>805</v>
      </c>
      <c r="F164" s="241"/>
      <c r="G164" s="241"/>
      <c r="H164" s="241"/>
      <c r="I164" s="241"/>
      <c r="J164" s="241"/>
      <c r="K164" s="241"/>
      <c r="L164" s="241"/>
      <c r="M164" s="241"/>
      <c r="N164" s="241"/>
      <c r="O164" s="241"/>
      <c r="P164" s="241"/>
      <c r="Q164" s="241"/>
    </row>
    <row r="165" outlineLevel="1" spans="1:17">
      <c r="A165" s="216">
        <v>40</v>
      </c>
      <c r="B165" s="237" t="s">
        <v>1040</v>
      </c>
      <c r="C165" s="231" t="s">
        <v>19</v>
      </c>
      <c r="D165" s="232">
        <f t="shared" si="49"/>
        <v>0</v>
      </c>
      <c r="E165" s="232" t="s">
        <v>805</v>
      </c>
      <c r="F165" s="241"/>
      <c r="G165" s="241"/>
      <c r="H165" s="241"/>
      <c r="I165" s="241"/>
      <c r="J165" s="241"/>
      <c r="K165" s="241"/>
      <c r="L165" s="241"/>
      <c r="M165" s="241"/>
      <c r="N165" s="241"/>
      <c r="O165" s="241"/>
      <c r="P165" s="241"/>
      <c r="Q165" s="241"/>
    </row>
    <row r="166" outlineLevel="1" spans="1:17">
      <c r="A166" s="216">
        <v>41</v>
      </c>
      <c r="B166" s="237" t="s">
        <v>1043</v>
      </c>
      <c r="C166" s="238" t="s">
        <v>745</v>
      </c>
      <c r="D166" s="239">
        <f t="shared" si="49"/>
        <v>0</v>
      </c>
      <c r="E166" s="239" t="s">
        <v>805</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1043</v>
      </c>
      <c r="C167" s="225" t="s">
        <v>109</v>
      </c>
      <c r="D167" s="226">
        <f t="shared" si="49"/>
        <v>0</v>
      </c>
      <c r="E167" s="226" t="s">
        <v>805</v>
      </c>
      <c r="F167" s="241"/>
      <c r="G167" s="241"/>
      <c r="H167" s="241"/>
      <c r="I167" s="241"/>
      <c r="J167" s="241"/>
      <c r="K167" s="241"/>
      <c r="L167" s="241"/>
      <c r="M167" s="241"/>
      <c r="N167" s="241"/>
      <c r="O167" s="241"/>
      <c r="P167" s="241"/>
      <c r="Q167" s="241"/>
    </row>
    <row r="168" outlineLevel="1" spans="1:17">
      <c r="A168" s="216">
        <v>41</v>
      </c>
      <c r="B168" s="237" t="s">
        <v>1043</v>
      </c>
      <c r="C168" s="228" t="s">
        <v>68</v>
      </c>
      <c r="D168" s="229">
        <f t="shared" si="49"/>
        <v>0</v>
      </c>
      <c r="E168" s="229" t="s">
        <v>805</v>
      </c>
      <c r="F168" s="241"/>
      <c r="G168" s="241"/>
      <c r="H168" s="241"/>
      <c r="I168" s="241"/>
      <c r="J168" s="241"/>
      <c r="K168" s="241"/>
      <c r="L168" s="241"/>
      <c r="M168" s="241"/>
      <c r="N168" s="241"/>
      <c r="O168" s="241"/>
      <c r="P168" s="241"/>
      <c r="Q168" s="241"/>
    </row>
    <row r="169" outlineLevel="1" spans="1:17">
      <c r="A169" s="216">
        <v>41</v>
      </c>
      <c r="B169" s="237" t="s">
        <v>1043</v>
      </c>
      <c r="C169" s="231" t="s">
        <v>19</v>
      </c>
      <c r="D169" s="232">
        <f t="shared" si="49"/>
        <v>0</v>
      </c>
      <c r="E169" s="232" t="s">
        <v>805</v>
      </c>
      <c r="F169" s="241"/>
      <c r="G169" s="241"/>
      <c r="H169" s="241"/>
      <c r="I169" s="241"/>
      <c r="J169" s="241"/>
      <c r="K169" s="241"/>
      <c r="L169" s="241"/>
      <c r="M169" s="241"/>
      <c r="N169" s="241"/>
      <c r="O169" s="241"/>
      <c r="P169" s="241"/>
      <c r="Q169" s="241"/>
    </row>
    <row r="170" outlineLevel="1" spans="1:17">
      <c r="A170" s="216">
        <v>42</v>
      </c>
      <c r="B170" s="237" t="s">
        <v>1046</v>
      </c>
      <c r="C170" s="238" t="s">
        <v>745</v>
      </c>
      <c r="D170" s="239">
        <f t="shared" si="49"/>
        <v>0</v>
      </c>
      <c r="E170" s="239" t="s">
        <v>805</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1046</v>
      </c>
      <c r="C171" s="225" t="s">
        <v>109</v>
      </c>
      <c r="D171" s="226">
        <f t="shared" si="49"/>
        <v>0</v>
      </c>
      <c r="E171" s="226" t="s">
        <v>805</v>
      </c>
      <c r="F171" s="241"/>
      <c r="G171" s="241"/>
      <c r="H171" s="241"/>
      <c r="I171" s="241"/>
      <c r="J171" s="241"/>
      <c r="K171" s="241"/>
      <c r="L171" s="241"/>
      <c r="M171" s="241"/>
      <c r="N171" s="241"/>
      <c r="O171" s="241"/>
      <c r="P171" s="241"/>
      <c r="Q171" s="241"/>
    </row>
    <row r="172" outlineLevel="1" spans="1:17">
      <c r="A172" s="216">
        <v>42</v>
      </c>
      <c r="B172" s="237" t="s">
        <v>1046</v>
      </c>
      <c r="C172" s="228" t="s">
        <v>68</v>
      </c>
      <c r="D172" s="229">
        <f t="shared" si="49"/>
        <v>0</v>
      </c>
      <c r="E172" s="229" t="s">
        <v>805</v>
      </c>
      <c r="F172" s="241"/>
      <c r="G172" s="241"/>
      <c r="H172" s="241"/>
      <c r="I172" s="241"/>
      <c r="J172" s="241"/>
      <c r="K172" s="241"/>
      <c r="L172" s="241"/>
      <c r="M172" s="241"/>
      <c r="N172" s="241"/>
      <c r="O172" s="241"/>
      <c r="P172" s="241"/>
      <c r="Q172" s="241"/>
    </row>
    <row r="173" outlineLevel="1" spans="1:17">
      <c r="A173" s="216">
        <v>42</v>
      </c>
      <c r="B173" s="237" t="s">
        <v>1046</v>
      </c>
      <c r="C173" s="231" t="s">
        <v>19</v>
      </c>
      <c r="D173" s="232">
        <f t="shared" si="49"/>
        <v>0</v>
      </c>
      <c r="E173" s="232" t="s">
        <v>805</v>
      </c>
      <c r="F173" s="241"/>
      <c r="G173" s="241"/>
      <c r="H173" s="241"/>
      <c r="I173" s="241"/>
      <c r="J173" s="241"/>
      <c r="K173" s="241"/>
      <c r="L173" s="241"/>
      <c r="M173" s="241"/>
      <c r="N173" s="241"/>
      <c r="O173" s="241"/>
      <c r="P173" s="241"/>
      <c r="Q173" s="241"/>
    </row>
    <row r="174" spans="1:17">
      <c r="A174" s="216">
        <v>43</v>
      </c>
      <c r="B174" s="234" t="s">
        <v>2429</v>
      </c>
      <c r="C174" s="234" t="s">
        <v>745</v>
      </c>
      <c r="D174" s="235">
        <f t="shared" si="49"/>
        <v>1</v>
      </c>
      <c r="E174" s="235" t="s">
        <v>805</v>
      </c>
      <c r="F174" s="236">
        <f t="shared" ref="F174:Q174" si="64">F175+F176+F177</f>
        <v>1</v>
      </c>
      <c r="G174" s="236">
        <f t="shared" si="64"/>
        <v>1</v>
      </c>
      <c r="H174" s="236">
        <f t="shared" si="64"/>
        <v>1</v>
      </c>
      <c r="I174" s="236">
        <f t="shared" si="64"/>
        <v>1</v>
      </c>
      <c r="J174" s="236">
        <f t="shared" si="64"/>
        <v>1</v>
      </c>
      <c r="K174" s="236">
        <f t="shared" si="64"/>
        <v>1</v>
      </c>
      <c r="L174" s="236">
        <f t="shared" si="64"/>
        <v>1</v>
      </c>
      <c r="M174" s="236">
        <f t="shared" si="64"/>
        <v>1</v>
      </c>
      <c r="N174" s="236">
        <f t="shared" si="64"/>
        <v>1</v>
      </c>
      <c r="O174" s="236">
        <f t="shared" si="64"/>
        <v>1</v>
      </c>
      <c r="P174" s="236">
        <f t="shared" si="64"/>
        <v>1</v>
      </c>
      <c r="Q174" s="236">
        <f t="shared" si="64"/>
        <v>1</v>
      </c>
    </row>
    <row r="175" spans="1:17">
      <c r="A175" s="216">
        <v>43</v>
      </c>
      <c r="B175" s="234" t="s">
        <v>2429</v>
      </c>
      <c r="C175" s="225" t="s">
        <v>109</v>
      </c>
      <c r="D175" s="226">
        <f t="shared" si="49"/>
        <v>0</v>
      </c>
      <c r="E175" s="226" t="s">
        <v>805</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2429</v>
      </c>
      <c r="C176" s="228" t="s">
        <v>68</v>
      </c>
      <c r="D176" s="229">
        <f t="shared" si="49"/>
        <v>0</v>
      </c>
      <c r="E176" s="229" t="s">
        <v>805</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2429</v>
      </c>
      <c r="C177" s="231" t="s">
        <v>19</v>
      </c>
      <c r="D177" s="232">
        <f t="shared" si="49"/>
        <v>1</v>
      </c>
      <c r="E177" s="232" t="s">
        <v>805</v>
      </c>
      <c r="F177" s="233">
        <f t="shared" ref="F177:Q177" si="67">F181+F185+F189+F193</f>
        <v>1</v>
      </c>
      <c r="G177" s="233">
        <f t="shared" si="67"/>
        <v>1</v>
      </c>
      <c r="H177" s="233">
        <f t="shared" si="67"/>
        <v>1</v>
      </c>
      <c r="I177" s="233">
        <f t="shared" si="67"/>
        <v>1</v>
      </c>
      <c r="J177" s="233">
        <f t="shared" si="67"/>
        <v>1</v>
      </c>
      <c r="K177" s="233">
        <f t="shared" si="67"/>
        <v>1</v>
      </c>
      <c r="L177" s="233">
        <f t="shared" si="67"/>
        <v>1</v>
      </c>
      <c r="M177" s="233">
        <f t="shared" si="67"/>
        <v>1</v>
      </c>
      <c r="N177" s="233">
        <f t="shared" si="67"/>
        <v>1</v>
      </c>
      <c r="O177" s="233">
        <f t="shared" si="67"/>
        <v>1</v>
      </c>
      <c r="P177" s="233">
        <f t="shared" si="67"/>
        <v>1</v>
      </c>
      <c r="Q177" s="233">
        <f t="shared" si="67"/>
        <v>1</v>
      </c>
    </row>
    <row r="178" outlineLevel="1" spans="1:17">
      <c r="A178" s="216">
        <v>44</v>
      </c>
      <c r="B178" s="237" t="s">
        <v>1069</v>
      </c>
      <c r="C178" s="238" t="s">
        <v>745</v>
      </c>
      <c r="D178" s="239">
        <f t="shared" si="49"/>
        <v>1</v>
      </c>
      <c r="E178" s="239" t="s">
        <v>805</v>
      </c>
      <c r="F178" s="240">
        <f t="shared" ref="F178:Q178" si="68">F179+F180+F181</f>
        <v>1</v>
      </c>
      <c r="G178" s="240">
        <f t="shared" si="68"/>
        <v>1</v>
      </c>
      <c r="H178" s="240">
        <f t="shared" si="68"/>
        <v>1</v>
      </c>
      <c r="I178" s="240">
        <f t="shared" si="68"/>
        <v>1</v>
      </c>
      <c r="J178" s="240">
        <f t="shared" si="68"/>
        <v>1</v>
      </c>
      <c r="K178" s="240">
        <f t="shared" si="68"/>
        <v>1</v>
      </c>
      <c r="L178" s="240">
        <f t="shared" si="68"/>
        <v>1</v>
      </c>
      <c r="M178" s="240">
        <f t="shared" si="68"/>
        <v>1</v>
      </c>
      <c r="N178" s="240">
        <f t="shared" si="68"/>
        <v>1</v>
      </c>
      <c r="O178" s="240">
        <f t="shared" si="68"/>
        <v>1</v>
      </c>
      <c r="P178" s="240">
        <f t="shared" si="68"/>
        <v>1</v>
      </c>
      <c r="Q178" s="240">
        <f t="shared" si="68"/>
        <v>1</v>
      </c>
    </row>
    <row r="179" outlineLevel="1" spans="1:17">
      <c r="A179" s="216">
        <v>44</v>
      </c>
      <c r="B179" s="237" t="s">
        <v>1069</v>
      </c>
      <c r="C179" s="225" t="s">
        <v>109</v>
      </c>
      <c r="D179" s="226">
        <f t="shared" si="49"/>
        <v>0</v>
      </c>
      <c r="E179" s="226" t="s">
        <v>805</v>
      </c>
      <c r="F179" s="241">
        <v>0</v>
      </c>
      <c r="G179" s="241">
        <v>0</v>
      </c>
      <c r="H179" s="241">
        <v>0</v>
      </c>
      <c r="I179" s="241">
        <v>0</v>
      </c>
      <c r="J179" s="241">
        <v>0</v>
      </c>
      <c r="K179" s="241">
        <v>0</v>
      </c>
      <c r="L179" s="241">
        <v>0</v>
      </c>
      <c r="M179" s="241">
        <v>0</v>
      </c>
      <c r="N179" s="241">
        <v>0</v>
      </c>
      <c r="O179" s="241">
        <v>0</v>
      </c>
      <c r="P179" s="241">
        <v>0</v>
      </c>
      <c r="Q179" s="241">
        <v>0</v>
      </c>
    </row>
    <row r="180" outlineLevel="1" spans="1:17">
      <c r="A180" s="216">
        <v>44</v>
      </c>
      <c r="B180" s="237" t="s">
        <v>1069</v>
      </c>
      <c r="C180" s="228" t="s">
        <v>68</v>
      </c>
      <c r="D180" s="229">
        <f t="shared" si="49"/>
        <v>0</v>
      </c>
      <c r="E180" s="229" t="s">
        <v>805</v>
      </c>
      <c r="F180" s="241"/>
      <c r="G180" s="241"/>
      <c r="H180" s="241"/>
      <c r="I180" s="241"/>
      <c r="J180" s="241"/>
      <c r="K180" s="241"/>
      <c r="L180" s="241"/>
      <c r="M180" s="241"/>
      <c r="N180" s="241"/>
      <c r="O180" s="241"/>
      <c r="P180" s="241"/>
      <c r="Q180" s="241"/>
    </row>
    <row r="181" outlineLevel="1" spans="1:17">
      <c r="A181" s="216">
        <v>44</v>
      </c>
      <c r="B181" s="237" t="s">
        <v>1069</v>
      </c>
      <c r="C181" s="231" t="s">
        <v>19</v>
      </c>
      <c r="D181" s="232">
        <f t="shared" si="49"/>
        <v>1</v>
      </c>
      <c r="E181" s="232" t="s">
        <v>805</v>
      </c>
      <c r="F181" s="241">
        <v>1</v>
      </c>
      <c r="G181" s="241">
        <v>1</v>
      </c>
      <c r="H181" s="241">
        <v>1</v>
      </c>
      <c r="I181" s="241">
        <v>1</v>
      </c>
      <c r="J181" s="241">
        <v>1</v>
      </c>
      <c r="K181" s="241">
        <v>1</v>
      </c>
      <c r="L181" s="241">
        <v>1</v>
      </c>
      <c r="M181" s="241">
        <v>1</v>
      </c>
      <c r="N181" s="241">
        <v>1</v>
      </c>
      <c r="O181" s="241">
        <v>1</v>
      </c>
      <c r="P181" s="241">
        <v>1</v>
      </c>
      <c r="Q181" s="241">
        <v>1</v>
      </c>
    </row>
    <row r="182" outlineLevel="1" spans="1:17">
      <c r="A182" s="216">
        <v>45</v>
      </c>
      <c r="B182" s="237" t="s">
        <v>1072</v>
      </c>
      <c r="C182" s="238" t="s">
        <v>745</v>
      </c>
      <c r="D182" s="239">
        <f t="shared" si="49"/>
        <v>0</v>
      </c>
      <c r="E182" s="239" t="s">
        <v>805</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1072</v>
      </c>
      <c r="C183" s="225" t="s">
        <v>109</v>
      </c>
      <c r="D183" s="226">
        <f t="shared" si="49"/>
        <v>0</v>
      </c>
      <c r="E183" s="226" t="s">
        <v>805</v>
      </c>
      <c r="F183" s="241"/>
      <c r="G183" s="241"/>
      <c r="H183" s="241"/>
      <c r="I183" s="241"/>
      <c r="J183" s="241"/>
      <c r="K183" s="241"/>
      <c r="L183" s="241"/>
      <c r="M183" s="241"/>
      <c r="N183" s="241"/>
      <c r="O183" s="241"/>
      <c r="P183" s="241"/>
      <c r="Q183" s="241"/>
    </row>
    <row r="184" outlineLevel="1" spans="1:17">
      <c r="A184" s="216">
        <v>45</v>
      </c>
      <c r="B184" s="237" t="s">
        <v>1072</v>
      </c>
      <c r="C184" s="228" t="s">
        <v>68</v>
      </c>
      <c r="D184" s="229">
        <f t="shared" si="49"/>
        <v>0</v>
      </c>
      <c r="E184" s="229" t="s">
        <v>805</v>
      </c>
      <c r="F184" s="241"/>
      <c r="G184" s="241"/>
      <c r="H184" s="241"/>
      <c r="I184" s="241"/>
      <c r="J184" s="241"/>
      <c r="K184" s="241"/>
      <c r="L184" s="241"/>
      <c r="M184" s="241"/>
      <c r="N184" s="241"/>
      <c r="O184" s="241"/>
      <c r="P184" s="241"/>
      <c r="Q184" s="241"/>
    </row>
    <row r="185" outlineLevel="1" spans="1:17">
      <c r="A185" s="216">
        <v>45</v>
      </c>
      <c r="B185" s="237" t="s">
        <v>1072</v>
      </c>
      <c r="C185" s="231" t="s">
        <v>19</v>
      </c>
      <c r="D185" s="232">
        <f t="shared" si="49"/>
        <v>0</v>
      </c>
      <c r="E185" s="232" t="s">
        <v>805</v>
      </c>
      <c r="F185" s="241"/>
      <c r="G185" s="241"/>
      <c r="H185" s="241"/>
      <c r="I185" s="241"/>
      <c r="J185" s="241"/>
      <c r="K185" s="241"/>
      <c r="L185" s="241"/>
      <c r="M185" s="241"/>
      <c r="N185" s="241"/>
      <c r="O185" s="241"/>
      <c r="P185" s="241"/>
      <c r="Q185" s="241"/>
    </row>
    <row r="186" outlineLevel="1" spans="1:17">
      <c r="A186" s="216">
        <v>46</v>
      </c>
      <c r="B186" s="237" t="s">
        <v>1075</v>
      </c>
      <c r="C186" s="238" t="s">
        <v>745</v>
      </c>
      <c r="D186" s="239">
        <f t="shared" si="49"/>
        <v>0</v>
      </c>
      <c r="E186" s="239" t="s">
        <v>805</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1075</v>
      </c>
      <c r="C187" s="225" t="s">
        <v>109</v>
      </c>
      <c r="D187" s="226">
        <f t="shared" si="49"/>
        <v>0</v>
      </c>
      <c r="E187" s="226" t="s">
        <v>805</v>
      </c>
      <c r="F187" s="241"/>
      <c r="G187" s="241"/>
      <c r="H187" s="241"/>
      <c r="I187" s="241"/>
      <c r="J187" s="241"/>
      <c r="K187" s="241"/>
      <c r="L187" s="241"/>
      <c r="M187" s="241"/>
      <c r="N187" s="241"/>
      <c r="O187" s="241"/>
      <c r="P187" s="241"/>
      <c r="Q187" s="241"/>
    </row>
    <row r="188" outlineLevel="1" spans="1:17">
      <c r="A188" s="216">
        <v>46</v>
      </c>
      <c r="B188" s="237" t="s">
        <v>1075</v>
      </c>
      <c r="C188" s="228" t="s">
        <v>68</v>
      </c>
      <c r="D188" s="229">
        <f t="shared" si="49"/>
        <v>0</v>
      </c>
      <c r="E188" s="229" t="s">
        <v>805</v>
      </c>
      <c r="F188" s="241"/>
      <c r="G188" s="241"/>
      <c r="H188" s="241"/>
      <c r="I188" s="241"/>
      <c r="J188" s="241"/>
      <c r="K188" s="241"/>
      <c r="L188" s="241"/>
      <c r="M188" s="241"/>
      <c r="N188" s="241"/>
      <c r="O188" s="241"/>
      <c r="P188" s="241"/>
      <c r="Q188" s="241"/>
    </row>
    <row r="189" outlineLevel="1" spans="1:17">
      <c r="A189" s="216">
        <v>46</v>
      </c>
      <c r="B189" s="237" t="s">
        <v>1075</v>
      </c>
      <c r="C189" s="231" t="s">
        <v>19</v>
      </c>
      <c r="D189" s="232">
        <f t="shared" si="49"/>
        <v>0</v>
      </c>
      <c r="E189" s="232" t="s">
        <v>805</v>
      </c>
      <c r="F189" s="241"/>
      <c r="G189" s="241"/>
      <c r="H189" s="241"/>
      <c r="I189" s="241"/>
      <c r="J189" s="241"/>
      <c r="K189" s="241"/>
      <c r="L189" s="241"/>
      <c r="M189" s="241"/>
      <c r="N189" s="241"/>
      <c r="O189" s="241"/>
      <c r="P189" s="241"/>
      <c r="Q189" s="241"/>
    </row>
    <row r="190" outlineLevel="1" spans="1:17">
      <c r="A190" s="216">
        <v>47</v>
      </c>
      <c r="B190" s="237" t="s">
        <v>1078</v>
      </c>
      <c r="C190" s="238" t="s">
        <v>745</v>
      </c>
      <c r="D190" s="239">
        <f t="shared" si="49"/>
        <v>0</v>
      </c>
      <c r="E190" s="239" t="s">
        <v>805</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1078</v>
      </c>
      <c r="C191" s="225" t="s">
        <v>109</v>
      </c>
      <c r="D191" s="226">
        <f t="shared" si="49"/>
        <v>0</v>
      </c>
      <c r="E191" s="226" t="s">
        <v>805</v>
      </c>
      <c r="F191" s="241"/>
      <c r="G191" s="241"/>
      <c r="H191" s="241"/>
      <c r="I191" s="241"/>
      <c r="J191" s="241"/>
      <c r="K191" s="241"/>
      <c r="L191" s="241"/>
      <c r="M191" s="241"/>
      <c r="N191" s="241"/>
      <c r="O191" s="241"/>
      <c r="P191" s="241"/>
      <c r="Q191" s="241"/>
    </row>
    <row r="192" outlineLevel="1" spans="1:17">
      <c r="A192" s="216">
        <v>47</v>
      </c>
      <c r="B192" s="237" t="s">
        <v>1078</v>
      </c>
      <c r="C192" s="228" t="s">
        <v>68</v>
      </c>
      <c r="D192" s="229">
        <f t="shared" si="49"/>
        <v>0</v>
      </c>
      <c r="E192" s="229" t="s">
        <v>805</v>
      </c>
      <c r="F192" s="241"/>
      <c r="G192" s="241"/>
      <c r="H192" s="241"/>
      <c r="I192" s="241"/>
      <c r="J192" s="241"/>
      <c r="K192" s="241"/>
      <c r="L192" s="241"/>
      <c r="M192" s="241"/>
      <c r="N192" s="241"/>
      <c r="O192" s="241"/>
      <c r="P192" s="241"/>
      <c r="Q192" s="241"/>
    </row>
    <row r="193" outlineLevel="1" spans="1:17">
      <c r="A193" s="216">
        <v>47</v>
      </c>
      <c r="B193" s="237" t="s">
        <v>1078</v>
      </c>
      <c r="C193" s="231" t="s">
        <v>19</v>
      </c>
      <c r="D193" s="232">
        <f t="shared" si="49"/>
        <v>0</v>
      </c>
      <c r="E193" s="232" t="s">
        <v>805</v>
      </c>
      <c r="F193" s="241"/>
      <c r="G193" s="241"/>
      <c r="H193" s="241"/>
      <c r="I193" s="241"/>
      <c r="J193" s="241"/>
      <c r="K193" s="241"/>
      <c r="L193" s="241"/>
      <c r="M193" s="241"/>
      <c r="N193" s="241"/>
      <c r="O193" s="241"/>
      <c r="P193" s="241"/>
      <c r="Q193" s="241"/>
    </row>
    <row r="194" spans="1:17">
      <c r="A194" s="216">
        <v>48</v>
      </c>
      <c r="B194" s="234" t="s">
        <v>2430</v>
      </c>
      <c r="C194" s="234" t="s">
        <v>745</v>
      </c>
      <c r="D194" s="235">
        <f t="shared" ref="D194:D233" si="72">IFERROR(SUM(F194:Q194)/COUNTIF(F194:Q194,"&lt;&gt;0"),0)</f>
        <v>0</v>
      </c>
      <c r="E194" s="235" t="s">
        <v>805</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2430</v>
      </c>
      <c r="C195" s="225" t="s">
        <v>109</v>
      </c>
      <c r="D195" s="226">
        <f t="shared" si="72"/>
        <v>0</v>
      </c>
      <c r="E195" s="226" t="s">
        <v>805</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2430</v>
      </c>
      <c r="C196" s="228" t="s">
        <v>68</v>
      </c>
      <c r="D196" s="229">
        <f t="shared" si="72"/>
        <v>0</v>
      </c>
      <c r="E196" s="229" t="s">
        <v>805</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2430</v>
      </c>
      <c r="C197" s="231" t="s">
        <v>19</v>
      </c>
      <c r="D197" s="232">
        <f t="shared" si="72"/>
        <v>0</v>
      </c>
      <c r="E197" s="232" t="s">
        <v>805</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1100</v>
      </c>
      <c r="C198" s="238" t="s">
        <v>745</v>
      </c>
      <c r="D198" s="239">
        <f t="shared" si="72"/>
        <v>0</v>
      </c>
      <c r="E198" s="239" t="s">
        <v>805</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1100</v>
      </c>
      <c r="C199" s="225" t="s">
        <v>109</v>
      </c>
      <c r="D199" s="226">
        <f t="shared" si="72"/>
        <v>0</v>
      </c>
      <c r="E199" s="226" t="s">
        <v>805</v>
      </c>
      <c r="F199" s="241"/>
      <c r="G199" s="241"/>
      <c r="H199" s="241"/>
      <c r="I199" s="241"/>
      <c r="J199" s="241"/>
      <c r="K199" s="241"/>
      <c r="L199" s="241"/>
      <c r="M199" s="241"/>
      <c r="N199" s="241"/>
      <c r="O199" s="241"/>
      <c r="P199" s="241"/>
      <c r="Q199" s="241"/>
    </row>
    <row r="200" outlineLevel="1" spans="1:17">
      <c r="A200" s="216">
        <v>49</v>
      </c>
      <c r="B200" s="237" t="s">
        <v>1100</v>
      </c>
      <c r="C200" s="228" t="s">
        <v>68</v>
      </c>
      <c r="D200" s="229">
        <f t="shared" si="72"/>
        <v>0</v>
      </c>
      <c r="E200" s="229" t="s">
        <v>805</v>
      </c>
      <c r="F200" s="241"/>
      <c r="G200" s="241"/>
      <c r="H200" s="241"/>
      <c r="I200" s="241"/>
      <c r="J200" s="241"/>
      <c r="K200" s="241"/>
      <c r="L200" s="241"/>
      <c r="M200" s="241"/>
      <c r="N200" s="241"/>
      <c r="O200" s="241"/>
      <c r="P200" s="241"/>
      <c r="Q200" s="241"/>
    </row>
    <row r="201" outlineLevel="1" spans="1:17">
      <c r="A201" s="216">
        <v>49</v>
      </c>
      <c r="B201" s="237" t="s">
        <v>1100</v>
      </c>
      <c r="C201" s="231" t="s">
        <v>19</v>
      </c>
      <c r="D201" s="232">
        <f t="shared" si="72"/>
        <v>0</v>
      </c>
      <c r="E201" s="232" t="s">
        <v>805</v>
      </c>
      <c r="F201" s="241"/>
      <c r="G201" s="241"/>
      <c r="H201" s="241"/>
      <c r="I201" s="241"/>
      <c r="J201" s="241"/>
      <c r="K201" s="241"/>
      <c r="L201" s="241"/>
      <c r="M201" s="241"/>
      <c r="N201" s="241"/>
      <c r="O201" s="241"/>
      <c r="P201" s="241"/>
      <c r="Q201" s="241"/>
    </row>
    <row r="202" outlineLevel="1" spans="1:17">
      <c r="A202" s="216">
        <v>50</v>
      </c>
      <c r="B202" s="237" t="s">
        <v>1098</v>
      </c>
      <c r="C202" s="238" t="s">
        <v>745</v>
      </c>
      <c r="D202" s="239">
        <f t="shared" si="72"/>
        <v>0</v>
      </c>
      <c r="E202" s="239" t="s">
        <v>805</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1098</v>
      </c>
      <c r="C203" s="225" t="s">
        <v>109</v>
      </c>
      <c r="D203" s="226">
        <f t="shared" si="72"/>
        <v>0</v>
      </c>
      <c r="E203" s="226" t="s">
        <v>805</v>
      </c>
      <c r="F203" s="241"/>
      <c r="G203" s="241"/>
      <c r="H203" s="241"/>
      <c r="I203" s="241"/>
      <c r="J203" s="241"/>
      <c r="K203" s="241"/>
      <c r="L203" s="241"/>
      <c r="M203" s="241"/>
      <c r="N203" s="241"/>
      <c r="O203" s="241"/>
      <c r="P203" s="241"/>
      <c r="Q203" s="241"/>
    </row>
    <row r="204" outlineLevel="1" spans="1:17">
      <c r="A204" s="216">
        <v>50</v>
      </c>
      <c r="B204" s="237" t="s">
        <v>1098</v>
      </c>
      <c r="C204" s="228" t="s">
        <v>68</v>
      </c>
      <c r="D204" s="229">
        <f t="shared" si="72"/>
        <v>0</v>
      </c>
      <c r="E204" s="229" t="s">
        <v>805</v>
      </c>
      <c r="F204" s="241"/>
      <c r="G204" s="241"/>
      <c r="H204" s="241"/>
      <c r="I204" s="241"/>
      <c r="J204" s="241"/>
      <c r="K204" s="241"/>
      <c r="L204" s="241"/>
      <c r="M204" s="241"/>
      <c r="N204" s="241"/>
      <c r="O204" s="241"/>
      <c r="P204" s="241"/>
      <c r="Q204" s="241"/>
    </row>
    <row r="205" outlineLevel="1" spans="1:17">
      <c r="A205" s="216">
        <v>50</v>
      </c>
      <c r="B205" s="237" t="s">
        <v>1098</v>
      </c>
      <c r="C205" s="231" t="s">
        <v>19</v>
      </c>
      <c r="D205" s="232">
        <f t="shared" si="72"/>
        <v>0</v>
      </c>
      <c r="E205" s="232" t="s">
        <v>805</v>
      </c>
      <c r="F205" s="241"/>
      <c r="G205" s="241"/>
      <c r="H205" s="241"/>
      <c r="I205" s="241"/>
      <c r="J205" s="241"/>
      <c r="K205" s="241"/>
      <c r="L205" s="241"/>
      <c r="M205" s="241"/>
      <c r="N205" s="241"/>
      <c r="O205" s="241"/>
      <c r="P205" s="241"/>
      <c r="Q205" s="241"/>
    </row>
    <row r="206" outlineLevel="1" spans="1:17">
      <c r="A206" s="216">
        <v>51</v>
      </c>
      <c r="B206" s="237" t="s">
        <v>1105</v>
      </c>
      <c r="C206" s="238" t="s">
        <v>745</v>
      </c>
      <c r="D206" s="239">
        <f t="shared" si="72"/>
        <v>0</v>
      </c>
      <c r="E206" s="239" t="s">
        <v>805</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1105</v>
      </c>
      <c r="C207" s="225" t="s">
        <v>109</v>
      </c>
      <c r="D207" s="226">
        <f t="shared" si="72"/>
        <v>0</v>
      </c>
      <c r="E207" s="226" t="s">
        <v>805</v>
      </c>
      <c r="F207" s="241"/>
      <c r="G207" s="241"/>
      <c r="H207" s="241"/>
      <c r="I207" s="241"/>
      <c r="J207" s="241"/>
      <c r="K207" s="241"/>
      <c r="L207" s="241"/>
      <c r="M207" s="241"/>
      <c r="N207" s="241"/>
      <c r="O207" s="241"/>
      <c r="P207" s="241"/>
      <c r="Q207" s="241"/>
    </row>
    <row r="208" outlineLevel="1" spans="1:17">
      <c r="A208" s="216">
        <v>51</v>
      </c>
      <c r="B208" s="237" t="s">
        <v>1105</v>
      </c>
      <c r="C208" s="228" t="s">
        <v>68</v>
      </c>
      <c r="D208" s="229">
        <f t="shared" si="72"/>
        <v>0</v>
      </c>
      <c r="E208" s="229" t="s">
        <v>805</v>
      </c>
      <c r="F208" s="241"/>
      <c r="G208" s="241"/>
      <c r="H208" s="241"/>
      <c r="I208" s="241"/>
      <c r="J208" s="241"/>
      <c r="K208" s="241"/>
      <c r="L208" s="241"/>
      <c r="M208" s="241"/>
      <c r="N208" s="241"/>
      <c r="O208" s="241"/>
      <c r="P208" s="241"/>
      <c r="Q208" s="241"/>
    </row>
    <row r="209" outlineLevel="1" spans="1:17">
      <c r="A209" s="216">
        <v>51</v>
      </c>
      <c r="B209" s="237" t="s">
        <v>1105</v>
      </c>
      <c r="C209" s="231" t="s">
        <v>19</v>
      </c>
      <c r="D209" s="232">
        <f t="shared" si="72"/>
        <v>0</v>
      </c>
      <c r="E209" s="232" t="s">
        <v>805</v>
      </c>
      <c r="F209" s="241"/>
      <c r="G209" s="241"/>
      <c r="H209" s="241"/>
      <c r="I209" s="241"/>
      <c r="J209" s="241"/>
      <c r="K209" s="241"/>
      <c r="L209" s="241"/>
      <c r="M209" s="241"/>
      <c r="N209" s="241"/>
      <c r="O209" s="241"/>
      <c r="P209" s="241"/>
      <c r="Q209" s="241"/>
    </row>
    <row r="210" spans="1:17">
      <c r="A210" s="216">
        <v>52</v>
      </c>
      <c r="B210" s="234" t="s">
        <v>1121</v>
      </c>
      <c r="C210" s="234" t="s">
        <v>745</v>
      </c>
      <c r="D210" s="235">
        <f t="shared" si="72"/>
        <v>0</v>
      </c>
      <c r="E210" s="235" t="s">
        <v>805</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1121</v>
      </c>
      <c r="C211" s="225" t="s">
        <v>109</v>
      </c>
      <c r="D211" s="226">
        <f t="shared" si="72"/>
        <v>0</v>
      </c>
      <c r="E211" s="226" t="s">
        <v>805</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1121</v>
      </c>
      <c r="C212" s="228" t="s">
        <v>68</v>
      </c>
      <c r="D212" s="229">
        <f t="shared" si="72"/>
        <v>0</v>
      </c>
      <c r="E212" s="229" t="s">
        <v>805</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1121</v>
      </c>
      <c r="C213" s="231" t="s">
        <v>19</v>
      </c>
      <c r="D213" s="232">
        <f t="shared" si="72"/>
        <v>0</v>
      </c>
      <c r="E213" s="232" t="s">
        <v>805</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1123</v>
      </c>
      <c r="C214" s="238" t="s">
        <v>745</v>
      </c>
      <c r="D214" s="239">
        <f t="shared" si="72"/>
        <v>0</v>
      </c>
      <c r="E214" s="238" t="s">
        <v>805</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1123</v>
      </c>
      <c r="C215" s="225" t="s">
        <v>109</v>
      </c>
      <c r="D215" s="226">
        <f t="shared" si="72"/>
        <v>0</v>
      </c>
      <c r="E215" s="225" t="s">
        <v>805</v>
      </c>
      <c r="F215" s="243">
        <f>自有人工预算!E14</f>
        <v>0</v>
      </c>
      <c r="G215" s="243">
        <f>自有人工预算!F14</f>
        <v>0</v>
      </c>
      <c r="H215" s="243">
        <f>自有人工预算!G14</f>
        <v>0</v>
      </c>
      <c r="I215" s="243">
        <f>自有人工预算!H14</f>
        <v>0</v>
      </c>
      <c r="J215" s="243">
        <f>自有人工预算!I14</f>
        <v>0</v>
      </c>
      <c r="K215" s="243">
        <f>自有人工预算!J14</f>
        <v>0</v>
      </c>
      <c r="L215" s="243">
        <f>自有人工预算!K14</f>
        <v>0</v>
      </c>
      <c r="M215" s="243">
        <f>自有人工预算!L14</f>
        <v>0</v>
      </c>
      <c r="N215" s="243">
        <f>自有人工预算!M14</f>
        <v>0</v>
      </c>
      <c r="O215" s="243">
        <f>自有人工预算!N14</f>
        <v>0</v>
      </c>
      <c r="P215" s="243">
        <f>自有人工预算!O14</f>
        <v>0</v>
      </c>
      <c r="Q215" s="243">
        <f>自有人工预算!P14</f>
        <v>0</v>
      </c>
    </row>
    <row r="216" outlineLevel="1" spans="1:17">
      <c r="A216" s="216">
        <v>53</v>
      </c>
      <c r="B216" s="237" t="s">
        <v>1123</v>
      </c>
      <c r="C216" s="228" t="s">
        <v>68</v>
      </c>
      <c r="D216" s="229">
        <f t="shared" si="72"/>
        <v>0</v>
      </c>
      <c r="E216" s="228" t="s">
        <v>805</v>
      </c>
      <c r="F216" s="243"/>
      <c r="G216" s="243"/>
      <c r="H216" s="243"/>
      <c r="I216" s="243"/>
      <c r="J216" s="243"/>
      <c r="K216" s="243"/>
      <c r="L216" s="243"/>
      <c r="M216" s="243"/>
      <c r="N216" s="243"/>
      <c r="O216" s="243"/>
      <c r="P216" s="243"/>
      <c r="Q216" s="243"/>
    </row>
    <row r="217" outlineLevel="1" spans="1:17">
      <c r="A217" s="216">
        <v>53</v>
      </c>
      <c r="B217" s="237" t="s">
        <v>1123</v>
      </c>
      <c r="C217" s="231" t="s">
        <v>19</v>
      </c>
      <c r="D217" s="232">
        <f t="shared" si="72"/>
        <v>0</v>
      </c>
      <c r="E217" s="231" t="s">
        <v>805</v>
      </c>
      <c r="F217" s="243"/>
      <c r="G217" s="243"/>
      <c r="H217" s="243"/>
      <c r="I217" s="243"/>
      <c r="J217" s="243"/>
      <c r="K217" s="243"/>
      <c r="L217" s="243"/>
      <c r="M217" s="243"/>
      <c r="N217" s="243"/>
      <c r="O217" s="243"/>
      <c r="P217" s="243"/>
      <c r="Q217" s="243"/>
    </row>
    <row r="218" outlineLevel="1" spans="1:17">
      <c r="A218" s="216">
        <v>54</v>
      </c>
      <c r="B218" s="237" t="s">
        <v>1126</v>
      </c>
      <c r="C218" s="238" t="s">
        <v>745</v>
      </c>
      <c r="D218" s="239">
        <f t="shared" si="72"/>
        <v>0</v>
      </c>
      <c r="E218" s="238" t="s">
        <v>805</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1126</v>
      </c>
      <c r="C219" s="225" t="s">
        <v>109</v>
      </c>
      <c r="D219" s="226">
        <f t="shared" si="72"/>
        <v>0</v>
      </c>
      <c r="E219" s="225" t="s">
        <v>805</v>
      </c>
      <c r="F219" s="243"/>
      <c r="G219" s="243"/>
      <c r="H219" s="243"/>
      <c r="I219" s="243"/>
      <c r="J219" s="243"/>
      <c r="K219" s="243"/>
      <c r="L219" s="243"/>
      <c r="M219" s="243"/>
      <c r="N219" s="243"/>
      <c r="O219" s="243"/>
      <c r="P219" s="243"/>
      <c r="Q219" s="243"/>
    </row>
    <row r="220" outlineLevel="1" spans="1:17">
      <c r="A220" s="216">
        <v>54</v>
      </c>
      <c r="B220" s="237" t="s">
        <v>1126</v>
      </c>
      <c r="C220" s="228" t="s">
        <v>68</v>
      </c>
      <c r="D220" s="229">
        <f t="shared" si="72"/>
        <v>0</v>
      </c>
      <c r="E220" s="228" t="s">
        <v>805</v>
      </c>
      <c r="F220" s="243"/>
      <c r="G220" s="243"/>
      <c r="H220" s="243"/>
      <c r="I220" s="243"/>
      <c r="J220" s="243"/>
      <c r="K220" s="243"/>
      <c r="L220" s="243"/>
      <c r="M220" s="243"/>
      <c r="N220" s="243"/>
      <c r="O220" s="243"/>
      <c r="P220" s="243"/>
      <c r="Q220" s="243"/>
    </row>
    <row r="221" outlineLevel="1" spans="1:17">
      <c r="A221" s="216">
        <v>54</v>
      </c>
      <c r="B221" s="237" t="s">
        <v>1126</v>
      </c>
      <c r="C221" s="231" t="s">
        <v>19</v>
      </c>
      <c r="D221" s="232">
        <f t="shared" si="72"/>
        <v>0</v>
      </c>
      <c r="E221" s="231" t="s">
        <v>805</v>
      </c>
      <c r="F221" s="243"/>
      <c r="G221" s="243"/>
      <c r="H221" s="243"/>
      <c r="I221" s="243"/>
      <c r="J221" s="243"/>
      <c r="K221" s="243"/>
      <c r="L221" s="243"/>
      <c r="M221" s="243"/>
      <c r="N221" s="243"/>
      <c r="O221" s="243"/>
      <c r="P221" s="243"/>
      <c r="Q221" s="243"/>
    </row>
    <row r="222" outlineLevel="1" spans="1:17">
      <c r="A222" s="216">
        <v>55</v>
      </c>
      <c r="B222" s="237" t="s">
        <v>1128</v>
      </c>
      <c r="C222" s="238" t="s">
        <v>745</v>
      </c>
      <c r="D222" s="239">
        <f t="shared" si="72"/>
        <v>0</v>
      </c>
      <c r="E222" s="238" t="s">
        <v>805</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1128</v>
      </c>
      <c r="C223" s="225" t="s">
        <v>109</v>
      </c>
      <c r="D223" s="226">
        <f t="shared" si="72"/>
        <v>0</v>
      </c>
      <c r="E223" s="225" t="s">
        <v>805</v>
      </c>
      <c r="F223" s="243"/>
      <c r="G223" s="243"/>
      <c r="H223" s="243"/>
      <c r="I223" s="243"/>
      <c r="J223" s="243"/>
      <c r="K223" s="243"/>
      <c r="L223" s="243"/>
      <c r="M223" s="243"/>
      <c r="N223" s="243"/>
      <c r="O223" s="243"/>
      <c r="P223" s="243"/>
      <c r="Q223" s="243"/>
    </row>
    <row r="224" outlineLevel="1" spans="1:17">
      <c r="A224" s="216">
        <v>55</v>
      </c>
      <c r="B224" s="237" t="s">
        <v>1128</v>
      </c>
      <c r="C224" s="228" t="s">
        <v>68</v>
      </c>
      <c r="D224" s="229">
        <f t="shared" si="72"/>
        <v>0</v>
      </c>
      <c r="E224" s="228" t="s">
        <v>805</v>
      </c>
      <c r="F224" s="243"/>
      <c r="G224" s="243"/>
      <c r="H224" s="243"/>
      <c r="I224" s="243"/>
      <c r="J224" s="243"/>
      <c r="K224" s="243"/>
      <c r="L224" s="243"/>
      <c r="M224" s="243"/>
      <c r="N224" s="243"/>
      <c r="O224" s="243"/>
      <c r="P224" s="243"/>
      <c r="Q224" s="243"/>
    </row>
    <row r="225" outlineLevel="1" spans="1:17">
      <c r="A225" s="216">
        <v>55</v>
      </c>
      <c r="B225" s="237" t="s">
        <v>1128</v>
      </c>
      <c r="C225" s="231" t="s">
        <v>19</v>
      </c>
      <c r="D225" s="232">
        <f t="shared" si="72"/>
        <v>0</v>
      </c>
      <c r="E225" s="231" t="s">
        <v>805</v>
      </c>
      <c r="F225" s="243"/>
      <c r="G225" s="243"/>
      <c r="H225" s="243"/>
      <c r="I225" s="243"/>
      <c r="J225" s="243"/>
      <c r="K225" s="243"/>
      <c r="L225" s="243"/>
      <c r="M225" s="243"/>
      <c r="N225" s="243"/>
      <c r="O225" s="243"/>
      <c r="P225" s="243"/>
      <c r="Q225" s="243"/>
    </row>
    <row r="226" outlineLevel="1" spans="1:17">
      <c r="A226" s="216">
        <v>56</v>
      </c>
      <c r="B226" s="237" t="s">
        <v>1130</v>
      </c>
      <c r="C226" s="238" t="s">
        <v>745</v>
      </c>
      <c r="D226" s="239">
        <f t="shared" si="72"/>
        <v>0</v>
      </c>
      <c r="E226" s="238" t="s">
        <v>805</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1130</v>
      </c>
      <c r="C227" s="225" t="s">
        <v>109</v>
      </c>
      <c r="D227" s="226">
        <f t="shared" si="72"/>
        <v>0</v>
      </c>
      <c r="E227" s="225" t="s">
        <v>805</v>
      </c>
      <c r="F227" s="243"/>
      <c r="G227" s="243"/>
      <c r="H227" s="243"/>
      <c r="I227" s="243"/>
      <c r="J227" s="243"/>
      <c r="K227" s="243"/>
      <c r="L227" s="243"/>
      <c r="M227" s="243"/>
      <c r="N227" s="243"/>
      <c r="O227" s="243"/>
      <c r="P227" s="243"/>
      <c r="Q227" s="243"/>
    </row>
    <row r="228" outlineLevel="1" spans="1:17">
      <c r="A228" s="216">
        <v>56</v>
      </c>
      <c r="B228" s="237" t="s">
        <v>1130</v>
      </c>
      <c r="C228" s="228" t="s">
        <v>68</v>
      </c>
      <c r="D228" s="229">
        <f t="shared" si="72"/>
        <v>0</v>
      </c>
      <c r="E228" s="228" t="s">
        <v>805</v>
      </c>
      <c r="F228" s="243"/>
      <c r="G228" s="243"/>
      <c r="H228" s="243"/>
      <c r="I228" s="243"/>
      <c r="J228" s="243"/>
      <c r="K228" s="243"/>
      <c r="L228" s="243"/>
      <c r="M228" s="243"/>
      <c r="N228" s="243"/>
      <c r="O228" s="243"/>
      <c r="P228" s="243"/>
      <c r="Q228" s="243"/>
    </row>
    <row r="229" outlineLevel="1" spans="1:17">
      <c r="A229" s="216">
        <v>56</v>
      </c>
      <c r="B229" s="237" t="s">
        <v>1130</v>
      </c>
      <c r="C229" s="231" t="s">
        <v>19</v>
      </c>
      <c r="D229" s="232">
        <f t="shared" si="72"/>
        <v>0</v>
      </c>
      <c r="E229" s="231" t="s">
        <v>805</v>
      </c>
      <c r="F229" s="243"/>
      <c r="G229" s="243"/>
      <c r="H229" s="243"/>
      <c r="I229" s="243"/>
      <c r="J229" s="243"/>
      <c r="K229" s="243"/>
      <c r="L229" s="243"/>
      <c r="M229" s="243"/>
      <c r="N229" s="243"/>
      <c r="O229" s="243"/>
      <c r="P229" s="243"/>
      <c r="Q229" s="243"/>
    </row>
    <row r="230" outlineLevel="1" spans="1:17">
      <c r="A230" s="216">
        <v>57</v>
      </c>
      <c r="B230" s="237" t="s">
        <v>1132</v>
      </c>
      <c r="C230" s="238" t="s">
        <v>745</v>
      </c>
      <c r="D230" s="239">
        <f t="shared" si="72"/>
        <v>0</v>
      </c>
      <c r="E230" s="238" t="s">
        <v>805</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1132</v>
      </c>
      <c r="C231" s="225" t="s">
        <v>109</v>
      </c>
      <c r="D231" s="226">
        <f t="shared" si="72"/>
        <v>0</v>
      </c>
      <c r="E231" s="225" t="s">
        <v>805</v>
      </c>
      <c r="F231" s="243"/>
      <c r="G231" s="243"/>
      <c r="H231" s="243"/>
      <c r="I231" s="243"/>
      <c r="J231" s="243"/>
      <c r="K231" s="243"/>
      <c r="L231" s="243"/>
      <c r="M231" s="243"/>
      <c r="N231" s="243"/>
      <c r="O231" s="243"/>
      <c r="P231" s="243"/>
      <c r="Q231" s="243"/>
    </row>
    <row r="232" outlineLevel="1" spans="1:17">
      <c r="A232" s="216">
        <v>57</v>
      </c>
      <c r="B232" s="237" t="s">
        <v>1132</v>
      </c>
      <c r="C232" s="228" t="s">
        <v>68</v>
      </c>
      <c r="D232" s="229">
        <f t="shared" si="72"/>
        <v>0</v>
      </c>
      <c r="E232" s="228" t="s">
        <v>805</v>
      </c>
      <c r="F232" s="243"/>
      <c r="G232" s="243"/>
      <c r="H232" s="243"/>
      <c r="I232" s="243"/>
      <c r="J232" s="243"/>
      <c r="K232" s="243"/>
      <c r="L232" s="243"/>
      <c r="M232" s="243"/>
      <c r="N232" s="243"/>
      <c r="O232" s="243"/>
      <c r="P232" s="243"/>
      <c r="Q232" s="243"/>
    </row>
    <row r="233" outlineLevel="1" spans="1:17">
      <c r="A233" s="216">
        <v>57</v>
      </c>
      <c r="B233" s="237" t="s">
        <v>1132</v>
      </c>
      <c r="C233" s="231" t="s">
        <v>19</v>
      </c>
      <c r="D233" s="232">
        <f t="shared" si="72"/>
        <v>0</v>
      </c>
      <c r="E233" s="231" t="s">
        <v>805</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781</v>
      </c>
      <c r="C3" s="214" t="s">
        <v>2420</v>
      </c>
      <c r="D3" s="214" t="s">
        <v>2422</v>
      </c>
    </row>
    <row r="4" spans="2:4">
      <c r="B4" t="s">
        <v>1851</v>
      </c>
      <c r="C4" t="s">
        <v>2421</v>
      </c>
      <c r="D4" t="s">
        <v>2423</v>
      </c>
    </row>
    <row r="5" spans="2:4">
      <c r="B5" t="s">
        <v>943</v>
      </c>
      <c r="C5" t="s">
        <v>2431</v>
      </c>
      <c r="D5" t="s">
        <v>2432</v>
      </c>
    </row>
    <row r="6" spans="2:4">
      <c r="B6" s="215"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1653</v>
      </c>
      <c r="C2" s="173" t="s">
        <v>2439</v>
      </c>
      <c r="D2" s="174">
        <v>150</v>
      </c>
      <c r="E2" s="175"/>
    </row>
    <row r="3" ht="16.5" spans="2:5">
      <c r="B3" s="173" t="s">
        <v>1656</v>
      </c>
      <c r="C3" s="173" t="s">
        <v>2439</v>
      </c>
      <c r="D3" s="174">
        <v>610</v>
      </c>
      <c r="E3" s="175"/>
    </row>
    <row r="4" ht="16.5" spans="2:5">
      <c r="B4" s="173" t="s">
        <v>1659</v>
      </c>
      <c r="C4" s="173" t="s">
        <v>2439</v>
      </c>
      <c r="D4" s="174">
        <v>270</v>
      </c>
      <c r="E4" s="175"/>
    </row>
    <row r="5" ht="16.5" spans="2:5">
      <c r="B5" s="173" t="s">
        <v>1661</v>
      </c>
      <c r="C5" s="173" t="s">
        <v>2439</v>
      </c>
      <c r="D5" s="174">
        <v>600</v>
      </c>
      <c r="E5" s="175"/>
    </row>
    <row r="6" ht="16.5" spans="2:5">
      <c r="B6" s="173" t="s">
        <v>1663</v>
      </c>
      <c r="C6" s="173" t="s">
        <v>2439</v>
      </c>
      <c r="D6" s="174">
        <v>150</v>
      </c>
      <c r="E6" s="175"/>
    </row>
    <row r="7" ht="16.5" spans="2:5">
      <c r="B7" s="173" t="s">
        <v>1665</v>
      </c>
      <c r="C7" s="173" t="s">
        <v>2439</v>
      </c>
      <c r="D7" s="174">
        <v>380</v>
      </c>
      <c r="E7" s="175"/>
    </row>
    <row r="8" ht="16.5" spans="2:5">
      <c r="B8" s="173" t="s">
        <v>1667</v>
      </c>
      <c r="C8" s="173" t="s">
        <v>2439</v>
      </c>
      <c r="D8" s="174">
        <v>150</v>
      </c>
      <c r="E8" s="175"/>
    </row>
    <row r="9" ht="16.5" spans="2:5">
      <c r="B9" s="173" t="s">
        <v>1653</v>
      </c>
      <c r="C9" s="173" t="s">
        <v>2440</v>
      </c>
      <c r="D9" s="174">
        <v>250</v>
      </c>
      <c r="E9" s="175"/>
    </row>
    <row r="10" ht="16.5" spans="2:5">
      <c r="B10" s="173" t="s">
        <v>1656</v>
      </c>
      <c r="C10" s="173" t="s">
        <v>2440</v>
      </c>
      <c r="D10" s="174">
        <v>910</v>
      </c>
      <c r="E10" s="175"/>
    </row>
    <row r="11" ht="16.5" spans="2:5">
      <c r="B11" s="173" t="s">
        <v>1659</v>
      </c>
      <c r="C11" s="173" t="s">
        <v>2440</v>
      </c>
      <c r="D11" s="174">
        <v>260</v>
      </c>
      <c r="E11" s="175"/>
    </row>
    <row r="12" ht="16.5" spans="2:5">
      <c r="B12" s="173" t="s">
        <v>1661</v>
      </c>
      <c r="C12" s="173" t="s">
        <v>2440</v>
      </c>
      <c r="D12" s="174">
        <v>1012</v>
      </c>
      <c r="E12" s="175"/>
    </row>
    <row r="13" ht="16.5" spans="2:5">
      <c r="B13" s="173" t="s">
        <v>1663</v>
      </c>
      <c r="C13" s="173" t="s">
        <v>2440</v>
      </c>
      <c r="D13" s="174">
        <v>150</v>
      </c>
      <c r="E13" s="175"/>
    </row>
    <row r="14" ht="16.5" spans="2:5">
      <c r="B14" s="173" t="s">
        <v>1665</v>
      </c>
      <c r="C14" s="173" t="s">
        <v>2440</v>
      </c>
      <c r="D14" s="174">
        <v>380</v>
      </c>
      <c r="E14" s="175"/>
    </row>
    <row r="15" ht="16.5" spans="2:5">
      <c r="B15" s="173" t="s">
        <v>1667</v>
      </c>
      <c r="C15" s="173" t="s">
        <v>2440</v>
      </c>
      <c r="D15" s="174">
        <v>150</v>
      </c>
      <c r="E15" s="175"/>
    </row>
    <row r="16" ht="16.5" spans="2:5">
      <c r="B16" s="173" t="s">
        <v>1653</v>
      </c>
      <c r="C16" s="173" t="s">
        <v>2441</v>
      </c>
      <c r="D16" s="174">
        <v>250</v>
      </c>
      <c r="E16" s="175"/>
    </row>
    <row r="17" ht="16.5" spans="2:5">
      <c r="B17" s="173" t="s">
        <v>1656</v>
      </c>
      <c r="C17" s="173" t="s">
        <v>2441</v>
      </c>
      <c r="D17" s="174">
        <v>960</v>
      </c>
      <c r="E17" s="175"/>
    </row>
    <row r="18" ht="16.5" spans="2:5">
      <c r="B18" s="173" t="s">
        <v>1659</v>
      </c>
      <c r="C18" s="173" t="s">
        <v>2441</v>
      </c>
      <c r="D18" s="174">
        <v>260</v>
      </c>
      <c r="E18" s="175"/>
    </row>
    <row r="19" ht="16.5" spans="2:5">
      <c r="B19" s="173" t="s">
        <v>1661</v>
      </c>
      <c r="C19" s="173" t="s">
        <v>2441</v>
      </c>
      <c r="D19" s="174">
        <v>1012</v>
      </c>
      <c r="E19" s="175"/>
    </row>
    <row r="20" ht="16.5" spans="2:5">
      <c r="B20" s="173" t="s">
        <v>1663</v>
      </c>
      <c r="C20" s="173" t="s">
        <v>2441</v>
      </c>
      <c r="D20" s="174">
        <v>150</v>
      </c>
      <c r="E20" s="175"/>
    </row>
    <row r="21" ht="16.5" spans="2:5">
      <c r="B21" s="173" t="s">
        <v>1665</v>
      </c>
      <c r="C21" s="173" t="s">
        <v>2441</v>
      </c>
      <c r="D21" s="174">
        <v>380</v>
      </c>
      <c r="E21" s="175"/>
    </row>
    <row r="22" ht="16.5" spans="2:5">
      <c r="B22" s="173" t="s">
        <v>1667</v>
      </c>
      <c r="C22" s="173" t="s">
        <v>2441</v>
      </c>
      <c r="D22" s="174">
        <v>150</v>
      </c>
      <c r="E22" s="175"/>
    </row>
    <row r="26" ht="112.5" spans="2:131">
      <c r="B26" s="176" t="s">
        <v>2442</v>
      </c>
      <c r="C26" s="177" t="s">
        <v>2443</v>
      </c>
      <c r="D26" s="176" t="s">
        <v>2444</v>
      </c>
      <c r="E26" s="176"/>
      <c r="F26" s="178" t="s">
        <v>2421</v>
      </c>
      <c r="G26" s="178" t="s">
        <v>2421</v>
      </c>
      <c r="H26" s="178" t="s">
        <v>2421</v>
      </c>
      <c r="I26" s="178" t="s">
        <v>2421</v>
      </c>
      <c r="J26" s="178" t="s">
        <v>2421</v>
      </c>
      <c r="K26" s="178" t="s">
        <v>2421</v>
      </c>
      <c r="L26" s="178" t="s">
        <v>2421</v>
      </c>
      <c r="M26" s="178" t="s">
        <v>2421</v>
      </c>
      <c r="N26" s="178" t="s">
        <v>2421</v>
      </c>
      <c r="O26" s="178" t="s">
        <v>2421</v>
      </c>
      <c r="P26" s="178" t="s">
        <v>2421</v>
      </c>
      <c r="Q26" s="178" t="s">
        <v>2421</v>
      </c>
      <c r="R26" s="178" t="s">
        <v>2421</v>
      </c>
      <c r="S26" s="178" t="s">
        <v>2421</v>
      </c>
      <c r="T26" s="178" t="s">
        <v>2421</v>
      </c>
      <c r="U26" s="178" t="s">
        <v>2421</v>
      </c>
      <c r="V26" s="178" t="s">
        <v>2421</v>
      </c>
      <c r="W26" s="178" t="s">
        <v>2421</v>
      </c>
      <c r="X26" s="178" t="s">
        <v>2421</v>
      </c>
      <c r="Y26" s="178" t="s">
        <v>2421</v>
      </c>
      <c r="Z26" s="178" t="s">
        <v>2421</v>
      </c>
      <c r="AA26" s="178" t="s">
        <v>2431</v>
      </c>
      <c r="AB26" s="178" t="s">
        <v>2431</v>
      </c>
      <c r="AC26" s="178" t="s">
        <v>2431</v>
      </c>
      <c r="AD26" s="178" t="s">
        <v>2431</v>
      </c>
      <c r="AE26" s="178" t="s">
        <v>2431</v>
      </c>
      <c r="AF26" s="178" t="s">
        <v>2431</v>
      </c>
      <c r="AG26" s="178" t="s">
        <v>2431</v>
      </c>
      <c r="AH26" s="178" t="s">
        <v>2431</v>
      </c>
      <c r="AI26" s="178" t="s">
        <v>2431</v>
      </c>
      <c r="AJ26" s="178" t="s">
        <v>2431</v>
      </c>
      <c r="AK26" s="178" t="s">
        <v>2431</v>
      </c>
      <c r="AL26" s="178" t="s">
        <v>2431</v>
      </c>
      <c r="AM26" s="178" t="s">
        <v>2431</v>
      </c>
      <c r="AN26" s="178" t="s">
        <v>2431</v>
      </c>
      <c r="AO26" s="178" t="s">
        <v>2431</v>
      </c>
      <c r="AP26" s="178" t="s">
        <v>2431</v>
      </c>
      <c r="AQ26" s="178" t="s">
        <v>2431</v>
      </c>
      <c r="AR26" s="178" t="s">
        <v>2431</v>
      </c>
      <c r="AS26" s="178" t="s">
        <v>2431</v>
      </c>
      <c r="AT26" s="178" t="s">
        <v>2431</v>
      </c>
      <c r="AU26" s="178" t="s">
        <v>2431</v>
      </c>
      <c r="AV26" s="178" t="s">
        <v>2433</v>
      </c>
      <c r="AW26" s="178" t="s">
        <v>2433</v>
      </c>
      <c r="AX26" s="178" t="s">
        <v>2433</v>
      </c>
      <c r="AY26" s="178" t="s">
        <v>2433</v>
      </c>
      <c r="AZ26" s="178" t="s">
        <v>2433</v>
      </c>
      <c r="BA26" s="178" t="s">
        <v>2433</v>
      </c>
      <c r="BB26" s="178" t="s">
        <v>2433</v>
      </c>
      <c r="BC26" s="178" t="s">
        <v>2433</v>
      </c>
      <c r="BD26" s="178" t="s">
        <v>2433</v>
      </c>
      <c r="BE26" s="178" t="s">
        <v>2433</v>
      </c>
      <c r="BF26" s="178" t="s">
        <v>2433</v>
      </c>
      <c r="BG26" s="178" t="s">
        <v>2433</v>
      </c>
      <c r="BH26" s="178" t="s">
        <v>2433</v>
      </c>
      <c r="BI26" s="178" t="s">
        <v>2433</v>
      </c>
      <c r="BJ26" s="178" t="s">
        <v>2433</v>
      </c>
      <c r="BK26" s="178" t="s">
        <v>2433</v>
      </c>
      <c r="BL26" s="178" t="s">
        <v>2433</v>
      </c>
      <c r="BM26" s="178" t="s">
        <v>2433</v>
      </c>
      <c r="BN26" s="178" t="s">
        <v>2433</v>
      </c>
      <c r="BO26" s="178" t="s">
        <v>2433</v>
      </c>
      <c r="BP26" s="178" t="s">
        <v>2433</v>
      </c>
      <c r="BQ26" s="178" t="s">
        <v>2421</v>
      </c>
      <c r="BR26" s="178" t="s">
        <v>2421</v>
      </c>
      <c r="BS26" s="178" t="s">
        <v>2421</v>
      </c>
      <c r="BT26" s="178" t="s">
        <v>2421</v>
      </c>
      <c r="BU26" s="178" t="s">
        <v>2421</v>
      </c>
      <c r="BV26" s="178" t="s">
        <v>2421</v>
      </c>
      <c r="BW26" s="178" t="s">
        <v>2421</v>
      </c>
      <c r="BX26" s="178" t="s">
        <v>2421</v>
      </c>
      <c r="BY26" s="178" t="s">
        <v>2421</v>
      </c>
      <c r="BZ26" s="178" t="s">
        <v>2421</v>
      </c>
      <c r="CA26" s="178" t="s">
        <v>2421</v>
      </c>
      <c r="CB26" s="178" t="s">
        <v>2421</v>
      </c>
      <c r="CC26" s="178" t="s">
        <v>2421</v>
      </c>
      <c r="CD26" s="178" t="s">
        <v>2421</v>
      </c>
      <c r="CE26" s="178" t="s">
        <v>2421</v>
      </c>
      <c r="CF26" s="178" t="s">
        <v>2421</v>
      </c>
      <c r="CG26" s="178" t="s">
        <v>2421</v>
      </c>
      <c r="CH26" s="178" t="s">
        <v>2421</v>
      </c>
      <c r="CI26" s="178" t="s">
        <v>2421</v>
      </c>
      <c r="CJ26" s="178" t="s">
        <v>2421</v>
      </c>
      <c r="CK26" s="178" t="s">
        <v>2421</v>
      </c>
      <c r="CL26" s="178" t="s">
        <v>2431</v>
      </c>
      <c r="CM26" s="178" t="s">
        <v>2431</v>
      </c>
      <c r="CN26" s="178" t="s">
        <v>2431</v>
      </c>
      <c r="CO26" s="178" t="s">
        <v>2431</v>
      </c>
      <c r="CP26" s="178" t="s">
        <v>2431</v>
      </c>
      <c r="CQ26" s="178" t="s">
        <v>2431</v>
      </c>
      <c r="CR26" s="178" t="s">
        <v>2431</v>
      </c>
      <c r="CS26" s="178" t="s">
        <v>2431</v>
      </c>
      <c r="CT26" s="178" t="s">
        <v>2431</v>
      </c>
      <c r="CU26" s="178" t="s">
        <v>2431</v>
      </c>
      <c r="CV26" s="178" t="s">
        <v>2431</v>
      </c>
      <c r="CW26" s="178" t="s">
        <v>2431</v>
      </c>
      <c r="CX26" s="178" t="s">
        <v>2431</v>
      </c>
      <c r="CY26" s="178" t="s">
        <v>2431</v>
      </c>
      <c r="CZ26" s="178" t="s">
        <v>2431</v>
      </c>
      <c r="DA26" s="178" t="s">
        <v>2431</v>
      </c>
      <c r="DB26" s="178" t="s">
        <v>2431</v>
      </c>
      <c r="DC26" s="178" t="s">
        <v>2431</v>
      </c>
      <c r="DD26" s="178" t="s">
        <v>2431</v>
      </c>
      <c r="DE26" s="178" t="s">
        <v>2431</v>
      </c>
      <c r="DF26" s="178" t="s">
        <v>2431</v>
      </c>
      <c r="DG26" s="178" t="s">
        <v>2433</v>
      </c>
      <c r="DH26" s="178" t="s">
        <v>2433</v>
      </c>
      <c r="DI26" s="178" t="s">
        <v>2433</v>
      </c>
      <c r="DJ26" s="178" t="s">
        <v>2433</v>
      </c>
      <c r="DK26" s="178" t="s">
        <v>2433</v>
      </c>
      <c r="DL26" s="178" t="s">
        <v>2433</v>
      </c>
      <c r="DM26" s="178" t="s">
        <v>2433</v>
      </c>
      <c r="DN26" s="178" t="s">
        <v>2433</v>
      </c>
      <c r="DO26" s="178" t="s">
        <v>2433</v>
      </c>
      <c r="DP26" s="178" t="s">
        <v>2433</v>
      </c>
      <c r="DQ26" s="178" t="s">
        <v>2433</v>
      </c>
      <c r="DR26" s="178" t="s">
        <v>2433</v>
      </c>
      <c r="DS26" s="178" t="s">
        <v>2433</v>
      </c>
      <c r="DT26" s="178" t="s">
        <v>2433</v>
      </c>
      <c r="DU26" s="178" t="s">
        <v>2433</v>
      </c>
      <c r="DV26" s="178" t="s">
        <v>2433</v>
      </c>
      <c r="DW26" s="178" t="s">
        <v>2433</v>
      </c>
      <c r="DX26" s="178" t="s">
        <v>2433</v>
      </c>
      <c r="DY26" s="178" t="s">
        <v>2433</v>
      </c>
      <c r="DZ26" s="178" t="s">
        <v>2433</v>
      </c>
      <c r="EA26" s="178" t="s">
        <v>2433</v>
      </c>
    </row>
    <row r="27" ht="37.5" spans="2:131">
      <c r="B27" s="176"/>
      <c r="C27" s="179"/>
      <c r="D27" s="176"/>
      <c r="E27" s="176"/>
      <c r="F27" s="178" t="s">
        <v>2445</v>
      </c>
      <c r="G27" s="178" t="s">
        <v>2445</v>
      </c>
      <c r="H27" s="178" t="s">
        <v>2445</v>
      </c>
      <c r="I27" s="178" t="s">
        <v>2445</v>
      </c>
      <c r="J27" s="178" t="s">
        <v>2445</v>
      </c>
      <c r="K27" s="178" t="s">
        <v>2445</v>
      </c>
      <c r="L27" s="178" t="s">
        <v>2445</v>
      </c>
      <c r="M27" s="178" t="s">
        <v>2446</v>
      </c>
      <c r="N27" s="178" t="s">
        <v>2446</v>
      </c>
      <c r="O27" s="178" t="s">
        <v>2446</v>
      </c>
      <c r="P27" s="178" t="s">
        <v>2446</v>
      </c>
      <c r="Q27" s="178" t="s">
        <v>2446</v>
      </c>
      <c r="R27" s="178" t="s">
        <v>2446</v>
      </c>
      <c r="S27" s="178" t="s">
        <v>2446</v>
      </c>
      <c r="T27" s="178" t="s">
        <v>2447</v>
      </c>
      <c r="U27" s="178" t="s">
        <v>2447</v>
      </c>
      <c r="V27" s="178" t="s">
        <v>2447</v>
      </c>
      <c r="W27" s="178" t="s">
        <v>2447</v>
      </c>
      <c r="X27" s="178" t="s">
        <v>2447</v>
      </c>
      <c r="Y27" s="178" t="s">
        <v>2447</v>
      </c>
      <c r="Z27" s="178" t="s">
        <v>2447</v>
      </c>
      <c r="AA27" s="178" t="s">
        <v>2445</v>
      </c>
      <c r="AB27" s="178" t="s">
        <v>2445</v>
      </c>
      <c r="AC27" s="178" t="s">
        <v>2445</v>
      </c>
      <c r="AD27" s="178" t="s">
        <v>2445</v>
      </c>
      <c r="AE27" s="178" t="s">
        <v>2445</v>
      </c>
      <c r="AF27" s="178" t="s">
        <v>2445</v>
      </c>
      <c r="AG27" s="178" t="s">
        <v>2445</v>
      </c>
      <c r="AH27" s="178" t="s">
        <v>2446</v>
      </c>
      <c r="AI27" s="178" t="s">
        <v>2446</v>
      </c>
      <c r="AJ27" s="178" t="s">
        <v>2446</v>
      </c>
      <c r="AK27" s="178" t="s">
        <v>2446</v>
      </c>
      <c r="AL27" s="178" t="s">
        <v>2446</v>
      </c>
      <c r="AM27" s="178" t="s">
        <v>2446</v>
      </c>
      <c r="AN27" s="178" t="s">
        <v>2446</v>
      </c>
      <c r="AO27" s="178" t="s">
        <v>2447</v>
      </c>
      <c r="AP27" s="178" t="s">
        <v>2447</v>
      </c>
      <c r="AQ27" s="178" t="s">
        <v>2447</v>
      </c>
      <c r="AR27" s="178" t="s">
        <v>2447</v>
      </c>
      <c r="AS27" s="178" t="s">
        <v>2447</v>
      </c>
      <c r="AT27" s="178" t="s">
        <v>2447</v>
      </c>
      <c r="AU27" s="178" t="s">
        <v>2447</v>
      </c>
      <c r="AV27" s="178" t="s">
        <v>2445</v>
      </c>
      <c r="AW27" s="178" t="s">
        <v>2445</v>
      </c>
      <c r="AX27" s="178" t="s">
        <v>2445</v>
      </c>
      <c r="AY27" s="178" t="s">
        <v>2445</v>
      </c>
      <c r="AZ27" s="178" t="s">
        <v>2445</v>
      </c>
      <c r="BA27" s="178" t="s">
        <v>2445</v>
      </c>
      <c r="BB27" s="178" t="s">
        <v>2445</v>
      </c>
      <c r="BC27" s="178" t="s">
        <v>2446</v>
      </c>
      <c r="BD27" s="178" t="s">
        <v>2446</v>
      </c>
      <c r="BE27" s="178" t="s">
        <v>2446</v>
      </c>
      <c r="BF27" s="178" t="s">
        <v>2446</v>
      </c>
      <c r="BG27" s="178" t="s">
        <v>2446</v>
      </c>
      <c r="BH27" s="178" t="s">
        <v>2446</v>
      </c>
      <c r="BI27" s="178" t="s">
        <v>2446</v>
      </c>
      <c r="BJ27" s="178" t="s">
        <v>2447</v>
      </c>
      <c r="BK27" s="178" t="s">
        <v>2447</v>
      </c>
      <c r="BL27" s="178" t="s">
        <v>2447</v>
      </c>
      <c r="BM27" s="178" t="s">
        <v>2447</v>
      </c>
      <c r="BN27" s="178" t="s">
        <v>2447</v>
      </c>
      <c r="BO27" s="178" t="s">
        <v>2447</v>
      </c>
      <c r="BP27" s="178" t="s">
        <v>2447</v>
      </c>
      <c r="BQ27" s="178" t="s">
        <v>2445</v>
      </c>
      <c r="BR27" s="178" t="s">
        <v>2445</v>
      </c>
      <c r="BS27" s="178" t="s">
        <v>2445</v>
      </c>
      <c r="BT27" s="178" t="s">
        <v>2445</v>
      </c>
      <c r="BU27" s="178" t="s">
        <v>2445</v>
      </c>
      <c r="BV27" s="178" t="s">
        <v>2445</v>
      </c>
      <c r="BW27" s="178" t="s">
        <v>2445</v>
      </c>
      <c r="BX27" s="178" t="s">
        <v>2446</v>
      </c>
      <c r="BY27" s="178" t="s">
        <v>2446</v>
      </c>
      <c r="BZ27" s="178" t="s">
        <v>2446</v>
      </c>
      <c r="CA27" s="178" t="s">
        <v>2446</v>
      </c>
      <c r="CB27" s="178" t="s">
        <v>2446</v>
      </c>
      <c r="CC27" s="178" t="s">
        <v>2446</v>
      </c>
      <c r="CD27" s="178" t="s">
        <v>2446</v>
      </c>
      <c r="CE27" s="178" t="s">
        <v>2447</v>
      </c>
      <c r="CF27" s="178" t="s">
        <v>2447</v>
      </c>
      <c r="CG27" s="178" t="s">
        <v>2447</v>
      </c>
      <c r="CH27" s="178" t="s">
        <v>2447</v>
      </c>
      <c r="CI27" s="178" t="s">
        <v>2447</v>
      </c>
      <c r="CJ27" s="178" t="s">
        <v>2447</v>
      </c>
      <c r="CK27" s="178" t="s">
        <v>2447</v>
      </c>
      <c r="CL27" s="178" t="s">
        <v>2445</v>
      </c>
      <c r="CM27" s="178" t="s">
        <v>2445</v>
      </c>
      <c r="CN27" s="178" t="s">
        <v>2445</v>
      </c>
      <c r="CO27" s="178" t="s">
        <v>2445</v>
      </c>
      <c r="CP27" s="178" t="s">
        <v>2445</v>
      </c>
      <c r="CQ27" s="178" t="s">
        <v>2445</v>
      </c>
      <c r="CR27" s="178" t="s">
        <v>2445</v>
      </c>
      <c r="CS27" s="178" t="s">
        <v>2446</v>
      </c>
      <c r="CT27" s="178" t="s">
        <v>2446</v>
      </c>
      <c r="CU27" s="178" t="s">
        <v>2446</v>
      </c>
      <c r="CV27" s="178" t="s">
        <v>2446</v>
      </c>
      <c r="CW27" s="178" t="s">
        <v>2446</v>
      </c>
      <c r="CX27" s="178" t="s">
        <v>2446</v>
      </c>
      <c r="CY27" s="178" t="s">
        <v>2446</v>
      </c>
      <c r="CZ27" s="178" t="s">
        <v>2447</v>
      </c>
      <c r="DA27" s="178" t="s">
        <v>2447</v>
      </c>
      <c r="DB27" s="178" t="s">
        <v>2447</v>
      </c>
      <c r="DC27" s="178" t="s">
        <v>2447</v>
      </c>
      <c r="DD27" s="178" t="s">
        <v>2447</v>
      </c>
      <c r="DE27" s="178" t="s">
        <v>2447</v>
      </c>
      <c r="DF27" s="178" t="s">
        <v>2447</v>
      </c>
      <c r="DG27" s="178" t="s">
        <v>2445</v>
      </c>
      <c r="DH27" s="178" t="s">
        <v>2445</v>
      </c>
      <c r="DI27" s="178" t="s">
        <v>2445</v>
      </c>
      <c r="DJ27" s="178" t="s">
        <v>2445</v>
      </c>
      <c r="DK27" s="178" t="s">
        <v>2445</v>
      </c>
      <c r="DL27" s="178" t="s">
        <v>2445</v>
      </c>
      <c r="DM27" s="178" t="s">
        <v>2445</v>
      </c>
      <c r="DN27" s="178" t="s">
        <v>2446</v>
      </c>
      <c r="DO27" s="178" t="s">
        <v>2446</v>
      </c>
      <c r="DP27" s="178" t="s">
        <v>2446</v>
      </c>
      <c r="DQ27" s="178" t="s">
        <v>2446</v>
      </c>
      <c r="DR27" s="178" t="s">
        <v>2446</v>
      </c>
      <c r="DS27" s="178" t="s">
        <v>2446</v>
      </c>
      <c r="DT27" s="178" t="s">
        <v>2446</v>
      </c>
      <c r="DU27" s="178" t="s">
        <v>2447</v>
      </c>
      <c r="DV27" s="178" t="s">
        <v>2447</v>
      </c>
      <c r="DW27" s="178" t="s">
        <v>2447</v>
      </c>
      <c r="DX27" s="178" t="s">
        <v>2447</v>
      </c>
      <c r="DY27" s="178" t="s">
        <v>2447</v>
      </c>
      <c r="DZ27" s="178" t="s">
        <v>2447</v>
      </c>
      <c r="EA27" s="178" t="s">
        <v>2447</v>
      </c>
    </row>
    <row r="28" ht="40.5" spans="2:131">
      <c r="B28" s="176"/>
      <c r="C28" s="180"/>
      <c r="D28" s="176"/>
      <c r="E28" s="176"/>
      <c r="F28" s="178" t="s">
        <v>2423</v>
      </c>
      <c r="G28" s="181" t="s">
        <v>2432</v>
      </c>
      <c r="H28" s="181" t="s">
        <v>2434</v>
      </c>
      <c r="I28" s="181" t="s">
        <v>2435</v>
      </c>
      <c r="J28" s="181" t="s">
        <v>2436</v>
      </c>
      <c r="K28" s="181" t="s">
        <v>2437</v>
      </c>
      <c r="L28" s="202" t="s">
        <v>2438</v>
      </c>
      <c r="M28" s="178" t="s">
        <v>2423</v>
      </c>
      <c r="N28" s="181" t="s">
        <v>2432</v>
      </c>
      <c r="O28" s="181" t="s">
        <v>2434</v>
      </c>
      <c r="P28" s="203" t="s">
        <v>2435</v>
      </c>
      <c r="Q28" s="203" t="s">
        <v>2436</v>
      </c>
      <c r="R28" s="203" t="s">
        <v>2437</v>
      </c>
      <c r="S28" s="202" t="s">
        <v>2438</v>
      </c>
      <c r="T28" s="207" t="s">
        <v>2423</v>
      </c>
      <c r="U28" s="203" t="s">
        <v>2432</v>
      </c>
      <c r="V28" s="203" t="s">
        <v>2434</v>
      </c>
      <c r="W28" s="203" t="s">
        <v>2435</v>
      </c>
      <c r="X28" s="203" t="s">
        <v>2436</v>
      </c>
      <c r="Y28" s="203" t="s">
        <v>2437</v>
      </c>
      <c r="Z28" s="202" t="s">
        <v>2438</v>
      </c>
      <c r="AA28" s="208" t="s">
        <v>2423</v>
      </c>
      <c r="AB28" s="203" t="s">
        <v>2432</v>
      </c>
      <c r="AC28" s="203" t="s">
        <v>2434</v>
      </c>
      <c r="AD28" s="203" t="s">
        <v>2435</v>
      </c>
      <c r="AE28" s="203" t="s">
        <v>2436</v>
      </c>
      <c r="AF28" s="203" t="s">
        <v>2437</v>
      </c>
      <c r="AG28" s="202" t="s">
        <v>2438</v>
      </c>
      <c r="AH28" s="208" t="s">
        <v>2423</v>
      </c>
      <c r="AI28" s="203" t="s">
        <v>2432</v>
      </c>
      <c r="AJ28" s="203" t="s">
        <v>2434</v>
      </c>
      <c r="AK28" s="203" t="s">
        <v>2435</v>
      </c>
      <c r="AL28" s="203" t="s">
        <v>2436</v>
      </c>
      <c r="AM28" s="203" t="s">
        <v>2437</v>
      </c>
      <c r="AN28" s="202" t="s">
        <v>2438</v>
      </c>
      <c r="AO28" s="208" t="s">
        <v>2423</v>
      </c>
      <c r="AP28" s="203" t="s">
        <v>2432</v>
      </c>
      <c r="AQ28" s="203" t="s">
        <v>2434</v>
      </c>
      <c r="AR28" s="203" t="s">
        <v>2435</v>
      </c>
      <c r="AS28" s="203" t="s">
        <v>2436</v>
      </c>
      <c r="AT28" s="203" t="s">
        <v>2437</v>
      </c>
      <c r="AU28" s="202" t="s">
        <v>2438</v>
      </c>
      <c r="AV28" s="207" t="s">
        <v>2423</v>
      </c>
      <c r="AW28" s="202" t="s">
        <v>2432</v>
      </c>
      <c r="AX28" s="202" t="s">
        <v>2434</v>
      </c>
      <c r="AY28" s="202" t="s">
        <v>2435</v>
      </c>
      <c r="AZ28" s="202" t="s">
        <v>2436</v>
      </c>
      <c r="BA28" s="202" t="s">
        <v>2437</v>
      </c>
      <c r="BB28" s="202" t="s">
        <v>2438</v>
      </c>
      <c r="BC28" s="207" t="s">
        <v>2423</v>
      </c>
      <c r="BD28" s="202" t="s">
        <v>2432</v>
      </c>
      <c r="BE28" s="202" t="s">
        <v>2434</v>
      </c>
      <c r="BF28" s="202" t="s">
        <v>2435</v>
      </c>
      <c r="BG28" s="210" t="s">
        <v>2436</v>
      </c>
      <c r="BH28" s="210" t="s">
        <v>2437</v>
      </c>
      <c r="BI28" s="210" t="s">
        <v>2438</v>
      </c>
      <c r="BJ28" s="178" t="s">
        <v>2423</v>
      </c>
      <c r="BK28" s="210" t="s">
        <v>2432</v>
      </c>
      <c r="BL28" s="210" t="s">
        <v>2434</v>
      </c>
      <c r="BM28" s="210" t="s">
        <v>2435</v>
      </c>
      <c r="BN28" s="210" t="s">
        <v>2436</v>
      </c>
      <c r="BO28" s="210" t="s">
        <v>2437</v>
      </c>
      <c r="BP28" s="210" t="s">
        <v>2438</v>
      </c>
      <c r="BQ28" s="178" t="s">
        <v>2423</v>
      </c>
      <c r="BR28" s="181" t="s">
        <v>2432</v>
      </c>
      <c r="BS28" s="181" t="s">
        <v>2434</v>
      </c>
      <c r="BT28" s="181" t="s">
        <v>2435</v>
      </c>
      <c r="BU28" s="181" t="s">
        <v>2436</v>
      </c>
      <c r="BV28" s="181" t="s">
        <v>2437</v>
      </c>
      <c r="BW28" s="202" t="s">
        <v>2438</v>
      </c>
      <c r="BX28" s="178" t="s">
        <v>2423</v>
      </c>
      <c r="BY28" s="181" t="s">
        <v>2432</v>
      </c>
      <c r="BZ28" s="181" t="s">
        <v>2434</v>
      </c>
      <c r="CA28" s="203" t="s">
        <v>2435</v>
      </c>
      <c r="CB28" s="203" t="s">
        <v>2436</v>
      </c>
      <c r="CC28" s="203" t="s">
        <v>2437</v>
      </c>
      <c r="CD28" s="202" t="s">
        <v>2438</v>
      </c>
      <c r="CE28" s="207" t="s">
        <v>2423</v>
      </c>
      <c r="CF28" s="203" t="s">
        <v>2432</v>
      </c>
      <c r="CG28" s="203" t="s">
        <v>2434</v>
      </c>
      <c r="CH28" s="203" t="s">
        <v>2435</v>
      </c>
      <c r="CI28" s="203" t="s">
        <v>2436</v>
      </c>
      <c r="CJ28" s="203" t="s">
        <v>2437</v>
      </c>
      <c r="CK28" s="202" t="s">
        <v>2438</v>
      </c>
      <c r="CL28" s="208" t="s">
        <v>2423</v>
      </c>
      <c r="CM28" s="203" t="s">
        <v>2432</v>
      </c>
      <c r="CN28" s="203" t="s">
        <v>2434</v>
      </c>
      <c r="CO28" s="203" t="s">
        <v>2435</v>
      </c>
      <c r="CP28" s="203" t="s">
        <v>2436</v>
      </c>
      <c r="CQ28" s="203" t="s">
        <v>2437</v>
      </c>
      <c r="CR28" s="202" t="s">
        <v>2438</v>
      </c>
      <c r="CS28" s="208" t="s">
        <v>2423</v>
      </c>
      <c r="CT28" s="203" t="s">
        <v>2432</v>
      </c>
      <c r="CU28" s="203" t="s">
        <v>2434</v>
      </c>
      <c r="CV28" s="203" t="s">
        <v>2435</v>
      </c>
      <c r="CW28" s="203" t="s">
        <v>2436</v>
      </c>
      <c r="CX28" s="203" t="s">
        <v>2437</v>
      </c>
      <c r="CY28" s="202" t="s">
        <v>2438</v>
      </c>
      <c r="CZ28" s="208" t="s">
        <v>2423</v>
      </c>
      <c r="DA28" s="203" t="s">
        <v>2432</v>
      </c>
      <c r="DB28" s="203" t="s">
        <v>2434</v>
      </c>
      <c r="DC28" s="203" t="s">
        <v>2435</v>
      </c>
      <c r="DD28" s="203" t="s">
        <v>2436</v>
      </c>
      <c r="DE28" s="203" t="s">
        <v>2437</v>
      </c>
      <c r="DF28" s="202" t="s">
        <v>2438</v>
      </c>
      <c r="DG28" s="207" t="s">
        <v>2423</v>
      </c>
      <c r="DH28" s="202" t="s">
        <v>2432</v>
      </c>
      <c r="DI28" s="202" t="s">
        <v>2434</v>
      </c>
      <c r="DJ28" s="202" t="s">
        <v>2435</v>
      </c>
      <c r="DK28" s="202" t="s">
        <v>2436</v>
      </c>
      <c r="DL28" s="202" t="s">
        <v>2437</v>
      </c>
      <c r="DM28" s="202" t="s">
        <v>2438</v>
      </c>
      <c r="DN28" s="207" t="s">
        <v>2423</v>
      </c>
      <c r="DO28" s="202" t="s">
        <v>2432</v>
      </c>
      <c r="DP28" s="202" t="s">
        <v>2434</v>
      </c>
      <c r="DQ28" s="202" t="s">
        <v>2435</v>
      </c>
      <c r="DR28" s="210" t="s">
        <v>2436</v>
      </c>
      <c r="DS28" s="210" t="s">
        <v>2437</v>
      </c>
      <c r="DT28" s="210" t="s">
        <v>2438</v>
      </c>
      <c r="DU28" s="178" t="s">
        <v>2423</v>
      </c>
      <c r="DV28" s="210" t="s">
        <v>2432</v>
      </c>
      <c r="DW28" s="210" t="s">
        <v>2434</v>
      </c>
      <c r="DX28" s="210" t="s">
        <v>2435</v>
      </c>
      <c r="DY28" s="210" t="s">
        <v>2436</v>
      </c>
      <c r="DZ28" s="210" t="s">
        <v>2437</v>
      </c>
      <c r="EA28" s="210" t="s">
        <v>2438</v>
      </c>
    </row>
    <row r="29" ht="20.25" spans="2:131">
      <c r="B29" s="177"/>
      <c r="C29" s="179"/>
      <c r="D29" s="176"/>
      <c r="E29" s="176"/>
      <c r="F29" s="178" t="s">
        <v>2448</v>
      </c>
      <c r="G29" s="178" t="s">
        <v>2448</v>
      </c>
      <c r="H29" s="178" t="s">
        <v>2448</v>
      </c>
      <c r="I29" s="178" t="s">
        <v>2448</v>
      </c>
      <c r="J29" s="178" t="s">
        <v>2448</v>
      </c>
      <c r="K29" s="178" t="s">
        <v>2448</v>
      </c>
      <c r="L29" s="178" t="s">
        <v>2448</v>
      </c>
      <c r="M29" s="178" t="s">
        <v>2448</v>
      </c>
      <c r="N29" s="178" t="s">
        <v>2448</v>
      </c>
      <c r="O29" s="178" t="s">
        <v>2448</v>
      </c>
      <c r="P29" s="178" t="s">
        <v>2448</v>
      </c>
      <c r="Q29" s="178" t="s">
        <v>2448</v>
      </c>
      <c r="R29" s="178" t="s">
        <v>2448</v>
      </c>
      <c r="S29" s="178" t="s">
        <v>2448</v>
      </c>
      <c r="T29" s="178" t="s">
        <v>2448</v>
      </c>
      <c r="U29" s="178" t="s">
        <v>2448</v>
      </c>
      <c r="V29" s="178" t="s">
        <v>2448</v>
      </c>
      <c r="W29" s="178" t="s">
        <v>2448</v>
      </c>
      <c r="X29" s="178" t="s">
        <v>2448</v>
      </c>
      <c r="Y29" s="178" t="s">
        <v>2448</v>
      </c>
      <c r="Z29" s="178" t="s">
        <v>2448</v>
      </c>
      <c r="AA29" s="178" t="s">
        <v>2448</v>
      </c>
      <c r="AB29" s="178" t="s">
        <v>2448</v>
      </c>
      <c r="AC29" s="178" t="s">
        <v>2448</v>
      </c>
      <c r="AD29" s="178" t="s">
        <v>2448</v>
      </c>
      <c r="AE29" s="178" t="s">
        <v>2448</v>
      </c>
      <c r="AF29" s="178" t="s">
        <v>2448</v>
      </c>
      <c r="AG29" s="178" t="s">
        <v>2448</v>
      </c>
      <c r="AH29" s="178" t="s">
        <v>2448</v>
      </c>
      <c r="AI29" s="178" t="s">
        <v>2448</v>
      </c>
      <c r="AJ29" s="178" t="s">
        <v>2448</v>
      </c>
      <c r="AK29" s="178" t="s">
        <v>2448</v>
      </c>
      <c r="AL29" s="178" t="s">
        <v>2448</v>
      </c>
      <c r="AM29" s="178" t="s">
        <v>2448</v>
      </c>
      <c r="AN29" s="178" t="s">
        <v>2448</v>
      </c>
      <c r="AO29" s="178" t="s">
        <v>2448</v>
      </c>
      <c r="AP29" s="178" t="s">
        <v>2448</v>
      </c>
      <c r="AQ29" s="178" t="s">
        <v>2448</v>
      </c>
      <c r="AR29" s="178" t="s">
        <v>2448</v>
      </c>
      <c r="AS29" s="178" t="s">
        <v>2448</v>
      </c>
      <c r="AT29" s="178" t="s">
        <v>2448</v>
      </c>
      <c r="AU29" s="178" t="s">
        <v>2448</v>
      </c>
      <c r="AV29" s="178" t="s">
        <v>2448</v>
      </c>
      <c r="AW29" s="178" t="s">
        <v>2448</v>
      </c>
      <c r="AX29" s="178" t="s">
        <v>2448</v>
      </c>
      <c r="AY29" s="178" t="s">
        <v>2448</v>
      </c>
      <c r="AZ29" s="178" t="s">
        <v>2448</v>
      </c>
      <c r="BA29" s="178" t="s">
        <v>2448</v>
      </c>
      <c r="BB29" s="178" t="s">
        <v>2448</v>
      </c>
      <c r="BC29" s="178" t="s">
        <v>2448</v>
      </c>
      <c r="BD29" s="178" t="s">
        <v>2448</v>
      </c>
      <c r="BE29" s="178" t="s">
        <v>2448</v>
      </c>
      <c r="BF29" s="178" t="s">
        <v>2448</v>
      </c>
      <c r="BG29" s="178" t="s">
        <v>2448</v>
      </c>
      <c r="BH29" s="178" t="s">
        <v>2448</v>
      </c>
      <c r="BI29" s="178" t="s">
        <v>2448</v>
      </c>
      <c r="BJ29" s="178" t="s">
        <v>2448</v>
      </c>
      <c r="BK29" s="178" t="s">
        <v>2448</v>
      </c>
      <c r="BL29" s="178" t="s">
        <v>2448</v>
      </c>
      <c r="BM29" s="178" t="s">
        <v>2448</v>
      </c>
      <c r="BN29" s="178" t="s">
        <v>2448</v>
      </c>
      <c r="BO29" s="178" t="s">
        <v>2448</v>
      </c>
      <c r="BP29" s="178" t="s">
        <v>2448</v>
      </c>
      <c r="BQ29" s="178" t="s">
        <v>2412</v>
      </c>
      <c r="BR29" s="178" t="s">
        <v>2412</v>
      </c>
      <c r="BS29" s="178" t="s">
        <v>2412</v>
      </c>
      <c r="BT29" s="178" t="s">
        <v>2412</v>
      </c>
      <c r="BU29" s="178" t="s">
        <v>2412</v>
      </c>
      <c r="BV29" s="178" t="s">
        <v>2412</v>
      </c>
      <c r="BW29" s="178" t="s">
        <v>2412</v>
      </c>
      <c r="BX29" s="178" t="s">
        <v>2412</v>
      </c>
      <c r="BY29" s="178" t="s">
        <v>2412</v>
      </c>
      <c r="BZ29" s="178" t="s">
        <v>2412</v>
      </c>
      <c r="CA29" s="178" t="s">
        <v>2412</v>
      </c>
      <c r="CB29" s="178" t="s">
        <v>2412</v>
      </c>
      <c r="CC29" s="178" t="s">
        <v>2412</v>
      </c>
      <c r="CD29" s="178" t="s">
        <v>2412</v>
      </c>
      <c r="CE29" s="178" t="s">
        <v>2412</v>
      </c>
      <c r="CF29" s="178" t="s">
        <v>2412</v>
      </c>
      <c r="CG29" s="178" t="s">
        <v>2412</v>
      </c>
      <c r="CH29" s="178" t="s">
        <v>2412</v>
      </c>
      <c r="CI29" s="178" t="s">
        <v>2412</v>
      </c>
      <c r="CJ29" s="178" t="s">
        <v>2412</v>
      </c>
      <c r="CK29" s="178" t="s">
        <v>2412</v>
      </c>
      <c r="CL29" s="178" t="s">
        <v>2412</v>
      </c>
      <c r="CM29" s="178" t="s">
        <v>2412</v>
      </c>
      <c r="CN29" s="178" t="s">
        <v>2412</v>
      </c>
      <c r="CO29" s="178" t="s">
        <v>2412</v>
      </c>
      <c r="CP29" s="178" t="s">
        <v>2412</v>
      </c>
      <c r="CQ29" s="178" t="s">
        <v>2412</v>
      </c>
      <c r="CR29" s="178" t="s">
        <v>2412</v>
      </c>
      <c r="CS29" s="178" t="s">
        <v>2412</v>
      </c>
      <c r="CT29" s="178" t="s">
        <v>2412</v>
      </c>
      <c r="CU29" s="178" t="s">
        <v>2412</v>
      </c>
      <c r="CV29" s="178" t="s">
        <v>2412</v>
      </c>
      <c r="CW29" s="178" t="s">
        <v>2412</v>
      </c>
      <c r="CX29" s="178" t="s">
        <v>2412</v>
      </c>
      <c r="CY29" s="178" t="s">
        <v>2412</v>
      </c>
      <c r="CZ29" s="178" t="s">
        <v>2412</v>
      </c>
      <c r="DA29" s="178" t="s">
        <v>2412</v>
      </c>
      <c r="DB29" s="178" t="s">
        <v>2412</v>
      </c>
      <c r="DC29" s="178" t="s">
        <v>2412</v>
      </c>
      <c r="DD29" s="178" t="s">
        <v>2412</v>
      </c>
      <c r="DE29" s="178" t="s">
        <v>2412</v>
      </c>
      <c r="DF29" s="178" t="s">
        <v>2412</v>
      </c>
      <c r="DG29" s="178" t="s">
        <v>2412</v>
      </c>
      <c r="DH29" s="178" t="s">
        <v>2412</v>
      </c>
      <c r="DI29" s="178" t="s">
        <v>2412</v>
      </c>
      <c r="DJ29" s="178" t="s">
        <v>2412</v>
      </c>
      <c r="DK29" s="178" t="s">
        <v>2412</v>
      </c>
      <c r="DL29" s="178" t="s">
        <v>2412</v>
      </c>
      <c r="DM29" s="178" t="s">
        <v>2412</v>
      </c>
      <c r="DN29" s="178" t="s">
        <v>2412</v>
      </c>
      <c r="DO29" s="178" t="s">
        <v>2412</v>
      </c>
      <c r="DP29" s="178" t="s">
        <v>2412</v>
      </c>
      <c r="DQ29" s="178" t="s">
        <v>2412</v>
      </c>
      <c r="DR29" s="178" t="s">
        <v>2412</v>
      </c>
      <c r="DS29" s="178" t="s">
        <v>2412</v>
      </c>
      <c r="DT29" s="178" t="s">
        <v>2412</v>
      </c>
      <c r="DU29" s="178" t="s">
        <v>2412</v>
      </c>
      <c r="DV29" s="178" t="s">
        <v>2412</v>
      </c>
      <c r="DW29" s="178" t="s">
        <v>2412</v>
      </c>
      <c r="DX29" s="178" t="s">
        <v>2412</v>
      </c>
      <c r="DY29" s="178" t="s">
        <v>2412</v>
      </c>
      <c r="DZ29" s="178" t="s">
        <v>2412</v>
      </c>
      <c r="EA29" s="178" t="s">
        <v>2412</v>
      </c>
    </row>
    <row r="30" ht="24" spans="2:131">
      <c r="B30" s="182" t="s">
        <v>2448</v>
      </c>
      <c r="C30" s="183" t="s">
        <v>2449</v>
      </c>
      <c r="D30" s="184" t="s">
        <v>2450</v>
      </c>
      <c r="E30" s="184" t="s">
        <v>1148</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2448</v>
      </c>
      <c r="C31" s="186" t="s">
        <v>2449</v>
      </c>
      <c r="D31" s="184" t="s">
        <v>2451</v>
      </c>
      <c r="E31" s="184" t="s">
        <v>1153</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2448</v>
      </c>
      <c r="C32" s="186" t="s">
        <v>2449</v>
      </c>
      <c r="D32" s="184" t="s">
        <v>2452</v>
      </c>
      <c r="E32" s="184" t="s">
        <v>1155</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2448</v>
      </c>
      <c r="C33" s="186" t="s">
        <v>2449</v>
      </c>
      <c r="D33" s="187" t="s">
        <v>2453</v>
      </c>
      <c r="E33" s="187" t="s">
        <v>1157</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2448</v>
      </c>
      <c r="C34" s="186" t="s">
        <v>2449</v>
      </c>
      <c r="D34" s="184" t="s">
        <v>2454</v>
      </c>
      <c r="E34" s="184" t="s">
        <v>1159</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2448</v>
      </c>
      <c r="C35" s="188" t="s">
        <v>2455</v>
      </c>
      <c r="D35" s="184" t="s">
        <v>2456</v>
      </c>
      <c r="E35" s="184" t="s">
        <v>1161</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2448</v>
      </c>
      <c r="C36" s="188" t="s">
        <v>2455</v>
      </c>
      <c r="D36" s="184" t="s">
        <v>2454</v>
      </c>
      <c r="E36" s="184" t="s">
        <v>1163</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2448</v>
      </c>
      <c r="C37" s="188" t="s">
        <v>2455</v>
      </c>
      <c r="D37" s="184" t="s">
        <v>2457</v>
      </c>
      <c r="E37" s="184" t="s">
        <v>1165</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2448</v>
      </c>
      <c r="C38" s="188" t="s">
        <v>2458</v>
      </c>
      <c r="D38" s="184" t="s">
        <v>2456</v>
      </c>
      <c r="E38" s="184" t="s">
        <v>1167</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2448</v>
      </c>
      <c r="C39" s="188" t="s">
        <v>2458</v>
      </c>
      <c r="D39" s="184" t="s">
        <v>2454</v>
      </c>
      <c r="E39" s="184" t="s">
        <v>1169</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2448</v>
      </c>
      <c r="C40" s="188" t="s">
        <v>2458</v>
      </c>
      <c r="D40" s="184" t="s">
        <v>2457</v>
      </c>
      <c r="E40" s="184" t="s">
        <v>1171</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2459</v>
      </c>
      <c r="C41" s="190" t="s">
        <v>2460</v>
      </c>
      <c r="D41" s="191" t="s">
        <v>2460</v>
      </c>
      <c r="E41" s="191" t="s">
        <v>1173</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2459</v>
      </c>
      <c r="C42" s="194" t="s">
        <v>2461</v>
      </c>
      <c r="D42" s="195" t="s">
        <v>2461</v>
      </c>
      <c r="E42" s="195" t="s">
        <v>1175</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2462</v>
      </c>
      <c r="C45" s="196"/>
      <c r="D45" s="196"/>
      <c r="E45" s="196"/>
    </row>
    <row r="46" ht="17.25" spans="2:3">
      <c r="B46" s="197" t="s">
        <v>2393</v>
      </c>
      <c r="C46" s="197" t="s">
        <v>2463</v>
      </c>
    </row>
    <row r="47" ht="17.25" spans="2:3">
      <c r="B47" s="198" t="s">
        <v>2464</v>
      </c>
      <c r="C47" s="198" t="s">
        <v>2445</v>
      </c>
    </row>
    <row r="48" ht="17.25" spans="2:3">
      <c r="B48" s="198" t="s">
        <v>2465</v>
      </c>
      <c r="C48" s="198" t="s">
        <v>2445</v>
      </c>
    </row>
    <row r="49" ht="17.25" spans="2:3">
      <c r="B49" s="198" t="s">
        <v>2394</v>
      </c>
      <c r="C49" s="198" t="s">
        <v>2445</v>
      </c>
    </row>
    <row r="50" ht="17.25" spans="2:3">
      <c r="B50" s="198" t="s">
        <v>2466</v>
      </c>
      <c r="C50" s="198" t="s">
        <v>2445</v>
      </c>
    </row>
    <row r="51" ht="17.25" spans="2:3">
      <c r="B51" s="199" t="s">
        <v>2467</v>
      </c>
      <c r="C51" s="199" t="s">
        <v>2446</v>
      </c>
    </row>
    <row r="52" ht="17.25" spans="2:3">
      <c r="B52" s="200" t="s">
        <v>2468</v>
      </c>
      <c r="C52" s="199" t="s">
        <v>2446</v>
      </c>
    </row>
    <row r="53" ht="17.25" spans="2:3">
      <c r="B53" s="199" t="s">
        <v>2469</v>
      </c>
      <c r="C53" s="199" t="s">
        <v>2446</v>
      </c>
    </row>
    <row r="54" ht="17.25" spans="2:3">
      <c r="B54" s="199" t="s">
        <v>2470</v>
      </c>
      <c r="C54" s="199" t="s">
        <v>2446</v>
      </c>
    </row>
    <row r="55" ht="17.25" spans="2:3">
      <c r="B55" s="199" t="s">
        <v>2471</v>
      </c>
      <c r="C55" s="199" t="s">
        <v>2446</v>
      </c>
    </row>
    <row r="56" ht="17.25" spans="2:3">
      <c r="B56" s="199" t="s">
        <v>2472</v>
      </c>
      <c r="C56" s="199" t="s">
        <v>2446</v>
      </c>
    </row>
    <row r="57" ht="17.25" spans="2:3">
      <c r="B57" s="200" t="s">
        <v>2473</v>
      </c>
      <c r="C57" s="199" t="s">
        <v>2446</v>
      </c>
    </row>
    <row r="58" ht="17.25" spans="2:3">
      <c r="B58" s="199" t="s">
        <v>2474</v>
      </c>
      <c r="C58" s="199" t="s">
        <v>2446</v>
      </c>
    </row>
    <row r="59" ht="17.25" spans="2:3">
      <c r="B59" s="199" t="s">
        <v>2475</v>
      </c>
      <c r="C59" s="199" t="s">
        <v>2446</v>
      </c>
    </row>
    <row r="60" ht="17.25" spans="2:3">
      <c r="B60" s="199" t="s">
        <v>2476</v>
      </c>
      <c r="C60" s="199" t="s">
        <v>2446</v>
      </c>
    </row>
    <row r="61" ht="17.25" spans="2:3">
      <c r="B61" s="199" t="s">
        <v>2477</v>
      </c>
      <c r="C61" s="199" t="s">
        <v>2446</v>
      </c>
    </row>
    <row r="62" ht="17.25" spans="2:3">
      <c r="B62" s="201" t="s">
        <v>2478</v>
      </c>
      <c r="C62" s="201" t="s">
        <v>2447</v>
      </c>
    </row>
    <row r="63" ht="17.25" spans="2:3">
      <c r="B63" s="199" t="s">
        <v>2479</v>
      </c>
      <c r="C63" s="199" t="s">
        <v>2446</v>
      </c>
    </row>
    <row r="64" ht="17.25" spans="2:3">
      <c r="B64" s="199" t="s">
        <v>2480</v>
      </c>
      <c r="C64" s="199" t="s">
        <v>2446</v>
      </c>
    </row>
    <row r="65" ht="17.25" spans="2:3">
      <c r="B65" s="199" t="s">
        <v>2481</v>
      </c>
      <c r="C65" s="199" t="s">
        <v>2446</v>
      </c>
    </row>
    <row r="66" ht="17.25" spans="2:3">
      <c r="B66" s="200" t="s">
        <v>2482</v>
      </c>
      <c r="C66" s="199" t="s">
        <v>2446</v>
      </c>
    </row>
    <row r="67" ht="17.25" spans="2:3">
      <c r="B67" s="199" t="s">
        <v>2483</v>
      </c>
      <c r="C67" s="199" t="s">
        <v>2446</v>
      </c>
    </row>
    <row r="68" ht="17.25" spans="2:3">
      <c r="B68" s="201" t="s">
        <v>2484</v>
      </c>
      <c r="C68" s="201" t="s">
        <v>2447</v>
      </c>
    </row>
    <row r="69" ht="17.25" spans="2:3">
      <c r="B69" s="199" t="s">
        <v>2485</v>
      </c>
      <c r="C69" s="199" t="s">
        <v>2446</v>
      </c>
    </row>
    <row r="70" ht="17.25" spans="2:3">
      <c r="B70" s="199" t="s">
        <v>2486</v>
      </c>
      <c r="C70" s="199" t="s">
        <v>2446</v>
      </c>
    </row>
    <row r="71" ht="17.25" spans="2:3">
      <c r="B71" s="199" t="s">
        <v>2487</v>
      </c>
      <c r="C71" s="199" t="s">
        <v>2446</v>
      </c>
    </row>
    <row r="72" ht="17.25" spans="2:3">
      <c r="B72" s="201" t="s">
        <v>2488</v>
      </c>
      <c r="C72" s="201" t="s">
        <v>2447</v>
      </c>
    </row>
    <row r="73" ht="17.25" spans="2:3">
      <c r="B73" s="201" t="s">
        <v>2489</v>
      </c>
      <c r="C73" s="201" t="s">
        <v>2447</v>
      </c>
    </row>
    <row r="74" ht="17.25" spans="2:3">
      <c r="B74" s="199" t="s">
        <v>2490</v>
      </c>
      <c r="C74" s="199" t="s">
        <v>2446</v>
      </c>
    </row>
    <row r="75" ht="17.25" spans="2:3">
      <c r="B75" s="199" t="s">
        <v>2491</v>
      </c>
      <c r="C75" s="199" t="s">
        <v>2446</v>
      </c>
    </row>
    <row r="76" ht="17.25" spans="2:3">
      <c r="B76" s="201" t="s">
        <v>2492</v>
      </c>
      <c r="C76" s="201" t="s">
        <v>2447</v>
      </c>
    </row>
    <row r="77" ht="17.25" spans="2:3">
      <c r="B77" s="199" t="s">
        <v>2493</v>
      </c>
      <c r="C77" s="199" t="s">
        <v>2446</v>
      </c>
    </row>
    <row r="78" ht="17.25" spans="2:3">
      <c r="B78" s="199" t="s">
        <v>2494</v>
      </c>
      <c r="C78" s="199" t="s">
        <v>2446</v>
      </c>
    </row>
    <row r="79" ht="17.25" spans="2:3">
      <c r="B79" s="201" t="s">
        <v>2495</v>
      </c>
      <c r="C79" s="201" t="s">
        <v>2447</v>
      </c>
    </row>
    <row r="80" ht="17.25" spans="2:3">
      <c r="B80" s="199" t="s">
        <v>2496</v>
      </c>
      <c r="C80" s="199" t="s">
        <v>2446</v>
      </c>
    </row>
    <row r="81" ht="17.25" spans="2:3">
      <c r="B81" s="199" t="s">
        <v>2497</v>
      </c>
      <c r="C81" s="199" t="s">
        <v>2446</v>
      </c>
    </row>
    <row r="82" ht="17.25" spans="2:3">
      <c r="B82" s="201" t="s">
        <v>2498</v>
      </c>
      <c r="C82" s="201" t="s">
        <v>2447</v>
      </c>
    </row>
    <row r="83" ht="17.25" spans="2:3">
      <c r="B83" s="201" t="s">
        <v>2499</v>
      </c>
      <c r="C83" s="201" t="s">
        <v>2447</v>
      </c>
    </row>
    <row r="84" ht="17.25" spans="2:3">
      <c r="B84" s="199" t="s">
        <v>2500</v>
      </c>
      <c r="C84" s="199" t="s">
        <v>2446</v>
      </c>
    </row>
    <row r="85" ht="17.25" spans="2:3">
      <c r="B85" s="201" t="s">
        <v>2501</v>
      </c>
      <c r="C85" s="201" t="s">
        <v>2447</v>
      </c>
    </row>
    <row r="86" ht="17.25" spans="2:3">
      <c r="B86" s="201" t="s">
        <v>2502</v>
      </c>
      <c r="C86" s="201" t="s">
        <v>2447</v>
      </c>
    </row>
    <row r="87" ht="17.25" spans="2:3">
      <c r="B87" s="199" t="s">
        <v>2503</v>
      </c>
      <c r="C87" s="199" t="s">
        <v>2446</v>
      </c>
    </row>
    <row r="88" ht="17.25" spans="2:3">
      <c r="B88" s="201" t="s">
        <v>2504</v>
      </c>
      <c r="C88" s="201" t="s">
        <v>2447</v>
      </c>
    </row>
    <row r="89" ht="17.25" spans="2:3">
      <c r="B89" s="201" t="s">
        <v>2505</v>
      </c>
      <c r="C89" s="201" t="s">
        <v>2447</v>
      </c>
    </row>
    <row r="90" ht="17.25" spans="2:3">
      <c r="B90" s="201" t="s">
        <v>2506</v>
      </c>
      <c r="C90" s="201" t="s">
        <v>2447</v>
      </c>
    </row>
    <row r="91" ht="17.25" spans="2:3">
      <c r="B91" s="201" t="s">
        <v>2507</v>
      </c>
      <c r="C91" s="201" t="s">
        <v>2447</v>
      </c>
    </row>
    <row r="92" ht="17.25" spans="2:3">
      <c r="B92" s="201" t="s">
        <v>2508</v>
      </c>
      <c r="C92" s="201" t="s">
        <v>2447</v>
      </c>
    </row>
    <row r="93" ht="17.25" spans="2:3">
      <c r="B93" s="199" t="s">
        <v>2509</v>
      </c>
      <c r="C93" s="199" t="s">
        <v>2446</v>
      </c>
    </row>
    <row r="94" ht="17.25" spans="2:3">
      <c r="B94" s="201" t="s">
        <v>2510</v>
      </c>
      <c r="C94" s="201" t="s">
        <v>2447</v>
      </c>
    </row>
    <row r="95" ht="17.25" spans="2:3">
      <c r="B95" s="201" t="s">
        <v>2511</v>
      </c>
      <c r="C95" s="201" t="s">
        <v>2447</v>
      </c>
    </row>
    <row r="96" ht="17.25" spans="2:3">
      <c r="B96" s="201" t="s">
        <v>2512</v>
      </c>
      <c r="C96" s="201" t="s">
        <v>2447</v>
      </c>
    </row>
    <row r="97" ht="17.25" spans="2:3">
      <c r="B97" s="201" t="s">
        <v>2513</v>
      </c>
      <c r="C97" s="201" t="s">
        <v>2447</v>
      </c>
    </row>
    <row r="98" ht="17.25" spans="2:3">
      <c r="B98" s="201" t="s">
        <v>2514</v>
      </c>
      <c r="C98" s="201" t="s">
        <v>2447</v>
      </c>
    </row>
    <row r="99" ht="17.25" spans="2:3">
      <c r="B99" s="199" t="s">
        <v>2515</v>
      </c>
      <c r="C99" s="199" t="s">
        <v>2446</v>
      </c>
    </row>
    <row r="100" ht="17.25" spans="2:3">
      <c r="B100" s="201" t="s">
        <v>2516</v>
      </c>
      <c r="C100" s="201" t="s">
        <v>2447</v>
      </c>
    </row>
    <row r="101" ht="17.25" spans="2:3">
      <c r="B101" s="201" t="s">
        <v>2517</v>
      </c>
      <c r="C101" s="201" t="s">
        <v>2447</v>
      </c>
    </row>
    <row r="102" ht="17.25" spans="2:3">
      <c r="B102" s="201" t="s">
        <v>2518</v>
      </c>
      <c r="C102" s="201" t="s">
        <v>2447</v>
      </c>
    </row>
    <row r="103" ht="17.25" spans="2:3">
      <c r="B103" s="201" t="s">
        <v>2519</v>
      </c>
      <c r="C103" s="201" t="s">
        <v>2447</v>
      </c>
    </row>
    <row r="104" ht="17.25" spans="2:3">
      <c r="B104" s="199" t="s">
        <v>2520</v>
      </c>
      <c r="C104" s="199" t="s">
        <v>2446</v>
      </c>
    </row>
    <row r="105" ht="17.25" spans="2:3">
      <c r="B105" s="201" t="s">
        <v>2521</v>
      </c>
      <c r="C105" s="201" t="s">
        <v>2447</v>
      </c>
    </row>
    <row r="106" ht="17.25" spans="2:3">
      <c r="B106" s="201" t="s">
        <v>2522</v>
      </c>
      <c r="C106" s="201" t="s">
        <v>2447</v>
      </c>
    </row>
    <row r="107" ht="17.25" spans="2:3">
      <c r="B107" s="199" t="s">
        <v>2523</v>
      </c>
      <c r="C107" s="199" t="s">
        <v>2446</v>
      </c>
    </row>
    <row r="108" ht="17.25" spans="2:3">
      <c r="B108" s="201" t="s">
        <v>2524</v>
      </c>
      <c r="C108" s="201" t="s">
        <v>2447</v>
      </c>
    </row>
    <row r="109" ht="17.25" spans="2:3">
      <c r="B109" s="201" t="s">
        <v>2525</v>
      </c>
      <c r="C109" s="201" t="s">
        <v>2447</v>
      </c>
    </row>
    <row r="110" ht="17.25" spans="2:3">
      <c r="B110" s="201" t="s">
        <v>2526</v>
      </c>
      <c r="C110" s="201" t="s">
        <v>2447</v>
      </c>
    </row>
    <row r="111" ht="17.25" spans="2:3">
      <c r="B111" s="201" t="s">
        <v>2527</v>
      </c>
      <c r="C111" s="201" t="s">
        <v>2447</v>
      </c>
    </row>
    <row r="112" ht="17.25" spans="2:3">
      <c r="B112" s="201" t="s">
        <v>2528</v>
      </c>
      <c r="C112" s="201" t="s">
        <v>2447</v>
      </c>
    </row>
    <row r="113" ht="17.25" spans="2:3">
      <c r="B113" s="199" t="s">
        <v>2486</v>
      </c>
      <c r="C113" s="199" t="s">
        <v>2446</v>
      </c>
    </row>
    <row r="114" ht="17.25" spans="2:3">
      <c r="B114" s="201" t="s">
        <v>2529</v>
      </c>
      <c r="C114" s="201" t="s">
        <v>2447</v>
      </c>
    </row>
    <row r="115" ht="17.25" spans="2:3">
      <c r="B115" s="201" t="s">
        <v>2530</v>
      </c>
      <c r="C115" s="201" t="s">
        <v>2447</v>
      </c>
    </row>
    <row r="116" ht="17.25" spans="2:3">
      <c r="B116" s="201" t="s">
        <v>2531</v>
      </c>
      <c r="C116" s="201" t="s">
        <v>2447</v>
      </c>
    </row>
    <row r="117" ht="17.25" spans="2:3">
      <c r="B117" s="201" t="s">
        <v>2532</v>
      </c>
      <c r="C117" s="201" t="s">
        <v>2447</v>
      </c>
    </row>
    <row r="118" ht="17.25" spans="2:3">
      <c r="B118" s="201" t="s">
        <v>2533</v>
      </c>
      <c r="C118" s="201" t="s">
        <v>2447</v>
      </c>
    </row>
    <row r="119" ht="17.25" spans="2:3">
      <c r="B119" s="201" t="s">
        <v>2534</v>
      </c>
      <c r="C119" s="201" t="s">
        <v>2447</v>
      </c>
    </row>
    <row r="120" ht="17.25" spans="2:3">
      <c r="B120" s="201" t="s">
        <v>2535</v>
      </c>
      <c r="C120" s="201" t="s">
        <v>2447</v>
      </c>
    </row>
    <row r="121" ht="17.25" spans="2:3">
      <c r="B121" s="201" t="s">
        <v>2536</v>
      </c>
      <c r="C121" s="201" t="s">
        <v>2447</v>
      </c>
    </row>
    <row r="122" ht="17.25" spans="2:3">
      <c r="B122" s="201" t="s">
        <v>2537</v>
      </c>
      <c r="C122" s="201" t="s">
        <v>2447</v>
      </c>
    </row>
    <row r="123" ht="17.25" spans="2:3">
      <c r="B123" s="201" t="s">
        <v>2538</v>
      </c>
      <c r="C123" s="201" t="s">
        <v>2447</v>
      </c>
    </row>
    <row r="124" ht="17.25" spans="2:3">
      <c r="B124" s="201" t="s">
        <v>2539</v>
      </c>
      <c r="C124" s="201" t="s">
        <v>2447</v>
      </c>
    </row>
    <row r="125" ht="17.25" spans="2:3">
      <c r="B125" s="201" t="s">
        <v>2540</v>
      </c>
      <c r="C125" s="201" t="s">
        <v>2447</v>
      </c>
    </row>
    <row r="126" ht="17.25" spans="2:3">
      <c r="B126" s="201" t="s">
        <v>2541</v>
      </c>
      <c r="C126" s="201" t="s">
        <v>2447</v>
      </c>
    </row>
    <row r="127" ht="17.25" spans="2:3">
      <c r="B127" s="201" t="s">
        <v>2542</v>
      </c>
      <c r="C127" s="201" t="s">
        <v>2447</v>
      </c>
    </row>
    <row r="128" ht="17.25" spans="2:3">
      <c r="B128" s="201" t="s">
        <v>2543</v>
      </c>
      <c r="C128" s="201" t="s">
        <v>2447</v>
      </c>
    </row>
    <row r="129" ht="17.25" spans="2:3">
      <c r="B129" s="201" t="s">
        <v>2544</v>
      </c>
      <c r="C129" s="201" t="s">
        <v>2447</v>
      </c>
    </row>
    <row r="130" ht="17.25" spans="2:3">
      <c r="B130" s="201" t="s">
        <v>2545</v>
      </c>
      <c r="C130" s="201" t="s">
        <v>2447</v>
      </c>
    </row>
    <row r="131" ht="17.25" spans="2:3">
      <c r="B131" s="201" t="s">
        <v>2546</v>
      </c>
      <c r="C131" s="201" t="s">
        <v>2447</v>
      </c>
    </row>
    <row r="132" ht="17.25" spans="2:3">
      <c r="B132" s="201" t="s">
        <v>2547</v>
      </c>
      <c r="C132" s="201" t="s">
        <v>2447</v>
      </c>
    </row>
    <row r="133" ht="17.25" spans="2:3">
      <c r="B133" s="201" t="s">
        <v>2548</v>
      </c>
      <c r="C133" s="201" t="s">
        <v>2447</v>
      </c>
    </row>
    <row r="134" ht="17.25" spans="2:3">
      <c r="B134" s="201" t="s">
        <v>2549</v>
      </c>
      <c r="C134" s="201" t="s">
        <v>2447</v>
      </c>
    </row>
    <row r="135" ht="17.25" spans="2:3">
      <c r="B135" s="201" t="s">
        <v>2550</v>
      </c>
      <c r="C135" s="201" t="s">
        <v>2447</v>
      </c>
    </row>
    <row r="136" ht="17.25" spans="2:3">
      <c r="B136" s="201" t="s">
        <v>2551</v>
      </c>
      <c r="C136" s="201" t="s">
        <v>2447</v>
      </c>
    </row>
    <row r="137" ht="17.25" spans="2:3">
      <c r="B137" s="201" t="s">
        <v>2552</v>
      </c>
      <c r="C137" s="201" t="s">
        <v>2447</v>
      </c>
    </row>
    <row r="138" ht="17.25" spans="2:3">
      <c r="B138" s="201" t="s">
        <v>2553</v>
      </c>
      <c r="C138" s="201" t="s">
        <v>2447</v>
      </c>
    </row>
    <row r="139" ht="17.25" spans="2:3">
      <c r="B139" s="201" t="s">
        <v>2554</v>
      </c>
      <c r="C139" s="201" t="s">
        <v>2447</v>
      </c>
    </row>
    <row r="140" ht="17.25" spans="2:3">
      <c r="B140" s="201" t="s">
        <v>2555</v>
      </c>
      <c r="C140" s="201" t="s">
        <v>2447</v>
      </c>
    </row>
    <row r="141" ht="17.25" spans="2:3">
      <c r="B141" s="201" t="s">
        <v>2556</v>
      </c>
      <c r="C141" s="201" t="s">
        <v>2447</v>
      </c>
    </row>
    <row r="142" ht="17.25" spans="2:3">
      <c r="B142" s="201" t="s">
        <v>2557</v>
      </c>
      <c r="C142" s="201" t="s">
        <v>2447</v>
      </c>
    </row>
    <row r="143" ht="17.25" spans="2:3">
      <c r="B143" s="201" t="s">
        <v>2558</v>
      </c>
      <c r="C143" s="201" t="s">
        <v>2447</v>
      </c>
    </row>
    <row r="144" ht="17.25" spans="2:3">
      <c r="B144" s="201" t="s">
        <v>2559</v>
      </c>
      <c r="C144" s="201" t="s">
        <v>2447</v>
      </c>
    </row>
    <row r="145" ht="17.25" spans="2:3">
      <c r="B145" s="201" t="s">
        <v>2560</v>
      </c>
      <c r="C145" s="201" t="s">
        <v>2447</v>
      </c>
    </row>
    <row r="146" ht="17.25" spans="2:3">
      <c r="B146" s="201" t="s">
        <v>2561</v>
      </c>
      <c r="C146" s="201" t="s">
        <v>2447</v>
      </c>
    </row>
    <row r="147" ht="17.25" spans="2:3">
      <c r="B147" s="201" t="s">
        <v>2562</v>
      </c>
      <c r="C147" s="201" t="s">
        <v>2447</v>
      </c>
    </row>
    <row r="148" ht="17.25" spans="2:3">
      <c r="B148" s="201" t="s">
        <v>2563</v>
      </c>
      <c r="C148" s="201" t="s">
        <v>2447</v>
      </c>
    </row>
    <row r="149" ht="17.25" spans="2:3">
      <c r="B149" s="201" t="s">
        <v>2564</v>
      </c>
      <c r="C149" s="201" t="s">
        <v>2447</v>
      </c>
    </row>
    <row r="150" ht="17.25" spans="2:3">
      <c r="B150" s="201" t="s">
        <v>2565</v>
      </c>
      <c r="C150" s="201" t="s">
        <v>2447</v>
      </c>
    </row>
    <row r="151" ht="17.25" spans="2:3">
      <c r="B151" s="201" t="s">
        <v>2566</v>
      </c>
      <c r="C151" s="201" t="s">
        <v>2447</v>
      </c>
    </row>
    <row r="152" ht="17.25" spans="2:3">
      <c r="B152" s="201" t="s">
        <v>2567</v>
      </c>
      <c r="C152" s="201" t="s">
        <v>2447</v>
      </c>
    </row>
    <row r="153" ht="17.25" spans="2:3">
      <c r="B153" s="201" t="s">
        <v>2568</v>
      </c>
      <c r="C153" s="201" t="s">
        <v>2447</v>
      </c>
    </row>
    <row r="154" ht="17.25" spans="2:3">
      <c r="B154" s="201" t="s">
        <v>2569</v>
      </c>
      <c r="C154" s="201" t="s">
        <v>2447</v>
      </c>
    </row>
    <row r="155" ht="17.25" spans="2:3">
      <c r="B155" s="201" t="s">
        <v>2570</v>
      </c>
      <c r="C155" s="201" t="s">
        <v>2447</v>
      </c>
    </row>
    <row r="156" ht="17.25" spans="2:3">
      <c r="B156" s="201" t="s">
        <v>2571</v>
      </c>
      <c r="C156" s="201" t="s">
        <v>2447</v>
      </c>
    </row>
    <row r="157" ht="17.25" spans="2:3">
      <c r="B157" s="201" t="s">
        <v>2572</v>
      </c>
      <c r="C157" s="201" t="s">
        <v>2447</v>
      </c>
    </row>
    <row r="158" ht="17.25" spans="2:3">
      <c r="B158" s="201" t="s">
        <v>2573</v>
      </c>
      <c r="C158" s="201" t="s">
        <v>2447</v>
      </c>
    </row>
    <row r="159" ht="17.25" spans="2:3">
      <c r="B159" s="201" t="s">
        <v>2574</v>
      </c>
      <c r="C159" s="201" t="s">
        <v>2447</v>
      </c>
    </row>
    <row r="160" ht="17.25" spans="2:3">
      <c r="B160" s="201" t="s">
        <v>2575</v>
      </c>
      <c r="C160" s="201" t="s">
        <v>2447</v>
      </c>
    </row>
    <row r="161" ht="17.25" spans="2:3">
      <c r="B161" s="201" t="s">
        <v>2576</v>
      </c>
      <c r="C161" s="201" t="s">
        <v>2447</v>
      </c>
    </row>
    <row r="162" ht="17.25" spans="2:3">
      <c r="B162" s="201" t="s">
        <v>2577</v>
      </c>
      <c r="C162" s="201" t="s">
        <v>2447</v>
      </c>
    </row>
    <row r="163" ht="17.25" spans="2:3">
      <c r="B163" s="201" t="s">
        <v>2578</v>
      </c>
      <c r="C163" s="201" t="s">
        <v>2447</v>
      </c>
    </row>
    <row r="164" ht="17.25" spans="2:3">
      <c r="B164" s="201" t="s">
        <v>2579</v>
      </c>
      <c r="C164" s="201" t="s">
        <v>2447</v>
      </c>
    </row>
    <row r="165" ht="17.25" spans="2:3">
      <c r="B165" s="201" t="s">
        <v>2580</v>
      </c>
      <c r="C165" s="201" t="s">
        <v>2447</v>
      </c>
    </row>
    <row r="166" ht="17.25" spans="2:3">
      <c r="B166" s="201" t="s">
        <v>2581</v>
      </c>
      <c r="C166" s="201" t="s">
        <v>2447</v>
      </c>
    </row>
    <row r="167" ht="17.25" spans="2:3">
      <c r="B167" s="201" t="s">
        <v>2582</v>
      </c>
      <c r="C167" s="201" t="s">
        <v>2447</v>
      </c>
    </row>
    <row r="168" ht="17.25" spans="2:3">
      <c r="B168" s="201" t="s">
        <v>2583</v>
      </c>
      <c r="C168" s="201" t="s">
        <v>2447</v>
      </c>
    </row>
    <row r="169" ht="17.25" spans="2:3">
      <c r="B169" s="201" t="s">
        <v>2584</v>
      </c>
      <c r="C169" s="201" t="s">
        <v>2447</v>
      </c>
    </row>
    <row r="170" ht="17.25" spans="2:3">
      <c r="B170" s="201" t="s">
        <v>2585</v>
      </c>
      <c r="C170" s="201" t="s">
        <v>2447</v>
      </c>
    </row>
    <row r="171" ht="17.25" spans="2:3">
      <c r="B171" s="201" t="s">
        <v>2586</v>
      </c>
      <c r="C171" s="201" t="s">
        <v>2447</v>
      </c>
    </row>
    <row r="172" ht="17.25" spans="2:3">
      <c r="B172" s="201" t="s">
        <v>2587</v>
      </c>
      <c r="C172" s="201" t="s">
        <v>2447</v>
      </c>
    </row>
    <row r="173" ht="17.25" spans="2:3">
      <c r="B173" s="201" t="s">
        <v>2588</v>
      </c>
      <c r="C173" s="201" t="s">
        <v>2447</v>
      </c>
    </row>
    <row r="174" ht="17.25" spans="2:3">
      <c r="B174" s="201" t="s">
        <v>2589</v>
      </c>
      <c r="C174" s="201" t="s">
        <v>2447</v>
      </c>
    </row>
    <row r="175" ht="17.25" spans="2:3">
      <c r="B175" s="201" t="s">
        <v>2590</v>
      </c>
      <c r="C175" s="201" t="s">
        <v>2447</v>
      </c>
    </row>
    <row r="176" ht="17.25" spans="2:3">
      <c r="B176" s="201" t="s">
        <v>2591</v>
      </c>
      <c r="C176" s="201" t="s">
        <v>2447</v>
      </c>
    </row>
    <row r="177" ht="17.25" spans="2:3">
      <c r="B177" s="199" t="s">
        <v>2592</v>
      </c>
      <c r="C177" s="199" t="s">
        <v>2446</v>
      </c>
    </row>
    <row r="178" ht="17.25" spans="2:3">
      <c r="B178" s="201" t="s">
        <v>2593</v>
      </c>
      <c r="C178" s="201" t="s">
        <v>2447</v>
      </c>
    </row>
    <row r="179" ht="17.25" spans="2:3">
      <c r="B179" s="201" t="s">
        <v>2594</v>
      </c>
      <c r="C179" s="201" t="s">
        <v>2447</v>
      </c>
    </row>
    <row r="180" ht="17.25" spans="2:3">
      <c r="B180" s="201" t="s">
        <v>2595</v>
      </c>
      <c r="C180" s="201" t="s">
        <v>2447</v>
      </c>
    </row>
    <row r="181" ht="17.25" spans="2:3">
      <c r="B181" s="201" t="s">
        <v>2596</v>
      </c>
      <c r="C181" s="201" t="s">
        <v>2447</v>
      </c>
    </row>
    <row r="182" ht="17.25" spans="2:3">
      <c r="B182" s="199" t="s">
        <v>2597</v>
      </c>
      <c r="C182" s="199" t="s">
        <v>2446</v>
      </c>
    </row>
    <row r="183" ht="17.25" spans="2:3">
      <c r="B183" s="201" t="s">
        <v>2598</v>
      </c>
      <c r="C183" s="201" t="s">
        <v>2447</v>
      </c>
    </row>
    <row r="184" ht="17.25" spans="2:3">
      <c r="B184" s="201" t="s">
        <v>2599</v>
      </c>
      <c r="C184" s="201" t="s">
        <v>2447</v>
      </c>
    </row>
    <row r="185" ht="17.25" spans="2:3">
      <c r="B185" s="201" t="s">
        <v>2600</v>
      </c>
      <c r="C185" s="201" t="s">
        <v>2447</v>
      </c>
    </row>
    <row r="186" ht="17.25" spans="2:3">
      <c r="B186" s="201" t="s">
        <v>2601</v>
      </c>
      <c r="C186" s="201" t="s">
        <v>2447</v>
      </c>
    </row>
    <row r="187" ht="17.25" spans="2:3">
      <c r="B187" s="201" t="s">
        <v>2602</v>
      </c>
      <c r="C187" s="201" t="s">
        <v>2447</v>
      </c>
    </row>
    <row r="188" ht="17.25" spans="2:3">
      <c r="B188" s="201" t="s">
        <v>2603</v>
      </c>
      <c r="C188" s="201" t="s">
        <v>2447</v>
      </c>
    </row>
    <row r="189" ht="17.25" spans="2:3">
      <c r="B189" s="201" t="s">
        <v>2604</v>
      </c>
      <c r="C189" s="201" t="s">
        <v>2447</v>
      </c>
    </row>
    <row r="190" ht="17.25" spans="2:3">
      <c r="B190" s="201" t="s">
        <v>2605</v>
      </c>
      <c r="C190" s="201" t="s">
        <v>2447</v>
      </c>
    </row>
    <row r="191" ht="17.25" spans="2:3">
      <c r="B191" s="201" t="s">
        <v>2606</v>
      </c>
      <c r="C191" s="201" t="s">
        <v>2447</v>
      </c>
    </row>
    <row r="192" ht="17.25" spans="2:3">
      <c r="B192" s="201" t="s">
        <v>2607</v>
      </c>
      <c r="C192" s="201" t="s">
        <v>2447</v>
      </c>
    </row>
    <row r="193" ht="17.25" spans="2:3">
      <c r="B193" s="201" t="s">
        <v>2608</v>
      </c>
      <c r="C193" s="201" t="s">
        <v>2447</v>
      </c>
    </row>
    <row r="194" ht="17.25" spans="2:3">
      <c r="B194" s="201" t="s">
        <v>2609</v>
      </c>
      <c r="C194" s="201" t="s">
        <v>2447</v>
      </c>
    </row>
    <row r="195" ht="17.25" spans="2:3">
      <c r="B195" s="201" t="s">
        <v>2610</v>
      </c>
      <c r="C195" s="201" t="s">
        <v>2447</v>
      </c>
    </row>
    <row r="196" ht="17.25" spans="2:3">
      <c r="B196" s="201" t="s">
        <v>2611</v>
      </c>
      <c r="C196" s="201" t="s">
        <v>2447</v>
      </c>
    </row>
    <row r="197" ht="17.25" spans="2:3">
      <c r="B197" s="201" t="s">
        <v>2612</v>
      </c>
      <c r="C197" s="201" t="s">
        <v>2447</v>
      </c>
    </row>
    <row r="198" ht="17.25" spans="2:3">
      <c r="B198" s="201" t="s">
        <v>2613</v>
      </c>
      <c r="C198" s="201" t="s">
        <v>2447</v>
      </c>
    </row>
    <row r="199" ht="17.25" spans="2:3">
      <c r="B199" s="201" t="s">
        <v>2614</v>
      </c>
      <c r="C199" s="201" t="s">
        <v>2447</v>
      </c>
    </row>
    <row r="200" ht="17.25" spans="2:3">
      <c r="B200" s="201" t="s">
        <v>2615</v>
      </c>
      <c r="C200" s="201" t="s">
        <v>2447</v>
      </c>
    </row>
    <row r="201" ht="17.25" spans="2:3">
      <c r="B201" s="201" t="s">
        <v>2616</v>
      </c>
      <c r="C201" s="201" t="s">
        <v>2447</v>
      </c>
    </row>
    <row r="202" ht="17.25" spans="2:3">
      <c r="B202" s="201" t="s">
        <v>2617</v>
      </c>
      <c r="C202" s="201" t="s">
        <v>2447</v>
      </c>
    </row>
    <row r="203" ht="17.25" spans="2:3">
      <c r="B203" s="201" t="s">
        <v>2618</v>
      </c>
      <c r="C203" s="201" t="s">
        <v>2447</v>
      </c>
    </row>
    <row r="204" ht="17.25" spans="2:3">
      <c r="B204" s="201" t="s">
        <v>2619</v>
      </c>
      <c r="C204" s="201" t="s">
        <v>2447</v>
      </c>
    </row>
    <row r="205" ht="17.25" spans="2:3">
      <c r="B205" s="201" t="s">
        <v>2620</v>
      </c>
      <c r="C205" s="201" t="s">
        <v>2447</v>
      </c>
    </row>
    <row r="206" ht="17.25" spans="2:3">
      <c r="B206" s="201" t="s">
        <v>2621</v>
      </c>
      <c r="C206" s="201" t="s">
        <v>2447</v>
      </c>
    </row>
    <row r="207" ht="17.25" spans="2:3">
      <c r="B207" s="201" t="s">
        <v>2622</v>
      </c>
      <c r="C207" s="201" t="s">
        <v>2447</v>
      </c>
    </row>
    <row r="208" ht="17.25" spans="2:3">
      <c r="B208" s="201" t="s">
        <v>2623</v>
      </c>
      <c r="C208" s="201" t="s">
        <v>2447</v>
      </c>
    </row>
    <row r="209" ht="17.25" spans="2:3">
      <c r="B209" s="201" t="s">
        <v>2624</v>
      </c>
      <c r="C209" s="201" t="s">
        <v>2447</v>
      </c>
    </row>
    <row r="210" ht="17.25" spans="2:3">
      <c r="B210" s="201" t="s">
        <v>2625</v>
      </c>
      <c r="C210" s="201" t="s">
        <v>2447</v>
      </c>
    </row>
    <row r="211" ht="17.25" spans="2:3">
      <c r="B211" s="201" t="s">
        <v>2626</v>
      </c>
      <c r="C211" s="201" t="s">
        <v>2447</v>
      </c>
    </row>
    <row r="212" ht="17.25" spans="2:3">
      <c r="B212" s="201" t="s">
        <v>2627</v>
      </c>
      <c r="C212" s="201" t="s">
        <v>2447</v>
      </c>
    </row>
    <row r="213" ht="17.25" spans="2:3">
      <c r="B213" s="201" t="s">
        <v>2628</v>
      </c>
      <c r="C213" s="201" t="s">
        <v>2447</v>
      </c>
    </row>
    <row r="214" ht="17.25" spans="2:3">
      <c r="B214" s="201" t="s">
        <v>2629</v>
      </c>
      <c r="C214" s="201" t="s">
        <v>2447</v>
      </c>
    </row>
    <row r="215" ht="17.25" spans="2:3">
      <c r="B215" s="201" t="s">
        <v>2630</v>
      </c>
      <c r="C215" s="201" t="s">
        <v>2447</v>
      </c>
    </row>
    <row r="216" ht="17.25" spans="2:3">
      <c r="B216" s="201" t="s">
        <v>2631</v>
      </c>
      <c r="C216" s="201" t="s">
        <v>2447</v>
      </c>
    </row>
    <row r="217" ht="17.25" spans="2:3">
      <c r="B217" s="201" t="s">
        <v>2632</v>
      </c>
      <c r="C217" s="201" t="s">
        <v>2447</v>
      </c>
    </row>
    <row r="218" ht="17.25" spans="2:3">
      <c r="B218" s="201" t="s">
        <v>2633</v>
      </c>
      <c r="C218" s="201" t="s">
        <v>2447</v>
      </c>
    </row>
    <row r="219" ht="17.25" spans="2:3">
      <c r="B219" s="201" t="s">
        <v>2634</v>
      </c>
      <c r="C219" s="201" t="s">
        <v>2447</v>
      </c>
    </row>
    <row r="220" ht="17.25" spans="2:3">
      <c r="B220" s="201" t="s">
        <v>2635</v>
      </c>
      <c r="C220" s="201" t="s">
        <v>2447</v>
      </c>
    </row>
    <row r="221" ht="17.25" spans="2:3">
      <c r="B221" s="201" t="s">
        <v>2636</v>
      </c>
      <c r="C221" s="201" t="s">
        <v>2447</v>
      </c>
    </row>
    <row r="222" ht="17.25" spans="2:3">
      <c r="B222" s="201" t="s">
        <v>2637</v>
      </c>
      <c r="C222" s="201" t="s">
        <v>2447</v>
      </c>
    </row>
    <row r="223" ht="17.25" spans="2:3">
      <c r="B223" s="201" t="s">
        <v>2638</v>
      </c>
      <c r="C223" s="201" t="s">
        <v>2447</v>
      </c>
    </row>
    <row r="224" ht="17.25" spans="2:3">
      <c r="B224" s="201" t="s">
        <v>2639</v>
      </c>
      <c r="C224" s="201" t="s">
        <v>2447</v>
      </c>
    </row>
    <row r="225" ht="17.25" spans="2:3">
      <c r="B225" s="201" t="s">
        <v>2640</v>
      </c>
      <c r="C225" s="201" t="s">
        <v>2447</v>
      </c>
    </row>
    <row r="226" ht="17.25" spans="2:3">
      <c r="B226" s="201" t="s">
        <v>2641</v>
      </c>
      <c r="C226" s="201" t="s">
        <v>2447</v>
      </c>
    </row>
    <row r="227" ht="17.25" spans="2:3">
      <c r="B227" s="201" t="s">
        <v>2642</v>
      </c>
      <c r="C227" s="201" t="s">
        <v>2447</v>
      </c>
    </row>
    <row r="228" ht="17.25" spans="2:3">
      <c r="B228" s="201" t="s">
        <v>2643</v>
      </c>
      <c r="C228" s="201" t="s">
        <v>2447</v>
      </c>
    </row>
    <row r="229" ht="17.25" spans="2:3">
      <c r="B229" s="201" t="s">
        <v>2644</v>
      </c>
      <c r="C229" s="201" t="s">
        <v>2447</v>
      </c>
    </row>
    <row r="230" ht="17.25" spans="2:3">
      <c r="B230" s="201" t="s">
        <v>2645</v>
      </c>
      <c r="C230" s="201" t="s">
        <v>2447</v>
      </c>
    </row>
    <row r="231" ht="17.25" spans="2:3">
      <c r="B231" s="201" t="s">
        <v>2646</v>
      </c>
      <c r="C231" s="201" t="s">
        <v>2447</v>
      </c>
    </row>
    <row r="232" ht="17.25" spans="2:3">
      <c r="B232" s="201" t="s">
        <v>2647</v>
      </c>
      <c r="C232" s="201" t="s">
        <v>2447</v>
      </c>
    </row>
    <row r="233" ht="17.25" spans="2:3">
      <c r="B233" s="201" t="s">
        <v>2648</v>
      </c>
      <c r="C233" s="201" t="s">
        <v>2447</v>
      </c>
    </row>
    <row r="234" ht="17.25" spans="2:3">
      <c r="B234" s="201" t="s">
        <v>2649</v>
      </c>
      <c r="C234" s="201" t="s">
        <v>2447</v>
      </c>
    </row>
    <row r="235" ht="17.25" spans="2:3">
      <c r="B235" s="201" t="s">
        <v>2650</v>
      </c>
      <c r="C235" s="201" t="s">
        <v>2447</v>
      </c>
    </row>
    <row r="236" ht="17.25" spans="2:3">
      <c r="B236" s="201" t="s">
        <v>2651</v>
      </c>
      <c r="C236" s="201" t="s">
        <v>2447</v>
      </c>
    </row>
    <row r="237" ht="17.25" spans="2:3">
      <c r="B237" s="201" t="s">
        <v>2652</v>
      </c>
      <c r="C237" s="201" t="s">
        <v>2447</v>
      </c>
    </row>
    <row r="238" ht="17.25" spans="2:3">
      <c r="B238" s="201" t="s">
        <v>2653</v>
      </c>
      <c r="C238" s="201" t="s">
        <v>2447</v>
      </c>
    </row>
    <row r="239" ht="17.25" spans="2:3">
      <c r="B239" s="201" t="s">
        <v>2654</v>
      </c>
      <c r="C239" s="201" t="s">
        <v>2447</v>
      </c>
    </row>
    <row r="240" ht="17.25" spans="2:3">
      <c r="B240" s="201" t="s">
        <v>2655</v>
      </c>
      <c r="C240" s="201" t="s">
        <v>2447</v>
      </c>
    </row>
    <row r="241" ht="17.25" spans="2:3">
      <c r="B241" s="201" t="s">
        <v>2656</v>
      </c>
      <c r="C241" s="201" t="s">
        <v>2447</v>
      </c>
    </row>
    <row r="242" ht="17.25" spans="2:3">
      <c r="B242" s="201" t="s">
        <v>2657</v>
      </c>
      <c r="C242" s="201" t="s">
        <v>2447</v>
      </c>
    </row>
    <row r="243" ht="17.25" spans="2:3">
      <c r="B243" s="201" t="s">
        <v>2658</v>
      </c>
      <c r="C243" s="201" t="s">
        <v>2447</v>
      </c>
    </row>
    <row r="244" ht="17.25" spans="2:3">
      <c r="B244" s="201" t="s">
        <v>2659</v>
      </c>
      <c r="C244" s="201" t="s">
        <v>2447</v>
      </c>
    </row>
    <row r="245" ht="17.25" spans="2:3">
      <c r="B245" s="201" t="s">
        <v>2660</v>
      </c>
      <c r="C245" s="201" t="s">
        <v>2447</v>
      </c>
    </row>
    <row r="246" ht="17.25" spans="2:3">
      <c r="B246" s="201" t="s">
        <v>2661</v>
      </c>
      <c r="C246" s="201" t="s">
        <v>2447</v>
      </c>
    </row>
    <row r="247" ht="17.25" spans="2:3">
      <c r="B247" s="201" t="s">
        <v>2662</v>
      </c>
      <c r="C247" s="201" t="s">
        <v>2447</v>
      </c>
    </row>
    <row r="248" ht="17.25" spans="2:3">
      <c r="B248" s="201" t="s">
        <v>2663</v>
      </c>
      <c r="C248" s="201" t="s">
        <v>2447</v>
      </c>
    </row>
    <row r="249" ht="17.25" spans="2:3">
      <c r="B249" s="201" t="s">
        <v>2664</v>
      </c>
      <c r="C249" s="201" t="s">
        <v>2447</v>
      </c>
    </row>
    <row r="250" ht="17.25" spans="2:3">
      <c r="B250" s="201" t="s">
        <v>2665</v>
      </c>
      <c r="C250" s="201" t="s">
        <v>2447</v>
      </c>
    </row>
    <row r="251" ht="17.25" spans="2:3">
      <c r="B251" s="201" t="s">
        <v>2666</v>
      </c>
      <c r="C251" s="201" t="s">
        <v>2447</v>
      </c>
    </row>
    <row r="252" ht="17.25" spans="2:3">
      <c r="B252" s="201" t="s">
        <v>2667</v>
      </c>
      <c r="C252" s="201" t="s">
        <v>2447</v>
      </c>
    </row>
    <row r="253" ht="17.25" spans="2:3">
      <c r="B253" s="201" t="s">
        <v>2668</v>
      </c>
      <c r="C253" s="201" t="s">
        <v>2447</v>
      </c>
    </row>
    <row r="254" ht="17.25" spans="2:3">
      <c r="B254" s="201" t="s">
        <v>2669</v>
      </c>
      <c r="C254" s="201" t="s">
        <v>2447</v>
      </c>
    </row>
    <row r="255" ht="17.25" spans="2:3">
      <c r="B255" s="201" t="s">
        <v>2670</v>
      </c>
      <c r="C255" s="201" t="s">
        <v>2447</v>
      </c>
    </row>
    <row r="256" ht="17.25" spans="2:3">
      <c r="B256" s="201" t="s">
        <v>2671</v>
      </c>
      <c r="C256" s="201" t="s">
        <v>2447</v>
      </c>
    </row>
    <row r="257" ht="17.25" spans="2:3">
      <c r="B257" s="201" t="s">
        <v>2672</v>
      </c>
      <c r="C257" s="201" t="s">
        <v>2447</v>
      </c>
    </row>
    <row r="258" ht="17.25" spans="2:3">
      <c r="B258" s="201" t="s">
        <v>2673</v>
      </c>
      <c r="C258" s="201" t="s">
        <v>2447</v>
      </c>
    </row>
    <row r="259" ht="17.25" spans="2:3">
      <c r="B259" s="201" t="s">
        <v>2674</v>
      </c>
      <c r="C259" s="201" t="s">
        <v>2447</v>
      </c>
    </row>
    <row r="260" ht="17.25" spans="2:3">
      <c r="B260" s="201" t="s">
        <v>2675</v>
      </c>
      <c r="C260" s="201" t="s">
        <v>2447</v>
      </c>
    </row>
    <row r="261" ht="17.25" spans="2:3">
      <c r="B261" s="201" t="s">
        <v>2676</v>
      </c>
      <c r="C261" s="201" t="s">
        <v>2447</v>
      </c>
    </row>
    <row r="262" ht="17.25" spans="2:3">
      <c r="B262" s="201" t="s">
        <v>2677</v>
      </c>
      <c r="C262" s="201" t="s">
        <v>2447</v>
      </c>
    </row>
    <row r="263" ht="17.25" spans="2:3">
      <c r="B263" s="201" t="s">
        <v>2678</v>
      </c>
      <c r="C263" s="201" t="s">
        <v>2447</v>
      </c>
    </row>
    <row r="264" ht="17.25" spans="2:3">
      <c r="B264" s="201" t="s">
        <v>2679</v>
      </c>
      <c r="C264" s="201" t="s">
        <v>2447</v>
      </c>
    </row>
    <row r="265" ht="17.25" spans="2:3">
      <c r="B265" s="201" t="s">
        <v>2680</v>
      </c>
      <c r="C265" s="201" t="s">
        <v>2447</v>
      </c>
    </row>
    <row r="266" ht="17.25" spans="2:3">
      <c r="B266" s="201" t="s">
        <v>2681</v>
      </c>
      <c r="C266" s="201" t="s">
        <v>2447</v>
      </c>
    </row>
    <row r="267" ht="17.25" spans="2:3">
      <c r="B267" s="201" t="s">
        <v>2682</v>
      </c>
      <c r="C267" s="201" t="s">
        <v>2447</v>
      </c>
    </row>
    <row r="268" ht="17.25" spans="2:3">
      <c r="B268" s="201" t="s">
        <v>2683</v>
      </c>
      <c r="C268" s="201" t="s">
        <v>2447</v>
      </c>
    </row>
    <row r="269" ht="17.25" spans="2:3">
      <c r="B269" s="201" t="s">
        <v>2684</v>
      </c>
      <c r="C269" s="201" t="s">
        <v>2447</v>
      </c>
    </row>
    <row r="270" ht="17.25" spans="2:3">
      <c r="B270" s="201" t="s">
        <v>2685</v>
      </c>
      <c r="C270" s="201" t="s">
        <v>2447</v>
      </c>
    </row>
    <row r="271" ht="17.25" spans="2:3">
      <c r="B271" s="201" t="s">
        <v>2686</v>
      </c>
      <c r="C271" s="201" t="s">
        <v>2447</v>
      </c>
    </row>
    <row r="272" ht="17.25" spans="2:3">
      <c r="B272" s="201" t="s">
        <v>2687</v>
      </c>
      <c r="C272" s="201" t="s">
        <v>2447</v>
      </c>
    </row>
    <row r="273" ht="17.25" spans="2:3">
      <c r="B273" s="201" t="s">
        <v>2688</v>
      </c>
      <c r="C273" s="201" t="s">
        <v>2447</v>
      </c>
    </row>
    <row r="274" ht="17.25" spans="2:3">
      <c r="B274" s="201" t="s">
        <v>2689</v>
      </c>
      <c r="C274" s="201" t="s">
        <v>2447</v>
      </c>
    </row>
    <row r="275" ht="17.25" spans="2:3">
      <c r="B275" s="201" t="s">
        <v>2690</v>
      </c>
      <c r="C275" s="201" t="s">
        <v>2447</v>
      </c>
    </row>
    <row r="276" ht="17.25" spans="2:3">
      <c r="B276" s="201" t="s">
        <v>2691</v>
      </c>
      <c r="C276" s="201" t="s">
        <v>2447</v>
      </c>
    </row>
    <row r="277" ht="17.25" spans="2:3">
      <c r="B277" s="201" t="s">
        <v>2692</v>
      </c>
      <c r="C277" s="201" t="s">
        <v>2447</v>
      </c>
    </row>
    <row r="278" ht="17.25" spans="2:3">
      <c r="B278" s="201" t="s">
        <v>2693</v>
      </c>
      <c r="C278" s="201" t="s">
        <v>2447</v>
      </c>
    </row>
    <row r="279" ht="17.25" spans="2:3">
      <c r="B279" s="201" t="s">
        <v>2694</v>
      </c>
      <c r="C279" s="201" t="s">
        <v>2447</v>
      </c>
    </row>
    <row r="280" ht="17.25" spans="2:3">
      <c r="B280" s="201" t="s">
        <v>2695</v>
      </c>
      <c r="C280" s="201" t="s">
        <v>2447</v>
      </c>
    </row>
    <row r="281" ht="17.25" spans="2:3">
      <c r="B281" s="201" t="s">
        <v>2696</v>
      </c>
      <c r="C281" s="201" t="s">
        <v>2447</v>
      </c>
    </row>
    <row r="282" ht="17.25" spans="2:3">
      <c r="B282" s="201" t="s">
        <v>2697</v>
      </c>
      <c r="C282" s="201" t="s">
        <v>2447</v>
      </c>
    </row>
    <row r="283" ht="17.25" spans="2:3">
      <c r="B283" s="201" t="s">
        <v>2698</v>
      </c>
      <c r="C283" s="201" t="s">
        <v>2447</v>
      </c>
    </row>
    <row r="284" ht="17.25" spans="2:3">
      <c r="B284" s="201" t="s">
        <v>2699</v>
      </c>
      <c r="C284" s="201" t="s">
        <v>2447</v>
      </c>
    </row>
    <row r="285" ht="17.25" spans="2:3">
      <c r="B285" s="201" t="s">
        <v>2700</v>
      </c>
      <c r="C285" s="201" t="s">
        <v>2447</v>
      </c>
    </row>
    <row r="286" ht="17.25" spans="2:3">
      <c r="B286" s="201" t="s">
        <v>2701</v>
      </c>
      <c r="C286" s="201" t="s">
        <v>2447</v>
      </c>
    </row>
    <row r="287" ht="17.25" spans="2:3">
      <c r="B287" s="201" t="s">
        <v>2702</v>
      </c>
      <c r="C287" s="201" t="s">
        <v>2447</v>
      </c>
    </row>
    <row r="288" ht="17.25" spans="2:3">
      <c r="B288" s="201" t="s">
        <v>2703</v>
      </c>
      <c r="C288" s="201" t="s">
        <v>2447</v>
      </c>
    </row>
    <row r="289" ht="17.25" spans="2:3">
      <c r="B289" s="201" t="s">
        <v>2704</v>
      </c>
      <c r="C289" s="201" t="s">
        <v>2447</v>
      </c>
    </row>
    <row r="290" ht="17.25" spans="2:3">
      <c r="B290" s="201" t="s">
        <v>2705</v>
      </c>
      <c r="C290" s="201" t="s">
        <v>2447</v>
      </c>
    </row>
    <row r="291" ht="17.25" spans="2:3">
      <c r="B291" s="201" t="s">
        <v>2706</v>
      </c>
      <c r="C291" s="201" t="s">
        <v>2447</v>
      </c>
    </row>
    <row r="292" ht="17.25" spans="2:3">
      <c r="B292" s="201" t="s">
        <v>2707</v>
      </c>
      <c r="C292" s="201" t="s">
        <v>2447</v>
      </c>
    </row>
    <row r="293" ht="17.25" spans="2:3">
      <c r="B293" s="201" t="s">
        <v>2708</v>
      </c>
      <c r="C293" s="201" t="s">
        <v>2447</v>
      </c>
    </row>
    <row r="294" ht="17.25" spans="2:3">
      <c r="B294" s="201" t="s">
        <v>2709</v>
      </c>
      <c r="C294" s="201" t="s">
        <v>2447</v>
      </c>
    </row>
    <row r="295" ht="17.25" spans="2:3">
      <c r="B295" s="201" t="s">
        <v>2710</v>
      </c>
      <c r="C295" s="201" t="s">
        <v>2447</v>
      </c>
    </row>
    <row r="296" ht="17.25" spans="2:3">
      <c r="B296" s="201" t="s">
        <v>2711</v>
      </c>
      <c r="C296" s="201" t="s">
        <v>2447</v>
      </c>
    </row>
    <row r="297" ht="17.25" spans="2:3">
      <c r="B297" s="201" t="s">
        <v>2712</v>
      </c>
      <c r="C297" s="201" t="s">
        <v>2447</v>
      </c>
    </row>
    <row r="298" ht="17.25" spans="2:3">
      <c r="B298" s="201" t="s">
        <v>2713</v>
      </c>
      <c r="C298" s="201" t="s">
        <v>2447</v>
      </c>
    </row>
    <row r="299" ht="17.25" spans="2:3">
      <c r="B299" s="201" t="s">
        <v>2714</v>
      </c>
      <c r="C299" s="201" t="s">
        <v>2447</v>
      </c>
    </row>
    <row r="300" ht="17.25" spans="2:3">
      <c r="B300" s="201" t="s">
        <v>2715</v>
      </c>
      <c r="C300" s="201" t="s">
        <v>2447</v>
      </c>
    </row>
    <row r="301" ht="17.25" spans="2:3">
      <c r="B301" s="201" t="s">
        <v>2716</v>
      </c>
      <c r="C301" s="201" t="s">
        <v>2447</v>
      </c>
    </row>
    <row r="302" ht="17.25" spans="2:3">
      <c r="B302" s="201" t="s">
        <v>2717</v>
      </c>
      <c r="C302" s="201" t="s">
        <v>2447</v>
      </c>
    </row>
    <row r="303" ht="17.25" spans="2:3">
      <c r="B303" s="201" t="s">
        <v>2718</v>
      </c>
      <c r="C303" s="201" t="s">
        <v>2447</v>
      </c>
    </row>
    <row r="304" ht="17.25" spans="2:3">
      <c r="B304" s="201" t="s">
        <v>2719</v>
      </c>
      <c r="C304" s="201" t="s">
        <v>2447</v>
      </c>
    </row>
    <row r="305" ht="17.25" spans="2:3">
      <c r="B305" s="201" t="s">
        <v>2720</v>
      </c>
      <c r="C305" s="201" t="s">
        <v>2447</v>
      </c>
    </row>
    <row r="306" ht="17.25" spans="2:3">
      <c r="B306" s="201" t="s">
        <v>2721</v>
      </c>
      <c r="C306" s="201" t="s">
        <v>2447</v>
      </c>
    </row>
    <row r="307" ht="17.25" spans="2:3">
      <c r="B307" s="201" t="s">
        <v>2722</v>
      </c>
      <c r="C307" s="201" t="s">
        <v>2447</v>
      </c>
    </row>
    <row r="308" ht="17.25" spans="2:3">
      <c r="B308" s="201" t="s">
        <v>2723</v>
      </c>
      <c r="C308" s="201" t="s">
        <v>2447</v>
      </c>
    </row>
    <row r="309" ht="17.25" spans="2:3">
      <c r="B309" s="201" t="s">
        <v>2724</v>
      </c>
      <c r="C309" s="201" t="s">
        <v>2447</v>
      </c>
    </row>
    <row r="310" ht="17.25" spans="2:3">
      <c r="B310" s="201" t="s">
        <v>2725</v>
      </c>
      <c r="C310" s="201" t="s">
        <v>2447</v>
      </c>
    </row>
    <row r="311" ht="17.25" spans="2:3">
      <c r="B311" s="201" t="s">
        <v>2726</v>
      </c>
      <c r="C311" s="201" t="s">
        <v>2447</v>
      </c>
    </row>
    <row r="312" ht="17.25" spans="2:3">
      <c r="B312" s="201" t="s">
        <v>2727</v>
      </c>
      <c r="C312" s="201" t="s">
        <v>2447</v>
      </c>
    </row>
    <row r="313" ht="17.25" spans="2:3">
      <c r="B313" s="201" t="s">
        <v>2728</v>
      </c>
      <c r="C313" s="201" t="s">
        <v>2447</v>
      </c>
    </row>
    <row r="314" ht="17.25" spans="2:3">
      <c r="B314" s="201" t="s">
        <v>2729</v>
      </c>
      <c r="C314" s="201" t="s">
        <v>2447</v>
      </c>
    </row>
    <row r="315" ht="17.25" spans="2:3">
      <c r="B315" s="201" t="s">
        <v>2730</v>
      </c>
      <c r="C315" s="201" t="s">
        <v>2447</v>
      </c>
    </row>
    <row r="316" ht="17.25" spans="2:3">
      <c r="B316" s="201" t="s">
        <v>2731</v>
      </c>
      <c r="C316" s="201" t="s">
        <v>2447</v>
      </c>
    </row>
    <row r="317" ht="17.25" spans="2:3">
      <c r="B317" s="201" t="s">
        <v>2732</v>
      </c>
      <c r="C317" s="201" t="s">
        <v>2447</v>
      </c>
    </row>
    <row r="318" ht="17.25" spans="2:3">
      <c r="B318" s="201" t="s">
        <v>2733</v>
      </c>
      <c r="C318" s="201" t="s">
        <v>2447</v>
      </c>
    </row>
    <row r="319" ht="17.25" spans="2:3">
      <c r="B319" s="201" t="s">
        <v>2734</v>
      </c>
      <c r="C319" s="201" t="s">
        <v>2447</v>
      </c>
    </row>
    <row r="320" ht="17.25" spans="2:3">
      <c r="B320" s="201" t="s">
        <v>2735</v>
      </c>
      <c r="C320" s="201" t="s">
        <v>2447</v>
      </c>
    </row>
    <row r="321" ht="17.25" spans="2:3">
      <c r="B321" s="201" t="s">
        <v>2736</v>
      </c>
      <c r="C321" s="201" t="s">
        <v>2447</v>
      </c>
    </row>
    <row r="322" ht="17.25" spans="2:3">
      <c r="B322" s="201" t="s">
        <v>2737</v>
      </c>
      <c r="C322" s="201" t="s">
        <v>2447</v>
      </c>
    </row>
    <row r="323" ht="17.25" spans="2:3">
      <c r="B323" s="201" t="s">
        <v>2738</v>
      </c>
      <c r="C323" s="201" t="s">
        <v>2447</v>
      </c>
    </row>
    <row r="324" ht="17.25" spans="2:3">
      <c r="B324" s="201" t="s">
        <v>2739</v>
      </c>
      <c r="C324" s="201" t="s">
        <v>2447</v>
      </c>
    </row>
    <row r="325" ht="17.25" spans="2:3">
      <c r="B325" s="201" t="s">
        <v>2740</v>
      </c>
      <c r="C325" s="201" t="s">
        <v>2447</v>
      </c>
    </row>
    <row r="326" ht="17.25" spans="2:3">
      <c r="B326" s="201" t="s">
        <v>2741</v>
      </c>
      <c r="C326" s="201" t="s">
        <v>2447</v>
      </c>
    </row>
    <row r="327" ht="17.25" spans="2:3">
      <c r="B327" s="201" t="s">
        <v>2742</v>
      </c>
      <c r="C327" s="201" t="s">
        <v>2447</v>
      </c>
    </row>
    <row r="328" ht="17.25" spans="2:3">
      <c r="B328" s="201" t="s">
        <v>2743</v>
      </c>
      <c r="C328" s="201" t="s">
        <v>2447</v>
      </c>
    </row>
    <row r="329" ht="17.25" spans="2:3">
      <c r="B329" s="201" t="s">
        <v>2744</v>
      </c>
      <c r="C329" s="201" t="s">
        <v>2447</v>
      </c>
    </row>
    <row r="330" ht="17.25" spans="2:3">
      <c r="B330" s="201" t="s">
        <v>2745</v>
      </c>
      <c r="C330" s="201" t="s">
        <v>2447</v>
      </c>
    </row>
    <row r="331" ht="17.25" spans="2:3">
      <c r="B331" s="201" t="s">
        <v>2746</v>
      </c>
      <c r="C331" s="201" t="s">
        <v>2447</v>
      </c>
    </row>
    <row r="332" ht="17.25" spans="2:3">
      <c r="B332" s="201" t="s">
        <v>2747</v>
      </c>
      <c r="C332" s="201" t="s">
        <v>2447</v>
      </c>
    </row>
    <row r="333" ht="17.25" spans="2:3">
      <c r="B333" s="201" t="s">
        <v>2748</v>
      </c>
      <c r="C333" s="201" t="s">
        <v>2447</v>
      </c>
    </row>
    <row r="334" ht="17.25" spans="2:3">
      <c r="B334" s="201" t="s">
        <v>2749</v>
      </c>
      <c r="C334" s="201" t="s">
        <v>2447</v>
      </c>
    </row>
    <row r="335" ht="17.25" spans="2:3">
      <c r="B335" s="201" t="s">
        <v>2750</v>
      </c>
      <c r="C335" s="201" t="s">
        <v>2447</v>
      </c>
    </row>
    <row r="336" ht="17.25" spans="2:3">
      <c r="B336" s="201" t="s">
        <v>2751</v>
      </c>
      <c r="C336" s="201" t="s">
        <v>2447</v>
      </c>
    </row>
    <row r="337" ht="17.25" spans="2:3">
      <c r="B337" s="201" t="s">
        <v>2752</v>
      </c>
      <c r="C337" s="201" t="s">
        <v>2447</v>
      </c>
    </row>
    <row r="338" ht="17.25" spans="2:3">
      <c r="B338" s="201" t="s">
        <v>2753</v>
      </c>
      <c r="C338" s="201" t="s">
        <v>2447</v>
      </c>
    </row>
    <row r="339" ht="17.25" spans="2:3">
      <c r="B339" s="201" t="s">
        <v>2754</v>
      </c>
      <c r="C339" s="201" t="s">
        <v>2447</v>
      </c>
    </row>
    <row r="340" ht="17.25" spans="2:3">
      <c r="B340" s="201" t="s">
        <v>2755</v>
      </c>
      <c r="C340" s="201" t="s">
        <v>2447</v>
      </c>
    </row>
    <row r="341" ht="17.25" spans="2:3">
      <c r="B341" s="201" t="s">
        <v>2756</v>
      </c>
      <c r="C341" s="201" t="s">
        <v>2447</v>
      </c>
    </row>
    <row r="342" ht="17.25" spans="2:3">
      <c r="B342" s="201" t="s">
        <v>2757</v>
      </c>
      <c r="C342" s="201" t="s">
        <v>2447</v>
      </c>
    </row>
    <row r="343" ht="17.25" spans="2:3">
      <c r="B343" s="201" t="s">
        <v>2758</v>
      </c>
      <c r="C343" s="201" t="s">
        <v>2447</v>
      </c>
    </row>
    <row r="344" ht="17.25" spans="2:3">
      <c r="B344" s="201" t="s">
        <v>2759</v>
      </c>
      <c r="C344" s="201" t="s">
        <v>2447</v>
      </c>
    </row>
    <row r="345" ht="17.25" spans="2:3">
      <c r="B345" s="201" t="s">
        <v>2760</v>
      </c>
      <c r="C345" s="201" t="s">
        <v>2447</v>
      </c>
    </row>
    <row r="346" ht="17.25" spans="2:3">
      <c r="B346" s="201" t="s">
        <v>2761</v>
      </c>
      <c r="C346" s="201" t="s">
        <v>2447</v>
      </c>
    </row>
    <row r="347" ht="17.25" spans="2:3">
      <c r="B347" s="201" t="s">
        <v>2762</v>
      </c>
      <c r="C347" s="201" t="s">
        <v>2447</v>
      </c>
    </row>
    <row r="348" ht="17.25" spans="2:3">
      <c r="B348" s="201" t="s">
        <v>2763</v>
      </c>
      <c r="C348" s="201" t="s">
        <v>2447</v>
      </c>
    </row>
    <row r="349" ht="17.25" spans="2:3">
      <c r="B349" s="201" t="s">
        <v>2764</v>
      </c>
      <c r="C349" s="201" t="s">
        <v>2447</v>
      </c>
    </row>
    <row r="350" ht="17.25" spans="2:3">
      <c r="B350" s="201" t="s">
        <v>2765</v>
      </c>
      <c r="C350" s="201" t="s">
        <v>2447</v>
      </c>
    </row>
    <row r="351" ht="17.25" spans="2:3">
      <c r="B351" s="201" t="s">
        <v>2766</v>
      </c>
      <c r="C351" s="201" t="s">
        <v>2447</v>
      </c>
    </row>
    <row r="352" ht="17.25" spans="2:3">
      <c r="B352" s="201" t="s">
        <v>2767</v>
      </c>
      <c r="C352" s="201" t="s">
        <v>2447</v>
      </c>
    </row>
    <row r="353" ht="17.25" spans="2:3">
      <c r="B353" s="201" t="s">
        <v>2768</v>
      </c>
      <c r="C353" s="201" t="s">
        <v>2447</v>
      </c>
    </row>
    <row r="354" ht="17.25" spans="2:3">
      <c r="B354" s="201" t="s">
        <v>2769</v>
      </c>
      <c r="C354" s="201" t="s">
        <v>2447</v>
      </c>
    </row>
    <row r="355" ht="17.25" spans="2:3">
      <c r="B355" s="201" t="s">
        <v>2770</v>
      </c>
      <c r="C355" s="201" t="s">
        <v>2447</v>
      </c>
    </row>
    <row r="356" ht="17.25" spans="2:3">
      <c r="B356" s="201" t="s">
        <v>2771</v>
      </c>
      <c r="C356" s="201" t="s">
        <v>2447</v>
      </c>
    </row>
    <row r="357" ht="17.25" spans="2:3">
      <c r="B357" s="201" t="s">
        <v>2772</v>
      </c>
      <c r="C357" s="201" t="s">
        <v>2447</v>
      </c>
    </row>
    <row r="358" ht="17.25" spans="2:3">
      <c r="B358" s="201" t="s">
        <v>2773</v>
      </c>
      <c r="C358" s="201" t="s">
        <v>2447</v>
      </c>
    </row>
    <row r="359" ht="17.25" spans="2:3">
      <c r="B359" s="201" t="s">
        <v>2774</v>
      </c>
      <c r="C359" s="201" t="s">
        <v>2447</v>
      </c>
    </row>
    <row r="360" ht="17.25" spans="2:3">
      <c r="B360" s="201" t="s">
        <v>2775</v>
      </c>
      <c r="C360" s="201" t="s">
        <v>2447</v>
      </c>
    </row>
    <row r="361" ht="17.25" spans="2:3">
      <c r="B361" s="201" t="s">
        <v>2776</v>
      </c>
      <c r="C361" s="201" t="s">
        <v>2447</v>
      </c>
    </row>
    <row r="362" ht="17.25" spans="2:3">
      <c r="B362" s="201" t="s">
        <v>2777</v>
      </c>
      <c r="C362" s="201" t="s">
        <v>2447</v>
      </c>
    </row>
    <row r="363" ht="17.25" spans="2:3">
      <c r="B363" s="201" t="s">
        <v>2778</v>
      </c>
      <c r="C363" s="201" t="s">
        <v>2447</v>
      </c>
    </row>
    <row r="364" ht="17.25" spans="2:3">
      <c r="B364" s="201" t="s">
        <v>2779</v>
      </c>
      <c r="C364" s="201" t="s">
        <v>2447</v>
      </c>
    </row>
    <row r="365" ht="17.25" spans="2:3">
      <c r="B365" s="201" t="s">
        <v>2780</v>
      </c>
      <c r="C365" s="201" t="s">
        <v>2447</v>
      </c>
    </row>
    <row r="366" ht="17.25" spans="2:3">
      <c r="B366" s="201" t="s">
        <v>2781</v>
      </c>
      <c r="C366" s="201" t="s">
        <v>2447</v>
      </c>
    </row>
    <row r="367" ht="17.25" spans="2:3">
      <c r="B367" s="201" t="s">
        <v>2782</v>
      </c>
      <c r="C367" s="201" t="s">
        <v>2447</v>
      </c>
    </row>
    <row r="368" ht="17.25" spans="2:3">
      <c r="B368" s="201" t="s">
        <v>2783</v>
      </c>
      <c r="C368" s="201" t="s">
        <v>2447</v>
      </c>
    </row>
    <row r="369" ht="17.25" spans="2:3">
      <c r="B369" s="201" t="s">
        <v>2784</v>
      </c>
      <c r="C369" s="201" t="s">
        <v>2447</v>
      </c>
    </row>
    <row r="370" ht="17.25" spans="2:3">
      <c r="B370" s="201" t="s">
        <v>2785</v>
      </c>
      <c r="C370" s="201" t="s">
        <v>2447</v>
      </c>
    </row>
    <row r="371" ht="17.25" spans="2:3">
      <c r="B371" s="201" t="s">
        <v>2786</v>
      </c>
      <c r="C371" s="201" t="s">
        <v>2447</v>
      </c>
    </row>
    <row r="372" ht="17.25" spans="2:3">
      <c r="B372" s="201" t="s">
        <v>2787</v>
      </c>
      <c r="C372" s="201" t="s">
        <v>2447</v>
      </c>
    </row>
    <row r="373" ht="17.25" spans="2:3">
      <c r="B373" s="201" t="s">
        <v>2788</v>
      </c>
      <c r="C373" s="201" t="s">
        <v>2447</v>
      </c>
    </row>
    <row r="374" ht="17.25" spans="2:3">
      <c r="B374" s="201" t="s">
        <v>2789</v>
      </c>
      <c r="C374" s="201" t="s">
        <v>2447</v>
      </c>
    </row>
    <row r="375" ht="17.25" spans="2:3">
      <c r="B375" s="201" t="s">
        <v>2790</v>
      </c>
      <c r="C375" s="201" t="s">
        <v>2447</v>
      </c>
    </row>
    <row r="376" ht="17.25" spans="2:3">
      <c r="B376" s="201" t="s">
        <v>2791</v>
      </c>
      <c r="C376" s="201" t="s">
        <v>2447</v>
      </c>
    </row>
    <row r="377" ht="17.25" spans="2:3">
      <c r="B377" s="201" t="s">
        <v>2792</v>
      </c>
      <c r="C377" s="201" t="s">
        <v>2447</v>
      </c>
    </row>
    <row r="378" ht="17.25" spans="2:3">
      <c r="B378" s="201" t="s">
        <v>2793</v>
      </c>
      <c r="C378" s="201" t="s">
        <v>2447</v>
      </c>
    </row>
    <row r="379" ht="17.25" spans="2:3">
      <c r="B379" s="201" t="s">
        <v>2794</v>
      </c>
      <c r="C379" s="201" t="s">
        <v>2447</v>
      </c>
    </row>
    <row r="380" ht="17.25" spans="2:3">
      <c r="B380" s="201" t="s">
        <v>2795</v>
      </c>
      <c r="C380" s="201" t="s">
        <v>2447</v>
      </c>
    </row>
    <row r="381" ht="17.25" spans="2:3">
      <c r="B381" s="201" t="s">
        <v>2796</v>
      </c>
      <c r="C381" s="201" t="s">
        <v>2447</v>
      </c>
    </row>
    <row r="382" ht="17.25" spans="2:3">
      <c r="B382" s="201" t="s">
        <v>2797</v>
      </c>
      <c r="C382" s="201" t="s">
        <v>2447</v>
      </c>
    </row>
    <row r="383" ht="17.25" spans="2:3">
      <c r="B383" s="201" t="s">
        <v>2798</v>
      </c>
      <c r="C383" s="201"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216" activePane="bottomRight" state="frozen"/>
      <selection/>
      <selection pane="topRight"/>
      <selection pane="bottomLeft"/>
      <selection pane="bottomRight" activeCell="I141" sqref="I141"/>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762</v>
      </c>
      <c r="B1" s="92" t="s">
        <v>2799</v>
      </c>
      <c r="C1" s="93" t="s">
        <v>764</v>
      </c>
      <c r="D1" s="93"/>
      <c r="E1" s="93"/>
      <c r="F1" s="93"/>
      <c r="G1" s="94"/>
      <c r="H1" s="95" t="s">
        <v>2800</v>
      </c>
      <c r="I1" s="134" t="s">
        <v>2801</v>
      </c>
      <c r="J1" s="135" t="s">
        <v>2802</v>
      </c>
      <c r="K1" s="136" t="s">
        <v>2803</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2804</v>
      </c>
      <c r="BI1" s="163"/>
      <c r="BJ1" s="164"/>
      <c r="BK1" s="162" t="s">
        <v>2804</v>
      </c>
      <c r="BL1" s="163"/>
      <c r="BM1" s="164"/>
      <c r="BN1" s="162" t="s">
        <v>2804</v>
      </c>
      <c r="BO1" s="163"/>
      <c r="BP1" s="164"/>
      <c r="BQ1" s="162" t="s">
        <v>2804</v>
      </c>
      <c r="BR1" s="163"/>
      <c r="BS1" s="164"/>
      <c r="BT1" s="162" t="s">
        <v>2804</v>
      </c>
      <c r="BU1" s="163"/>
      <c r="BV1" s="164"/>
      <c r="BW1" s="162" t="s">
        <v>2804</v>
      </c>
      <c r="BX1" s="163"/>
      <c r="BY1" s="164"/>
      <c r="BZ1" s="162" t="s">
        <v>2804</v>
      </c>
      <c r="CA1" s="163"/>
      <c r="CB1" s="164"/>
      <c r="CC1" s="162" t="s">
        <v>2804</v>
      </c>
      <c r="CD1" s="163"/>
      <c r="CE1" s="164"/>
      <c r="CF1" s="162" t="s">
        <v>2804</v>
      </c>
      <c r="CG1" s="163"/>
      <c r="CH1" s="164"/>
      <c r="CI1" s="162" t="s">
        <v>2804</v>
      </c>
      <c r="CJ1" s="163"/>
      <c r="CK1" s="164"/>
      <c r="CL1" s="162" t="s">
        <v>2804</v>
      </c>
      <c r="CM1" s="163"/>
      <c r="CN1" s="164"/>
      <c r="CO1" s="162" t="s">
        <v>2804</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766</v>
      </c>
      <c r="Y2" s="158"/>
      <c r="Z2" s="159"/>
      <c r="AA2" s="155" t="s">
        <v>767</v>
      </c>
      <c r="AB2" s="158"/>
      <c r="AC2" s="159"/>
      <c r="AD2" s="155" t="s">
        <v>768</v>
      </c>
      <c r="AE2" s="158"/>
      <c r="AF2" s="159"/>
      <c r="AG2" s="155" t="s">
        <v>769</v>
      </c>
      <c r="AH2" s="158"/>
      <c r="AI2" s="159"/>
      <c r="AJ2" s="155" t="s">
        <v>770</v>
      </c>
      <c r="AK2" s="158"/>
      <c r="AL2" s="159"/>
      <c r="AM2" s="155" t="s">
        <v>771</v>
      </c>
      <c r="AN2" s="158"/>
      <c r="AO2" s="159"/>
      <c r="AP2" s="155" t="s">
        <v>772</v>
      </c>
      <c r="AQ2" s="158"/>
      <c r="AR2" s="159"/>
      <c r="AS2" s="155" t="s">
        <v>773</v>
      </c>
      <c r="AT2" s="158"/>
      <c r="AU2" s="159"/>
      <c r="AV2" s="155" t="s">
        <v>774</v>
      </c>
      <c r="AW2" s="158"/>
      <c r="AX2" s="159"/>
      <c r="AY2" s="155" t="s">
        <v>775</v>
      </c>
      <c r="AZ2" s="158"/>
      <c r="BA2" s="159"/>
      <c r="BB2" s="155" t="s">
        <v>776</v>
      </c>
      <c r="BC2" s="158"/>
      <c r="BD2" s="159"/>
      <c r="BE2" s="155" t="s">
        <v>777</v>
      </c>
      <c r="BF2" s="158"/>
      <c r="BG2" s="159"/>
      <c r="BH2" s="162" t="s">
        <v>766</v>
      </c>
      <c r="BI2" s="163"/>
      <c r="BJ2" s="164"/>
      <c r="BK2" s="162" t="s">
        <v>767</v>
      </c>
      <c r="BL2" s="163"/>
      <c r="BM2" s="164"/>
      <c r="BN2" s="162" t="s">
        <v>768</v>
      </c>
      <c r="BO2" s="163"/>
      <c r="BP2" s="164"/>
      <c r="BQ2" s="162" t="s">
        <v>769</v>
      </c>
      <c r="BR2" s="163"/>
      <c r="BS2" s="164"/>
      <c r="BT2" s="162" t="s">
        <v>770</v>
      </c>
      <c r="BU2" s="163"/>
      <c r="BV2" s="164"/>
      <c r="BW2" s="162" t="s">
        <v>771</v>
      </c>
      <c r="BX2" s="163"/>
      <c r="BY2" s="164"/>
      <c r="BZ2" s="162" t="s">
        <v>772</v>
      </c>
      <c r="CA2" s="163"/>
      <c r="CB2" s="164"/>
      <c r="CC2" s="162" t="s">
        <v>773</v>
      </c>
      <c r="CD2" s="163"/>
      <c r="CE2" s="164"/>
      <c r="CF2" s="162" t="s">
        <v>774</v>
      </c>
      <c r="CG2" s="163"/>
      <c r="CH2" s="164"/>
      <c r="CI2" s="162" t="s">
        <v>775</v>
      </c>
      <c r="CJ2" s="163"/>
      <c r="CK2" s="164"/>
      <c r="CL2" s="162" t="s">
        <v>776</v>
      </c>
      <c r="CM2" s="163"/>
      <c r="CN2" s="164"/>
      <c r="CO2" s="162" t="s">
        <v>777</v>
      </c>
      <c r="CP2" s="163"/>
      <c r="CQ2" s="164"/>
    </row>
    <row r="3" s="80" customFormat="1" ht="42.95" customHeight="1" spans="1:95">
      <c r="A3" s="99"/>
      <c r="B3" s="100"/>
      <c r="C3" s="101" t="s">
        <v>778</v>
      </c>
      <c r="D3" s="93" t="s">
        <v>3</v>
      </c>
      <c r="E3" s="93" t="s">
        <v>779</v>
      </c>
      <c r="F3" s="93" t="s">
        <v>780</v>
      </c>
      <c r="G3" s="93" t="s">
        <v>781</v>
      </c>
      <c r="I3" s="134"/>
      <c r="J3" s="141"/>
      <c r="K3" s="142" t="s">
        <v>2805</v>
      </c>
      <c r="L3" s="142" t="s">
        <v>2806</v>
      </c>
      <c r="M3" s="142" t="s">
        <v>2807</v>
      </c>
      <c r="N3" s="143" t="s">
        <v>2808</v>
      </c>
      <c r="O3" s="142" t="s">
        <v>2809</v>
      </c>
      <c r="P3" s="143" t="s">
        <v>2810</v>
      </c>
      <c r="Q3" s="142" t="s">
        <v>2811</v>
      </c>
      <c r="R3" s="142" t="s">
        <v>2812</v>
      </c>
      <c r="S3" s="142" t="s">
        <v>2813</v>
      </c>
      <c r="T3" s="143" t="s">
        <v>2814</v>
      </c>
      <c r="U3" s="142" t="s">
        <v>2815</v>
      </c>
      <c r="V3" s="142" t="s">
        <v>2816</v>
      </c>
      <c r="W3" s="143" t="s">
        <v>2817</v>
      </c>
      <c r="X3" s="80" t="s">
        <v>2818</v>
      </c>
      <c r="Y3" s="134" t="s">
        <v>2819</v>
      </c>
      <c r="Z3" s="141" t="s">
        <v>2820</v>
      </c>
      <c r="AA3" s="80" t="s">
        <v>2818</v>
      </c>
      <c r="AB3" s="134" t="s">
        <v>2819</v>
      </c>
      <c r="AC3" s="141" t="s">
        <v>2820</v>
      </c>
      <c r="AD3" s="80" t="s">
        <v>2818</v>
      </c>
      <c r="AE3" s="134" t="s">
        <v>2819</v>
      </c>
      <c r="AF3" s="141" t="s">
        <v>2820</v>
      </c>
      <c r="AG3" s="80" t="s">
        <v>2818</v>
      </c>
      <c r="AH3" s="134" t="s">
        <v>2819</v>
      </c>
      <c r="AI3" s="141" t="s">
        <v>2820</v>
      </c>
      <c r="AJ3" s="80" t="s">
        <v>2818</v>
      </c>
      <c r="AK3" s="134" t="s">
        <v>2819</v>
      </c>
      <c r="AL3" s="141" t="s">
        <v>2820</v>
      </c>
      <c r="AM3" s="80" t="s">
        <v>2818</v>
      </c>
      <c r="AN3" s="134" t="s">
        <v>2819</v>
      </c>
      <c r="AO3" s="141" t="s">
        <v>2820</v>
      </c>
      <c r="AP3" s="80" t="s">
        <v>2818</v>
      </c>
      <c r="AQ3" s="134" t="s">
        <v>2819</v>
      </c>
      <c r="AR3" s="141" t="s">
        <v>2820</v>
      </c>
      <c r="AS3" s="80" t="s">
        <v>2818</v>
      </c>
      <c r="AT3" s="134" t="s">
        <v>2819</v>
      </c>
      <c r="AU3" s="141" t="s">
        <v>2820</v>
      </c>
      <c r="AV3" s="80" t="s">
        <v>2818</v>
      </c>
      <c r="AW3" s="134" t="s">
        <v>2819</v>
      </c>
      <c r="AX3" s="141" t="s">
        <v>2820</v>
      </c>
      <c r="AY3" s="80" t="s">
        <v>2818</v>
      </c>
      <c r="AZ3" s="134" t="s">
        <v>2819</v>
      </c>
      <c r="BA3" s="141" t="s">
        <v>2820</v>
      </c>
      <c r="BB3" s="80" t="s">
        <v>2818</v>
      </c>
      <c r="BC3" s="134" t="s">
        <v>2819</v>
      </c>
      <c r="BD3" s="141" t="s">
        <v>2820</v>
      </c>
      <c r="BE3" s="80" t="s">
        <v>2818</v>
      </c>
      <c r="BF3" s="134" t="s">
        <v>2819</v>
      </c>
      <c r="BG3" s="141" t="s">
        <v>2820</v>
      </c>
      <c r="BH3" s="80" t="s">
        <v>2818</v>
      </c>
      <c r="BI3" s="134" t="s">
        <v>2819</v>
      </c>
      <c r="BJ3" s="141" t="s">
        <v>2820</v>
      </c>
      <c r="BK3" s="80" t="s">
        <v>2818</v>
      </c>
      <c r="BL3" s="134" t="s">
        <v>2819</v>
      </c>
      <c r="BM3" s="141" t="s">
        <v>2820</v>
      </c>
      <c r="BN3" s="80" t="s">
        <v>2818</v>
      </c>
      <c r="BO3" s="134" t="s">
        <v>2819</v>
      </c>
      <c r="BP3" s="141" t="s">
        <v>2820</v>
      </c>
      <c r="BQ3" s="80" t="s">
        <v>2818</v>
      </c>
      <c r="BR3" s="134" t="s">
        <v>2819</v>
      </c>
      <c r="BS3" s="141" t="s">
        <v>2820</v>
      </c>
      <c r="BT3" s="80" t="s">
        <v>2818</v>
      </c>
      <c r="BU3" s="134" t="s">
        <v>2819</v>
      </c>
      <c r="BV3" s="141" t="s">
        <v>2820</v>
      </c>
      <c r="BW3" s="80" t="s">
        <v>2818</v>
      </c>
      <c r="BX3" s="134" t="s">
        <v>2819</v>
      </c>
      <c r="BY3" s="141" t="s">
        <v>2820</v>
      </c>
      <c r="BZ3" s="80" t="s">
        <v>2818</v>
      </c>
      <c r="CA3" s="134" t="s">
        <v>2819</v>
      </c>
      <c r="CB3" s="141" t="s">
        <v>2820</v>
      </c>
      <c r="CC3" s="80" t="s">
        <v>2818</v>
      </c>
      <c r="CD3" s="134" t="s">
        <v>2819</v>
      </c>
      <c r="CE3" s="141" t="s">
        <v>2820</v>
      </c>
      <c r="CF3" s="80" t="s">
        <v>2818</v>
      </c>
      <c r="CG3" s="134" t="s">
        <v>2819</v>
      </c>
      <c r="CH3" s="141" t="s">
        <v>2820</v>
      </c>
      <c r="CI3" s="80" t="s">
        <v>2818</v>
      </c>
      <c r="CJ3" s="134" t="s">
        <v>2819</v>
      </c>
      <c r="CK3" s="141" t="s">
        <v>2820</v>
      </c>
      <c r="CL3" s="80" t="s">
        <v>2818</v>
      </c>
      <c r="CM3" s="134" t="s">
        <v>2819</v>
      </c>
      <c r="CN3" s="141" t="s">
        <v>2820</v>
      </c>
      <c r="CO3" s="80" t="s">
        <v>2818</v>
      </c>
      <c r="CP3" s="134" t="s">
        <v>2819</v>
      </c>
      <c r="CQ3" s="141" t="s">
        <v>2820</v>
      </c>
    </row>
    <row r="4" s="81" customFormat="1" ht="33.95" customHeight="1" spans="2:95">
      <c r="B4" s="102" t="s">
        <v>794</v>
      </c>
      <c r="C4" s="103">
        <v>1</v>
      </c>
      <c r="D4" s="81" t="s">
        <v>795</v>
      </c>
      <c r="E4" s="81" t="s">
        <v>796</v>
      </c>
      <c r="F4" s="104"/>
      <c r="G4" s="105"/>
      <c r="H4" s="106">
        <f>X4+AA4+AD4+AG4+AJ4+AM4+AP4+AS4+AV4+AY4+BB4+BE4</f>
        <v>376586.922641509</v>
      </c>
      <c r="I4" s="106">
        <f t="shared" ref="I4:J4" si="0">Y4+AB4+AE4+AH4+AK4+AN4+AQ4+AT4+AW4+AZ4+BC4+BF4</f>
        <v>161463.224011372</v>
      </c>
      <c r="J4" s="106">
        <f t="shared" si="0"/>
        <v>215123.698630137</v>
      </c>
      <c r="K4" s="106"/>
      <c r="L4" s="144"/>
      <c r="M4" s="144"/>
      <c r="N4" s="106"/>
      <c r="O4" s="144"/>
      <c r="P4" s="106"/>
      <c r="Q4" s="106"/>
      <c r="R4" s="106"/>
      <c r="S4" s="106"/>
      <c r="T4" s="106"/>
      <c r="U4" s="106"/>
      <c r="V4" s="106"/>
      <c r="W4" s="106"/>
      <c r="X4" s="106">
        <f t="shared" ref="X4:BC4" si="1">X5+X508+X536+X597+X603+X616</f>
        <v>76001.5079245283</v>
      </c>
      <c r="Y4" s="106">
        <f t="shared" si="1"/>
        <v>56229.4531300076</v>
      </c>
      <c r="Z4" s="106">
        <f t="shared" si="1"/>
        <v>19772.0547945206</v>
      </c>
      <c r="AA4" s="106">
        <f t="shared" si="1"/>
        <v>27325.9467924528</v>
      </c>
      <c r="AB4" s="106">
        <f t="shared" si="1"/>
        <v>9467.3166554665</v>
      </c>
      <c r="AC4" s="106">
        <f t="shared" si="1"/>
        <v>17858.6301369863</v>
      </c>
      <c r="AD4" s="106">
        <f t="shared" si="1"/>
        <v>27325.9467924528</v>
      </c>
      <c r="AE4" s="106">
        <f t="shared" si="1"/>
        <v>6184.04254995629</v>
      </c>
      <c r="AF4" s="106">
        <f t="shared" si="1"/>
        <v>21141.9042424965</v>
      </c>
      <c r="AG4" s="106">
        <f t="shared" si="1"/>
        <v>27325.9467924528</v>
      </c>
      <c r="AH4" s="106">
        <f t="shared" si="1"/>
        <v>5987.61919834041</v>
      </c>
      <c r="AI4" s="106">
        <f t="shared" si="1"/>
        <v>21338.3275941124</v>
      </c>
      <c r="AJ4" s="106">
        <f t="shared" si="1"/>
        <v>27325.9467924528</v>
      </c>
      <c r="AK4" s="106">
        <f t="shared" si="1"/>
        <v>4035.67857247036</v>
      </c>
      <c r="AL4" s="106">
        <f t="shared" si="1"/>
        <v>23290.2682199824</v>
      </c>
      <c r="AM4" s="106">
        <f t="shared" si="1"/>
        <v>27325.9467924528</v>
      </c>
      <c r="AN4" s="106">
        <f t="shared" si="1"/>
        <v>4786.97754730852</v>
      </c>
      <c r="AO4" s="106">
        <f t="shared" si="1"/>
        <v>22538.9692451442</v>
      </c>
      <c r="AP4" s="106">
        <f t="shared" si="1"/>
        <v>27325.9467924528</v>
      </c>
      <c r="AQ4" s="106">
        <f t="shared" si="1"/>
        <v>4848.79332656872</v>
      </c>
      <c r="AR4" s="106">
        <f t="shared" si="1"/>
        <v>22477.153465884</v>
      </c>
      <c r="AS4" s="106">
        <f t="shared" si="1"/>
        <v>27325.9467924528</v>
      </c>
      <c r="AT4" s="106">
        <f t="shared" si="1"/>
        <v>4848.79332656872</v>
      </c>
      <c r="AU4" s="106">
        <f t="shared" si="1"/>
        <v>22477.153465884</v>
      </c>
      <c r="AV4" s="106">
        <f t="shared" si="1"/>
        <v>27325.9467924528</v>
      </c>
      <c r="AW4" s="106">
        <f t="shared" si="1"/>
        <v>5573.86279321016</v>
      </c>
      <c r="AX4" s="106">
        <f t="shared" si="1"/>
        <v>21752.0839992426</v>
      </c>
      <c r="AY4" s="106">
        <f t="shared" si="1"/>
        <v>27325.9467924528</v>
      </c>
      <c r="AZ4" s="106">
        <f t="shared" si="1"/>
        <v>4848.79332656872</v>
      </c>
      <c r="BA4" s="106">
        <f t="shared" si="1"/>
        <v>22477.153465884</v>
      </c>
      <c r="BB4" s="106">
        <f t="shared" si="1"/>
        <v>27325.9467924528</v>
      </c>
      <c r="BC4" s="106">
        <f t="shared" si="1"/>
        <v>27325.9467924528</v>
      </c>
      <c r="BD4" s="106">
        <f t="shared" ref="BD4:CI4" si="2">BD5+BD508+BD536+BD597+BD603+BD616</f>
        <v>0</v>
      </c>
      <c r="BE4" s="106">
        <f t="shared" si="2"/>
        <v>27325.9467924528</v>
      </c>
      <c r="BF4" s="106">
        <f t="shared" si="2"/>
        <v>27325.9467924528</v>
      </c>
      <c r="BG4" s="106">
        <f t="shared" si="2"/>
        <v>0</v>
      </c>
      <c r="BH4" s="106">
        <f t="shared" si="2"/>
        <v>76001.5079245283</v>
      </c>
      <c r="BI4" s="106">
        <f t="shared" si="2"/>
        <v>76001.5079245282</v>
      </c>
      <c r="BJ4" s="106">
        <f t="shared" si="2"/>
        <v>0</v>
      </c>
      <c r="BK4" s="106">
        <f t="shared" si="2"/>
        <v>27325.9467924528</v>
      </c>
      <c r="BL4" s="106">
        <f t="shared" si="2"/>
        <v>27325.9467924528</v>
      </c>
      <c r="BM4" s="106">
        <f t="shared" si="2"/>
        <v>0</v>
      </c>
      <c r="BN4" s="106">
        <f t="shared" si="2"/>
        <v>27325.9467924528</v>
      </c>
      <c r="BO4" s="106">
        <f t="shared" si="2"/>
        <v>27325.9467924528</v>
      </c>
      <c r="BP4" s="106">
        <f t="shared" si="2"/>
        <v>0</v>
      </c>
      <c r="BQ4" s="106">
        <f t="shared" si="2"/>
        <v>27325.9467924528</v>
      </c>
      <c r="BR4" s="106">
        <f t="shared" si="2"/>
        <v>27325.9467924528</v>
      </c>
      <c r="BS4" s="106">
        <f t="shared" si="2"/>
        <v>0</v>
      </c>
      <c r="BT4" s="106">
        <f t="shared" si="2"/>
        <v>27325.9467924528</v>
      </c>
      <c r="BU4" s="106">
        <f t="shared" si="2"/>
        <v>27325.9467924528</v>
      </c>
      <c r="BV4" s="106">
        <f t="shared" si="2"/>
        <v>0</v>
      </c>
      <c r="BW4" s="106">
        <f t="shared" si="2"/>
        <v>27325.9467924528</v>
      </c>
      <c r="BX4" s="106">
        <f t="shared" si="2"/>
        <v>27325.9467924528</v>
      </c>
      <c r="BY4" s="106">
        <f t="shared" si="2"/>
        <v>0</v>
      </c>
      <c r="BZ4" s="106">
        <f t="shared" si="2"/>
        <v>27325.9467924528</v>
      </c>
      <c r="CA4" s="106">
        <f t="shared" si="2"/>
        <v>27325.9467924528</v>
      </c>
      <c r="CB4" s="106">
        <f t="shared" si="2"/>
        <v>0</v>
      </c>
      <c r="CC4" s="106">
        <f t="shared" si="2"/>
        <v>27325.9467924528</v>
      </c>
      <c r="CD4" s="106">
        <f t="shared" si="2"/>
        <v>27325.9467924528</v>
      </c>
      <c r="CE4" s="106">
        <f t="shared" si="2"/>
        <v>0</v>
      </c>
      <c r="CF4" s="106">
        <f t="shared" si="2"/>
        <v>27325.9467924528</v>
      </c>
      <c r="CG4" s="106">
        <f t="shared" si="2"/>
        <v>27325.9467924528</v>
      </c>
      <c r="CH4" s="106">
        <f t="shared" si="2"/>
        <v>0</v>
      </c>
      <c r="CI4" s="106">
        <f t="shared" si="2"/>
        <v>27325.9467924528</v>
      </c>
      <c r="CJ4" s="106">
        <f t="shared" ref="CJ4:CQ4" si="3">CJ5+CJ508+CJ536+CJ597+CJ603+CJ616</f>
        <v>27325.9467924528</v>
      </c>
      <c r="CK4" s="106">
        <f t="shared" si="3"/>
        <v>0</v>
      </c>
      <c r="CL4" s="106">
        <f t="shared" si="3"/>
        <v>27325.9467924528</v>
      </c>
      <c r="CM4" s="106">
        <f t="shared" si="3"/>
        <v>27325.9467924528</v>
      </c>
      <c r="CN4" s="106">
        <f t="shared" si="3"/>
        <v>0</v>
      </c>
      <c r="CO4" s="106">
        <f t="shared" si="3"/>
        <v>27325.9467924528</v>
      </c>
      <c r="CP4" s="106">
        <f t="shared" si="3"/>
        <v>27325.9467924528</v>
      </c>
      <c r="CQ4" s="106">
        <f t="shared" si="3"/>
        <v>0</v>
      </c>
    </row>
    <row r="5" s="82" customFormat="1" ht="24" customHeight="1" spans="1:95">
      <c r="A5" s="107"/>
      <c r="B5" s="108" t="s">
        <v>794</v>
      </c>
      <c r="C5" s="109">
        <v>1.1</v>
      </c>
      <c r="D5" s="107" t="s">
        <v>214</v>
      </c>
      <c r="E5" s="108"/>
      <c r="F5" s="108"/>
      <c r="G5" s="107"/>
      <c r="H5" s="110">
        <f t="shared" ref="H5:I8" si="4">X5+AA5+AD5+AG5+AJ5+AM5+AP5+AS5+AV5+AY5+BB5+BE5</f>
        <v>329146.922641509</v>
      </c>
      <c r="I5" s="110">
        <f t="shared" si="4"/>
        <v>114023.224011372</v>
      </c>
      <c r="J5" s="110">
        <f t="shared" ref="J5:J68" si="5">Z5+AC5+AF5+AI5+AL5+AO5+AR5+AU5+AX5+BA5+BD5+BG5</f>
        <v>215123.698630137</v>
      </c>
      <c r="K5" s="110"/>
      <c r="L5" s="145"/>
      <c r="M5" s="145"/>
      <c r="N5" s="110"/>
      <c r="O5" s="145"/>
      <c r="P5" s="110"/>
      <c r="Q5" s="110"/>
      <c r="R5" s="110"/>
      <c r="S5" s="110"/>
      <c r="T5" s="110"/>
      <c r="U5" s="110"/>
      <c r="V5" s="110"/>
      <c r="W5" s="110"/>
      <c r="X5" s="110">
        <f>VLOOKUP($C5,'1 预算编制表单'!$C:$BJ,27,FALSE)</f>
        <v>32961.5079245283</v>
      </c>
      <c r="Y5" s="110">
        <f t="shared" ref="Y5:BG5" si="6">Y6+Y177+Y428</f>
        <v>13189.4531300077</v>
      </c>
      <c r="Z5" s="110">
        <f t="shared" si="6"/>
        <v>19772.0547945206</v>
      </c>
      <c r="AA5" s="110">
        <f>VLOOKUP($C5,'1 预算编制表单'!$C:$BJ,30,FALSE)</f>
        <v>26925.9467924528</v>
      </c>
      <c r="AB5" s="110">
        <f t="shared" si="6"/>
        <v>9067.3166554665</v>
      </c>
      <c r="AC5" s="110">
        <f t="shared" si="6"/>
        <v>17858.6301369863</v>
      </c>
      <c r="AD5" s="110">
        <f>VLOOKUP($C5,'1 预算编制表单'!$C:$BJ,33,FALSE)</f>
        <v>26925.9467924528</v>
      </c>
      <c r="AE5" s="110">
        <f t="shared" si="6"/>
        <v>5784.04254995629</v>
      </c>
      <c r="AF5" s="110">
        <f t="shared" si="6"/>
        <v>21141.9042424965</v>
      </c>
      <c r="AG5" s="110">
        <f>VLOOKUP($C5,'1 预算编制表单'!$C:$BJ,36,FALSE)</f>
        <v>26925.9467924528</v>
      </c>
      <c r="AH5" s="110">
        <f t="shared" si="6"/>
        <v>5587.61919834041</v>
      </c>
      <c r="AI5" s="110">
        <f t="shared" si="6"/>
        <v>21338.3275941124</v>
      </c>
      <c r="AJ5" s="110">
        <f>VLOOKUP($C5,'1 预算编制表单'!$C:$BJ,39,FALSE)</f>
        <v>26925.9467924528</v>
      </c>
      <c r="AK5" s="110">
        <f t="shared" si="6"/>
        <v>3635.67857247036</v>
      </c>
      <c r="AL5" s="110">
        <f t="shared" si="6"/>
        <v>23290.2682199824</v>
      </c>
      <c r="AM5" s="110">
        <f>VLOOKUP($C5,'1 预算编制表单'!$C:$BJ,42,FALSE)</f>
        <v>26925.9467924528</v>
      </c>
      <c r="AN5" s="110">
        <f t="shared" si="6"/>
        <v>4386.97754730852</v>
      </c>
      <c r="AO5" s="110">
        <f t="shared" si="6"/>
        <v>22538.9692451442</v>
      </c>
      <c r="AP5" s="110">
        <f>VLOOKUP($C5,'1 预算编制表单'!$C:$BJ,45,FALSE)</f>
        <v>26925.9467924528</v>
      </c>
      <c r="AQ5" s="110">
        <f t="shared" si="6"/>
        <v>4448.79332656872</v>
      </c>
      <c r="AR5" s="110">
        <f t="shared" si="6"/>
        <v>22477.153465884</v>
      </c>
      <c r="AS5" s="110">
        <f>VLOOKUP($C5,'1 预算编制表单'!$C:$BJ,48,FALSE)</f>
        <v>26925.9467924528</v>
      </c>
      <c r="AT5" s="110">
        <f t="shared" si="6"/>
        <v>4448.79332656872</v>
      </c>
      <c r="AU5" s="110">
        <f t="shared" si="6"/>
        <v>22477.153465884</v>
      </c>
      <c r="AV5" s="110">
        <f>VLOOKUP($C5,'1 预算编制表单'!$C:$BJ,51,FALSE)</f>
        <v>26925.9467924528</v>
      </c>
      <c r="AW5" s="110">
        <f t="shared" si="6"/>
        <v>5173.86279321016</v>
      </c>
      <c r="AX5" s="110">
        <f t="shared" si="6"/>
        <v>21752.0839992426</v>
      </c>
      <c r="AY5" s="110">
        <f>VLOOKUP($C5,'1 预算编制表单'!$C:$BJ,54,FALSE)</f>
        <v>26925.9467924528</v>
      </c>
      <c r="AZ5" s="110">
        <f t="shared" si="6"/>
        <v>4448.79332656872</v>
      </c>
      <c r="BA5" s="110">
        <f t="shared" si="6"/>
        <v>22477.153465884</v>
      </c>
      <c r="BB5" s="110">
        <f>VLOOKUP($C5,'1 预算编制表单'!$C:$BJ,57,FALSE)</f>
        <v>26925.9467924528</v>
      </c>
      <c r="BC5" s="110">
        <f t="shared" si="6"/>
        <v>26925.9467924528</v>
      </c>
      <c r="BD5" s="110">
        <f t="shared" si="6"/>
        <v>0</v>
      </c>
      <c r="BE5" s="110">
        <f>VLOOKUP($C5,'1 预算编制表单'!$C:$BJ,60,FALSE)</f>
        <v>26925.9467924528</v>
      </c>
      <c r="BF5" s="110">
        <f t="shared" si="6"/>
        <v>26925.9467924528</v>
      </c>
      <c r="BG5" s="110">
        <f t="shared" si="6"/>
        <v>0</v>
      </c>
      <c r="BH5" s="110">
        <f>VLOOKUP($C5,'1 预算编制表单'!$C:$BJ,27,FALSE)</f>
        <v>32961.5079245283</v>
      </c>
      <c r="BI5" s="110">
        <f t="shared" ref="BI5:BM5" si="7">BI6+BI177+BI428</f>
        <v>32961.5079245283</v>
      </c>
      <c r="BJ5" s="110">
        <f t="shared" si="7"/>
        <v>0</v>
      </c>
      <c r="BK5" s="110">
        <f>VLOOKUP($C5,'1 预算编制表单'!$C:$BJ,30,FALSE)</f>
        <v>26925.9467924528</v>
      </c>
      <c r="BL5" s="110">
        <f t="shared" si="7"/>
        <v>26925.9467924528</v>
      </c>
      <c r="BM5" s="110">
        <f t="shared" si="7"/>
        <v>0</v>
      </c>
      <c r="BN5" s="110">
        <f>VLOOKUP($C5,'1 预算编制表单'!$C:$BJ,33,FALSE)</f>
        <v>26925.9467924528</v>
      </c>
      <c r="BO5" s="110">
        <f t="shared" ref="BO5:BS5" si="8">BO6+BO177+BO428</f>
        <v>26925.9467924528</v>
      </c>
      <c r="BP5" s="110">
        <f t="shared" si="8"/>
        <v>0</v>
      </c>
      <c r="BQ5" s="110">
        <f>VLOOKUP($C5,'1 预算编制表单'!$C:$BJ,36,FALSE)</f>
        <v>26925.9467924528</v>
      </c>
      <c r="BR5" s="110">
        <f t="shared" si="8"/>
        <v>26925.9467924528</v>
      </c>
      <c r="BS5" s="110">
        <f t="shared" si="8"/>
        <v>0</v>
      </c>
      <c r="BT5" s="110">
        <f>VLOOKUP($C5,'1 预算编制表单'!$C:$BJ,39,FALSE)</f>
        <v>26925.9467924528</v>
      </c>
      <c r="BU5" s="110">
        <f t="shared" ref="BU5:BY5" si="9">BU6+BU177+BU428</f>
        <v>26925.9467924528</v>
      </c>
      <c r="BV5" s="110">
        <f t="shared" si="9"/>
        <v>0</v>
      </c>
      <c r="BW5" s="110">
        <f>VLOOKUP($C5,'1 预算编制表单'!$C:$BJ,42,FALSE)</f>
        <v>26925.9467924528</v>
      </c>
      <c r="BX5" s="110">
        <f t="shared" si="9"/>
        <v>26925.9467924528</v>
      </c>
      <c r="BY5" s="110">
        <f t="shared" si="9"/>
        <v>0</v>
      </c>
      <c r="BZ5" s="110">
        <f>VLOOKUP($C5,'1 预算编制表单'!$C:$BJ,45,FALSE)</f>
        <v>26925.9467924528</v>
      </c>
      <c r="CA5" s="110">
        <f t="shared" ref="CA5:CE5" si="10">CA6+CA177+CA428</f>
        <v>26925.9467924528</v>
      </c>
      <c r="CB5" s="110">
        <f t="shared" si="10"/>
        <v>0</v>
      </c>
      <c r="CC5" s="110">
        <f>VLOOKUP($C5,'1 预算编制表单'!$C:$BJ,48,FALSE)</f>
        <v>26925.9467924528</v>
      </c>
      <c r="CD5" s="110">
        <f t="shared" si="10"/>
        <v>26925.9467924528</v>
      </c>
      <c r="CE5" s="110">
        <f t="shared" si="10"/>
        <v>0</v>
      </c>
      <c r="CF5" s="110">
        <f>VLOOKUP($C5,'1 预算编制表单'!$C:$BJ,51,FALSE)</f>
        <v>26925.9467924528</v>
      </c>
      <c r="CG5" s="110">
        <f t="shared" ref="CG5:CK5" si="11">CG6+CG177+CG428</f>
        <v>26925.9467924528</v>
      </c>
      <c r="CH5" s="110">
        <f t="shared" si="11"/>
        <v>0</v>
      </c>
      <c r="CI5" s="110">
        <f>VLOOKUP($C5,'1 预算编制表单'!$C:$BJ,54,FALSE)</f>
        <v>26925.9467924528</v>
      </c>
      <c r="CJ5" s="110">
        <f t="shared" si="11"/>
        <v>26925.9467924528</v>
      </c>
      <c r="CK5" s="110">
        <f t="shared" si="11"/>
        <v>0</v>
      </c>
      <c r="CL5" s="110">
        <f>VLOOKUP($C5,'1 预算编制表单'!$C:$BJ,57,FALSE)</f>
        <v>26925.9467924528</v>
      </c>
      <c r="CM5" s="110">
        <f t="shared" ref="CM5:CQ5" si="12">CM6+CM177+CM428</f>
        <v>26925.9467924528</v>
      </c>
      <c r="CN5" s="110">
        <f t="shared" si="12"/>
        <v>0</v>
      </c>
      <c r="CO5" s="110">
        <f>VLOOKUP($C5,'1 预算编制表单'!$C:$BJ,60,FALSE)</f>
        <v>26925.9467924528</v>
      </c>
      <c r="CP5" s="110">
        <f t="shared" si="12"/>
        <v>26925.9467924528</v>
      </c>
      <c r="CQ5" s="110">
        <f t="shared" si="12"/>
        <v>0</v>
      </c>
    </row>
    <row r="6" s="82" customFormat="1" ht="24" customHeight="1" outlineLevel="1" spans="1:95">
      <c r="A6" s="29">
        <f>IF(C6&lt;&gt;"",ROW(),"")</f>
        <v>6</v>
      </c>
      <c r="B6" s="111" t="s">
        <v>794</v>
      </c>
      <c r="C6" s="112" t="s">
        <v>218</v>
      </c>
      <c r="D6" s="29" t="s">
        <v>219</v>
      </c>
      <c r="E6" s="111"/>
      <c r="F6" s="111"/>
      <c r="G6" s="111"/>
      <c r="H6" s="113">
        <f t="shared" si="4"/>
        <v>324429.941509434</v>
      </c>
      <c r="I6" s="113">
        <f t="shared" si="4"/>
        <v>130536.242879296</v>
      </c>
      <c r="J6" s="113">
        <f t="shared" si="5"/>
        <v>193893.698630137</v>
      </c>
      <c r="K6" s="113"/>
      <c r="L6" s="146"/>
      <c r="M6" s="146"/>
      <c r="N6" s="113"/>
      <c r="O6" s="146"/>
      <c r="P6" s="113"/>
      <c r="Q6" s="113"/>
      <c r="R6" s="113"/>
      <c r="S6" s="113"/>
      <c r="T6" s="113"/>
      <c r="U6" s="113"/>
      <c r="V6" s="113"/>
      <c r="W6" s="113"/>
      <c r="X6" s="113">
        <f>VLOOKUP($C6,'1 预算编制表单'!$C:$BJ,27,FALSE)</f>
        <v>28244.5267924528</v>
      </c>
      <c r="Y6" s="113">
        <f>X6-Z6</f>
        <v>8472.4719979322</v>
      </c>
      <c r="Z6" s="113">
        <f>Z7+Z26+Z45+Z70+Z95+Z114+Z139+Z158</f>
        <v>19772.0547945206</v>
      </c>
      <c r="AA6" s="113">
        <f>VLOOKUP($C6,'1 预算编制表单'!$C:$BJ,30,FALSE)</f>
        <v>26925.9467924528</v>
      </c>
      <c r="AB6" s="113">
        <f>AA6-AC6</f>
        <v>9067.3166554665</v>
      </c>
      <c r="AC6" s="113">
        <f>AC7+AC26+AC45+AC70+AC95+AC114+AC139+AC158</f>
        <v>17858.6301369863</v>
      </c>
      <c r="AD6" s="113">
        <f>VLOOKUP($C6,'1 预算编制表单'!$C:$BJ,33,FALSE)</f>
        <v>26925.9467924528</v>
      </c>
      <c r="AE6" s="113">
        <f>AD6-AF6</f>
        <v>7153.8919979322</v>
      </c>
      <c r="AF6" s="113">
        <f>AF7+AF26+AF45+AF70+AF95+AF114+AF139+AF158</f>
        <v>19772.0547945206</v>
      </c>
      <c r="AG6" s="113">
        <f>VLOOKUP($C6,'1 预算编制表单'!$C:$BJ,36,FALSE)</f>
        <v>26925.9467924528</v>
      </c>
      <c r="AH6" s="113">
        <f>AG6-AI6</f>
        <v>7791.7002171103</v>
      </c>
      <c r="AI6" s="113">
        <f>AI7+AI26+AI45+AI70+AI95+AI114+AI139+AI158</f>
        <v>19134.2465753425</v>
      </c>
      <c r="AJ6" s="113">
        <f>VLOOKUP($C6,'1 预算编制表单'!$C:$BJ,39,FALSE)</f>
        <v>26925.9467924528</v>
      </c>
      <c r="AK6" s="113">
        <f>AJ6-AL6</f>
        <v>7153.8919979322</v>
      </c>
      <c r="AL6" s="113">
        <f>AL7+AL26+AL45+AL70+AL95+AL114+AL139+AL158</f>
        <v>19772.0547945206</v>
      </c>
      <c r="AM6" s="113">
        <f>VLOOKUP($C6,'1 预算编制表单'!$C:$BJ,42,FALSE)</f>
        <v>26925.9467924528</v>
      </c>
      <c r="AN6" s="113">
        <f>AM6-AO6</f>
        <v>7791.7002171103</v>
      </c>
      <c r="AO6" s="113">
        <f>AO7+AO26+AO45+AO70+AO95+AO114+AO139+AO158</f>
        <v>19134.2465753425</v>
      </c>
      <c r="AP6" s="113">
        <f>VLOOKUP($C6,'1 预算编制表单'!$C:$BJ,45,FALSE)</f>
        <v>26925.9467924528</v>
      </c>
      <c r="AQ6" s="113">
        <f>AP6-AR6</f>
        <v>7153.8919979322</v>
      </c>
      <c r="AR6" s="113">
        <f>AR7+AR26+AR45+AR70+AR95+AR114+AR139+AR158</f>
        <v>19772.0547945206</v>
      </c>
      <c r="AS6" s="113">
        <f>VLOOKUP($C6,'1 预算编制表单'!$C:$BJ,48,FALSE)</f>
        <v>26925.9467924528</v>
      </c>
      <c r="AT6" s="113">
        <f>AS6-AU6</f>
        <v>7153.8919979322</v>
      </c>
      <c r="AU6" s="113">
        <f>AU7+AU26+AU45+AU70+AU95+AU114+AU139+AU158</f>
        <v>19772.0547945206</v>
      </c>
      <c r="AV6" s="113">
        <f>VLOOKUP($C6,'1 预算编制表单'!$C:$BJ,51,FALSE)</f>
        <v>26925.9467924528</v>
      </c>
      <c r="AW6" s="113">
        <f>AV6-AX6</f>
        <v>7791.7002171103</v>
      </c>
      <c r="AX6" s="113">
        <f>AX7+AX26+AX45+AX70+AX95+AX114+AX139+AX158</f>
        <v>19134.2465753425</v>
      </c>
      <c r="AY6" s="113">
        <f>VLOOKUP($C6,'1 预算编制表单'!$C:$BJ,54,FALSE)</f>
        <v>26925.9467924528</v>
      </c>
      <c r="AZ6" s="113">
        <f>AY6-BA6</f>
        <v>7153.8919979322</v>
      </c>
      <c r="BA6" s="113">
        <f>BA7+BA26+BA45+BA70+BA95+BA114+BA139+BA158</f>
        <v>19772.0547945206</v>
      </c>
      <c r="BB6" s="113">
        <f>VLOOKUP($C6,'1 预算编制表单'!$C:$BJ,57,FALSE)</f>
        <v>26925.9467924528</v>
      </c>
      <c r="BC6" s="113">
        <f>BB6-BD6</f>
        <v>26925.9467924528</v>
      </c>
      <c r="BD6" s="113">
        <f>BD7+BD26+BD45+BD70+BD95+BD114+BD139+BD158</f>
        <v>0</v>
      </c>
      <c r="BE6" s="113">
        <f>VLOOKUP($C6,'1 预算编制表单'!$C:$BJ,60,FALSE)</f>
        <v>26925.9467924528</v>
      </c>
      <c r="BF6" s="113">
        <f>BE6-BG6</f>
        <v>26925.9467924528</v>
      </c>
      <c r="BG6" s="113">
        <f>BG7+BG26+BG45+BG70+BG95+BG114+BG139+BG158</f>
        <v>0</v>
      </c>
      <c r="BH6" s="113">
        <f>VLOOKUP($C6,'1 预算编制表单'!$C:$BJ,27,FALSE)</f>
        <v>28244.5267924528</v>
      </c>
      <c r="BI6" s="113">
        <f t="shared" ref="BI6:BI8" si="13">BH6-BJ6</f>
        <v>28244.5267924528</v>
      </c>
      <c r="BJ6" s="113">
        <f>BJ7+BJ26+BJ45+BJ70+BJ95+BJ114+BJ139+BJ158</f>
        <v>0</v>
      </c>
      <c r="BK6" s="113">
        <f>VLOOKUP($C6,'1 预算编制表单'!$C:$BJ,30,FALSE)</f>
        <v>26925.9467924528</v>
      </c>
      <c r="BL6" s="113">
        <f t="shared" ref="BL6:BL8" si="14">BK6-BM6</f>
        <v>26925.9467924528</v>
      </c>
      <c r="BM6" s="113">
        <f>BM7+BM26+BM45+BM70+BM95+BM114+BM139+BM158</f>
        <v>0</v>
      </c>
      <c r="BN6" s="113">
        <f>VLOOKUP($C6,'1 预算编制表单'!$C:$BJ,33,FALSE)</f>
        <v>26925.9467924528</v>
      </c>
      <c r="BO6" s="113">
        <f t="shared" ref="BO6:BO8" si="15">BN6-BP6</f>
        <v>26925.9467924528</v>
      </c>
      <c r="BP6" s="113">
        <f>BP7+BP26+BP45+BP70+BP95+BP114+BP139+BP158</f>
        <v>0</v>
      </c>
      <c r="BQ6" s="113">
        <f>VLOOKUP($C6,'1 预算编制表单'!$C:$BJ,36,FALSE)</f>
        <v>26925.9467924528</v>
      </c>
      <c r="BR6" s="113">
        <f t="shared" ref="BR6:BR8" si="16">BQ6-BS6</f>
        <v>26925.9467924528</v>
      </c>
      <c r="BS6" s="113">
        <f>BS7+BS26+BS45+BS70+BS95+BS114+BS139+BS158</f>
        <v>0</v>
      </c>
      <c r="BT6" s="113">
        <f>VLOOKUP($C6,'1 预算编制表单'!$C:$BJ,39,FALSE)</f>
        <v>26925.9467924528</v>
      </c>
      <c r="BU6" s="113">
        <f t="shared" ref="BU6:BU8" si="17">BT6-BV6</f>
        <v>26925.9467924528</v>
      </c>
      <c r="BV6" s="113">
        <f>BV7+BV26+BV45+BV70+BV95+BV114+BV139+BV158</f>
        <v>0</v>
      </c>
      <c r="BW6" s="113">
        <f>VLOOKUP($C6,'1 预算编制表单'!$C:$BJ,42,FALSE)</f>
        <v>26925.9467924528</v>
      </c>
      <c r="BX6" s="113">
        <f t="shared" ref="BX6:BX8" si="18">BW6-BY6</f>
        <v>26925.9467924528</v>
      </c>
      <c r="BY6" s="113">
        <f>BY7+BY26+BY45+BY70+BY95+BY114+BY139+BY158</f>
        <v>0</v>
      </c>
      <c r="BZ6" s="113">
        <f>VLOOKUP($C6,'1 预算编制表单'!$C:$BJ,45,FALSE)</f>
        <v>26925.9467924528</v>
      </c>
      <c r="CA6" s="113">
        <f t="shared" ref="CA6:CA8" si="19">BZ6-CB6</f>
        <v>26925.9467924528</v>
      </c>
      <c r="CB6" s="113">
        <f>CB7+CB26+CB45+CB70+CB95+CB114+CB139+CB158</f>
        <v>0</v>
      </c>
      <c r="CC6" s="113">
        <f>VLOOKUP($C6,'1 预算编制表单'!$C:$BJ,48,FALSE)</f>
        <v>26925.9467924528</v>
      </c>
      <c r="CD6" s="113">
        <f t="shared" ref="CD6:CD8" si="20">CC6-CE6</f>
        <v>26925.9467924528</v>
      </c>
      <c r="CE6" s="113">
        <f>CE7+CE26+CE45+CE70+CE95+CE114+CE139+CE158</f>
        <v>0</v>
      </c>
      <c r="CF6" s="113">
        <f>VLOOKUP($C6,'1 预算编制表单'!$C:$BJ,51,FALSE)</f>
        <v>26925.9467924528</v>
      </c>
      <c r="CG6" s="113">
        <f t="shared" ref="CG6:CG8" si="21">CF6-CH6</f>
        <v>26925.9467924528</v>
      </c>
      <c r="CH6" s="113">
        <f>CH7+CH26+CH45+CH70+CH95+CH114+CH139+CH158</f>
        <v>0</v>
      </c>
      <c r="CI6" s="113">
        <f>VLOOKUP($C6,'1 预算编制表单'!$C:$BJ,54,FALSE)</f>
        <v>26925.9467924528</v>
      </c>
      <c r="CJ6" s="113">
        <f t="shared" ref="CJ6:CJ8" si="22">CI6-CK6</f>
        <v>26925.9467924528</v>
      </c>
      <c r="CK6" s="113">
        <f>CK7+CK26+CK45+CK70+CK95+CK114+CK139+CK158</f>
        <v>0</v>
      </c>
      <c r="CL6" s="113">
        <f>VLOOKUP($C6,'1 预算编制表单'!$C:$BJ,57,FALSE)</f>
        <v>26925.9467924528</v>
      </c>
      <c r="CM6" s="113">
        <f t="shared" ref="CM6:CM8" si="23">CL6-CN6</f>
        <v>26925.9467924528</v>
      </c>
      <c r="CN6" s="113">
        <f>CN7+CN26+CN45+CN70+CN95+CN114+CN139+CN158</f>
        <v>0</v>
      </c>
      <c r="CO6" s="113">
        <f>VLOOKUP($C6,'1 预算编制表单'!$C:$BJ,60,FALSE)</f>
        <v>26925.9467924528</v>
      </c>
      <c r="CP6" s="113">
        <f t="shared" ref="CP6:CP8" si="24">CO6-CQ6</f>
        <v>26925.9467924528</v>
      </c>
      <c r="CQ6" s="113">
        <f>CQ7+CQ26+CQ45+CQ70+CQ95+CQ114+CQ139+CQ158</f>
        <v>0</v>
      </c>
    </row>
    <row r="7" s="82" customFormat="1" ht="24" customHeight="1" outlineLevel="2" spans="1:95">
      <c r="A7" s="48"/>
      <c r="B7" s="114" t="s">
        <v>794</v>
      </c>
      <c r="C7" s="115" t="s">
        <v>797</v>
      </c>
      <c r="D7" s="48" t="s">
        <v>798</v>
      </c>
      <c r="E7" s="114"/>
      <c r="F7" s="114"/>
      <c r="G7" s="114"/>
      <c r="H7" s="116">
        <f t="shared" si="4"/>
        <v>0</v>
      </c>
      <c r="I7" s="116">
        <f t="shared" si="4"/>
        <v>0</v>
      </c>
      <c r="J7" s="116">
        <f t="shared" si="5"/>
        <v>0</v>
      </c>
      <c r="K7" s="116"/>
      <c r="L7" s="147"/>
      <c r="M7" s="147"/>
      <c r="N7" s="116"/>
      <c r="O7" s="147"/>
      <c r="P7" s="116"/>
      <c r="Q7" s="116"/>
      <c r="R7" s="116"/>
      <c r="S7" s="116"/>
      <c r="T7" s="116"/>
      <c r="U7" s="116"/>
      <c r="V7" s="116"/>
      <c r="W7" s="116"/>
      <c r="X7" s="116">
        <f>VLOOKUP($C7,'1 预算编制表单'!$C:$BJ,27,FALSE)</f>
        <v>0</v>
      </c>
      <c r="Y7" s="116">
        <f>X7-Z7</f>
        <v>0</v>
      </c>
      <c r="Z7" s="116">
        <f>Z8+Z14+Z20</f>
        <v>0</v>
      </c>
      <c r="AA7" s="116">
        <f>VLOOKUP($C7,'1 预算编制表单'!$C:$BJ,30,FALSE)</f>
        <v>0</v>
      </c>
      <c r="AB7" s="116">
        <f>AA7-AC7</f>
        <v>0</v>
      </c>
      <c r="AC7" s="116">
        <f>AC8+AC14+AC20</f>
        <v>0</v>
      </c>
      <c r="AD7" s="116">
        <f>VLOOKUP($C7,'1 预算编制表单'!$C:$BJ,33,FALSE)</f>
        <v>0</v>
      </c>
      <c r="AE7" s="116">
        <f>AD7-AF7</f>
        <v>0</v>
      </c>
      <c r="AF7" s="116">
        <f>AF8+AF14+AF20</f>
        <v>0</v>
      </c>
      <c r="AG7" s="116">
        <f>VLOOKUP($C7,'1 预算编制表单'!$C:$BJ,36,FALSE)</f>
        <v>0</v>
      </c>
      <c r="AH7" s="116">
        <f>AG7-AI7</f>
        <v>0</v>
      </c>
      <c r="AI7" s="116">
        <f>AI8+AI14+AI20</f>
        <v>0</v>
      </c>
      <c r="AJ7" s="116">
        <f>VLOOKUP($C7,'1 预算编制表单'!$C:$BJ,39,FALSE)</f>
        <v>0</v>
      </c>
      <c r="AK7" s="116">
        <f>AJ7-AL7</f>
        <v>0</v>
      </c>
      <c r="AL7" s="116">
        <f>AL8+AL14+AL20</f>
        <v>0</v>
      </c>
      <c r="AM7" s="116">
        <f>VLOOKUP($C7,'1 预算编制表单'!$C:$BJ,42,FALSE)</f>
        <v>0</v>
      </c>
      <c r="AN7" s="116">
        <f>AM7-AO7</f>
        <v>0</v>
      </c>
      <c r="AO7" s="116">
        <f>AO8+AO14+AO20</f>
        <v>0</v>
      </c>
      <c r="AP7" s="116">
        <f>VLOOKUP($C7,'1 预算编制表单'!$C:$BJ,45,FALSE)</f>
        <v>0</v>
      </c>
      <c r="AQ7" s="116">
        <f>AP7-AR7</f>
        <v>0</v>
      </c>
      <c r="AR7" s="116">
        <f>AR8+AR14+AR20</f>
        <v>0</v>
      </c>
      <c r="AS7" s="116">
        <f>VLOOKUP($C7,'1 预算编制表单'!$C:$BJ,48,FALSE)</f>
        <v>0</v>
      </c>
      <c r="AT7" s="116">
        <f>AS7-AU7</f>
        <v>0</v>
      </c>
      <c r="AU7" s="116">
        <f>AU8+AU14+AU20</f>
        <v>0</v>
      </c>
      <c r="AV7" s="116">
        <f>VLOOKUP($C7,'1 预算编制表单'!$C:$BJ,51,FALSE)</f>
        <v>0</v>
      </c>
      <c r="AW7" s="116">
        <f>AV7-AX7</f>
        <v>0</v>
      </c>
      <c r="AX7" s="116">
        <f>AX8+AX14+AX20</f>
        <v>0</v>
      </c>
      <c r="AY7" s="116">
        <f>VLOOKUP($C7,'1 预算编制表单'!$C:$BJ,54,FALSE)</f>
        <v>0</v>
      </c>
      <c r="AZ7" s="116">
        <f>AY7-BA7</f>
        <v>0</v>
      </c>
      <c r="BA7" s="116">
        <f>BA8+BA14+BA20</f>
        <v>0</v>
      </c>
      <c r="BB7" s="116">
        <f>VLOOKUP($C7,'1 预算编制表单'!$C:$BJ,57,FALSE)</f>
        <v>0</v>
      </c>
      <c r="BC7" s="116">
        <f>BB7-BD7</f>
        <v>0</v>
      </c>
      <c r="BD7" s="116">
        <f>BD8+BD14+BD20</f>
        <v>0</v>
      </c>
      <c r="BE7" s="116">
        <f>VLOOKUP($C7,'1 预算编制表单'!$C:$BJ,60,FALSE)</f>
        <v>0</v>
      </c>
      <c r="BF7" s="116">
        <f>BE7-BG7</f>
        <v>0</v>
      </c>
      <c r="BG7" s="116">
        <f>BG8+BG14+BG20</f>
        <v>0</v>
      </c>
      <c r="BH7" s="116">
        <f>VLOOKUP($C7,'1 预算编制表单'!$C:$BJ,27,FALSE)</f>
        <v>0</v>
      </c>
      <c r="BI7" s="116">
        <f t="shared" si="13"/>
        <v>0</v>
      </c>
      <c r="BJ7" s="116">
        <f>BJ8+BJ14+BJ20</f>
        <v>0</v>
      </c>
      <c r="BK7" s="116">
        <f>VLOOKUP($C7,'1 预算编制表单'!$C:$BJ,30,FALSE)</f>
        <v>0</v>
      </c>
      <c r="BL7" s="116">
        <f t="shared" si="14"/>
        <v>0</v>
      </c>
      <c r="BM7" s="116">
        <f>BM8+BM14+BM20</f>
        <v>0</v>
      </c>
      <c r="BN7" s="116">
        <f>VLOOKUP($C7,'1 预算编制表单'!$C:$BJ,33,FALSE)</f>
        <v>0</v>
      </c>
      <c r="BO7" s="116">
        <f t="shared" si="15"/>
        <v>0</v>
      </c>
      <c r="BP7" s="116">
        <f>BP8+BP14+BP20</f>
        <v>0</v>
      </c>
      <c r="BQ7" s="116">
        <f>VLOOKUP($C7,'1 预算编制表单'!$C:$BJ,36,FALSE)</f>
        <v>0</v>
      </c>
      <c r="BR7" s="116">
        <f t="shared" si="16"/>
        <v>0</v>
      </c>
      <c r="BS7" s="116">
        <f>BS8+BS14+BS20</f>
        <v>0</v>
      </c>
      <c r="BT7" s="116">
        <f>VLOOKUP($C7,'1 预算编制表单'!$C:$BJ,39,FALSE)</f>
        <v>0</v>
      </c>
      <c r="BU7" s="116">
        <f t="shared" si="17"/>
        <v>0</v>
      </c>
      <c r="BV7" s="116">
        <f>BV8+BV14+BV20</f>
        <v>0</v>
      </c>
      <c r="BW7" s="116">
        <f>VLOOKUP($C7,'1 预算编制表单'!$C:$BJ,42,FALSE)</f>
        <v>0</v>
      </c>
      <c r="BX7" s="116">
        <f t="shared" si="18"/>
        <v>0</v>
      </c>
      <c r="BY7" s="116">
        <f>BY8+BY14+BY20</f>
        <v>0</v>
      </c>
      <c r="BZ7" s="116">
        <f>VLOOKUP($C7,'1 预算编制表单'!$C:$BJ,45,FALSE)</f>
        <v>0</v>
      </c>
      <c r="CA7" s="116">
        <f t="shared" si="19"/>
        <v>0</v>
      </c>
      <c r="CB7" s="116">
        <f>CB8+CB14+CB20</f>
        <v>0</v>
      </c>
      <c r="CC7" s="116">
        <f>VLOOKUP($C7,'1 预算编制表单'!$C:$BJ,48,FALSE)</f>
        <v>0</v>
      </c>
      <c r="CD7" s="116">
        <f t="shared" si="20"/>
        <v>0</v>
      </c>
      <c r="CE7" s="116">
        <f>CE8+CE14+CE20</f>
        <v>0</v>
      </c>
      <c r="CF7" s="116">
        <f>VLOOKUP($C7,'1 预算编制表单'!$C:$BJ,51,FALSE)</f>
        <v>0</v>
      </c>
      <c r="CG7" s="116">
        <f t="shared" si="21"/>
        <v>0</v>
      </c>
      <c r="CH7" s="116">
        <f>CH8+CH14+CH20</f>
        <v>0</v>
      </c>
      <c r="CI7" s="116">
        <f>VLOOKUP($C7,'1 预算编制表单'!$C:$BJ,54,FALSE)</f>
        <v>0</v>
      </c>
      <c r="CJ7" s="116">
        <f t="shared" si="22"/>
        <v>0</v>
      </c>
      <c r="CK7" s="116">
        <f>CK8+CK14+CK20</f>
        <v>0</v>
      </c>
      <c r="CL7" s="116">
        <f>VLOOKUP($C7,'1 预算编制表单'!$C:$BJ,57,FALSE)</f>
        <v>0</v>
      </c>
      <c r="CM7" s="116">
        <f t="shared" si="23"/>
        <v>0</v>
      </c>
      <c r="CN7" s="116">
        <f>CN8+CN14+CN20</f>
        <v>0</v>
      </c>
      <c r="CO7" s="116">
        <f>VLOOKUP($C7,'1 预算编制表单'!$C:$BJ,60,FALSE)</f>
        <v>0</v>
      </c>
      <c r="CP7" s="116">
        <f t="shared" si="24"/>
        <v>0</v>
      </c>
      <c r="CQ7" s="116">
        <f>CQ8+CQ14+CQ20</f>
        <v>0</v>
      </c>
    </row>
    <row r="8" s="82" customFormat="1" ht="24" customHeight="1" outlineLevel="3" spans="1:95">
      <c r="A8" s="117"/>
      <c r="B8" s="118" t="s">
        <v>799</v>
      </c>
      <c r="C8" s="119" t="s">
        <v>108</v>
      </c>
      <c r="D8" s="117" t="s">
        <v>109</v>
      </c>
      <c r="E8" s="118"/>
      <c r="F8" s="118"/>
      <c r="G8" s="118"/>
      <c r="H8" s="120">
        <f t="shared" si="4"/>
        <v>0</v>
      </c>
      <c r="I8" s="120">
        <f t="shared" si="4"/>
        <v>0</v>
      </c>
      <c r="J8" s="120">
        <f t="shared" si="5"/>
        <v>0</v>
      </c>
      <c r="K8" s="120"/>
      <c r="L8" s="148"/>
      <c r="M8" s="148"/>
      <c r="N8" s="120"/>
      <c r="O8" s="148"/>
      <c r="P8" s="120"/>
      <c r="Q8" s="120"/>
      <c r="R8" s="120"/>
      <c r="S8" s="120"/>
      <c r="T8" s="120"/>
      <c r="U8" s="120"/>
      <c r="V8" s="120"/>
      <c r="W8" s="120"/>
      <c r="X8" s="120">
        <f>VLOOKUP($C8,'1 预算编制表单'!$C:$BJ,27,FALSE)</f>
        <v>0</v>
      </c>
      <c r="Y8" s="120">
        <f>X8-Z8</f>
        <v>0</v>
      </c>
      <c r="Z8" s="120">
        <f>SUM(Z9:Z13)</f>
        <v>0</v>
      </c>
      <c r="AA8" s="120">
        <f>VLOOKUP($C8,'1 预算编制表单'!$C:$BJ,30,FALSE)</f>
        <v>0</v>
      </c>
      <c r="AB8" s="120">
        <f>AA8-AC8</f>
        <v>0</v>
      </c>
      <c r="AC8" s="120">
        <f>SUM(AC9:AC13)</f>
        <v>0</v>
      </c>
      <c r="AD8" s="120">
        <f>VLOOKUP($C8,'1 预算编制表单'!$C:$BJ,33,FALSE)</f>
        <v>0</v>
      </c>
      <c r="AE8" s="120">
        <f>AD8-AF8</f>
        <v>0</v>
      </c>
      <c r="AF8" s="120">
        <f>SUM(AF9:AF13)</f>
        <v>0</v>
      </c>
      <c r="AG8" s="120">
        <f>VLOOKUP($C8,'1 预算编制表单'!$C:$BJ,36,FALSE)</f>
        <v>0</v>
      </c>
      <c r="AH8" s="120">
        <f>AG8-AI8</f>
        <v>0</v>
      </c>
      <c r="AI8" s="120">
        <f>SUM(AI9:AI13)</f>
        <v>0</v>
      </c>
      <c r="AJ8" s="120">
        <f>VLOOKUP($C8,'1 预算编制表单'!$C:$BJ,39,FALSE)</f>
        <v>0</v>
      </c>
      <c r="AK8" s="120">
        <f>AJ8-AL8</f>
        <v>0</v>
      </c>
      <c r="AL8" s="120">
        <f>SUM(AL9:AL13)</f>
        <v>0</v>
      </c>
      <c r="AM8" s="120">
        <f>VLOOKUP($C8,'1 预算编制表单'!$C:$BJ,42,FALSE)</f>
        <v>0</v>
      </c>
      <c r="AN8" s="120">
        <f>AM8-AO8</f>
        <v>0</v>
      </c>
      <c r="AO8" s="120">
        <f>SUM(AO9:AO13)</f>
        <v>0</v>
      </c>
      <c r="AP8" s="120">
        <f>VLOOKUP($C8,'1 预算编制表单'!$C:$BJ,45,FALSE)</f>
        <v>0</v>
      </c>
      <c r="AQ8" s="120">
        <f>AP8-AR8</f>
        <v>0</v>
      </c>
      <c r="AR8" s="120">
        <f>SUM(AR9:AR13)</f>
        <v>0</v>
      </c>
      <c r="AS8" s="120">
        <f>VLOOKUP($C8,'1 预算编制表单'!$C:$BJ,48,FALSE)</f>
        <v>0</v>
      </c>
      <c r="AT8" s="120">
        <f>AS8-AU8</f>
        <v>0</v>
      </c>
      <c r="AU8" s="120">
        <f>SUM(AU9:AU13)</f>
        <v>0</v>
      </c>
      <c r="AV8" s="120">
        <f>VLOOKUP($C8,'1 预算编制表单'!$C:$BJ,51,FALSE)</f>
        <v>0</v>
      </c>
      <c r="AW8" s="120">
        <f>AV8-AX8</f>
        <v>0</v>
      </c>
      <c r="AX8" s="120">
        <f>SUM(AX9:AX13)</f>
        <v>0</v>
      </c>
      <c r="AY8" s="120">
        <f>VLOOKUP($C8,'1 预算编制表单'!$C:$BJ,54,FALSE)</f>
        <v>0</v>
      </c>
      <c r="AZ8" s="120">
        <f>AY8-BA8</f>
        <v>0</v>
      </c>
      <c r="BA8" s="120">
        <f>SUM(BA9:BA13)</f>
        <v>0</v>
      </c>
      <c r="BB8" s="120">
        <f>VLOOKUP($C8,'1 预算编制表单'!$C:$BJ,57,FALSE)</f>
        <v>0</v>
      </c>
      <c r="BC8" s="120">
        <f>BB8-BD8</f>
        <v>0</v>
      </c>
      <c r="BD8" s="120">
        <f>SUM(BD9:BD13)</f>
        <v>0</v>
      </c>
      <c r="BE8" s="120">
        <f>VLOOKUP($C8,'1 预算编制表单'!$C:$BJ,60,FALSE)</f>
        <v>0</v>
      </c>
      <c r="BF8" s="120">
        <f>BE8-BG8</f>
        <v>0</v>
      </c>
      <c r="BG8" s="120">
        <f>SUM(BG9:BG13)</f>
        <v>0</v>
      </c>
      <c r="BH8" s="120">
        <f>VLOOKUP($C8,'1 预算编制表单'!$C:$BJ,27,FALSE)</f>
        <v>0</v>
      </c>
      <c r="BI8" s="120">
        <f t="shared" si="13"/>
        <v>0</v>
      </c>
      <c r="BJ8" s="120">
        <f>SUM(BJ9:BJ13)</f>
        <v>0</v>
      </c>
      <c r="BK8" s="120">
        <f>VLOOKUP($C8,'1 预算编制表单'!$C:$BJ,30,FALSE)</f>
        <v>0</v>
      </c>
      <c r="BL8" s="120">
        <f t="shared" si="14"/>
        <v>0</v>
      </c>
      <c r="BM8" s="120">
        <f>SUM(BM9:BM13)</f>
        <v>0</v>
      </c>
      <c r="BN8" s="120">
        <f>VLOOKUP($C8,'1 预算编制表单'!$C:$BJ,33,FALSE)</f>
        <v>0</v>
      </c>
      <c r="BO8" s="120">
        <f t="shared" si="15"/>
        <v>0</v>
      </c>
      <c r="BP8" s="120">
        <f>SUM(BP9:BP13)</f>
        <v>0</v>
      </c>
      <c r="BQ8" s="120">
        <f>VLOOKUP($C8,'1 预算编制表单'!$C:$BJ,36,FALSE)</f>
        <v>0</v>
      </c>
      <c r="BR8" s="120">
        <f t="shared" si="16"/>
        <v>0</v>
      </c>
      <c r="BS8" s="120">
        <f>SUM(BS9:BS13)</f>
        <v>0</v>
      </c>
      <c r="BT8" s="120">
        <f>VLOOKUP($C8,'1 预算编制表单'!$C:$BJ,39,FALSE)</f>
        <v>0</v>
      </c>
      <c r="BU8" s="120">
        <f t="shared" si="17"/>
        <v>0</v>
      </c>
      <c r="BV8" s="120">
        <f>SUM(BV9:BV13)</f>
        <v>0</v>
      </c>
      <c r="BW8" s="120">
        <f>VLOOKUP($C8,'1 预算编制表单'!$C:$BJ,42,FALSE)</f>
        <v>0</v>
      </c>
      <c r="BX8" s="120">
        <f t="shared" si="18"/>
        <v>0</v>
      </c>
      <c r="BY8" s="120">
        <f>SUM(BY9:BY13)</f>
        <v>0</v>
      </c>
      <c r="BZ8" s="120">
        <f>VLOOKUP($C8,'1 预算编制表单'!$C:$BJ,45,FALSE)</f>
        <v>0</v>
      </c>
      <c r="CA8" s="120">
        <f t="shared" si="19"/>
        <v>0</v>
      </c>
      <c r="CB8" s="120">
        <f>SUM(CB9:CB13)</f>
        <v>0</v>
      </c>
      <c r="CC8" s="120">
        <f>VLOOKUP($C8,'1 预算编制表单'!$C:$BJ,48,FALSE)</f>
        <v>0</v>
      </c>
      <c r="CD8" s="120">
        <f t="shared" si="20"/>
        <v>0</v>
      </c>
      <c r="CE8" s="120">
        <f>SUM(CE9:CE13)</f>
        <v>0</v>
      </c>
      <c r="CF8" s="120">
        <f>VLOOKUP($C8,'1 预算编制表单'!$C:$BJ,51,FALSE)</f>
        <v>0</v>
      </c>
      <c r="CG8" s="120">
        <f t="shared" si="21"/>
        <v>0</v>
      </c>
      <c r="CH8" s="120">
        <f>SUM(CH9:CH13)</f>
        <v>0</v>
      </c>
      <c r="CI8" s="120">
        <f>VLOOKUP($C8,'1 预算编制表单'!$C:$BJ,54,FALSE)</f>
        <v>0</v>
      </c>
      <c r="CJ8" s="120">
        <f t="shared" si="22"/>
        <v>0</v>
      </c>
      <c r="CK8" s="120">
        <f>SUM(CK9:CK13)</f>
        <v>0</v>
      </c>
      <c r="CL8" s="120">
        <f>VLOOKUP($C8,'1 预算编制表单'!$C:$BJ,57,FALSE)</f>
        <v>0</v>
      </c>
      <c r="CM8" s="120">
        <f t="shared" si="23"/>
        <v>0</v>
      </c>
      <c r="CN8" s="120">
        <f>SUM(CN9:CN13)</f>
        <v>0</v>
      </c>
      <c r="CO8" s="120">
        <f>VLOOKUP($C8,'1 预算编制表单'!$C:$BJ,60,FALSE)</f>
        <v>0</v>
      </c>
      <c r="CP8" s="120">
        <f t="shared" si="24"/>
        <v>0</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2821</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799</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2822</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2821</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799</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2821</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8"/>
      <c r="B26" s="114" t="s">
        <v>794</v>
      </c>
      <c r="C26" s="115" t="s">
        <v>838</v>
      </c>
      <c r="D26" s="48" t="s">
        <v>839</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customHeight="1" outlineLevel="3" spans="1:95">
      <c r="A27" s="117"/>
      <c r="B27" s="118" t="s">
        <v>799</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2821</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799</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862</v>
      </c>
      <c r="D34" s="130" t="s">
        <v>2822</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2821</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799</v>
      </c>
      <c r="C39" s="119" t="s">
        <v>871</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2821</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8"/>
      <c r="B45" s="114" t="s">
        <v>794</v>
      </c>
      <c r="C45" s="115" t="s">
        <v>882</v>
      </c>
      <c r="D45" s="48" t="s">
        <v>883</v>
      </c>
      <c r="E45" s="114"/>
      <c r="F45" s="114"/>
      <c r="G45" s="114"/>
      <c r="H45" s="116">
        <f>X45+AA45+AD45+AG45+AJ45+AM45+AP45+AS45+AV45+AY45+BB45+BE45</f>
        <v>166415.094339623</v>
      </c>
      <c r="I45" s="116">
        <f>Y45+AB45+AE45+AH45+AK45+AN45+AQ45+AT45+AW45+AZ45+BC45+BF45</f>
        <v>19495.6422848282</v>
      </c>
      <c r="J45" s="116">
        <f t="shared" si="5"/>
        <v>146919.452054795</v>
      </c>
      <c r="K45" s="116"/>
      <c r="L45" s="147"/>
      <c r="M45" s="147"/>
      <c r="N45" s="116"/>
      <c r="O45" s="116"/>
      <c r="P45" s="116"/>
      <c r="Q45" s="116"/>
      <c r="R45" s="116"/>
      <c r="S45" s="116"/>
      <c r="T45" s="116"/>
      <c r="U45" s="116"/>
      <c r="V45" s="116"/>
      <c r="W45" s="116"/>
      <c r="X45" s="116">
        <f>VLOOKUP($C45,'1 预算编制表单'!$C:$BJ,27,FALSE)</f>
        <v>13867.9245283019</v>
      </c>
      <c r="Y45" s="116">
        <f>X45-Z45</f>
        <v>-1113.9932799173</v>
      </c>
      <c r="Z45" s="116">
        <f>Z46+Z52+Z58+Z64</f>
        <v>14981.9178082192</v>
      </c>
      <c r="AA45" s="116">
        <f>VLOOKUP($C45,'1 预算编制表单'!$C:$BJ,30,FALSE)</f>
        <v>13867.9245283019</v>
      </c>
      <c r="AB45" s="116">
        <f>AA45-AC45</f>
        <v>335.869733781401</v>
      </c>
      <c r="AC45" s="116">
        <f>AC46+AC52+AC58+AC64</f>
        <v>13532.0547945205</v>
      </c>
      <c r="AD45" s="116">
        <f>VLOOKUP($C45,'1 预算编制表单'!$C:$BJ,33,FALSE)</f>
        <v>13867.9245283019</v>
      </c>
      <c r="AE45" s="116">
        <f>AD45-AF45</f>
        <v>-1113.9932799173</v>
      </c>
      <c r="AF45" s="116">
        <f>AF46+AF52+AF58+AF64</f>
        <v>14981.9178082192</v>
      </c>
      <c r="AG45" s="116">
        <f>VLOOKUP($C45,'1 预算编制表单'!$C:$BJ,36,FALSE)</f>
        <v>13867.9245283019</v>
      </c>
      <c r="AH45" s="116">
        <f>AG45-AI45</f>
        <v>-630.705608684399</v>
      </c>
      <c r="AI45" s="116">
        <f>AI46+AI52+AI58+AI64</f>
        <v>14498.6301369863</v>
      </c>
      <c r="AJ45" s="116">
        <f>VLOOKUP($C45,'1 预算编制表单'!$C:$BJ,39,FALSE)</f>
        <v>13867.9245283019</v>
      </c>
      <c r="AK45" s="116">
        <f>AJ45-AL45</f>
        <v>-1113.9932799173</v>
      </c>
      <c r="AL45" s="116">
        <f>AL46+AL52+AL58+AL64</f>
        <v>14981.9178082192</v>
      </c>
      <c r="AM45" s="116">
        <f>VLOOKUP($C45,'1 预算编制表单'!$C:$BJ,42,FALSE)</f>
        <v>13867.9245283019</v>
      </c>
      <c r="AN45" s="116">
        <f>AM45-AO45</f>
        <v>-630.705608684399</v>
      </c>
      <c r="AO45" s="116">
        <f>AO46+AO52+AO58+AO64</f>
        <v>14498.6301369863</v>
      </c>
      <c r="AP45" s="116">
        <f>VLOOKUP($C45,'1 预算编制表单'!$C:$BJ,45,FALSE)</f>
        <v>13867.9245283019</v>
      </c>
      <c r="AQ45" s="116">
        <f>AP45-AR45</f>
        <v>-1113.9932799173</v>
      </c>
      <c r="AR45" s="116">
        <f>AR46+AR52+AR58+AR64</f>
        <v>14981.9178082192</v>
      </c>
      <c r="AS45" s="116">
        <f>VLOOKUP($C45,'1 预算编制表单'!$C:$BJ,48,FALSE)</f>
        <v>13867.9245283019</v>
      </c>
      <c r="AT45" s="116">
        <f>AS45-AU45</f>
        <v>-1113.9932799173</v>
      </c>
      <c r="AU45" s="116">
        <f>AU46+AU52+AU58+AU64</f>
        <v>14981.9178082192</v>
      </c>
      <c r="AV45" s="116">
        <f>VLOOKUP($C45,'1 预算编制表单'!$C:$BJ,51,FALSE)</f>
        <v>13867.9245283019</v>
      </c>
      <c r="AW45" s="116">
        <f>AV45-AX45</f>
        <v>-630.705608684399</v>
      </c>
      <c r="AX45" s="116">
        <f>AX46+AX52+AX58+AX64</f>
        <v>14498.6301369863</v>
      </c>
      <c r="AY45" s="116">
        <f>VLOOKUP($C45,'1 预算编制表单'!$C:$BJ,54,FALSE)</f>
        <v>13867.9245283019</v>
      </c>
      <c r="AZ45" s="116">
        <f>AY45-BA45</f>
        <v>-1113.9932799173</v>
      </c>
      <c r="BA45" s="116">
        <f>BA46+BA52+BA58+BA64</f>
        <v>14981.9178082192</v>
      </c>
      <c r="BB45" s="116">
        <f>VLOOKUP($C45,'1 预算编制表单'!$C:$BJ,57,FALSE)</f>
        <v>13867.9245283019</v>
      </c>
      <c r="BC45" s="116">
        <f>BB45-BD45</f>
        <v>13867.9245283019</v>
      </c>
      <c r="BD45" s="116">
        <f>BD46+BD52+BD58+BD64</f>
        <v>0</v>
      </c>
      <c r="BE45" s="116">
        <f>VLOOKUP($C45,'1 预算编制表单'!$C:$BJ,60,FALSE)</f>
        <v>13867.9245283019</v>
      </c>
      <c r="BF45" s="116">
        <f>BE45-BG45</f>
        <v>13867.9245283019</v>
      </c>
      <c r="BG45" s="116">
        <f>BG46+BG52+BG58+BG64</f>
        <v>0</v>
      </c>
      <c r="BH45" s="116">
        <f>VLOOKUP($C45,'1 预算编制表单'!$C:$BJ,27,FALSE)</f>
        <v>13867.9245283019</v>
      </c>
      <c r="BI45" s="116">
        <f>BH45-BJ45</f>
        <v>13867.9245283019</v>
      </c>
      <c r="BJ45" s="116">
        <f>BJ46+BJ52+BJ58+BJ64</f>
        <v>0</v>
      </c>
      <c r="BK45" s="116">
        <f>VLOOKUP($C45,'1 预算编制表单'!$C:$BJ,30,FALSE)</f>
        <v>13867.9245283019</v>
      </c>
      <c r="BL45" s="116">
        <f>BK45-BM45</f>
        <v>13867.9245283019</v>
      </c>
      <c r="BM45" s="116">
        <f>BM46+BM52+BM58+BM64</f>
        <v>0</v>
      </c>
      <c r="BN45" s="116">
        <f>VLOOKUP($C45,'1 预算编制表单'!$C:$BJ,33,FALSE)</f>
        <v>13867.9245283019</v>
      </c>
      <c r="BO45" s="116">
        <f>BN45-BP45</f>
        <v>13867.9245283019</v>
      </c>
      <c r="BP45" s="116">
        <f>BP46+BP52+BP58+BP64</f>
        <v>0</v>
      </c>
      <c r="BQ45" s="116">
        <f>VLOOKUP($C45,'1 预算编制表单'!$C:$BJ,36,FALSE)</f>
        <v>13867.9245283019</v>
      </c>
      <c r="BR45" s="116">
        <f>BQ45-BS45</f>
        <v>13867.9245283019</v>
      </c>
      <c r="BS45" s="116">
        <f>BS46+BS52+BS58+BS64</f>
        <v>0</v>
      </c>
      <c r="BT45" s="116">
        <f>VLOOKUP($C45,'1 预算编制表单'!$C:$BJ,39,FALSE)</f>
        <v>13867.9245283019</v>
      </c>
      <c r="BU45" s="116">
        <f>BT45-BV45</f>
        <v>13867.9245283019</v>
      </c>
      <c r="BV45" s="116">
        <f>BV46+BV52+BV58+BV64</f>
        <v>0</v>
      </c>
      <c r="BW45" s="116">
        <f>VLOOKUP($C45,'1 预算编制表单'!$C:$BJ,42,FALSE)</f>
        <v>13867.9245283019</v>
      </c>
      <c r="BX45" s="116">
        <f>BW45-BY45</f>
        <v>13867.9245283019</v>
      </c>
      <c r="BY45" s="116">
        <f>BY46+BY52+BY58+BY64</f>
        <v>0</v>
      </c>
      <c r="BZ45" s="116">
        <f>VLOOKUP($C45,'1 预算编制表单'!$C:$BJ,45,FALSE)</f>
        <v>13867.9245283019</v>
      </c>
      <c r="CA45" s="116">
        <f>BZ45-CB45</f>
        <v>13867.9245283019</v>
      </c>
      <c r="CB45" s="116">
        <f>CB46+CB52+CB58+CB64</f>
        <v>0</v>
      </c>
      <c r="CC45" s="116">
        <f>VLOOKUP($C45,'1 预算编制表单'!$C:$BJ,48,FALSE)</f>
        <v>13867.9245283019</v>
      </c>
      <c r="CD45" s="116">
        <f>CC45-CE45</f>
        <v>13867.9245283019</v>
      </c>
      <c r="CE45" s="116">
        <f>CE46+CE52+CE58+CE64</f>
        <v>0</v>
      </c>
      <c r="CF45" s="116">
        <f>VLOOKUP($C45,'1 预算编制表单'!$C:$BJ,51,FALSE)</f>
        <v>13867.9245283019</v>
      </c>
      <c r="CG45" s="116">
        <f>CF45-CH45</f>
        <v>13867.9245283019</v>
      </c>
      <c r="CH45" s="116">
        <f>CH46+CH52+CH58+CH64</f>
        <v>0</v>
      </c>
      <c r="CI45" s="116">
        <f>VLOOKUP($C45,'1 预算编制表单'!$C:$BJ,54,FALSE)</f>
        <v>13867.9245283019</v>
      </c>
      <c r="CJ45" s="116">
        <f>CI45-CK45</f>
        <v>13867.9245283019</v>
      </c>
      <c r="CK45" s="116">
        <f>CK46+CK52+CK58+CK64</f>
        <v>0</v>
      </c>
      <c r="CL45" s="116">
        <f>VLOOKUP($C45,'1 预算编制表单'!$C:$BJ,57,FALSE)</f>
        <v>13867.9245283019</v>
      </c>
      <c r="CM45" s="116">
        <f>CL45-CN45</f>
        <v>13867.9245283019</v>
      </c>
      <c r="CN45" s="116">
        <f>CN46+CN52+CN58+CN64</f>
        <v>0</v>
      </c>
      <c r="CO45" s="116">
        <f>VLOOKUP($C45,'1 预算编制表单'!$C:$BJ,60,FALSE)</f>
        <v>13867.9245283019</v>
      </c>
      <c r="CP45" s="116">
        <f>CO45-CQ45</f>
        <v>13867.9245283019</v>
      </c>
      <c r="CQ45" s="116">
        <f>CQ46+CQ52+CQ58+CQ64</f>
        <v>0</v>
      </c>
    </row>
    <row r="46" s="82" customFormat="1" ht="24" customHeight="1" outlineLevel="3" spans="1:95">
      <c r="A46" s="117"/>
      <c r="B46" s="118" t="s">
        <v>799</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2821</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799</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913</v>
      </c>
      <c r="D53" s="130" t="s">
        <v>2822</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2821</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799</v>
      </c>
      <c r="C58" s="119" t="s">
        <v>14</v>
      </c>
      <c r="D58" s="117" t="s">
        <v>15</v>
      </c>
      <c r="E58" s="118"/>
      <c r="F58" s="118"/>
      <c r="G58" s="118"/>
      <c r="H58" s="120">
        <f>X58+AA58+AD58+AG58+AJ58+AM58+AP58+AS58+AV58+AY58+BB58+BE58</f>
        <v>166415.094339623</v>
      </c>
      <c r="I58" s="120">
        <f>Y58+AB58+AE58+AH58+AK58+AN58+AQ58+AT58+AW58+AZ58+BC58+BF58</f>
        <v>19495.6422848282</v>
      </c>
      <c r="J58" s="120">
        <f t="shared" si="5"/>
        <v>146919.452054795</v>
      </c>
      <c r="K58" s="120"/>
      <c r="L58" s="148"/>
      <c r="M58" s="148"/>
      <c r="N58" s="120"/>
      <c r="O58" s="120"/>
      <c r="P58" s="120"/>
      <c r="Q58" s="120"/>
      <c r="R58" s="120"/>
      <c r="S58" s="120"/>
      <c r="T58" s="120"/>
      <c r="U58" s="120"/>
      <c r="V58" s="120"/>
      <c r="W58" s="120"/>
      <c r="X58" s="120">
        <f>VLOOKUP($C58,'1 预算编制表单'!$C:$BJ,27,FALSE)</f>
        <v>13867.9245283019</v>
      </c>
      <c r="Y58" s="120">
        <f>X58-Z58</f>
        <v>-1113.9932799173</v>
      </c>
      <c r="Z58" s="120">
        <f>SUM(Z59:Z63)</f>
        <v>14981.9178082192</v>
      </c>
      <c r="AA58" s="120">
        <f>VLOOKUP($C58,'1 预算编制表单'!$C:$BJ,30,FALSE)</f>
        <v>13867.9245283019</v>
      </c>
      <c r="AB58" s="120">
        <f>AA58-AC58</f>
        <v>335.869733781401</v>
      </c>
      <c r="AC58" s="120">
        <f>SUM(AC59:AC63)</f>
        <v>13532.0547945205</v>
      </c>
      <c r="AD58" s="120">
        <f>VLOOKUP($C58,'1 预算编制表单'!$C:$BJ,33,FALSE)</f>
        <v>13867.9245283019</v>
      </c>
      <c r="AE58" s="120">
        <f>AD58-AF58</f>
        <v>-1113.9932799173</v>
      </c>
      <c r="AF58" s="120">
        <f>SUM(AF59:AF63)</f>
        <v>14981.9178082192</v>
      </c>
      <c r="AG58" s="120">
        <f>VLOOKUP($C58,'1 预算编制表单'!$C:$BJ,36,FALSE)</f>
        <v>13867.9245283019</v>
      </c>
      <c r="AH58" s="120">
        <f>AG58-AI58</f>
        <v>-630.705608684399</v>
      </c>
      <c r="AI58" s="120">
        <f>SUM(AI59:AI63)</f>
        <v>14498.6301369863</v>
      </c>
      <c r="AJ58" s="120">
        <f>VLOOKUP($C58,'1 预算编制表单'!$C:$BJ,39,FALSE)</f>
        <v>13867.9245283019</v>
      </c>
      <c r="AK58" s="120">
        <f>AJ58-AL58</f>
        <v>-1113.9932799173</v>
      </c>
      <c r="AL58" s="120">
        <f>SUM(AL59:AL63)</f>
        <v>14981.9178082192</v>
      </c>
      <c r="AM58" s="120">
        <f>VLOOKUP($C58,'1 预算编制表单'!$C:$BJ,42,FALSE)</f>
        <v>13867.9245283019</v>
      </c>
      <c r="AN58" s="120">
        <f>AM58-AO58</f>
        <v>-630.705608684399</v>
      </c>
      <c r="AO58" s="120">
        <f>SUM(AO59:AO63)</f>
        <v>14498.6301369863</v>
      </c>
      <c r="AP58" s="120">
        <f>VLOOKUP($C58,'1 预算编制表单'!$C:$BJ,45,FALSE)</f>
        <v>13867.9245283019</v>
      </c>
      <c r="AQ58" s="120">
        <f>AP58-AR58</f>
        <v>-1113.9932799173</v>
      </c>
      <c r="AR58" s="120">
        <f>SUM(AR59:AR63)</f>
        <v>14981.9178082192</v>
      </c>
      <c r="AS58" s="120">
        <f>VLOOKUP($C58,'1 预算编制表单'!$C:$BJ,48,FALSE)</f>
        <v>13867.9245283019</v>
      </c>
      <c r="AT58" s="120">
        <f>AS58-AU58</f>
        <v>-1113.9932799173</v>
      </c>
      <c r="AU58" s="120">
        <f>SUM(AU59:AU63)</f>
        <v>14981.9178082192</v>
      </c>
      <c r="AV58" s="120">
        <f>VLOOKUP($C58,'1 预算编制表单'!$C:$BJ,51,FALSE)</f>
        <v>13867.9245283019</v>
      </c>
      <c r="AW58" s="120">
        <f>AV58-AX58</f>
        <v>-630.705608684399</v>
      </c>
      <c r="AX58" s="120">
        <f>SUM(AX59:AX63)</f>
        <v>14498.6301369863</v>
      </c>
      <c r="AY58" s="120">
        <f>VLOOKUP($C58,'1 预算编制表单'!$C:$BJ,54,FALSE)</f>
        <v>13867.9245283019</v>
      </c>
      <c r="AZ58" s="120">
        <f>AY58-BA58</f>
        <v>-1113.9932799173</v>
      </c>
      <c r="BA58" s="120">
        <f>SUM(BA59:BA63)</f>
        <v>14981.9178082192</v>
      </c>
      <c r="BB58" s="120">
        <f>VLOOKUP($C58,'1 预算编制表单'!$C:$BJ,57,FALSE)</f>
        <v>13867.9245283019</v>
      </c>
      <c r="BC58" s="120">
        <f>BB58-BD58</f>
        <v>13867.9245283019</v>
      </c>
      <c r="BD58" s="120">
        <f>SUM(BD59:BD63)</f>
        <v>0</v>
      </c>
      <c r="BE58" s="120">
        <f>VLOOKUP($C58,'1 预算编制表单'!$C:$BJ,60,FALSE)</f>
        <v>13867.9245283019</v>
      </c>
      <c r="BF58" s="120">
        <f>BE58-BG58</f>
        <v>13867.9245283019</v>
      </c>
      <c r="BG58" s="120">
        <f>SUM(BG59:BG63)</f>
        <v>0</v>
      </c>
      <c r="BH58" s="120">
        <f>VLOOKUP($C58,'1 预算编制表单'!$C:$BJ,27,FALSE)</f>
        <v>13867.9245283019</v>
      </c>
      <c r="BI58" s="120">
        <f>BH58-BJ58</f>
        <v>13867.9245283019</v>
      </c>
      <c r="BJ58" s="120">
        <f>SUM(BJ59:BJ63)</f>
        <v>0</v>
      </c>
      <c r="BK58" s="120">
        <f>VLOOKUP($C58,'1 预算编制表单'!$C:$BJ,30,FALSE)</f>
        <v>13867.9245283019</v>
      </c>
      <c r="BL58" s="120">
        <f>BK58-BM58</f>
        <v>13867.9245283019</v>
      </c>
      <c r="BM58" s="120">
        <f>SUM(BM59:BM63)</f>
        <v>0</v>
      </c>
      <c r="BN58" s="120">
        <f>VLOOKUP($C58,'1 预算编制表单'!$C:$BJ,33,FALSE)</f>
        <v>13867.9245283019</v>
      </c>
      <c r="BO58" s="120">
        <f>BN58-BP58</f>
        <v>13867.9245283019</v>
      </c>
      <c r="BP58" s="120">
        <f>SUM(BP59:BP63)</f>
        <v>0</v>
      </c>
      <c r="BQ58" s="120">
        <f>VLOOKUP($C58,'1 预算编制表单'!$C:$BJ,36,FALSE)</f>
        <v>13867.9245283019</v>
      </c>
      <c r="BR58" s="120">
        <f>BQ58-BS58</f>
        <v>13867.9245283019</v>
      </c>
      <c r="BS58" s="120">
        <f>SUM(BS59:BS63)</f>
        <v>0</v>
      </c>
      <c r="BT58" s="120">
        <f>VLOOKUP($C58,'1 预算编制表单'!$C:$BJ,39,FALSE)</f>
        <v>13867.9245283019</v>
      </c>
      <c r="BU58" s="120">
        <f>BT58-BV58</f>
        <v>13867.9245283019</v>
      </c>
      <c r="BV58" s="120">
        <f>SUM(BV59:BV63)</f>
        <v>0</v>
      </c>
      <c r="BW58" s="120">
        <f>VLOOKUP($C58,'1 预算编制表单'!$C:$BJ,42,FALSE)</f>
        <v>13867.9245283019</v>
      </c>
      <c r="BX58" s="120">
        <f>BW58-BY58</f>
        <v>13867.9245283019</v>
      </c>
      <c r="BY58" s="120">
        <f>SUM(BY59:BY63)</f>
        <v>0</v>
      </c>
      <c r="BZ58" s="120">
        <f>VLOOKUP($C58,'1 预算编制表单'!$C:$BJ,45,FALSE)</f>
        <v>13867.9245283019</v>
      </c>
      <c r="CA58" s="120">
        <f>BZ58-CB58</f>
        <v>13867.9245283019</v>
      </c>
      <c r="CB58" s="120">
        <f>SUM(CB59:CB63)</f>
        <v>0</v>
      </c>
      <c r="CC58" s="120">
        <f>VLOOKUP($C58,'1 预算编制表单'!$C:$BJ,48,FALSE)</f>
        <v>13867.9245283019</v>
      </c>
      <c r="CD58" s="120">
        <f>CC58-CE58</f>
        <v>13867.9245283019</v>
      </c>
      <c r="CE58" s="120">
        <f>SUM(CE59:CE63)</f>
        <v>0</v>
      </c>
      <c r="CF58" s="120">
        <f>VLOOKUP($C58,'1 预算编制表单'!$C:$BJ,51,FALSE)</f>
        <v>13867.9245283019</v>
      </c>
      <c r="CG58" s="120">
        <f>CF58-CH58</f>
        <v>13867.9245283019</v>
      </c>
      <c r="CH58" s="120">
        <f>SUM(CH59:CH63)</f>
        <v>0</v>
      </c>
      <c r="CI58" s="120">
        <f>VLOOKUP($C58,'1 预算编制表单'!$C:$BJ,54,FALSE)</f>
        <v>13867.9245283019</v>
      </c>
      <c r="CJ58" s="120">
        <f>CI58-CK58</f>
        <v>13867.9245283019</v>
      </c>
      <c r="CK58" s="120">
        <f>SUM(CK59:CK63)</f>
        <v>0</v>
      </c>
      <c r="CL58" s="120">
        <f>VLOOKUP($C58,'1 预算编制表单'!$C:$BJ,57,FALSE)</f>
        <v>13867.9245283019</v>
      </c>
      <c r="CM58" s="120">
        <f>CL58-CN58</f>
        <v>13867.9245283019</v>
      </c>
      <c r="CN58" s="120">
        <f>SUM(CN59:CN63)</f>
        <v>0</v>
      </c>
      <c r="CO58" s="120">
        <f>VLOOKUP($C58,'1 预算编制表单'!$C:$BJ,60,FALSE)</f>
        <v>13867.9245283019</v>
      </c>
      <c r="CP58" s="120">
        <f>CO58-CQ58</f>
        <v>13867.9245283019</v>
      </c>
      <c r="CQ58" s="120">
        <f>SUM(CQ59:CQ63)</f>
        <v>0</v>
      </c>
    </row>
    <row r="59" s="82" customFormat="1" ht="24" customHeight="1" outlineLevel="4" spans="1:95">
      <c r="A59" s="121"/>
      <c r="B59" s="122"/>
      <c r="C59" s="123"/>
      <c r="D59" s="121"/>
      <c r="E59" s="122"/>
      <c r="F59" s="122"/>
      <c r="G59" s="122"/>
      <c r="H59" s="124"/>
      <c r="I59" s="124"/>
      <c r="J59" s="124">
        <f t="shared" si="5"/>
        <v>146919.452054795</v>
      </c>
      <c r="K59" s="124">
        <v>1</v>
      </c>
      <c r="L59" s="149" t="s">
        <v>2823</v>
      </c>
      <c r="M59" s="150" t="str">
        <f>IFERROR(VLOOKUP($L59,'2-2 引出数据_合同数据仓库'!$B$2:$BP$10000,3,FALSE),0)</f>
        <v>梅华小学清洁外包合同</v>
      </c>
      <c r="N59" s="124"/>
      <c r="O59" s="150">
        <f>IFERROR(VLOOKUP((LEFT(VLOOKUP($L59,'2-2 引出数据_合同数据仓库'!$B$2:$BP$10000,64,FALSE),15)&amp;(RIGHT(VLOOKUP($L59,'2-2 引出数据_合同数据仓库'!$B$2:$BP$10000,64,FALSE),4)+1)),'2-2 引出数据_合同数据仓库'!$B$2:$BP$10000,3,FALSE),0)</f>
        <v>0</v>
      </c>
      <c r="P59" s="124"/>
      <c r="Q59" s="124" t="str">
        <f>IFERROR(VLOOKUP($L59,'2-2 引出数据_合同数据仓库'!$B$2:$BP$10000,28,FALSE),0)</f>
        <v>2024-10-31</v>
      </c>
      <c r="R59" s="124" t="str">
        <f>IFERROR(VLOOKUP($L59,'2-2 引出数据_合同数据仓库'!$B$2:$BP$10000,29,FALSE),0)</f>
        <v>2024-11-01</v>
      </c>
      <c r="S59" s="124" t="str">
        <f>IFERROR(VLOOKUP($L59,'2-2 引出数据_合同数据仓库'!$B$2:$BP$10000,4,FALSE),0)</f>
        <v>2025-10-31</v>
      </c>
      <c r="T59" s="124"/>
      <c r="U59" s="124">
        <f>IFERROR(VLOOKUP($L59,'2-2 引出数据_合同数据仓库'!$B$2:$BP$10000,15,FALSE),0)</f>
        <v>176400</v>
      </c>
      <c r="V59" s="124">
        <f t="shared" ref="V59:V62" si="670">U59/(S59-R59+1)*365</f>
        <v>176400</v>
      </c>
      <c r="W59" s="124"/>
      <c r="X59" s="156">
        <v>45658</v>
      </c>
      <c r="Y59" s="156">
        <f t="shared" ref="Y59:Y62" si="671">X59+30</f>
        <v>45688</v>
      </c>
      <c r="Z59" s="160">
        <f t="shared" ref="Z59:Z62" si="672">IFERROR(IF(($R59-Y59)&gt;=0,0,IF(($S59-X59)&lt;0,0,IF(AND(($S59-Y59)&gt;0,(X59-$R59)&gt;0),$V59/365*(Y59-X59+1),IF(AND(($S59-Y59)&lt;=0,(X59-$R59)&gt;0),$V59/365*($S59-X59+1),$V59/365*(Y59-$R59+1))))),0)</f>
        <v>14981.9178082192</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13532.0547945205</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14981.9178082192</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14498.6301369863</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14981.9178082192</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14498.6301369863</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14981.9178082192</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14981.9178082192</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14498.6301369863</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14981.9178082192</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0</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2821</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799</v>
      </c>
      <c r="C64" s="119" t="s">
        <v>938</v>
      </c>
      <c r="D64" s="117" t="s">
        <v>939</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2821</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8"/>
      <c r="B70" s="114" t="s">
        <v>794</v>
      </c>
      <c r="C70" s="115" t="s">
        <v>983</v>
      </c>
      <c r="D70" s="48" t="s">
        <v>984</v>
      </c>
      <c r="E70" s="114"/>
      <c r="F70" s="114"/>
      <c r="G70" s="114"/>
      <c r="H70" s="116">
        <f>X70+AA70+AD70+AG70+AJ70+AM70+AP70+AS70+AV70+AY70+BB70+BE70</f>
        <v>104807.3</v>
      </c>
      <c r="I70" s="116">
        <f>Y70+AB70+AE70+AH70+AK70+AN70+AQ70+AT70+AW70+AZ70+BC70+BF70</f>
        <v>104807.3</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9942.64</v>
      </c>
      <c r="Y70" s="116">
        <f>X70-Z70</f>
        <v>9942.64</v>
      </c>
      <c r="Z70" s="116">
        <f>Z71+Z77+Z83+Z89</f>
        <v>0</v>
      </c>
      <c r="AA70" s="116">
        <f>VLOOKUP($C70,'1 预算编制表单'!$C:$BJ,30,FALSE)</f>
        <v>8624.06</v>
      </c>
      <c r="AB70" s="116">
        <f>AA70-AC70</f>
        <v>8624.06</v>
      </c>
      <c r="AC70" s="116">
        <f>AC71+AC77+AC83+AC89</f>
        <v>0</v>
      </c>
      <c r="AD70" s="116">
        <f>VLOOKUP($C70,'1 预算编制表单'!$C:$BJ,33,FALSE)</f>
        <v>8624.06</v>
      </c>
      <c r="AE70" s="116">
        <f>AD70-AF70</f>
        <v>8624.06</v>
      </c>
      <c r="AF70" s="116">
        <f>AF71+AF77+AF83+AF89</f>
        <v>0</v>
      </c>
      <c r="AG70" s="116">
        <f>VLOOKUP($C70,'1 预算编制表单'!$C:$BJ,36,FALSE)</f>
        <v>8624.06</v>
      </c>
      <c r="AH70" s="116">
        <f>AG70-AI70</f>
        <v>8624.06</v>
      </c>
      <c r="AI70" s="116">
        <f>AI71+AI77+AI83+AI89</f>
        <v>0</v>
      </c>
      <c r="AJ70" s="116">
        <f>VLOOKUP($C70,'1 预算编制表单'!$C:$BJ,39,FALSE)</f>
        <v>8624.06</v>
      </c>
      <c r="AK70" s="116">
        <f>AJ70-AL70</f>
        <v>8624.06</v>
      </c>
      <c r="AL70" s="116">
        <f>AL71+AL77+AL83+AL89</f>
        <v>0</v>
      </c>
      <c r="AM70" s="116">
        <f>VLOOKUP($C70,'1 预算编制表单'!$C:$BJ,42,FALSE)</f>
        <v>8624.06</v>
      </c>
      <c r="AN70" s="116">
        <f>AM70-AO70</f>
        <v>8624.06</v>
      </c>
      <c r="AO70" s="116">
        <f>AO71+AO77+AO83+AO89</f>
        <v>0</v>
      </c>
      <c r="AP70" s="116">
        <f>VLOOKUP($C70,'1 预算编制表单'!$C:$BJ,45,FALSE)</f>
        <v>8624.06</v>
      </c>
      <c r="AQ70" s="116">
        <f>AP70-AR70</f>
        <v>8624.06</v>
      </c>
      <c r="AR70" s="116">
        <f>AR71+AR77+AR83+AR89</f>
        <v>0</v>
      </c>
      <c r="AS70" s="116">
        <f>VLOOKUP($C70,'1 预算编制表单'!$C:$BJ,48,FALSE)</f>
        <v>8624.06</v>
      </c>
      <c r="AT70" s="116">
        <f>AS70-AU70</f>
        <v>8624.06</v>
      </c>
      <c r="AU70" s="116">
        <f>AU71+AU77+AU83+AU89</f>
        <v>0</v>
      </c>
      <c r="AV70" s="116">
        <f>VLOOKUP($C70,'1 预算编制表单'!$C:$BJ,51,FALSE)</f>
        <v>8624.06</v>
      </c>
      <c r="AW70" s="116">
        <f>AV70-AX70</f>
        <v>8624.06</v>
      </c>
      <c r="AX70" s="116">
        <f>AX71+AX77+AX83+AX89</f>
        <v>0</v>
      </c>
      <c r="AY70" s="116">
        <f>VLOOKUP($C70,'1 预算编制表单'!$C:$BJ,54,FALSE)</f>
        <v>8624.06</v>
      </c>
      <c r="AZ70" s="116">
        <f>AY70-BA70</f>
        <v>8624.06</v>
      </c>
      <c r="BA70" s="116">
        <f>BA71+BA77+BA83+BA89</f>
        <v>0</v>
      </c>
      <c r="BB70" s="116">
        <f>VLOOKUP($C70,'1 预算编制表单'!$C:$BJ,57,FALSE)</f>
        <v>8624.06</v>
      </c>
      <c r="BC70" s="116">
        <f>BB70-BD70</f>
        <v>8624.06</v>
      </c>
      <c r="BD70" s="116">
        <f>BD71+BD77+BD83+BD89</f>
        <v>0</v>
      </c>
      <c r="BE70" s="116">
        <f>VLOOKUP($C70,'1 预算编制表单'!$C:$BJ,60,FALSE)</f>
        <v>8624.06</v>
      </c>
      <c r="BF70" s="116">
        <f>BE70-BG70</f>
        <v>8624.06</v>
      </c>
      <c r="BG70" s="116">
        <f>BG71+BG77+BG83+BG89</f>
        <v>0</v>
      </c>
      <c r="BH70" s="116">
        <f>VLOOKUP($C70,'1 预算编制表单'!$C:$BJ,27,FALSE)</f>
        <v>9942.64</v>
      </c>
      <c r="BI70" s="116">
        <f>BH70-BJ70</f>
        <v>9942.64</v>
      </c>
      <c r="BJ70" s="116">
        <f>BJ71+BJ77+BJ83+BJ89</f>
        <v>0</v>
      </c>
      <c r="BK70" s="116">
        <f>VLOOKUP($C70,'1 预算编制表单'!$C:$BJ,30,FALSE)</f>
        <v>8624.06</v>
      </c>
      <c r="BL70" s="116">
        <f>BK70-BM70</f>
        <v>8624.06</v>
      </c>
      <c r="BM70" s="116">
        <f>BM71+BM77+BM83+BM89</f>
        <v>0</v>
      </c>
      <c r="BN70" s="116">
        <f>VLOOKUP($C70,'1 预算编制表单'!$C:$BJ,33,FALSE)</f>
        <v>8624.06</v>
      </c>
      <c r="BO70" s="116">
        <f>BN70-BP70</f>
        <v>8624.06</v>
      </c>
      <c r="BP70" s="116">
        <f>BP71+BP77+BP83+BP89</f>
        <v>0</v>
      </c>
      <c r="BQ70" s="116">
        <f>VLOOKUP($C70,'1 预算编制表单'!$C:$BJ,36,FALSE)</f>
        <v>8624.06</v>
      </c>
      <c r="BR70" s="116">
        <f>BQ70-BS70</f>
        <v>8624.06</v>
      </c>
      <c r="BS70" s="116">
        <f>BS71+BS77+BS83+BS89</f>
        <v>0</v>
      </c>
      <c r="BT70" s="116">
        <f>VLOOKUP($C70,'1 预算编制表单'!$C:$BJ,39,FALSE)</f>
        <v>8624.06</v>
      </c>
      <c r="BU70" s="116">
        <f>BT70-BV70</f>
        <v>8624.06</v>
      </c>
      <c r="BV70" s="116">
        <f>BV71+BV77+BV83+BV89</f>
        <v>0</v>
      </c>
      <c r="BW70" s="116">
        <f>VLOOKUP($C70,'1 预算编制表单'!$C:$BJ,42,FALSE)</f>
        <v>8624.06</v>
      </c>
      <c r="BX70" s="116">
        <f>BW70-BY70</f>
        <v>8624.06</v>
      </c>
      <c r="BY70" s="116">
        <f>BY71+BY77+BY83+BY89</f>
        <v>0</v>
      </c>
      <c r="BZ70" s="116">
        <f>VLOOKUP($C70,'1 预算编制表单'!$C:$BJ,45,FALSE)</f>
        <v>8624.06</v>
      </c>
      <c r="CA70" s="116">
        <f>BZ70-CB70</f>
        <v>8624.06</v>
      </c>
      <c r="CB70" s="116">
        <f>CB71+CB77+CB83+CB89</f>
        <v>0</v>
      </c>
      <c r="CC70" s="116">
        <f>VLOOKUP($C70,'1 预算编制表单'!$C:$BJ,48,FALSE)</f>
        <v>8624.06</v>
      </c>
      <c r="CD70" s="116">
        <f>CC70-CE70</f>
        <v>8624.06</v>
      </c>
      <c r="CE70" s="116">
        <f>CE71+CE77+CE83+CE89</f>
        <v>0</v>
      </c>
      <c r="CF70" s="116">
        <f>VLOOKUP($C70,'1 预算编制表单'!$C:$BJ,51,FALSE)</f>
        <v>8624.06</v>
      </c>
      <c r="CG70" s="116">
        <f>CF70-CH70</f>
        <v>8624.06</v>
      </c>
      <c r="CH70" s="116">
        <f>CH71+CH77+CH83+CH89</f>
        <v>0</v>
      </c>
      <c r="CI70" s="116">
        <f>VLOOKUP($C70,'1 预算编制表单'!$C:$BJ,54,FALSE)</f>
        <v>8624.06</v>
      </c>
      <c r="CJ70" s="116">
        <f>CI70-CK70</f>
        <v>8624.06</v>
      </c>
      <c r="CK70" s="116">
        <f>CK71+CK77+CK83+CK89</f>
        <v>0</v>
      </c>
      <c r="CL70" s="116">
        <f>VLOOKUP($C70,'1 预算编制表单'!$C:$BJ,57,FALSE)</f>
        <v>8624.06</v>
      </c>
      <c r="CM70" s="116">
        <f>CL70-CN70</f>
        <v>8624.06</v>
      </c>
      <c r="CN70" s="116">
        <f>CN71+CN77+CN83+CN89</f>
        <v>0</v>
      </c>
      <c r="CO70" s="116">
        <f>VLOOKUP($C70,'1 预算编制表单'!$C:$BJ,60,FALSE)</f>
        <v>8624.06</v>
      </c>
      <c r="CP70" s="116">
        <f>CO70-CQ70</f>
        <v>8624.06</v>
      </c>
      <c r="CQ70" s="116">
        <f>CQ71+CQ77+CQ83+CQ89</f>
        <v>0</v>
      </c>
    </row>
    <row r="71" ht="24" customHeight="1" outlineLevel="3" spans="1:95">
      <c r="A71" s="117"/>
      <c r="B71" s="118" t="s">
        <v>799</v>
      </c>
      <c r="C71" s="119" t="s">
        <v>118</v>
      </c>
      <c r="D71" s="117" t="s">
        <v>109</v>
      </c>
      <c r="E71" s="118"/>
      <c r="F71" s="118"/>
      <c r="G71" s="118"/>
      <c r="H71" s="120">
        <f>X71+AA71+AD71+AG71+AJ71+AM71+AP71+AS71+AV71+AY71+BB71+BE71</f>
        <v>104807.3</v>
      </c>
      <c r="I71" s="120">
        <f>Y71+AB71+AE71+AH71+AK71+AN71+AQ71+AT71+AW71+AZ71+BC71+BF71</f>
        <v>104807.3</v>
      </c>
      <c r="J71" s="120">
        <f t="shared" si="814"/>
        <v>0</v>
      </c>
      <c r="K71" s="120"/>
      <c r="L71" s="148"/>
      <c r="M71" s="148"/>
      <c r="N71" s="120"/>
      <c r="O71" s="120"/>
      <c r="P71" s="120"/>
      <c r="Q71" s="120"/>
      <c r="R71" s="120"/>
      <c r="S71" s="120"/>
      <c r="T71" s="120"/>
      <c r="U71" s="120"/>
      <c r="V71" s="120"/>
      <c r="W71" s="120"/>
      <c r="X71" s="120">
        <f>VLOOKUP($C71,'1 预算编制表单'!$C:$BJ,27,FALSE)</f>
        <v>9942.64</v>
      </c>
      <c r="Y71" s="120">
        <f>X71-Z71</f>
        <v>9942.64</v>
      </c>
      <c r="Z71" s="120">
        <f>SUM(Z72:Z76)</f>
        <v>0</v>
      </c>
      <c r="AA71" s="120">
        <f>VLOOKUP($C71,'1 预算编制表单'!$C:$BJ,30,FALSE)</f>
        <v>8624.06</v>
      </c>
      <c r="AB71" s="120">
        <f>AA71-AC71</f>
        <v>8624.06</v>
      </c>
      <c r="AC71" s="120">
        <f>SUM(AC72:AC76)</f>
        <v>0</v>
      </c>
      <c r="AD71" s="120">
        <f>VLOOKUP($C71,'1 预算编制表单'!$C:$BJ,33,FALSE)</f>
        <v>8624.06</v>
      </c>
      <c r="AE71" s="120">
        <f>AD71-AF71</f>
        <v>8624.06</v>
      </c>
      <c r="AF71" s="120">
        <f>SUM(AF72:AF76)</f>
        <v>0</v>
      </c>
      <c r="AG71" s="120">
        <f>VLOOKUP($C71,'1 预算编制表单'!$C:$BJ,36,FALSE)</f>
        <v>8624.06</v>
      </c>
      <c r="AH71" s="120">
        <f>AG71-AI71</f>
        <v>8624.06</v>
      </c>
      <c r="AI71" s="120">
        <f>SUM(AI72:AI76)</f>
        <v>0</v>
      </c>
      <c r="AJ71" s="120">
        <f>VLOOKUP($C71,'1 预算编制表单'!$C:$BJ,39,FALSE)</f>
        <v>8624.06</v>
      </c>
      <c r="AK71" s="120">
        <f>AJ71-AL71</f>
        <v>8624.06</v>
      </c>
      <c r="AL71" s="120">
        <f>SUM(AL72:AL76)</f>
        <v>0</v>
      </c>
      <c r="AM71" s="120">
        <f>VLOOKUP($C71,'1 预算编制表单'!$C:$BJ,42,FALSE)</f>
        <v>8624.06</v>
      </c>
      <c r="AN71" s="120">
        <f>AM71-AO71</f>
        <v>8624.06</v>
      </c>
      <c r="AO71" s="120">
        <f>SUM(AO72:AO76)</f>
        <v>0</v>
      </c>
      <c r="AP71" s="120">
        <f>VLOOKUP($C71,'1 预算编制表单'!$C:$BJ,45,FALSE)</f>
        <v>8624.06</v>
      </c>
      <c r="AQ71" s="120">
        <f>AP71-AR71</f>
        <v>8624.06</v>
      </c>
      <c r="AR71" s="120">
        <f>SUM(AR72:AR76)</f>
        <v>0</v>
      </c>
      <c r="AS71" s="120">
        <f>VLOOKUP($C71,'1 预算编制表单'!$C:$BJ,48,FALSE)</f>
        <v>8624.06</v>
      </c>
      <c r="AT71" s="120">
        <f>AS71-AU71</f>
        <v>8624.06</v>
      </c>
      <c r="AU71" s="120">
        <f>SUM(AU72:AU76)</f>
        <v>0</v>
      </c>
      <c r="AV71" s="120">
        <f>VLOOKUP($C71,'1 预算编制表单'!$C:$BJ,51,FALSE)</f>
        <v>8624.06</v>
      </c>
      <c r="AW71" s="120">
        <f>AV71-AX71</f>
        <v>8624.06</v>
      </c>
      <c r="AX71" s="120">
        <f>SUM(AX72:AX76)</f>
        <v>0</v>
      </c>
      <c r="AY71" s="120">
        <f>VLOOKUP($C71,'1 预算编制表单'!$C:$BJ,54,FALSE)</f>
        <v>8624.06</v>
      </c>
      <c r="AZ71" s="120">
        <f>AY71-BA71</f>
        <v>8624.06</v>
      </c>
      <c r="BA71" s="120">
        <f>SUM(BA72:BA76)</f>
        <v>0</v>
      </c>
      <c r="BB71" s="120">
        <f>VLOOKUP($C71,'1 预算编制表单'!$C:$BJ,57,FALSE)</f>
        <v>8624.06</v>
      </c>
      <c r="BC71" s="120">
        <f>BB71-BD71</f>
        <v>8624.06</v>
      </c>
      <c r="BD71" s="120">
        <f>SUM(BD72:BD76)</f>
        <v>0</v>
      </c>
      <c r="BE71" s="120">
        <f>VLOOKUP($C71,'1 预算编制表单'!$C:$BJ,60,FALSE)</f>
        <v>8624.06</v>
      </c>
      <c r="BF71" s="120">
        <f>BE71-BG71</f>
        <v>8624.06</v>
      </c>
      <c r="BG71" s="120">
        <f>SUM(BG72:BG76)</f>
        <v>0</v>
      </c>
      <c r="BH71" s="120">
        <f>VLOOKUP($C71,'1 预算编制表单'!$C:$BJ,27,FALSE)</f>
        <v>9942.64</v>
      </c>
      <c r="BI71" s="120">
        <f>BH71-BJ71</f>
        <v>9942.64</v>
      </c>
      <c r="BJ71" s="120">
        <f>SUM(BJ72:BJ76)</f>
        <v>0</v>
      </c>
      <c r="BK71" s="120">
        <f>VLOOKUP($C71,'1 预算编制表单'!$C:$BJ,30,FALSE)</f>
        <v>8624.06</v>
      </c>
      <c r="BL71" s="120">
        <f>BK71-BM71</f>
        <v>8624.06</v>
      </c>
      <c r="BM71" s="120">
        <f>SUM(BM72:BM76)</f>
        <v>0</v>
      </c>
      <c r="BN71" s="120">
        <f>VLOOKUP($C71,'1 预算编制表单'!$C:$BJ,33,FALSE)</f>
        <v>8624.06</v>
      </c>
      <c r="BO71" s="120">
        <f>BN71-BP71</f>
        <v>8624.06</v>
      </c>
      <c r="BP71" s="120">
        <f>SUM(BP72:BP76)</f>
        <v>0</v>
      </c>
      <c r="BQ71" s="120">
        <f>VLOOKUP($C71,'1 预算编制表单'!$C:$BJ,36,FALSE)</f>
        <v>8624.06</v>
      </c>
      <c r="BR71" s="120">
        <f>BQ71-BS71</f>
        <v>8624.06</v>
      </c>
      <c r="BS71" s="120">
        <f>SUM(BS72:BS76)</f>
        <v>0</v>
      </c>
      <c r="BT71" s="120">
        <f>VLOOKUP($C71,'1 预算编制表单'!$C:$BJ,39,FALSE)</f>
        <v>8624.06</v>
      </c>
      <c r="BU71" s="120">
        <f>BT71-BV71</f>
        <v>8624.06</v>
      </c>
      <c r="BV71" s="120">
        <f>SUM(BV72:BV76)</f>
        <v>0</v>
      </c>
      <c r="BW71" s="120">
        <f>VLOOKUP($C71,'1 预算编制表单'!$C:$BJ,42,FALSE)</f>
        <v>8624.06</v>
      </c>
      <c r="BX71" s="120">
        <f>BW71-BY71</f>
        <v>8624.06</v>
      </c>
      <c r="BY71" s="120">
        <f>SUM(BY72:BY76)</f>
        <v>0</v>
      </c>
      <c r="BZ71" s="120">
        <f>VLOOKUP($C71,'1 预算编制表单'!$C:$BJ,45,FALSE)</f>
        <v>8624.06</v>
      </c>
      <c r="CA71" s="120">
        <f>BZ71-CB71</f>
        <v>8624.06</v>
      </c>
      <c r="CB71" s="120">
        <f>SUM(CB72:CB76)</f>
        <v>0</v>
      </c>
      <c r="CC71" s="120">
        <f>VLOOKUP($C71,'1 预算编制表单'!$C:$BJ,48,FALSE)</f>
        <v>8624.06</v>
      </c>
      <c r="CD71" s="120">
        <f>CC71-CE71</f>
        <v>8624.06</v>
      </c>
      <c r="CE71" s="120">
        <f>SUM(CE72:CE76)</f>
        <v>0</v>
      </c>
      <c r="CF71" s="120">
        <f>VLOOKUP($C71,'1 预算编制表单'!$C:$BJ,51,FALSE)</f>
        <v>8624.06</v>
      </c>
      <c r="CG71" s="120">
        <f>CF71-CH71</f>
        <v>8624.06</v>
      </c>
      <c r="CH71" s="120">
        <f>SUM(CH72:CH76)</f>
        <v>0</v>
      </c>
      <c r="CI71" s="120">
        <f>VLOOKUP($C71,'1 预算编制表单'!$C:$BJ,54,FALSE)</f>
        <v>8624.06</v>
      </c>
      <c r="CJ71" s="120">
        <f>CI71-CK71</f>
        <v>8624.06</v>
      </c>
      <c r="CK71" s="120">
        <f>SUM(CK72:CK76)</f>
        <v>0</v>
      </c>
      <c r="CL71" s="120">
        <f>VLOOKUP($C71,'1 预算编制表单'!$C:$BJ,57,FALSE)</f>
        <v>8624.06</v>
      </c>
      <c r="CM71" s="120">
        <f>CL71-CN71</f>
        <v>8624.06</v>
      </c>
      <c r="CN71" s="120">
        <f>SUM(CN72:CN76)</f>
        <v>0</v>
      </c>
      <c r="CO71" s="120">
        <f>VLOOKUP($C71,'1 预算编制表单'!$C:$BJ,60,FALSE)</f>
        <v>8624.06</v>
      </c>
      <c r="CP71" s="120">
        <f>CO71-CQ71</f>
        <v>8624.06</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2821</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799</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1008</v>
      </c>
      <c r="D78" s="130" t="s">
        <v>2822</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2821</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799</v>
      </c>
      <c r="C83" s="119" t="s">
        <v>1019</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2821</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799</v>
      </c>
      <c r="C89" s="119" t="s">
        <v>1031</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2821</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8"/>
      <c r="B95" s="114" t="s">
        <v>794</v>
      </c>
      <c r="C95" s="115" t="s">
        <v>1034</v>
      </c>
      <c r="D95" s="48" t="s">
        <v>1035</v>
      </c>
      <c r="E95" s="114"/>
      <c r="F95" s="114"/>
      <c r="G95" s="114"/>
      <c r="H95" s="116">
        <f>X95+AA95+AD95+AG95+AJ95+AM95+AP95+AS95+AV95+AY95+BB95+BE95</f>
        <v>0</v>
      </c>
      <c r="I95" s="116">
        <f>Y95+AB95+AE95+AH95+AK95+AN95+AQ95+AT95+AW95+AZ95+BC95+BF95</f>
        <v>0</v>
      </c>
      <c r="J95" s="116">
        <f t="shared" si="814"/>
        <v>0</v>
      </c>
      <c r="K95" s="116"/>
      <c r="L95" s="147"/>
      <c r="M95" s="147"/>
      <c r="N95" s="116"/>
      <c r="O95" s="116"/>
      <c r="P95" s="116"/>
      <c r="Q95" s="116"/>
      <c r="R95" s="116"/>
      <c r="S95" s="116"/>
      <c r="T95" s="116"/>
      <c r="U95" s="116"/>
      <c r="V95" s="116"/>
      <c r="W95" s="116"/>
      <c r="X95" s="116">
        <f>VLOOKUP($C95,'1 预算编制表单'!$C:$BJ,27,FALSE)</f>
        <v>0</v>
      </c>
      <c r="Y95" s="116">
        <f>X95-Z95</f>
        <v>0</v>
      </c>
      <c r="Z95" s="116">
        <f>Z96+Z102+Z108</f>
        <v>0</v>
      </c>
      <c r="AA95" s="116">
        <f>VLOOKUP($C95,'1 预算编制表单'!$C:$BJ,30,FALSE)</f>
        <v>0</v>
      </c>
      <c r="AB95" s="116">
        <f>AA95-AC95</f>
        <v>0</v>
      </c>
      <c r="AC95" s="116">
        <f>AC96+AC102+AC108</f>
        <v>0</v>
      </c>
      <c r="AD95" s="116">
        <f>VLOOKUP($C95,'1 预算编制表单'!$C:$BJ,33,FALSE)</f>
        <v>0</v>
      </c>
      <c r="AE95" s="116">
        <f>AD95-AF95</f>
        <v>0</v>
      </c>
      <c r="AF95" s="116">
        <f>AF96+AF102+AF108</f>
        <v>0</v>
      </c>
      <c r="AG95" s="116">
        <f>VLOOKUP($C95,'1 预算编制表单'!$C:$BJ,36,FALSE)</f>
        <v>0</v>
      </c>
      <c r="AH95" s="116">
        <f>AG95-AI95</f>
        <v>0</v>
      </c>
      <c r="AI95" s="116">
        <f>AI96+AI102+AI108</f>
        <v>0</v>
      </c>
      <c r="AJ95" s="116">
        <f>VLOOKUP($C95,'1 预算编制表单'!$C:$BJ,39,FALSE)</f>
        <v>0</v>
      </c>
      <c r="AK95" s="116">
        <f>AJ95-AL95</f>
        <v>0</v>
      </c>
      <c r="AL95" s="116">
        <f>AL96+AL102+AL108</f>
        <v>0</v>
      </c>
      <c r="AM95" s="116">
        <f>VLOOKUP($C95,'1 预算编制表单'!$C:$BJ,42,FALSE)</f>
        <v>0</v>
      </c>
      <c r="AN95" s="116">
        <f>AM95-AO95</f>
        <v>0</v>
      </c>
      <c r="AO95" s="116">
        <f>AO96+AO102+AO108</f>
        <v>0</v>
      </c>
      <c r="AP95" s="116">
        <f>VLOOKUP($C95,'1 预算编制表单'!$C:$BJ,45,FALSE)</f>
        <v>0</v>
      </c>
      <c r="AQ95" s="116">
        <f>AP95-AR95</f>
        <v>0</v>
      </c>
      <c r="AR95" s="116">
        <f>AR96+AR102+AR108</f>
        <v>0</v>
      </c>
      <c r="AS95" s="116">
        <f>VLOOKUP($C95,'1 预算编制表单'!$C:$BJ,48,FALSE)</f>
        <v>0</v>
      </c>
      <c r="AT95" s="116">
        <f>AS95-AU95</f>
        <v>0</v>
      </c>
      <c r="AU95" s="116">
        <f>AU96+AU102+AU108</f>
        <v>0</v>
      </c>
      <c r="AV95" s="116">
        <f>VLOOKUP($C95,'1 预算编制表单'!$C:$BJ,51,FALSE)</f>
        <v>0</v>
      </c>
      <c r="AW95" s="116">
        <f>AV95-AX95</f>
        <v>0</v>
      </c>
      <c r="AX95" s="116">
        <f>AX96+AX102+AX108</f>
        <v>0</v>
      </c>
      <c r="AY95" s="116">
        <f>VLOOKUP($C95,'1 预算编制表单'!$C:$BJ,54,FALSE)</f>
        <v>0</v>
      </c>
      <c r="AZ95" s="116">
        <f>AY95-BA95</f>
        <v>0</v>
      </c>
      <c r="BA95" s="116">
        <f>BA96+BA102+BA108</f>
        <v>0</v>
      </c>
      <c r="BB95" s="116">
        <f>VLOOKUP($C95,'1 预算编制表单'!$C:$BJ,57,FALSE)</f>
        <v>0</v>
      </c>
      <c r="BC95" s="116">
        <f>BB95-BD95</f>
        <v>0</v>
      </c>
      <c r="BD95" s="116">
        <f>BD96+BD102+BD108</f>
        <v>0</v>
      </c>
      <c r="BE95" s="116">
        <f>VLOOKUP($C95,'1 预算编制表单'!$C:$BJ,60,FALSE)</f>
        <v>0</v>
      </c>
      <c r="BF95" s="116">
        <f>BE95-BG95</f>
        <v>0</v>
      </c>
      <c r="BG95" s="116">
        <f>BG96+BG102+BG108</f>
        <v>0</v>
      </c>
      <c r="BH95" s="116">
        <f>VLOOKUP($C95,'1 预算编制表单'!$C:$BJ,27,FALSE)</f>
        <v>0</v>
      </c>
      <c r="BI95" s="116">
        <f>BH95-BJ95</f>
        <v>0</v>
      </c>
      <c r="BJ95" s="116">
        <f>BJ96+BJ102+BJ108</f>
        <v>0</v>
      </c>
      <c r="BK95" s="116">
        <f>VLOOKUP($C95,'1 预算编制表单'!$C:$BJ,30,FALSE)</f>
        <v>0</v>
      </c>
      <c r="BL95" s="116">
        <f>BK95-BM95</f>
        <v>0</v>
      </c>
      <c r="BM95" s="116">
        <f>BM96+BM102+BM108</f>
        <v>0</v>
      </c>
      <c r="BN95" s="116">
        <f>VLOOKUP($C95,'1 预算编制表单'!$C:$BJ,33,FALSE)</f>
        <v>0</v>
      </c>
      <c r="BO95" s="116">
        <f>BN95-BP95</f>
        <v>0</v>
      </c>
      <c r="BP95" s="116">
        <f>BP96+BP102+BP108</f>
        <v>0</v>
      </c>
      <c r="BQ95" s="116">
        <f>VLOOKUP($C95,'1 预算编制表单'!$C:$BJ,36,FALSE)</f>
        <v>0</v>
      </c>
      <c r="BR95" s="116">
        <f>BQ95-BS95</f>
        <v>0</v>
      </c>
      <c r="BS95" s="116">
        <f>BS96+BS102+BS108</f>
        <v>0</v>
      </c>
      <c r="BT95" s="116">
        <f>VLOOKUP($C95,'1 预算编制表单'!$C:$BJ,39,FALSE)</f>
        <v>0</v>
      </c>
      <c r="BU95" s="116">
        <f>BT95-BV95</f>
        <v>0</v>
      </c>
      <c r="BV95" s="116">
        <f>BV96+BV102+BV108</f>
        <v>0</v>
      </c>
      <c r="BW95" s="116">
        <f>VLOOKUP($C95,'1 预算编制表单'!$C:$BJ,42,FALSE)</f>
        <v>0</v>
      </c>
      <c r="BX95" s="116">
        <f>BW95-BY95</f>
        <v>0</v>
      </c>
      <c r="BY95" s="116">
        <f>BY96+BY102+BY108</f>
        <v>0</v>
      </c>
      <c r="BZ95" s="116">
        <f>VLOOKUP($C95,'1 预算编制表单'!$C:$BJ,45,FALSE)</f>
        <v>0</v>
      </c>
      <c r="CA95" s="116">
        <f>BZ95-CB95</f>
        <v>0</v>
      </c>
      <c r="CB95" s="116">
        <f>CB96+CB102+CB108</f>
        <v>0</v>
      </c>
      <c r="CC95" s="116">
        <f>VLOOKUP($C95,'1 预算编制表单'!$C:$BJ,48,FALSE)</f>
        <v>0</v>
      </c>
      <c r="CD95" s="116">
        <f>CC95-CE95</f>
        <v>0</v>
      </c>
      <c r="CE95" s="116">
        <f>CE96+CE102+CE108</f>
        <v>0</v>
      </c>
      <c r="CF95" s="116">
        <f>VLOOKUP($C95,'1 预算编制表单'!$C:$BJ,51,FALSE)</f>
        <v>0</v>
      </c>
      <c r="CG95" s="116">
        <f>CF95-CH95</f>
        <v>0</v>
      </c>
      <c r="CH95" s="116">
        <f>CH96+CH102+CH108</f>
        <v>0</v>
      </c>
      <c r="CI95" s="116">
        <f>VLOOKUP($C95,'1 预算编制表单'!$C:$BJ,54,FALSE)</f>
        <v>0</v>
      </c>
      <c r="CJ95" s="116">
        <f>CI95-CK95</f>
        <v>0</v>
      </c>
      <c r="CK95" s="116">
        <f>CK96+CK102+CK108</f>
        <v>0</v>
      </c>
      <c r="CL95" s="116">
        <f>VLOOKUP($C95,'1 预算编制表单'!$C:$BJ,57,FALSE)</f>
        <v>0</v>
      </c>
      <c r="CM95" s="116">
        <f>CL95-CN95</f>
        <v>0</v>
      </c>
      <c r="CN95" s="116">
        <f>CN96+CN102+CN108</f>
        <v>0</v>
      </c>
      <c r="CO95" s="116">
        <f>VLOOKUP($C95,'1 预算编制表单'!$C:$BJ,60,FALSE)</f>
        <v>0</v>
      </c>
      <c r="CP95" s="116">
        <f>CO95-CQ95</f>
        <v>0</v>
      </c>
      <c r="CQ95" s="116">
        <f>CQ96+CQ102+CQ108</f>
        <v>0</v>
      </c>
    </row>
    <row r="96" ht="24" customHeight="1" outlineLevel="3" spans="1:95">
      <c r="A96" s="117"/>
      <c r="B96" s="118" t="s">
        <v>799</v>
      </c>
      <c r="C96" s="119" t="s">
        <v>121</v>
      </c>
      <c r="D96" s="117" t="s">
        <v>109</v>
      </c>
      <c r="E96" s="118"/>
      <c r="F96" s="118"/>
      <c r="G96" s="118"/>
      <c r="H96" s="120">
        <f>X96+AA96+AD96+AG96+AJ96+AM96+AP96+AS96+AV96+AY96+BB96+BE96</f>
        <v>0</v>
      </c>
      <c r="I96" s="120">
        <f>Y96+AB96+AE96+AH96+AK96+AN96+AQ96+AT96+AW96+AZ96+BC96+BF96</f>
        <v>0</v>
      </c>
      <c r="J96" s="120">
        <f t="shared" si="814"/>
        <v>0</v>
      </c>
      <c r="K96" s="120"/>
      <c r="L96" s="148"/>
      <c r="M96" s="148"/>
      <c r="N96" s="120"/>
      <c r="O96" s="120"/>
      <c r="P96" s="120"/>
      <c r="Q96" s="120"/>
      <c r="R96" s="120"/>
      <c r="S96" s="120"/>
      <c r="T96" s="120"/>
      <c r="U96" s="120"/>
      <c r="V96" s="120"/>
      <c r="W96" s="120"/>
      <c r="X96" s="120">
        <f>VLOOKUP($C96,'1 预算编制表单'!$C:$BJ,27,FALSE)</f>
        <v>0</v>
      </c>
      <c r="Y96" s="120">
        <f>X96-Z96</f>
        <v>0</v>
      </c>
      <c r="Z96" s="120">
        <f>SUM(Z97:Z101)</f>
        <v>0</v>
      </c>
      <c r="AA96" s="120">
        <f>VLOOKUP($C96,'1 预算编制表单'!$C:$BJ,30,FALSE)</f>
        <v>0</v>
      </c>
      <c r="AB96" s="120">
        <f>AA96-AC96</f>
        <v>0</v>
      </c>
      <c r="AC96" s="120">
        <f>SUM(AC97:AC101)</f>
        <v>0</v>
      </c>
      <c r="AD96" s="120">
        <f>VLOOKUP($C96,'1 预算编制表单'!$C:$BJ,33,FALSE)</f>
        <v>0</v>
      </c>
      <c r="AE96" s="120">
        <f>AD96-AF96</f>
        <v>0</v>
      </c>
      <c r="AF96" s="120">
        <f>SUM(AF97:AF101)</f>
        <v>0</v>
      </c>
      <c r="AG96" s="120">
        <f>VLOOKUP($C96,'1 预算编制表单'!$C:$BJ,36,FALSE)</f>
        <v>0</v>
      </c>
      <c r="AH96" s="120">
        <f>AG96-AI96</f>
        <v>0</v>
      </c>
      <c r="AI96" s="120">
        <f>SUM(AI97:AI101)</f>
        <v>0</v>
      </c>
      <c r="AJ96" s="120">
        <f>VLOOKUP($C96,'1 预算编制表单'!$C:$BJ,39,FALSE)</f>
        <v>0</v>
      </c>
      <c r="AK96" s="120">
        <f>AJ96-AL96</f>
        <v>0</v>
      </c>
      <c r="AL96" s="120">
        <f>SUM(AL97:AL101)</f>
        <v>0</v>
      </c>
      <c r="AM96" s="120">
        <f>VLOOKUP($C96,'1 预算编制表单'!$C:$BJ,42,FALSE)</f>
        <v>0</v>
      </c>
      <c r="AN96" s="120">
        <f>AM96-AO96</f>
        <v>0</v>
      </c>
      <c r="AO96" s="120">
        <f>SUM(AO97:AO101)</f>
        <v>0</v>
      </c>
      <c r="AP96" s="120">
        <f>VLOOKUP($C96,'1 预算编制表单'!$C:$BJ,45,FALSE)</f>
        <v>0</v>
      </c>
      <c r="AQ96" s="120">
        <f>AP96-AR96</f>
        <v>0</v>
      </c>
      <c r="AR96" s="120">
        <f>SUM(AR97:AR101)</f>
        <v>0</v>
      </c>
      <c r="AS96" s="120">
        <f>VLOOKUP($C96,'1 预算编制表单'!$C:$BJ,48,FALSE)</f>
        <v>0</v>
      </c>
      <c r="AT96" s="120">
        <f>AS96-AU96</f>
        <v>0</v>
      </c>
      <c r="AU96" s="120">
        <f>SUM(AU97:AU101)</f>
        <v>0</v>
      </c>
      <c r="AV96" s="120">
        <f>VLOOKUP($C96,'1 预算编制表单'!$C:$BJ,51,FALSE)</f>
        <v>0</v>
      </c>
      <c r="AW96" s="120">
        <f>AV96-AX96</f>
        <v>0</v>
      </c>
      <c r="AX96" s="120">
        <f>SUM(AX97:AX101)</f>
        <v>0</v>
      </c>
      <c r="AY96" s="120">
        <f>VLOOKUP($C96,'1 预算编制表单'!$C:$BJ,54,FALSE)</f>
        <v>0</v>
      </c>
      <c r="AZ96" s="120">
        <f>AY96-BA96</f>
        <v>0</v>
      </c>
      <c r="BA96" s="120">
        <f>SUM(BA97:BA101)</f>
        <v>0</v>
      </c>
      <c r="BB96" s="120">
        <f>VLOOKUP($C96,'1 预算编制表单'!$C:$BJ,57,FALSE)</f>
        <v>0</v>
      </c>
      <c r="BC96" s="120">
        <f>BB96-BD96</f>
        <v>0</v>
      </c>
      <c r="BD96" s="120">
        <f>SUM(BD97:BD101)</f>
        <v>0</v>
      </c>
      <c r="BE96" s="120">
        <f>VLOOKUP($C96,'1 预算编制表单'!$C:$BJ,60,FALSE)</f>
        <v>0</v>
      </c>
      <c r="BF96" s="120">
        <f>BE96-BG96</f>
        <v>0</v>
      </c>
      <c r="BG96" s="120">
        <f>SUM(BG97:BG101)</f>
        <v>0</v>
      </c>
      <c r="BH96" s="120">
        <f>VLOOKUP($C96,'1 预算编制表单'!$C:$BJ,27,FALSE)</f>
        <v>0</v>
      </c>
      <c r="BI96" s="120">
        <f>BH96-BJ96</f>
        <v>0</v>
      </c>
      <c r="BJ96" s="120">
        <f>SUM(BJ97:BJ101)</f>
        <v>0</v>
      </c>
      <c r="BK96" s="120">
        <f>VLOOKUP($C96,'1 预算编制表单'!$C:$BJ,30,FALSE)</f>
        <v>0</v>
      </c>
      <c r="BL96" s="120">
        <f>BK96-BM96</f>
        <v>0</v>
      </c>
      <c r="BM96" s="120">
        <f>SUM(BM97:BM101)</f>
        <v>0</v>
      </c>
      <c r="BN96" s="120">
        <f>VLOOKUP($C96,'1 预算编制表单'!$C:$BJ,33,FALSE)</f>
        <v>0</v>
      </c>
      <c r="BO96" s="120">
        <f>BN96-BP96</f>
        <v>0</v>
      </c>
      <c r="BP96" s="120">
        <f>SUM(BP97:BP101)</f>
        <v>0</v>
      </c>
      <c r="BQ96" s="120">
        <f>VLOOKUP($C96,'1 预算编制表单'!$C:$BJ,36,FALSE)</f>
        <v>0</v>
      </c>
      <c r="BR96" s="120">
        <f>BQ96-BS96</f>
        <v>0</v>
      </c>
      <c r="BS96" s="120">
        <f>SUM(BS97:BS101)</f>
        <v>0</v>
      </c>
      <c r="BT96" s="120">
        <f>VLOOKUP($C96,'1 预算编制表单'!$C:$BJ,39,FALSE)</f>
        <v>0</v>
      </c>
      <c r="BU96" s="120">
        <f>BT96-BV96</f>
        <v>0</v>
      </c>
      <c r="BV96" s="120">
        <f>SUM(BV97:BV101)</f>
        <v>0</v>
      </c>
      <c r="BW96" s="120">
        <f>VLOOKUP($C96,'1 预算编制表单'!$C:$BJ,42,FALSE)</f>
        <v>0</v>
      </c>
      <c r="BX96" s="120">
        <f>BW96-BY96</f>
        <v>0</v>
      </c>
      <c r="BY96" s="120">
        <f>SUM(BY97:BY101)</f>
        <v>0</v>
      </c>
      <c r="BZ96" s="120">
        <f>VLOOKUP($C96,'1 预算编制表单'!$C:$BJ,45,FALSE)</f>
        <v>0</v>
      </c>
      <c r="CA96" s="120">
        <f>BZ96-CB96</f>
        <v>0</v>
      </c>
      <c r="CB96" s="120">
        <f>SUM(CB97:CB101)</f>
        <v>0</v>
      </c>
      <c r="CC96" s="120">
        <f>VLOOKUP($C96,'1 预算编制表单'!$C:$BJ,48,FALSE)</f>
        <v>0</v>
      </c>
      <c r="CD96" s="120">
        <f>CC96-CE96</f>
        <v>0</v>
      </c>
      <c r="CE96" s="120">
        <f>SUM(CE97:CE101)</f>
        <v>0</v>
      </c>
      <c r="CF96" s="120">
        <f>VLOOKUP($C96,'1 预算编制表单'!$C:$BJ,51,FALSE)</f>
        <v>0</v>
      </c>
      <c r="CG96" s="120">
        <f>CF96-CH96</f>
        <v>0</v>
      </c>
      <c r="CH96" s="120">
        <f>SUM(CH97:CH101)</f>
        <v>0</v>
      </c>
      <c r="CI96" s="120">
        <f>VLOOKUP($C96,'1 预算编制表单'!$C:$BJ,54,FALSE)</f>
        <v>0</v>
      </c>
      <c r="CJ96" s="120">
        <f>CI96-CK96</f>
        <v>0</v>
      </c>
      <c r="CK96" s="120">
        <f>SUM(CK97:CK101)</f>
        <v>0</v>
      </c>
      <c r="CL96" s="120">
        <f>VLOOKUP($C96,'1 预算编制表单'!$C:$BJ,57,FALSE)</f>
        <v>0</v>
      </c>
      <c r="CM96" s="120">
        <f>CL96-CN96</f>
        <v>0</v>
      </c>
      <c r="CN96" s="120">
        <f>SUM(CN97:CN101)</f>
        <v>0</v>
      </c>
      <c r="CO96" s="120">
        <f>VLOOKUP($C96,'1 预算编制表单'!$C:$BJ,60,FALSE)</f>
        <v>0</v>
      </c>
      <c r="CP96" s="120">
        <f>CO96-CQ96</f>
        <v>0</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2821</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799</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2821</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799</v>
      </c>
      <c r="C108" s="119" t="s">
        <v>1056</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2821</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8"/>
      <c r="B114" s="114" t="s">
        <v>794</v>
      </c>
      <c r="C114" s="115" t="s">
        <v>1066</v>
      </c>
      <c r="D114" s="48" t="s">
        <v>1067</v>
      </c>
      <c r="E114" s="114"/>
      <c r="F114" s="114"/>
      <c r="G114" s="114"/>
      <c r="H114" s="116">
        <f>X114+AA114+AD114+AG114+AJ114+AM114+AP114+AS114+AV114+AY114+BB114+BE114</f>
        <v>53207.5471698113</v>
      </c>
      <c r="I114" s="116">
        <f>Y114+AB114+AE114+AH114+AK114+AN114+AQ114+AT114+AW114+AZ114+BC114+BF114</f>
        <v>6233.30059446884</v>
      </c>
      <c r="J114" s="116">
        <f t="shared" si="814"/>
        <v>46974.2465753425</v>
      </c>
      <c r="K114" s="116"/>
      <c r="L114" s="147"/>
      <c r="M114" s="147"/>
      <c r="N114" s="116"/>
      <c r="O114" s="116"/>
      <c r="P114" s="116"/>
      <c r="Q114" s="116"/>
      <c r="R114" s="116"/>
      <c r="S114" s="116"/>
      <c r="T114" s="116"/>
      <c r="U114" s="116"/>
      <c r="V114" s="116"/>
      <c r="W114" s="116"/>
      <c r="X114" s="116">
        <f>VLOOKUP($C114,'1 预算编制表单'!$C:$BJ,27,FALSE)</f>
        <v>4433.96226415094</v>
      </c>
      <c r="Y114" s="116">
        <f>X114-Z114</f>
        <v>-356.174722150429</v>
      </c>
      <c r="Z114" s="116">
        <f>Z115+Z121+Z127+Z133</f>
        <v>4790.13698630137</v>
      </c>
      <c r="AA114" s="116">
        <f>VLOOKUP($C114,'1 预算编制表单'!$C:$BJ,30,FALSE)</f>
        <v>4433.96226415094</v>
      </c>
      <c r="AB114" s="116">
        <f>AA114-AC114</f>
        <v>107.386921685191</v>
      </c>
      <c r="AC114" s="116">
        <f>AC115+AC121+AC127+AC133</f>
        <v>4326.57534246575</v>
      </c>
      <c r="AD114" s="116">
        <f>VLOOKUP($C114,'1 预算编制表单'!$C:$BJ,33,FALSE)</f>
        <v>4433.96226415094</v>
      </c>
      <c r="AE114" s="116">
        <f>AD114-AF114</f>
        <v>-356.174722150429</v>
      </c>
      <c r="AF114" s="116">
        <f>AF115+AF121+AF127+AF133</f>
        <v>4790.13698630137</v>
      </c>
      <c r="AG114" s="116">
        <f>VLOOKUP($C114,'1 预算编制表单'!$C:$BJ,36,FALSE)</f>
        <v>4433.96226415094</v>
      </c>
      <c r="AH114" s="116">
        <f>AG114-AI114</f>
        <v>-201.65417420522</v>
      </c>
      <c r="AI114" s="116">
        <f>AI115+AI121+AI127+AI133</f>
        <v>4635.61643835616</v>
      </c>
      <c r="AJ114" s="116">
        <f>VLOOKUP($C114,'1 预算编制表单'!$C:$BJ,39,FALSE)</f>
        <v>4433.96226415094</v>
      </c>
      <c r="AK114" s="116">
        <f>AJ114-AL114</f>
        <v>-356.174722150429</v>
      </c>
      <c r="AL114" s="116">
        <f>AL115+AL121+AL127+AL133</f>
        <v>4790.13698630137</v>
      </c>
      <c r="AM114" s="116">
        <f>VLOOKUP($C114,'1 预算编制表单'!$C:$BJ,42,FALSE)</f>
        <v>4433.96226415094</v>
      </c>
      <c r="AN114" s="116">
        <f>AM114-AO114</f>
        <v>-201.65417420522</v>
      </c>
      <c r="AO114" s="116">
        <f>AO115+AO121+AO127+AO133</f>
        <v>4635.61643835616</v>
      </c>
      <c r="AP114" s="116">
        <f>VLOOKUP($C114,'1 预算编制表单'!$C:$BJ,45,FALSE)</f>
        <v>4433.96226415094</v>
      </c>
      <c r="AQ114" s="116">
        <f>AP114-AR114</f>
        <v>-356.174722150429</v>
      </c>
      <c r="AR114" s="116">
        <f>AR115+AR121+AR127+AR133</f>
        <v>4790.13698630137</v>
      </c>
      <c r="AS114" s="116">
        <f>VLOOKUP($C114,'1 预算编制表单'!$C:$BJ,48,FALSE)</f>
        <v>4433.96226415094</v>
      </c>
      <c r="AT114" s="116">
        <f>AS114-AU114</f>
        <v>-356.174722150429</v>
      </c>
      <c r="AU114" s="116">
        <f>AU115+AU121+AU127+AU133</f>
        <v>4790.13698630137</v>
      </c>
      <c r="AV114" s="116">
        <f>VLOOKUP($C114,'1 预算编制表单'!$C:$BJ,51,FALSE)</f>
        <v>4433.96226415094</v>
      </c>
      <c r="AW114" s="116">
        <f>AV114-AX114</f>
        <v>-201.65417420522</v>
      </c>
      <c r="AX114" s="116">
        <f>AX115+AX121+AX127+AX133</f>
        <v>4635.61643835616</v>
      </c>
      <c r="AY114" s="116">
        <f>VLOOKUP($C114,'1 预算编制表单'!$C:$BJ,54,FALSE)</f>
        <v>4433.96226415094</v>
      </c>
      <c r="AZ114" s="116">
        <f>AY114-BA114</f>
        <v>-356.174722150429</v>
      </c>
      <c r="BA114" s="116">
        <f>BA115+BA121+BA127+BA133</f>
        <v>4790.13698630137</v>
      </c>
      <c r="BB114" s="116">
        <f>VLOOKUP($C114,'1 预算编制表单'!$C:$BJ,57,FALSE)</f>
        <v>4433.96226415094</v>
      </c>
      <c r="BC114" s="116">
        <f>BB114-BD114</f>
        <v>4433.96226415094</v>
      </c>
      <c r="BD114" s="116">
        <f>BD115+BD121+BD127+BD133</f>
        <v>0</v>
      </c>
      <c r="BE114" s="116">
        <f>VLOOKUP($C114,'1 预算编制表单'!$C:$BJ,60,FALSE)</f>
        <v>4433.96226415094</v>
      </c>
      <c r="BF114" s="116">
        <f>BE114-BG114</f>
        <v>4433.96226415094</v>
      </c>
      <c r="BG114" s="116">
        <f>BG115+BG121+BG127+BG133</f>
        <v>0</v>
      </c>
      <c r="BH114" s="116">
        <f>VLOOKUP($C114,'1 预算编制表单'!$C:$BJ,27,FALSE)</f>
        <v>4433.96226415094</v>
      </c>
      <c r="BI114" s="116">
        <f>BH114-BJ114</f>
        <v>4433.96226415094</v>
      </c>
      <c r="BJ114" s="116">
        <f>BJ115+BJ121+BJ127+BJ133</f>
        <v>0</v>
      </c>
      <c r="BK114" s="116">
        <f>VLOOKUP($C114,'1 预算编制表单'!$C:$BJ,30,FALSE)</f>
        <v>4433.96226415094</v>
      </c>
      <c r="BL114" s="116">
        <f>BK114-BM114</f>
        <v>4433.96226415094</v>
      </c>
      <c r="BM114" s="116">
        <f>BM115+BM121+BM127+BM133</f>
        <v>0</v>
      </c>
      <c r="BN114" s="116">
        <f>VLOOKUP($C114,'1 预算编制表单'!$C:$BJ,33,FALSE)</f>
        <v>4433.96226415094</v>
      </c>
      <c r="BO114" s="116">
        <f>BN114-BP114</f>
        <v>4433.96226415094</v>
      </c>
      <c r="BP114" s="116">
        <f>BP115+BP121+BP127+BP133</f>
        <v>0</v>
      </c>
      <c r="BQ114" s="116">
        <f>VLOOKUP($C114,'1 预算编制表单'!$C:$BJ,36,FALSE)</f>
        <v>4433.96226415094</v>
      </c>
      <c r="BR114" s="116">
        <f>BQ114-BS114</f>
        <v>4433.96226415094</v>
      </c>
      <c r="BS114" s="116">
        <f>BS115+BS121+BS127+BS133</f>
        <v>0</v>
      </c>
      <c r="BT114" s="116">
        <f>VLOOKUP($C114,'1 预算编制表单'!$C:$BJ,39,FALSE)</f>
        <v>4433.96226415094</v>
      </c>
      <c r="BU114" s="116">
        <f>BT114-BV114</f>
        <v>4433.96226415094</v>
      </c>
      <c r="BV114" s="116">
        <f>BV115+BV121+BV127+BV133</f>
        <v>0</v>
      </c>
      <c r="BW114" s="116">
        <f>VLOOKUP($C114,'1 预算编制表单'!$C:$BJ,42,FALSE)</f>
        <v>4433.96226415094</v>
      </c>
      <c r="BX114" s="116">
        <f>BW114-BY114</f>
        <v>4433.96226415094</v>
      </c>
      <c r="BY114" s="116">
        <f>BY115+BY121+BY127+BY133</f>
        <v>0</v>
      </c>
      <c r="BZ114" s="116">
        <f>VLOOKUP($C114,'1 预算编制表单'!$C:$BJ,45,FALSE)</f>
        <v>4433.96226415094</v>
      </c>
      <c r="CA114" s="116">
        <f>BZ114-CB114</f>
        <v>4433.96226415094</v>
      </c>
      <c r="CB114" s="116">
        <f>CB115+CB121+CB127+CB133</f>
        <v>0</v>
      </c>
      <c r="CC114" s="116">
        <f>VLOOKUP($C114,'1 预算编制表单'!$C:$BJ,48,FALSE)</f>
        <v>4433.96226415094</v>
      </c>
      <c r="CD114" s="116">
        <f>CC114-CE114</f>
        <v>4433.96226415094</v>
      </c>
      <c r="CE114" s="116">
        <f>CE115+CE121+CE127+CE133</f>
        <v>0</v>
      </c>
      <c r="CF114" s="116">
        <f>VLOOKUP($C114,'1 预算编制表单'!$C:$BJ,51,FALSE)</f>
        <v>4433.96226415094</v>
      </c>
      <c r="CG114" s="116">
        <f>CF114-CH114</f>
        <v>4433.96226415094</v>
      </c>
      <c r="CH114" s="116">
        <f>CH115+CH121+CH127+CH133</f>
        <v>0</v>
      </c>
      <c r="CI114" s="116">
        <f>VLOOKUP($C114,'1 预算编制表单'!$C:$BJ,54,FALSE)</f>
        <v>4433.96226415094</v>
      </c>
      <c r="CJ114" s="116">
        <f>CI114-CK114</f>
        <v>4433.96226415094</v>
      </c>
      <c r="CK114" s="116">
        <f>CK115+CK121+CK127+CK133</f>
        <v>0</v>
      </c>
      <c r="CL114" s="116">
        <f>VLOOKUP($C114,'1 预算编制表单'!$C:$BJ,57,FALSE)</f>
        <v>4433.96226415094</v>
      </c>
      <c r="CM114" s="116">
        <f>CL114-CN114</f>
        <v>4433.96226415094</v>
      </c>
      <c r="CN114" s="116">
        <f>CN115+CN121+CN127+CN133</f>
        <v>0</v>
      </c>
      <c r="CO114" s="116">
        <f>VLOOKUP($C114,'1 预算编制表单'!$C:$BJ,60,FALSE)</f>
        <v>4433.96226415094</v>
      </c>
      <c r="CP114" s="116">
        <f>CO114-CQ114</f>
        <v>4433.96226415094</v>
      </c>
      <c r="CQ114" s="116">
        <f>CQ115+CQ121+CQ127+CQ133</f>
        <v>0</v>
      </c>
    </row>
    <row r="115" ht="24" customHeight="1" outlineLevel="3" spans="1:95">
      <c r="A115" s="117"/>
      <c r="B115" s="118" t="s">
        <v>799</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2821</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799</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1080</v>
      </c>
      <c r="D122" s="130" t="s">
        <v>2822</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2821</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799</v>
      </c>
      <c r="C127" s="119" t="s">
        <v>22</v>
      </c>
      <c r="D127" s="117" t="s">
        <v>23</v>
      </c>
      <c r="E127" s="118"/>
      <c r="F127" s="118"/>
      <c r="G127" s="118"/>
      <c r="H127" s="120">
        <f>X127+AA127+AD127+AG127+AJ127+AM127+AP127+AS127+AV127+AY127+BB127+BE127</f>
        <v>53207.5471698113</v>
      </c>
      <c r="I127" s="120">
        <f>Y127+AB127+AE127+AH127+AK127+AN127+AQ127+AT127+AW127+AZ127+BC127+BF127</f>
        <v>6233.30059446884</v>
      </c>
      <c r="J127" s="120">
        <f t="shared" si="814"/>
        <v>46974.2465753425</v>
      </c>
      <c r="K127" s="120"/>
      <c r="L127" s="148"/>
      <c r="M127" s="148"/>
      <c r="N127" s="120"/>
      <c r="O127" s="120"/>
      <c r="P127" s="120"/>
      <c r="Q127" s="120"/>
      <c r="R127" s="120"/>
      <c r="S127" s="120"/>
      <c r="T127" s="120"/>
      <c r="U127" s="120"/>
      <c r="V127" s="120"/>
      <c r="W127" s="120"/>
      <c r="X127" s="120">
        <f>VLOOKUP($C127,'1 预算编制表单'!$C:$BJ,27,FALSE)</f>
        <v>4433.96226415094</v>
      </c>
      <c r="Y127" s="120">
        <f>X127-Z127</f>
        <v>-356.174722150429</v>
      </c>
      <c r="Z127" s="120">
        <f>SUM(Z128:Z132)</f>
        <v>4790.13698630137</v>
      </c>
      <c r="AA127" s="120">
        <f>VLOOKUP($C127,'1 预算编制表单'!$C:$BJ,30,FALSE)</f>
        <v>4433.96226415094</v>
      </c>
      <c r="AB127" s="120">
        <f>AA127-AC127</f>
        <v>107.386921685191</v>
      </c>
      <c r="AC127" s="120">
        <f>SUM(AC128:AC132)</f>
        <v>4326.57534246575</v>
      </c>
      <c r="AD127" s="120">
        <f>VLOOKUP($C127,'1 预算编制表单'!$C:$BJ,33,FALSE)</f>
        <v>4433.96226415094</v>
      </c>
      <c r="AE127" s="120">
        <f>AD127-AF127</f>
        <v>-356.174722150429</v>
      </c>
      <c r="AF127" s="120">
        <f>SUM(AF128:AF132)</f>
        <v>4790.13698630137</v>
      </c>
      <c r="AG127" s="120">
        <f>VLOOKUP($C127,'1 预算编制表单'!$C:$BJ,36,FALSE)</f>
        <v>4433.96226415094</v>
      </c>
      <c r="AH127" s="120">
        <f>AG127-AI127</f>
        <v>-201.65417420522</v>
      </c>
      <c r="AI127" s="120">
        <f>SUM(AI128:AI132)</f>
        <v>4635.61643835616</v>
      </c>
      <c r="AJ127" s="120">
        <f>VLOOKUP($C127,'1 预算编制表单'!$C:$BJ,39,FALSE)</f>
        <v>4433.96226415094</v>
      </c>
      <c r="AK127" s="120">
        <f>AJ127-AL127</f>
        <v>-356.174722150429</v>
      </c>
      <c r="AL127" s="120">
        <f>SUM(AL128:AL132)</f>
        <v>4790.13698630137</v>
      </c>
      <c r="AM127" s="120">
        <f>VLOOKUP($C127,'1 预算编制表单'!$C:$BJ,42,FALSE)</f>
        <v>4433.96226415094</v>
      </c>
      <c r="AN127" s="120">
        <f>AM127-AO127</f>
        <v>-201.65417420522</v>
      </c>
      <c r="AO127" s="120">
        <f>SUM(AO128:AO132)</f>
        <v>4635.61643835616</v>
      </c>
      <c r="AP127" s="120">
        <f>VLOOKUP($C127,'1 预算编制表单'!$C:$BJ,45,FALSE)</f>
        <v>4433.96226415094</v>
      </c>
      <c r="AQ127" s="120">
        <f>AP127-AR127</f>
        <v>-356.174722150429</v>
      </c>
      <c r="AR127" s="120">
        <f>SUM(AR128:AR132)</f>
        <v>4790.13698630137</v>
      </c>
      <c r="AS127" s="120">
        <f>VLOOKUP($C127,'1 预算编制表单'!$C:$BJ,48,FALSE)</f>
        <v>4433.96226415094</v>
      </c>
      <c r="AT127" s="120">
        <f>AS127-AU127</f>
        <v>-356.174722150429</v>
      </c>
      <c r="AU127" s="120">
        <f>SUM(AU128:AU132)</f>
        <v>4790.13698630137</v>
      </c>
      <c r="AV127" s="120">
        <f>VLOOKUP($C127,'1 预算编制表单'!$C:$BJ,51,FALSE)</f>
        <v>4433.96226415094</v>
      </c>
      <c r="AW127" s="120">
        <f>AV127-AX127</f>
        <v>-201.65417420522</v>
      </c>
      <c r="AX127" s="120">
        <f>SUM(AX128:AX132)</f>
        <v>4635.61643835616</v>
      </c>
      <c r="AY127" s="120">
        <f>VLOOKUP($C127,'1 预算编制表单'!$C:$BJ,54,FALSE)</f>
        <v>4433.96226415094</v>
      </c>
      <c r="AZ127" s="120">
        <f>AY127-BA127</f>
        <v>-356.174722150429</v>
      </c>
      <c r="BA127" s="120">
        <f>SUM(BA128:BA132)</f>
        <v>4790.13698630137</v>
      </c>
      <c r="BB127" s="120">
        <f>VLOOKUP($C127,'1 预算编制表单'!$C:$BJ,57,FALSE)</f>
        <v>4433.96226415094</v>
      </c>
      <c r="BC127" s="120">
        <f>BB127-BD127</f>
        <v>4433.96226415094</v>
      </c>
      <c r="BD127" s="120">
        <f>SUM(BD128:BD132)</f>
        <v>0</v>
      </c>
      <c r="BE127" s="120">
        <f>VLOOKUP($C127,'1 预算编制表单'!$C:$BJ,60,FALSE)</f>
        <v>4433.96226415094</v>
      </c>
      <c r="BF127" s="120">
        <f>BE127-BG127</f>
        <v>4433.96226415094</v>
      </c>
      <c r="BG127" s="120">
        <f>SUM(BG128:BG132)</f>
        <v>0</v>
      </c>
      <c r="BH127" s="120">
        <f>VLOOKUP($C127,'1 预算编制表单'!$C:$BJ,27,FALSE)</f>
        <v>4433.96226415094</v>
      </c>
      <c r="BI127" s="120">
        <f>BH127-BJ127</f>
        <v>4433.96226415094</v>
      </c>
      <c r="BJ127" s="120">
        <f>SUM(BJ128:BJ132)</f>
        <v>0</v>
      </c>
      <c r="BK127" s="120">
        <f>VLOOKUP($C127,'1 预算编制表单'!$C:$BJ,30,FALSE)</f>
        <v>4433.96226415094</v>
      </c>
      <c r="BL127" s="120">
        <f>BK127-BM127</f>
        <v>4433.96226415094</v>
      </c>
      <c r="BM127" s="120">
        <f>SUM(BM128:BM132)</f>
        <v>0</v>
      </c>
      <c r="BN127" s="120">
        <f>VLOOKUP($C127,'1 预算编制表单'!$C:$BJ,33,FALSE)</f>
        <v>4433.96226415094</v>
      </c>
      <c r="BO127" s="120">
        <f>BN127-BP127</f>
        <v>4433.96226415094</v>
      </c>
      <c r="BP127" s="120">
        <f>SUM(BP128:BP132)</f>
        <v>0</v>
      </c>
      <c r="BQ127" s="120">
        <f>VLOOKUP($C127,'1 预算编制表单'!$C:$BJ,36,FALSE)</f>
        <v>4433.96226415094</v>
      </c>
      <c r="BR127" s="120">
        <f>BQ127-BS127</f>
        <v>4433.96226415094</v>
      </c>
      <c r="BS127" s="120">
        <f>SUM(BS128:BS132)</f>
        <v>0</v>
      </c>
      <c r="BT127" s="120">
        <f>VLOOKUP($C127,'1 预算编制表单'!$C:$BJ,39,FALSE)</f>
        <v>4433.96226415094</v>
      </c>
      <c r="BU127" s="120">
        <f>BT127-BV127</f>
        <v>4433.96226415094</v>
      </c>
      <c r="BV127" s="120">
        <f>SUM(BV128:BV132)</f>
        <v>0</v>
      </c>
      <c r="BW127" s="120">
        <f>VLOOKUP($C127,'1 预算编制表单'!$C:$BJ,42,FALSE)</f>
        <v>4433.96226415094</v>
      </c>
      <c r="BX127" s="120">
        <f>BW127-BY127</f>
        <v>4433.96226415094</v>
      </c>
      <c r="BY127" s="120">
        <f>SUM(BY128:BY132)</f>
        <v>0</v>
      </c>
      <c r="BZ127" s="120">
        <f>VLOOKUP($C127,'1 预算编制表单'!$C:$BJ,45,FALSE)</f>
        <v>4433.96226415094</v>
      </c>
      <c r="CA127" s="120">
        <f>BZ127-CB127</f>
        <v>4433.96226415094</v>
      </c>
      <c r="CB127" s="120">
        <f>SUM(CB128:CB132)</f>
        <v>0</v>
      </c>
      <c r="CC127" s="120">
        <f>VLOOKUP($C127,'1 预算编制表单'!$C:$BJ,48,FALSE)</f>
        <v>4433.96226415094</v>
      </c>
      <c r="CD127" s="120">
        <f>CC127-CE127</f>
        <v>4433.96226415094</v>
      </c>
      <c r="CE127" s="120">
        <f>SUM(CE128:CE132)</f>
        <v>0</v>
      </c>
      <c r="CF127" s="120">
        <f>VLOOKUP($C127,'1 预算编制表单'!$C:$BJ,51,FALSE)</f>
        <v>4433.96226415094</v>
      </c>
      <c r="CG127" s="120">
        <f>CF127-CH127</f>
        <v>4433.96226415094</v>
      </c>
      <c r="CH127" s="120">
        <f>SUM(CH128:CH132)</f>
        <v>0</v>
      </c>
      <c r="CI127" s="120">
        <f>VLOOKUP($C127,'1 预算编制表单'!$C:$BJ,54,FALSE)</f>
        <v>4433.96226415094</v>
      </c>
      <c r="CJ127" s="120">
        <f>CI127-CK127</f>
        <v>4433.96226415094</v>
      </c>
      <c r="CK127" s="120">
        <f>SUM(CK128:CK132)</f>
        <v>0</v>
      </c>
      <c r="CL127" s="120">
        <f>VLOOKUP($C127,'1 预算编制表单'!$C:$BJ,57,FALSE)</f>
        <v>4433.96226415094</v>
      </c>
      <c r="CM127" s="120">
        <f>CL127-CN127</f>
        <v>4433.96226415094</v>
      </c>
      <c r="CN127" s="120">
        <f>SUM(CN128:CN132)</f>
        <v>0</v>
      </c>
      <c r="CO127" s="120">
        <f>VLOOKUP($C127,'1 预算编制表单'!$C:$BJ,60,FALSE)</f>
        <v>4433.96226415094</v>
      </c>
      <c r="CP127" s="120">
        <f>CO127-CQ127</f>
        <v>4433.96226415094</v>
      </c>
      <c r="CQ127" s="120">
        <f>SUM(CQ128:CQ132)</f>
        <v>0</v>
      </c>
    </row>
    <row r="128" s="82" customFormat="1" ht="24" customHeight="1" outlineLevel="4" spans="1:95">
      <c r="A128" s="121"/>
      <c r="B128" s="122"/>
      <c r="C128" s="123"/>
      <c r="D128" s="121"/>
      <c r="E128" s="122"/>
      <c r="F128" s="122"/>
      <c r="G128" s="122"/>
      <c r="H128" s="124"/>
      <c r="I128" s="124"/>
      <c r="J128" s="124">
        <f t="shared" si="814"/>
        <v>46974.2465753425</v>
      </c>
      <c r="K128" s="124">
        <v>1</v>
      </c>
      <c r="L128" s="149" t="s">
        <v>2824</v>
      </c>
      <c r="M128" s="150" t="str">
        <f>IFERROR(VLOOKUP($L128,'2-2 引出数据_合同数据仓库'!$B$2:$BP$10000,3,FALSE),0)</f>
        <v>梅华小学绿化外包合同</v>
      </c>
      <c r="N128" s="124"/>
      <c r="O128" s="150">
        <f>IFERROR(VLOOKUP((LEFT(VLOOKUP($L128,'2-2 引出数据_合同数据仓库'!$B$2:$BP$10000,64,FALSE),15)&amp;(RIGHT(VLOOKUP($L128,'2-2 引出数据_合同数据仓库'!$B$2:$BP$10000,64,FALSE),4)+1)),'2-2 引出数据_合同数据仓库'!$B$2:$BP$10000,3,FALSE),0)</f>
        <v>0</v>
      </c>
      <c r="P128" s="124"/>
      <c r="Q128" s="124" t="str">
        <f>IFERROR(VLOOKUP($L128,'2-2 引出数据_合同数据仓库'!$B$2:$BP$10000,28,FALSE),0)</f>
        <v>2024-10-31</v>
      </c>
      <c r="R128" s="124" t="str">
        <f>IFERROR(VLOOKUP($L128,'2-2 引出数据_合同数据仓库'!$B$2:$BP$10000,29,FALSE),0)</f>
        <v>2024-11-01</v>
      </c>
      <c r="S128" s="124" t="str">
        <f>IFERROR(VLOOKUP($L128,'2-2 引出数据_合同数据仓库'!$B$2:$BP$10000,4,FALSE),0)</f>
        <v>2025-10-31</v>
      </c>
      <c r="T128" s="124"/>
      <c r="U128" s="124">
        <f>IFERROR(VLOOKUP($L128,'2-2 引出数据_合同数据仓库'!$B$2:$BP$10000,15,FALSE),0)</f>
        <v>56400</v>
      </c>
      <c r="V128" s="124">
        <f t="shared" ref="V128:V131" si="1498">U128/(S128-R128+1)*365</f>
        <v>56400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4790.13698630137</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4326.57534246575</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4790.13698630137</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4635.61643835616</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4790.13698630137</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4635.61643835616</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4790.13698630137</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4790.13698630137</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4635.61643835616</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4790.13698630137</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2821</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799</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2821</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8"/>
      <c r="B139" s="114" t="s">
        <v>794</v>
      </c>
      <c r="C139" s="115" t="s">
        <v>1097</v>
      </c>
      <c r="D139" s="48" t="s">
        <v>1098</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799</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2821</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799</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1107</v>
      </c>
      <c r="D147" s="130" t="s">
        <v>2822</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2821</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799</v>
      </c>
      <c r="C152" s="119" t="s">
        <v>1113</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2821</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8"/>
      <c r="B158" s="114" t="s">
        <v>794</v>
      </c>
      <c r="C158" s="115" t="s">
        <v>1120</v>
      </c>
      <c r="D158" s="48" t="s">
        <v>1121</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customHeight="1" outlineLevel="3" spans="1:95">
      <c r="A159" s="117"/>
      <c r="B159" s="118" t="s">
        <v>799</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2821</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799</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1133</v>
      </c>
      <c r="D166" s="121" t="s">
        <v>2825</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2821</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799</v>
      </c>
      <c r="C171" s="119" t="s">
        <v>1139</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2821</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9"/>
      <c r="B177" s="111" t="s">
        <v>794</v>
      </c>
      <c r="C177" s="112" t="s">
        <v>220</v>
      </c>
      <c r="D177" s="29" t="s">
        <v>221</v>
      </c>
      <c r="E177" s="111"/>
      <c r="F177" s="111"/>
      <c r="G177" s="111"/>
      <c r="H177" s="113">
        <f t="shared" ref="H177:I179" si="2110">X177+AA177+AD177+AG177+AJ177+AM177+AP177+AS177+AV177+AY177+BB177+BE177</f>
        <v>4716.98113207547</v>
      </c>
      <c r="I177" s="113">
        <f t="shared" si="2110"/>
        <v>-16513.0188679245</v>
      </c>
      <c r="J177" s="113">
        <f t="shared" si="1570"/>
        <v>21230</v>
      </c>
      <c r="K177" s="113"/>
      <c r="L177" s="146"/>
      <c r="M177" s="146"/>
      <c r="N177" s="113"/>
      <c r="O177" s="146"/>
      <c r="P177" s="113"/>
      <c r="Q177" s="113"/>
      <c r="R177" s="113"/>
      <c r="S177" s="113"/>
      <c r="T177" s="113"/>
      <c r="U177" s="113"/>
      <c r="V177" s="113"/>
      <c r="W177" s="113"/>
      <c r="X177" s="113">
        <f>VLOOKUP($C177,'1 预算编制表单'!$C:$BJ,27,FALSE)</f>
        <v>4716.98113207547</v>
      </c>
      <c r="Y177" s="113">
        <f>X177-Z177</f>
        <v>4716.98113207547</v>
      </c>
      <c r="Z177" s="113">
        <f>Z178+Z203+Z209+Z252+Z265+Z278+Z339+Z397+Z403+Z422</f>
        <v>0</v>
      </c>
      <c r="AA177" s="113">
        <f>VLOOKUP($C177,'1 预算编制表单'!$C:$BJ,30,FALSE)</f>
        <v>0</v>
      </c>
      <c r="AB177" s="113">
        <f>AA177-AC177</f>
        <v>0</v>
      </c>
      <c r="AC177" s="113">
        <f>AC178+AC203+AC209+AC252+AC265+AC278+AC339+AC397+AC403+AC422</f>
        <v>0</v>
      </c>
      <c r="AD177" s="113">
        <f>VLOOKUP($C177,'1 预算编制表单'!$C:$BJ,33,FALSE)</f>
        <v>0</v>
      </c>
      <c r="AE177" s="113">
        <f>AD177-AF177</f>
        <v>-1369.84944797591</v>
      </c>
      <c r="AF177" s="113">
        <f>AF178+AF203+AF209+AF252+AF265+AF278+AF339+AF397+AF403+AF422</f>
        <v>1369.84944797591</v>
      </c>
      <c r="AG177" s="113">
        <f>VLOOKUP($C177,'1 预算编制表单'!$C:$BJ,36,FALSE)</f>
        <v>0</v>
      </c>
      <c r="AH177" s="113">
        <f>AG177-AI177</f>
        <v>-2204.08101876989</v>
      </c>
      <c r="AI177" s="113">
        <f>AI178+AI203+AI209+AI252+AI265+AI278+AI339+AI397+AI403+AI422</f>
        <v>2204.08101876989</v>
      </c>
      <c r="AJ177" s="113">
        <f>VLOOKUP($C177,'1 预算编制表单'!$C:$BJ,39,FALSE)</f>
        <v>0</v>
      </c>
      <c r="AK177" s="113">
        <f>AJ177-AL177</f>
        <v>-3518.21342546184</v>
      </c>
      <c r="AL177" s="113">
        <f>AL178+AL203+AL209+AL252+AL265+AL278+AL339+AL397+AL403+AL422</f>
        <v>3518.21342546184</v>
      </c>
      <c r="AM177" s="113">
        <f>VLOOKUP($C177,'1 预算编制表单'!$C:$BJ,42,FALSE)</f>
        <v>0</v>
      </c>
      <c r="AN177" s="113">
        <f>AM177-AO177</f>
        <v>-3404.72266980178</v>
      </c>
      <c r="AO177" s="113">
        <f>AO178+AO203+AO209+AO252+AO265+AO278+AO339+AO397+AO403+AO422</f>
        <v>3404.72266980178</v>
      </c>
      <c r="AP177" s="113">
        <f>VLOOKUP($C177,'1 预算编制表单'!$C:$BJ,45,FALSE)</f>
        <v>0</v>
      </c>
      <c r="AQ177" s="113">
        <f>AP177-AR177</f>
        <v>-2705.09867136348</v>
      </c>
      <c r="AR177" s="113">
        <f>AR178+AR203+AR209+AR252+AR265+AR278+AR339+AR397+AR403+AR422</f>
        <v>2705.09867136348</v>
      </c>
      <c r="AS177" s="113">
        <f>VLOOKUP($C177,'1 预算编制表单'!$C:$BJ,48,FALSE)</f>
        <v>0</v>
      </c>
      <c r="AT177" s="113">
        <f>AS177-AU177</f>
        <v>-2705.09867136348</v>
      </c>
      <c r="AU177" s="113">
        <f>AU178+AU203+AU209+AU252+AU265+AU278+AU339+AU397+AU403+AU422</f>
        <v>2705.09867136348</v>
      </c>
      <c r="AV177" s="113">
        <f>VLOOKUP($C177,'1 预算编制表单'!$C:$BJ,51,FALSE)</f>
        <v>0</v>
      </c>
      <c r="AW177" s="113">
        <f>AV177-AX177</f>
        <v>-2617.83742390014</v>
      </c>
      <c r="AX177" s="113">
        <f>AX178+AX203+AX209+AX252+AX265+AX278+AX339+AX397+AX403+AX422</f>
        <v>2617.83742390014</v>
      </c>
      <c r="AY177" s="113">
        <f>VLOOKUP($C177,'1 预算编制表单'!$C:$BJ,54,FALSE)</f>
        <v>0</v>
      </c>
      <c r="AZ177" s="113">
        <f>AY177-BA177</f>
        <v>-2705.09867136348</v>
      </c>
      <c r="BA177" s="113">
        <f>BA178+BA203+BA209+BA252+BA265+BA278+BA339+BA397+BA403+BA422</f>
        <v>2705.09867136348</v>
      </c>
      <c r="BB177" s="113">
        <f>VLOOKUP($C177,'1 预算编制表单'!$C:$BJ,57,FALSE)</f>
        <v>0</v>
      </c>
      <c r="BC177" s="113">
        <f>BB177-BD177</f>
        <v>0</v>
      </c>
      <c r="BD177" s="113">
        <f>BD178+BD203+BD209+BD252+BD265+BD278+BD339+BD397+BD403+BD422</f>
        <v>0</v>
      </c>
      <c r="BE177" s="113">
        <f>VLOOKUP($C177,'1 预算编制表单'!$C:$BJ,60,FALSE)</f>
        <v>0</v>
      </c>
      <c r="BF177" s="113">
        <f>BE177-BG177</f>
        <v>0</v>
      </c>
      <c r="BG177" s="113">
        <f>BG178+BG203+BG209+BG252+BG265+BG278+BG339+BG397+BG403+BG422</f>
        <v>0</v>
      </c>
      <c r="BH177" s="113">
        <f>VLOOKUP($C177,'1 预算编制表单'!$C:$BJ,27,FALSE)</f>
        <v>4716.98113207547</v>
      </c>
      <c r="BI177" s="113">
        <f t="shared" ref="BI177:BI179" si="2111">BH177-BJ177</f>
        <v>4716.98113207547</v>
      </c>
      <c r="BJ177" s="113">
        <f>BJ178+BJ203+BJ209+BJ252+BJ265+BJ278+BJ339+BJ397+BJ403+BJ422</f>
        <v>0</v>
      </c>
      <c r="BK177" s="113">
        <f>VLOOKUP($C177,'1 预算编制表单'!$C:$BJ,30,FALSE)</f>
        <v>0</v>
      </c>
      <c r="BL177" s="113">
        <f t="shared" ref="BL177:BL179" si="2112">BK177-BM177</f>
        <v>0</v>
      </c>
      <c r="BM177" s="113">
        <f>BM178+BM203+BM209+BM252+BM265+BM278+BM339+BM397+BM403+BM422</f>
        <v>0</v>
      </c>
      <c r="BN177" s="113">
        <f>VLOOKUP($C177,'1 预算编制表单'!$C:$BJ,33,FALSE)</f>
        <v>0</v>
      </c>
      <c r="BO177" s="113">
        <f t="shared" ref="BO177:BO179" si="2113">BN177-BP177</f>
        <v>0</v>
      </c>
      <c r="BP177" s="113">
        <f>BP178+BP203+BP209+BP252+BP265+BP278+BP339+BP397+BP403+BP422</f>
        <v>0</v>
      </c>
      <c r="BQ177" s="113">
        <f>VLOOKUP($C177,'1 预算编制表单'!$C:$BJ,36,FALSE)</f>
        <v>0</v>
      </c>
      <c r="BR177" s="113">
        <f t="shared" ref="BR177:BR179" si="2114">BQ177-BS177</f>
        <v>0</v>
      </c>
      <c r="BS177" s="113">
        <f>BS178+BS203+BS209+BS252+BS265+BS278+BS339+BS397+BS403+BS422</f>
        <v>0</v>
      </c>
      <c r="BT177" s="113">
        <f>VLOOKUP($C177,'1 预算编制表单'!$C:$BJ,39,FALSE)</f>
        <v>0</v>
      </c>
      <c r="BU177" s="113">
        <f t="shared" ref="BU177:BU179" si="2115">BT177-BV177</f>
        <v>0</v>
      </c>
      <c r="BV177" s="113">
        <f>BV178+BV203+BV209+BV252+BV265+BV278+BV339+BV397+BV403+BV422</f>
        <v>0</v>
      </c>
      <c r="BW177" s="113">
        <f>VLOOKUP($C177,'1 预算编制表单'!$C:$BJ,42,FALSE)</f>
        <v>0</v>
      </c>
      <c r="BX177" s="113">
        <f t="shared" ref="BX177:BX179" si="2116">BW177-BY177</f>
        <v>0</v>
      </c>
      <c r="BY177" s="113">
        <f>BY178+BY203+BY209+BY252+BY265+BY278+BY339+BY397+BY403+BY422</f>
        <v>0</v>
      </c>
      <c r="BZ177" s="113">
        <f>VLOOKUP($C177,'1 预算编制表单'!$C:$BJ,45,FALSE)</f>
        <v>0</v>
      </c>
      <c r="CA177" s="113">
        <f t="shared" ref="CA177:CA179" si="2117">BZ177-CB177</f>
        <v>0</v>
      </c>
      <c r="CB177" s="113">
        <f>CB178+CB203+CB209+CB252+CB265+CB278+CB339+CB397+CB403+CB422</f>
        <v>0</v>
      </c>
      <c r="CC177" s="113">
        <f>VLOOKUP($C177,'1 预算编制表单'!$C:$BJ,48,FALSE)</f>
        <v>0</v>
      </c>
      <c r="CD177" s="113">
        <f t="shared" ref="CD177:CD179" si="2118">CC177-CE177</f>
        <v>0</v>
      </c>
      <c r="CE177" s="113">
        <f>CE178+CE203+CE209+CE252+CE265+CE278+CE339+CE397+CE403+CE422</f>
        <v>0</v>
      </c>
      <c r="CF177" s="113">
        <f>VLOOKUP($C177,'1 预算编制表单'!$C:$BJ,51,FALSE)</f>
        <v>0</v>
      </c>
      <c r="CG177" s="113">
        <f t="shared" ref="CG177:CG179" si="2119">CF177-CH177</f>
        <v>0</v>
      </c>
      <c r="CH177" s="113">
        <f>CH178+CH203+CH209+CH252+CH265+CH278+CH339+CH397+CH403+CH422</f>
        <v>0</v>
      </c>
      <c r="CI177" s="113">
        <f>VLOOKUP($C177,'1 预算编制表单'!$C:$BJ,54,FALSE)</f>
        <v>0</v>
      </c>
      <c r="CJ177" s="113">
        <f t="shared" ref="CJ177:CJ179" si="2120">CI177-CK177</f>
        <v>0</v>
      </c>
      <c r="CK177" s="113">
        <f>CK178+CK203+CK209+CK252+CK265+CK278+CK339+CK397+CK403+CK422</f>
        <v>0</v>
      </c>
      <c r="CL177" s="113">
        <f>VLOOKUP($C177,'1 预算编制表单'!$C:$BJ,57,FALSE)</f>
        <v>0</v>
      </c>
      <c r="CM177" s="113">
        <f t="shared" ref="CM177:CM179" si="2121">CL177-CN177</f>
        <v>0</v>
      </c>
      <c r="CN177" s="113">
        <f>CN178+CN203+CN209+CN252+CN265+CN278+CN339+CN397+CN403+CN422</f>
        <v>0</v>
      </c>
      <c r="CO177" s="113">
        <f>VLOOKUP($C177,'1 预算编制表单'!$C:$BJ,60,FALSE)</f>
        <v>0</v>
      </c>
      <c r="CP177" s="113">
        <f t="shared" ref="CP177:CP179" si="2122">CO177-CQ177</f>
        <v>0</v>
      </c>
      <c r="CQ177" s="113">
        <f>CQ178+CQ203+CQ209+CQ252+CQ265+CQ278+CQ339+CQ397+CQ403+CQ422</f>
        <v>0</v>
      </c>
    </row>
    <row r="178" ht="24" customHeight="1" outlineLevel="2" spans="1:95">
      <c r="A178" s="48"/>
      <c r="B178" s="114" t="s">
        <v>794</v>
      </c>
      <c r="C178" s="115" t="s">
        <v>32</v>
      </c>
      <c r="D178" s="48" t="s">
        <v>33</v>
      </c>
      <c r="E178" s="114" t="s">
        <v>1146</v>
      </c>
      <c r="F178" s="114"/>
      <c r="G178" s="114"/>
      <c r="H178" s="116">
        <f t="shared" si="2110"/>
        <v>0</v>
      </c>
      <c r="I178" s="116">
        <f t="shared" si="2110"/>
        <v>-2380</v>
      </c>
      <c r="J178" s="116">
        <f t="shared" si="1570"/>
        <v>2380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-243.80487804878</v>
      </c>
      <c r="AI178" s="116">
        <f>AI179+AI185+AI191+AI197</f>
        <v>243.80487804878</v>
      </c>
      <c r="AJ178" s="116">
        <f>VLOOKUP($C178,'1 预算编制表单'!$C:$BJ,39,FALSE)</f>
        <v>0</v>
      </c>
      <c r="AK178" s="116">
        <f>AJ178-AL178</f>
        <v>-359.90243902439</v>
      </c>
      <c r="AL178" s="116">
        <f>AL179+AL185+AL191+AL197</f>
        <v>359.90243902439</v>
      </c>
      <c r="AM178" s="116">
        <f>VLOOKUP($C178,'1 预算编制表单'!$C:$BJ,42,FALSE)</f>
        <v>0</v>
      </c>
      <c r="AN178" s="116">
        <f>AM178-AO178</f>
        <v>-348.292682926829</v>
      </c>
      <c r="AO178" s="116">
        <f>AO179+AO185+AO191+AO197</f>
        <v>348.292682926829</v>
      </c>
      <c r="AP178" s="116">
        <f>VLOOKUP($C178,'1 预算编制表单'!$C:$BJ,45,FALSE)</f>
        <v>0</v>
      </c>
      <c r="AQ178" s="116">
        <f>AP178-AR178</f>
        <v>-359.90243902439</v>
      </c>
      <c r="AR178" s="116">
        <f>AR179+AR185+AR191+AR197</f>
        <v>359.90243902439</v>
      </c>
      <c r="AS178" s="116">
        <f>VLOOKUP($C178,'1 预算编制表单'!$C:$BJ,48,FALSE)</f>
        <v>0</v>
      </c>
      <c r="AT178" s="116">
        <f>AS178-AU178</f>
        <v>-359.90243902439</v>
      </c>
      <c r="AU178" s="116">
        <f>AU179+AU185+AU191+AU197</f>
        <v>359.90243902439</v>
      </c>
      <c r="AV178" s="116">
        <f>VLOOKUP($C178,'1 预算编制表单'!$C:$BJ,51,FALSE)</f>
        <v>0</v>
      </c>
      <c r="AW178" s="116">
        <f>AV178-AX178</f>
        <v>-348.292682926829</v>
      </c>
      <c r="AX178" s="116">
        <f>AX179+AX185+AX191+AX197</f>
        <v>348.292682926829</v>
      </c>
      <c r="AY178" s="116">
        <f>VLOOKUP($C178,'1 预算编制表单'!$C:$BJ,54,FALSE)</f>
        <v>0</v>
      </c>
      <c r="AZ178" s="116">
        <f>AY178-BA178</f>
        <v>-359.90243902439</v>
      </c>
      <c r="BA178" s="116">
        <f>BA179+BA185+BA191+BA197</f>
        <v>359.90243902439</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customHeight="1" outlineLevel="3" spans="1:95">
      <c r="A179" s="117"/>
      <c r="B179" s="118" t="s">
        <v>799</v>
      </c>
      <c r="C179" s="119" t="s">
        <v>1147</v>
      </c>
      <c r="D179" s="117" t="s">
        <v>2826</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2821</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799</v>
      </c>
      <c r="C185" s="119" t="s">
        <v>1152</v>
      </c>
      <c r="D185" s="117" t="s">
        <v>2827</v>
      </c>
      <c r="E185" s="118"/>
      <c r="F185" s="118"/>
      <c r="G185" s="118"/>
      <c r="H185" s="120">
        <f>X185+AA185+AD185+AG185+AJ185+AM185+AP185+AS185+AV185+AY185+BB185+BE185</f>
        <v>0</v>
      </c>
      <c r="I185" s="120">
        <f>Y185+AB185+AE185+AH185+AK185+AN185+AQ185+AT185+AW185+AZ185+BC185+BF185</f>
        <v>-2380</v>
      </c>
      <c r="J185" s="120">
        <f t="shared" si="1570"/>
        <v>2380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-243.80487804878</v>
      </c>
      <c r="AI185" s="120">
        <f>SUM(AI186:AI190)</f>
        <v>243.80487804878</v>
      </c>
      <c r="AJ185" s="120">
        <f>VLOOKUP($C185,'1 预算编制表单'!$C:$BJ,39,FALSE)</f>
        <v>0</v>
      </c>
      <c r="AK185" s="120">
        <f>AJ185-AL185</f>
        <v>-359.90243902439</v>
      </c>
      <c r="AL185" s="120">
        <f>SUM(AL186:AL190)</f>
        <v>359.90243902439</v>
      </c>
      <c r="AM185" s="120">
        <f>VLOOKUP($C185,'1 预算编制表单'!$C:$BJ,42,FALSE)</f>
        <v>0</v>
      </c>
      <c r="AN185" s="120">
        <f>AM185-AO185</f>
        <v>-348.292682926829</v>
      </c>
      <c r="AO185" s="120">
        <f>SUM(AO186:AO190)</f>
        <v>348.292682926829</v>
      </c>
      <c r="AP185" s="120">
        <f>VLOOKUP($C185,'1 预算编制表单'!$C:$BJ,45,FALSE)</f>
        <v>0</v>
      </c>
      <c r="AQ185" s="120">
        <f>AP185-AR185</f>
        <v>-359.90243902439</v>
      </c>
      <c r="AR185" s="120">
        <f>SUM(AR186:AR190)</f>
        <v>359.90243902439</v>
      </c>
      <c r="AS185" s="120">
        <f>VLOOKUP($C185,'1 预算编制表单'!$C:$BJ,48,FALSE)</f>
        <v>0</v>
      </c>
      <c r="AT185" s="120">
        <f>AS185-AU185</f>
        <v>-359.90243902439</v>
      </c>
      <c r="AU185" s="120">
        <f>SUM(AU186:AU190)</f>
        <v>359.90243902439</v>
      </c>
      <c r="AV185" s="120">
        <f>VLOOKUP($C185,'1 预算编制表单'!$C:$BJ,51,FALSE)</f>
        <v>0</v>
      </c>
      <c r="AW185" s="120">
        <f>AV185-AX185</f>
        <v>-348.292682926829</v>
      </c>
      <c r="AX185" s="120">
        <f>SUM(AX186:AX190)</f>
        <v>348.292682926829</v>
      </c>
      <c r="AY185" s="120">
        <f>VLOOKUP($C185,'1 预算编制表单'!$C:$BJ,54,FALSE)</f>
        <v>0</v>
      </c>
      <c r="AZ185" s="120">
        <f>AY185-BA185</f>
        <v>-359.90243902439</v>
      </c>
      <c r="BA185" s="120">
        <f>SUM(BA186:BA190)</f>
        <v>359.90243902439</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2380</v>
      </c>
      <c r="K186" s="124">
        <v>1</v>
      </c>
      <c r="L186" s="149" t="s">
        <v>2828</v>
      </c>
      <c r="M186" s="150" t="str">
        <f>IFERROR(VLOOKUP($L186,'2-2 引出数据_合同数据仓库'!$B$2:$BP$10000,3,FALSE),0)</f>
        <v>非住梅华小学2025年电梯维保服务合同</v>
      </c>
      <c r="N186" s="124"/>
      <c r="O186" s="150">
        <f>IFERROR(VLOOKUP((LEFT(VLOOKUP($L186,'2-2 引出数据_合同数据仓库'!$B$2:$BP$10000,64,FALSE),15)&amp;(RIGHT(VLOOKUP($L186,'2-2 引出数据_合同数据仓库'!$B$2:$BP$10000,64,FALSE),4)+1)),'2-2 引出数据_合同数据仓库'!$B$2:$BP$10000,3,FALSE),0)</f>
        <v>0</v>
      </c>
      <c r="P186" s="124"/>
      <c r="Q186" s="124" t="str">
        <f>IFERROR(VLOOKUP($L186,'2-2 引出数据_合同数据仓库'!$B$2:$BP$10000,28,FALSE),0)</f>
        <v>2025-03-31</v>
      </c>
      <c r="R186" s="124" t="str">
        <f>IFERROR(VLOOKUP($L186,'2-2 引出数据_合同数据仓库'!$B$2:$BP$10000,29,FALSE),0)</f>
        <v>2025-04-10</v>
      </c>
      <c r="S186" s="124" t="str">
        <f>IFERROR(VLOOKUP($L186,'2-2 引出数据_合同数据仓库'!$B$2:$BP$10000,4,FALSE),0)</f>
        <v>2025-10-31</v>
      </c>
      <c r="T186" s="124"/>
      <c r="U186" s="124">
        <f>IFERROR(VLOOKUP($L186,'2-2 引出数据_合同数据仓库'!$B$2:$BP$10000,15,FALSE),0)</f>
        <v>2380</v>
      </c>
      <c r="V186" s="124">
        <f t="shared" ref="V186:V189" si="2195">U186/(S186-R186+1)*365</f>
        <v>4237.56097560976</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243.80487804878</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359.90243902439</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348.292682926829</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359.90243902439</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359.90243902439</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348.292682926829</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359.90243902439</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2821</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799</v>
      </c>
      <c r="C191" s="119" t="s">
        <v>1154</v>
      </c>
      <c r="D191" s="117" t="s">
        <v>2431</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2821</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799</v>
      </c>
      <c r="C197" s="119" t="s">
        <v>1156</v>
      </c>
      <c r="D197" s="117" t="s">
        <v>2433</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2821</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8"/>
      <c r="B203" s="114" t="s">
        <v>799</v>
      </c>
      <c r="C203" s="115" t="s">
        <v>46</v>
      </c>
      <c r="D203" s="48" t="s">
        <v>47</v>
      </c>
      <c r="E203" s="114" t="s">
        <v>1176</v>
      </c>
      <c r="F203" s="114"/>
      <c r="G203" s="114" t="s">
        <v>803</v>
      </c>
      <c r="H203" s="116">
        <f>X203+AA203+AD203+AG203+AJ203+AM203+AP203+AS203+AV203+AY203+BB203+BE203</f>
        <v>0</v>
      </c>
      <c r="I203" s="116">
        <f>Y203+AB203+AE203+AH203+AK203+AN203+AQ203+AT203+AW203+AZ203+BC203+BF203</f>
        <v>-11250</v>
      </c>
      <c r="J203" s="116">
        <f t="shared" si="2339"/>
        <v>11250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-634.615384615385</v>
      </c>
      <c r="AI203" s="116">
        <f>SUM(AI204:AI208)</f>
        <v>634.615384615385</v>
      </c>
      <c r="AJ203" s="116">
        <f>VLOOKUP($C203,'1 预算编制表单'!$C:$BJ,39,FALSE)</f>
        <v>0</v>
      </c>
      <c r="AK203" s="116">
        <f>AJ203-AL203</f>
        <v>-1788.46153846154</v>
      </c>
      <c r="AL203" s="116">
        <f>SUM(AL204:AL208)</f>
        <v>1788.46153846154</v>
      </c>
      <c r="AM203" s="116">
        <f>VLOOKUP($C203,'1 预算编制表单'!$C:$BJ,42,FALSE)</f>
        <v>0</v>
      </c>
      <c r="AN203" s="116">
        <f>AM203-AO203</f>
        <v>-1730.76923076923</v>
      </c>
      <c r="AO203" s="116">
        <f>SUM(AO204:AO208)</f>
        <v>1730.76923076923</v>
      </c>
      <c r="AP203" s="116">
        <f>VLOOKUP($C203,'1 预算编制表单'!$C:$BJ,45,FALSE)</f>
        <v>0</v>
      </c>
      <c r="AQ203" s="116">
        <f>AP203-AR203</f>
        <v>-1788.46153846154</v>
      </c>
      <c r="AR203" s="116">
        <f>SUM(AR204:AR208)</f>
        <v>1788.46153846154</v>
      </c>
      <c r="AS203" s="116">
        <f>VLOOKUP($C203,'1 预算编制表单'!$C:$BJ,48,FALSE)</f>
        <v>0</v>
      </c>
      <c r="AT203" s="116">
        <f>AS203-AU203</f>
        <v>-1788.46153846154</v>
      </c>
      <c r="AU203" s="116">
        <f>SUM(AU204:AU208)</f>
        <v>1788.46153846154</v>
      </c>
      <c r="AV203" s="116">
        <f>VLOOKUP($C203,'1 预算编制表单'!$C:$BJ,51,FALSE)</f>
        <v>0</v>
      </c>
      <c r="AW203" s="116">
        <f>AV203-AX203</f>
        <v>-1730.76923076923</v>
      </c>
      <c r="AX203" s="116">
        <f>SUM(AX204:AX208)</f>
        <v>1730.76923076923</v>
      </c>
      <c r="AY203" s="116">
        <f>VLOOKUP($C203,'1 预算编制表单'!$C:$BJ,54,FALSE)</f>
        <v>0</v>
      </c>
      <c r="AZ203" s="116">
        <f>AY203-BA203</f>
        <v>-1788.46153846154</v>
      </c>
      <c r="BA203" s="116">
        <f>SUM(BA204:BA208)</f>
        <v>1788.46153846154</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customHeight="1" outlineLevel="3" spans="1:95">
      <c r="A204" s="121"/>
      <c r="B204" s="122"/>
      <c r="C204" s="123"/>
      <c r="D204" s="121"/>
      <c r="E204" s="122"/>
      <c r="F204" s="122"/>
      <c r="G204" s="122"/>
      <c r="H204" s="124"/>
      <c r="I204" s="124"/>
      <c r="J204" s="124">
        <f t="shared" si="2339"/>
        <v>11250</v>
      </c>
      <c r="K204" s="124">
        <v>1</v>
      </c>
      <c r="L204" s="149" t="s">
        <v>2829</v>
      </c>
      <c r="M204" s="150" t="str">
        <f>IFERROR(VLOOKUP($L204,'2-2 引出数据_合同数据仓库'!$B$2:$BP$10000,3,FALSE),0)</f>
        <v>非住梅华小学2025年消防系统维保合同</v>
      </c>
      <c r="N204" s="124"/>
      <c r="O204" s="150">
        <f>IFERROR(VLOOKUP((LEFT(VLOOKUP($L204,'2-2 引出数据_合同数据仓库'!$B$2:$BP$10000,64,FALSE),15)&amp;(RIGHT(VLOOKUP($L204,'2-2 引出数据_合同数据仓库'!$B$2:$BP$10000,64,FALSE),4)+1)),'2-2 引出数据_合同数据仓库'!$B$2:$BP$10000,3,FALSE),0)</f>
        <v>0</v>
      </c>
      <c r="P204" s="124"/>
      <c r="Q204" s="124" t="str">
        <f>IFERROR(VLOOKUP($L204,'2-2 引出数据_合同数据仓库'!$B$2:$BP$10000,28,FALSE),0)</f>
        <v>2025-03-14</v>
      </c>
      <c r="R204" s="124" t="str">
        <f>IFERROR(VLOOKUP($L204,'2-2 引出数据_合同数据仓库'!$B$2:$BP$10000,29,FALSE),0)</f>
        <v>2025-04-20</v>
      </c>
      <c r="S204" s="124" t="str">
        <f>IFERROR(VLOOKUP($L204,'2-2 引出数据_合同数据仓库'!$B$2:$BP$10000,4,FALSE),0)</f>
        <v>2025-10-31</v>
      </c>
      <c r="T204" s="124"/>
      <c r="U204" s="124">
        <f>IFERROR(VLOOKUP($L204,'2-2 引出数据_合同数据仓库'!$B$2:$BP$10000,15,FALSE),0)</f>
        <v>11250</v>
      </c>
      <c r="V204" s="124">
        <f t="shared" ref="V204:V207" si="2412">U204/(S204-R204+1)*365</f>
        <v>21057.6923076923</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634.615384615385</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1788.46153846154</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1730.76923076923</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1788.46153846154</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1788.46153846154</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1730.76923076923</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1788.46153846154</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2821</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8"/>
      <c r="B209" s="114" t="s">
        <v>794</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799</v>
      </c>
      <c r="C210" s="119" t="s">
        <v>1178</v>
      </c>
      <c r="D210" s="117" t="s">
        <v>1179</v>
      </c>
      <c r="E210" s="118" t="s">
        <v>1180</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2821</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799</v>
      </c>
      <c r="C216" s="119" t="s">
        <v>1184</v>
      </c>
      <c r="D216" s="117" t="s">
        <v>1190</v>
      </c>
      <c r="E216" s="118" t="s">
        <v>1191</v>
      </c>
      <c r="F216" s="118"/>
      <c r="G216" s="118" t="s">
        <v>943</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2821</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799</v>
      </c>
      <c r="C222" s="119" t="s">
        <v>1186</v>
      </c>
      <c r="D222" s="117" t="s">
        <v>1192</v>
      </c>
      <c r="E222" s="118" t="s">
        <v>1193</v>
      </c>
      <c r="F222" s="118"/>
      <c r="G222" s="118" t="s">
        <v>943</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2821</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799</v>
      </c>
      <c r="C228" s="119" t="s">
        <v>1188</v>
      </c>
      <c r="D228" s="117" t="s">
        <v>1194</v>
      </c>
      <c r="E228" s="118" t="s">
        <v>1195</v>
      </c>
      <c r="F228" s="118"/>
      <c r="G228" s="118" t="s">
        <v>943</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2821</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799</v>
      </c>
      <c r="C234" s="119" t="s">
        <v>1197</v>
      </c>
      <c r="D234" s="117" t="s">
        <v>1198</v>
      </c>
      <c r="E234" s="118" t="s">
        <v>1199</v>
      </c>
      <c r="F234" s="118"/>
      <c r="G234" s="118" t="s">
        <v>943</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2821</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799</v>
      </c>
      <c r="C240" s="119" t="s">
        <v>1203</v>
      </c>
      <c r="D240" s="117" t="s">
        <v>1204</v>
      </c>
      <c r="E240" s="118" t="s">
        <v>1205</v>
      </c>
      <c r="F240" s="118"/>
      <c r="G240" s="118" t="s">
        <v>943</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2821</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799</v>
      </c>
      <c r="C246" s="119" t="s">
        <v>1206</v>
      </c>
      <c r="D246" s="117" t="s">
        <v>1207</v>
      </c>
      <c r="E246" s="118" t="s">
        <v>1208</v>
      </c>
      <c r="F246" s="118"/>
      <c r="G246" s="118" t="s">
        <v>943</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2821</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8"/>
      <c r="B252" s="114" t="s">
        <v>794</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799</v>
      </c>
      <c r="C253" s="119" t="s">
        <v>1209</v>
      </c>
      <c r="D253" s="117" t="s">
        <v>1210</v>
      </c>
      <c r="E253" s="118" t="s">
        <v>1211</v>
      </c>
      <c r="F253" s="118"/>
      <c r="G253" s="118" t="s">
        <v>943</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2821</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799</v>
      </c>
      <c r="C259" s="119" t="s">
        <v>1212</v>
      </c>
      <c r="D259" s="117" t="s">
        <v>1213</v>
      </c>
      <c r="E259" s="118" t="s">
        <v>1214</v>
      </c>
      <c r="F259" s="118"/>
      <c r="G259" s="118" t="s">
        <v>943</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2821</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8"/>
      <c r="B265" s="114" t="s">
        <v>794</v>
      </c>
      <c r="C265" s="115" t="s">
        <v>40</v>
      </c>
      <c r="D265" s="48"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799</v>
      </c>
      <c r="C266" s="119" t="s">
        <v>1215</v>
      </c>
      <c r="D266" s="117" t="s">
        <v>1216</v>
      </c>
      <c r="E266" s="118" t="s">
        <v>1217</v>
      </c>
      <c r="F266" s="118"/>
      <c r="G266" s="118" t="s">
        <v>943</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2821</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799</v>
      </c>
      <c r="C272" s="119" t="s">
        <v>1218</v>
      </c>
      <c r="D272" s="117" t="s">
        <v>1219</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0</v>
      </c>
      <c r="K273" s="124">
        <v>1</v>
      </c>
      <c r="L273" s="149" t="s">
        <v>2830</v>
      </c>
      <c r="M273" s="150">
        <f>IFERROR(VLOOKUP($L273,'2-2 引出数据_合同数据仓库'!$B$2:$BP$10000,3,FALSE),0)</f>
        <v>0</v>
      </c>
      <c r="N273" s="124"/>
      <c r="O273" s="150">
        <f>IFERROR(VLOOKUP((LEFT(VLOOKUP($L273,'2-2 引出数据_合同数据仓库'!$B$2:$BP$10000,64,FALSE),15)&amp;(RIGHT(VLOOKUP($L273,'2-2 引出数据_合同数据仓库'!$B$2:$BP$10000,64,FALSE),4)+1)),'2-2 引出数据_合同数据仓库'!$B$2:$BP$10000,3,FALSE),0)</f>
        <v>0</v>
      </c>
      <c r="P273" s="124"/>
      <c r="Q273" s="124">
        <f>IFERROR(VLOOKUP($L273,'2-2 引出数据_合同数据仓库'!$B$2:$BP$10000,28,FALSE),0)</f>
        <v>0</v>
      </c>
      <c r="R273" s="124">
        <f>IFERROR(VLOOKUP($L273,'2-2 引出数据_合同数据仓库'!$B$2:$BP$10000,29,FALSE),0)</f>
        <v>0</v>
      </c>
      <c r="S273" s="124">
        <f>IFERROR(VLOOKUP($L273,'2-2 引出数据_合同数据仓库'!$B$2:$BP$10000,4,FALSE),0)</f>
        <v>0</v>
      </c>
      <c r="T273" s="124"/>
      <c r="U273" s="124">
        <f>IFERROR(VLOOKUP($L273,'2-2 引出数据_合同数据仓库'!$B$2:$BP$10000,15,FALSE),0)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2821</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8"/>
      <c r="B278" s="114" t="s">
        <v>794</v>
      </c>
      <c r="C278" s="115" t="s">
        <v>42</v>
      </c>
      <c r="D278" s="48"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799</v>
      </c>
      <c r="C279" s="119" t="s">
        <v>1245</v>
      </c>
      <c r="D279" s="117" t="s">
        <v>1246</v>
      </c>
      <c r="E279" s="118" t="s">
        <v>1247</v>
      </c>
      <c r="F279" s="118"/>
      <c r="G279" s="118" t="s">
        <v>943</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2821</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799</v>
      </c>
      <c r="C285" s="119" t="s">
        <v>1248</v>
      </c>
      <c r="D285" s="117" t="s">
        <v>1249</v>
      </c>
      <c r="E285" s="118" t="s">
        <v>1250</v>
      </c>
      <c r="F285" s="118"/>
      <c r="G285" s="118" t="s">
        <v>943</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t="s">
        <v>2831</v>
      </c>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2821</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799</v>
      </c>
      <c r="C291" s="119" t="s">
        <v>1251</v>
      </c>
      <c r="D291" s="117" t="s">
        <v>1252</v>
      </c>
      <c r="E291" s="118"/>
      <c r="F291" s="118"/>
      <c r="G291" s="118" t="s">
        <v>943</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2821</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799</v>
      </c>
      <c r="C297" s="119" t="s">
        <v>1253</v>
      </c>
      <c r="D297" s="117" t="s">
        <v>1254</v>
      </c>
      <c r="E297" s="118" t="s">
        <v>1255</v>
      </c>
      <c r="F297" s="118"/>
      <c r="G297" s="118" t="s">
        <v>943</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2821</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799</v>
      </c>
      <c r="C303" s="119" t="s">
        <v>1256</v>
      </c>
      <c r="D303" s="117" t="s">
        <v>1257</v>
      </c>
      <c r="E303" s="118" t="s">
        <v>1258</v>
      </c>
      <c r="F303" s="118"/>
      <c r="G303" s="118" t="s">
        <v>943</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2821</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799</v>
      </c>
      <c r="C309" s="119" t="s">
        <v>1259</v>
      </c>
      <c r="D309" s="117" t="s">
        <v>1260</v>
      </c>
      <c r="E309" s="118" t="s">
        <v>1261</v>
      </c>
      <c r="F309" s="118"/>
      <c r="G309" s="118" t="s">
        <v>943</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2821</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799</v>
      </c>
      <c r="C315" s="119" t="s">
        <v>1262</v>
      </c>
      <c r="D315" s="117" t="s">
        <v>1263</v>
      </c>
      <c r="E315" s="118" t="s">
        <v>1264</v>
      </c>
      <c r="F315" s="118"/>
      <c r="G315" s="118" t="s">
        <v>943</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2821</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799</v>
      </c>
      <c r="C321" s="119" t="s">
        <v>1265</v>
      </c>
      <c r="D321" s="117" t="s">
        <v>1266</v>
      </c>
      <c r="E321" s="118" t="s">
        <v>1264</v>
      </c>
      <c r="F321" s="118"/>
      <c r="G321" s="118" t="s">
        <v>943</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2821</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799</v>
      </c>
      <c r="C327" s="119" t="s">
        <v>1267</v>
      </c>
      <c r="D327" s="117" t="s">
        <v>1268</v>
      </c>
      <c r="E327" s="118" t="s">
        <v>1269</v>
      </c>
      <c r="F327" s="118"/>
      <c r="G327" s="118" t="s">
        <v>943</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2821</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799</v>
      </c>
      <c r="C333" s="119" t="s">
        <v>1270</v>
      </c>
      <c r="D333" s="117" t="s">
        <v>1271</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2821</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8"/>
      <c r="B339" s="114" t="s">
        <v>794</v>
      </c>
      <c r="C339" s="115" t="s">
        <v>1287</v>
      </c>
      <c r="D339" s="48" t="s">
        <v>1288</v>
      </c>
      <c r="E339" s="114" t="s">
        <v>1289</v>
      </c>
      <c r="F339" s="114"/>
      <c r="G339" s="114" t="s">
        <v>943</v>
      </c>
      <c r="H339" s="116">
        <f>X339+AA339+AD339+AG339+AJ339+AM339+AP339+AS339+AV339+AY339+BB339+BE339</f>
        <v>0</v>
      </c>
      <c r="I339" s="116">
        <f>Y339+AB339+AE339+AH339+AK339+AN339+AQ339+AT339+AW339+AZ339+BC339+BF339</f>
        <v>-7599.99999999999</v>
      </c>
      <c r="J339" s="116">
        <f t="shared" si="3853"/>
        <v>7600</v>
      </c>
      <c r="K339" s="116"/>
      <c r="L339" s="147"/>
      <c r="M339" s="147"/>
      <c r="N339" s="116"/>
      <c r="O339" s="116"/>
      <c r="P339" s="116"/>
      <c r="Q339" s="116"/>
      <c r="R339" s="116"/>
      <c r="S339" s="116"/>
      <c r="T339" s="116"/>
      <c r="U339" s="116"/>
      <c r="V339" s="116"/>
      <c r="W339" s="116"/>
      <c r="X339" s="116">
        <f>VLOOKUP($C339,'1 预算编制表单'!$C:$BJ,27,FALSE)</f>
        <v>0</v>
      </c>
      <c r="Y339" s="116">
        <f>X339-Z339</f>
        <v>0</v>
      </c>
      <c r="Z339" s="116">
        <f>Z340+Z346+Z355+Z361+Z367+Z373+Z379+Z385+Z391</f>
        <v>0</v>
      </c>
      <c r="AA339" s="116">
        <f>VLOOKUP($C339,'1 预算编制表单'!$C:$BJ,30,FALSE)</f>
        <v>0</v>
      </c>
      <c r="AB339" s="116">
        <f>AA339-AC339</f>
        <v>0</v>
      </c>
      <c r="AC339" s="116">
        <f>AC340+AC346+AC355+AC361+AC367+AC373+AC379+AC385+AC391</f>
        <v>0</v>
      </c>
      <c r="AD339" s="116">
        <f>VLOOKUP($C339,'1 预算编制表单'!$C:$BJ,33,FALSE)</f>
        <v>0</v>
      </c>
      <c r="AE339" s="116">
        <f>AD339-AF339</f>
        <v>-1369.84944797591</v>
      </c>
      <c r="AF339" s="116">
        <f>AF340+AF346+AF355+AF361+AF367+AF373+AF379+AF385+AF391</f>
        <v>1369.84944797591</v>
      </c>
      <c r="AG339" s="116">
        <f>VLOOKUP($C339,'1 预算编制表单'!$C:$BJ,36,FALSE)</f>
        <v>0</v>
      </c>
      <c r="AH339" s="116">
        <f>AG339-AI339</f>
        <v>-1325.66075610572</v>
      </c>
      <c r="AI339" s="116">
        <f>AI340+AI346+AI355+AI361+AI367+AI373+AI379+AI385+AI391</f>
        <v>1325.66075610572</v>
      </c>
      <c r="AJ339" s="116">
        <f>VLOOKUP($C339,'1 预算编制表单'!$C:$BJ,39,FALSE)</f>
        <v>0</v>
      </c>
      <c r="AK339" s="116">
        <f>AJ339-AL339</f>
        <v>-1369.84944797591</v>
      </c>
      <c r="AL339" s="116">
        <f>AL340+AL346+AL355+AL361+AL367+AL373+AL379+AL385+AL391</f>
        <v>1369.84944797591</v>
      </c>
      <c r="AM339" s="116">
        <f>VLOOKUP($C339,'1 预算编制表单'!$C:$BJ,42,FALSE)</f>
        <v>0</v>
      </c>
      <c r="AN339" s="116">
        <f>AM339-AO339</f>
        <v>-1325.66075610572</v>
      </c>
      <c r="AO339" s="116">
        <f>AO340+AO346+AO355+AO361+AO367+AO373+AO379+AO385+AO391</f>
        <v>1325.66075610572</v>
      </c>
      <c r="AP339" s="116">
        <f>VLOOKUP($C339,'1 预算编制表单'!$C:$BJ,45,FALSE)</f>
        <v>0</v>
      </c>
      <c r="AQ339" s="116">
        <f>AP339-AR339</f>
        <v>-556.734693877551</v>
      </c>
      <c r="AR339" s="116">
        <f>AR340+AR346+AR355+AR361+AR367+AR373+AR379+AR385+AR391</f>
        <v>556.734693877551</v>
      </c>
      <c r="AS339" s="116">
        <f>VLOOKUP($C339,'1 预算编制表单'!$C:$BJ,48,FALSE)</f>
        <v>0</v>
      </c>
      <c r="AT339" s="116">
        <f>AS339-AU339</f>
        <v>-556.734693877551</v>
      </c>
      <c r="AU339" s="116">
        <f>AU340+AU346+AU355+AU361+AU367+AU373+AU379+AU385+AU391</f>
        <v>556.734693877551</v>
      </c>
      <c r="AV339" s="116">
        <f>VLOOKUP($C339,'1 预算编制表单'!$C:$BJ,51,FALSE)</f>
        <v>0</v>
      </c>
      <c r="AW339" s="116">
        <f>AV339-AX339</f>
        <v>-538.775510204082</v>
      </c>
      <c r="AX339" s="116">
        <f>AX340+AX346+AX355+AX361+AX367+AX373+AX379+AX385+AX391</f>
        <v>538.775510204082</v>
      </c>
      <c r="AY339" s="116">
        <f>VLOOKUP($C339,'1 预算编制表单'!$C:$BJ,54,FALSE)</f>
        <v>0</v>
      </c>
      <c r="AZ339" s="116">
        <f>AY339-BA339</f>
        <v>-556.734693877551</v>
      </c>
      <c r="BA339" s="116">
        <f>BA340+BA346+BA355+BA361+BA367+BA373+BA379+BA385+BA391</f>
        <v>556.734693877551</v>
      </c>
      <c r="BB339" s="116">
        <f>VLOOKUP($C339,'1 预算编制表单'!$C:$BJ,57,FALSE)</f>
        <v>0</v>
      </c>
      <c r="BC339" s="116">
        <f>BB339-BD339</f>
        <v>0</v>
      </c>
      <c r="BD339" s="116">
        <f>BD340+BD346+BD355+BD361+BD367+BD373+BD379+BD385+BD391</f>
        <v>0</v>
      </c>
      <c r="BE339" s="116">
        <f>VLOOKUP($C339,'1 预算编制表单'!$C:$BJ,60,FALSE)</f>
        <v>0</v>
      </c>
      <c r="BF339" s="116">
        <f>BE339-BG339</f>
        <v>0</v>
      </c>
      <c r="BG339" s="116">
        <f>BG340+BG346+BG355+BG361+BG367+BG373+BG379+BG385+BG391</f>
        <v>0</v>
      </c>
      <c r="BH339" s="116">
        <f>VLOOKUP($C339,'1 预算编制表单'!$C:$BJ,27,FALSE)</f>
        <v>0</v>
      </c>
      <c r="BI339" s="116">
        <f>BH339-BJ339</f>
        <v>0</v>
      </c>
      <c r="BJ339" s="116">
        <f>BJ340+BJ346+BJ355+BJ361+BJ367+BJ373+BJ379+BJ385+BJ391</f>
        <v>0</v>
      </c>
      <c r="BK339" s="116">
        <f>VLOOKUP($C339,'1 预算编制表单'!$C:$BJ,30,FALSE)</f>
        <v>0</v>
      </c>
      <c r="BL339" s="116">
        <f>BK339-BM339</f>
        <v>0</v>
      </c>
      <c r="BM339" s="116">
        <f>BM340+BM346+BM355+BM361+BM367+BM373+BM379+BM385+BM391</f>
        <v>0</v>
      </c>
      <c r="BN339" s="116">
        <f>VLOOKUP($C339,'1 预算编制表单'!$C:$BJ,33,FALSE)</f>
        <v>0</v>
      </c>
      <c r="BO339" s="116">
        <f>BN339-BP339</f>
        <v>0</v>
      </c>
      <c r="BP339" s="116">
        <f>BP340+BP346+BP355+BP361+BP367+BP373+BP379+BP385+BP391</f>
        <v>0</v>
      </c>
      <c r="BQ339" s="116">
        <f>VLOOKUP($C339,'1 预算编制表单'!$C:$BJ,36,FALSE)</f>
        <v>0</v>
      </c>
      <c r="BR339" s="116">
        <f>BQ339-BS339</f>
        <v>0</v>
      </c>
      <c r="BS339" s="116">
        <f>BS340+BS346+BS355+BS361+BS367+BS373+BS379+BS385+BS391</f>
        <v>0</v>
      </c>
      <c r="BT339" s="116">
        <f>VLOOKUP($C339,'1 预算编制表单'!$C:$BJ,39,FALSE)</f>
        <v>0</v>
      </c>
      <c r="BU339" s="116">
        <f>BT339-BV339</f>
        <v>0</v>
      </c>
      <c r="BV339" s="116">
        <f>BV340+BV346+BV355+BV361+BV367+BV373+BV379+BV385+BV391</f>
        <v>0</v>
      </c>
      <c r="BW339" s="116">
        <f>VLOOKUP($C339,'1 预算编制表单'!$C:$BJ,42,FALSE)</f>
        <v>0</v>
      </c>
      <c r="BX339" s="116">
        <f>BW339-BY339</f>
        <v>0</v>
      </c>
      <c r="BY339" s="116">
        <f>BY340+BY346+BY355+BY361+BY367+BY373+BY379+BY385+BY391</f>
        <v>0</v>
      </c>
      <c r="BZ339" s="116">
        <f>VLOOKUP($C339,'1 预算编制表单'!$C:$BJ,45,FALSE)</f>
        <v>0</v>
      </c>
      <c r="CA339" s="116">
        <f>BZ339-CB339</f>
        <v>0</v>
      </c>
      <c r="CB339" s="116">
        <f>CB340+CB346+CB355+CB361+CB367+CB373+CB379+CB385+CB391</f>
        <v>0</v>
      </c>
      <c r="CC339" s="116">
        <f>VLOOKUP($C339,'1 预算编制表单'!$C:$BJ,48,FALSE)</f>
        <v>0</v>
      </c>
      <c r="CD339" s="116">
        <f>CC339-CE339</f>
        <v>0</v>
      </c>
      <c r="CE339" s="116">
        <f>CE340+CE346+CE355+CE361+CE367+CE373+CE379+CE385+CE391</f>
        <v>0</v>
      </c>
      <c r="CF339" s="116">
        <f>VLOOKUP($C339,'1 预算编制表单'!$C:$BJ,51,FALSE)</f>
        <v>0</v>
      </c>
      <c r="CG339" s="116">
        <f>CF339-CH339</f>
        <v>0</v>
      </c>
      <c r="CH339" s="116">
        <f>CH340+CH346+CH355+CH361+CH367+CH373+CH379+CH385+CH391</f>
        <v>0</v>
      </c>
      <c r="CI339" s="116">
        <f>VLOOKUP($C339,'1 预算编制表单'!$C:$BJ,54,FALSE)</f>
        <v>0</v>
      </c>
      <c r="CJ339" s="116">
        <f>CI339-CK339</f>
        <v>0</v>
      </c>
      <c r="CK339" s="116">
        <f>CK340+CK346+CK355+CK361+CK367+CK373+CK379+CK385+CK391</f>
        <v>0</v>
      </c>
      <c r="CL339" s="116">
        <f>VLOOKUP($C339,'1 预算编制表单'!$C:$BJ,57,FALSE)</f>
        <v>0</v>
      </c>
      <c r="CM339" s="116">
        <f>CL339-CN339</f>
        <v>0</v>
      </c>
      <c r="CN339" s="116">
        <f>CN340+CN346+CN355+CN361+CN367+CN373+CN379+CN385+CN391</f>
        <v>0</v>
      </c>
      <c r="CO339" s="116">
        <f>VLOOKUP($C339,'1 预算编制表单'!$C:$BJ,60,FALSE)</f>
        <v>0</v>
      </c>
      <c r="CP339" s="116">
        <f>CO339-CQ339</f>
        <v>0</v>
      </c>
      <c r="CQ339" s="116">
        <f>CQ340+CQ346+CQ355+CQ361+CQ367+CQ373+CQ379+CQ385+CQ391</f>
        <v>0</v>
      </c>
    </row>
    <row r="340" ht="24" customHeight="1" outlineLevel="3" spans="1:95">
      <c r="A340" s="117"/>
      <c r="B340" s="118" t="s">
        <v>799</v>
      </c>
      <c r="C340" s="119" t="s">
        <v>28</v>
      </c>
      <c r="D340" s="117" t="s">
        <v>29</v>
      </c>
      <c r="E340" s="118" t="s">
        <v>1290</v>
      </c>
      <c r="F340" s="118"/>
      <c r="G340" s="118" t="s">
        <v>943</v>
      </c>
      <c r="H340" s="120">
        <f>X340+AA340+AD340+AG340+AJ340+AM340+AP340+AS340+AV340+AY340+BB340+BE340</f>
        <v>0</v>
      </c>
      <c r="I340" s="120">
        <f>Y340+AB340+AE340+AH340+AK340+AN340+AQ340+AT340+AW340+AZ340+BC340+BF340</f>
        <v>-3200</v>
      </c>
      <c r="J340" s="120">
        <f t="shared" si="3853"/>
        <v>3200</v>
      </c>
      <c r="K340" s="120"/>
      <c r="L340" s="148"/>
      <c r="M340" s="148"/>
      <c r="N340" s="120"/>
      <c r="O340" s="120"/>
      <c r="P340" s="120"/>
      <c r="Q340" s="120"/>
      <c r="R340" s="120"/>
      <c r="S340" s="120"/>
      <c r="T340" s="120"/>
      <c r="U340" s="120"/>
      <c r="V340" s="120"/>
      <c r="W340" s="120"/>
      <c r="X340" s="120">
        <f>VLOOKUP($C340,'1 预算编制表单'!$C:$BJ,27,FALSE)</f>
        <v>0</v>
      </c>
      <c r="Y340" s="120">
        <f>X340-Z340</f>
        <v>0</v>
      </c>
      <c r="Z340" s="120">
        <f>SUM(Z341:Z345)</f>
        <v>0</v>
      </c>
      <c r="AA340" s="120">
        <f>VLOOKUP($C340,'1 预算编制表单'!$C:$BJ,30,FALSE)</f>
        <v>0</v>
      </c>
      <c r="AB340" s="120">
        <f>AA340-AC340</f>
        <v>0</v>
      </c>
      <c r="AC340" s="120">
        <f>SUM(AC341:AC345)</f>
        <v>0</v>
      </c>
      <c r="AD340" s="120">
        <f>VLOOKUP($C340,'1 预算编制表单'!$C:$BJ,33,FALSE)</f>
        <v>0</v>
      </c>
      <c r="AE340" s="120">
        <f>AD340-AF340</f>
        <v>-813.114754098361</v>
      </c>
      <c r="AF340" s="120">
        <f>SUM(AF341:AF345)</f>
        <v>813.114754098361</v>
      </c>
      <c r="AG340" s="120">
        <f>VLOOKUP($C340,'1 预算编制表单'!$C:$BJ,36,FALSE)</f>
        <v>0</v>
      </c>
      <c r="AH340" s="120">
        <f>AG340-AI340</f>
        <v>-786.885245901639</v>
      </c>
      <c r="AI340" s="120">
        <f>SUM(AI341:AI345)</f>
        <v>786.885245901639</v>
      </c>
      <c r="AJ340" s="120">
        <f>VLOOKUP($C340,'1 预算编制表单'!$C:$BJ,39,FALSE)</f>
        <v>0</v>
      </c>
      <c r="AK340" s="120">
        <f>AJ340-AL340</f>
        <v>-813.114754098361</v>
      </c>
      <c r="AL340" s="120">
        <f>SUM(AL341:AL345)</f>
        <v>813.114754098361</v>
      </c>
      <c r="AM340" s="120">
        <f>VLOOKUP($C340,'1 预算编制表单'!$C:$BJ,42,FALSE)</f>
        <v>0</v>
      </c>
      <c r="AN340" s="120">
        <f>AM340-AO340</f>
        <v>-786.885245901639</v>
      </c>
      <c r="AO340" s="120">
        <f>SUM(AO341:AO345)</f>
        <v>786.885245901639</v>
      </c>
      <c r="AP340" s="120">
        <f>VLOOKUP($C340,'1 预算编制表单'!$C:$BJ,45,FALSE)</f>
        <v>0</v>
      </c>
      <c r="AQ340" s="120">
        <f>AP340-AR340</f>
        <v>0</v>
      </c>
      <c r="AR340" s="120">
        <f>SUM(AR341:AR345)</f>
        <v>0</v>
      </c>
      <c r="AS340" s="120">
        <f>VLOOKUP($C340,'1 预算编制表单'!$C:$BJ,48,FALSE)</f>
        <v>0</v>
      </c>
      <c r="AT340" s="120">
        <f>AS340-AU340</f>
        <v>0</v>
      </c>
      <c r="AU340" s="120">
        <f>SUM(AU341:AU345)</f>
        <v>0</v>
      </c>
      <c r="AV340" s="120">
        <f>VLOOKUP($C340,'1 预算编制表单'!$C:$BJ,51,FALSE)</f>
        <v>0</v>
      </c>
      <c r="AW340" s="120">
        <f>AV340-AX340</f>
        <v>0</v>
      </c>
      <c r="AX340" s="120">
        <f>SUM(AX341:AX345)</f>
        <v>0</v>
      </c>
      <c r="AY340" s="120">
        <f>VLOOKUP($C340,'1 预算编制表单'!$C:$BJ,54,FALSE)</f>
        <v>0</v>
      </c>
      <c r="AZ340" s="120">
        <f>AY340-BA340</f>
        <v>0</v>
      </c>
      <c r="BA340" s="120">
        <f>SUM(BA341:BA345)</f>
        <v>0</v>
      </c>
      <c r="BB340" s="120">
        <f>VLOOKUP($C340,'1 预算编制表单'!$C:$BJ,57,FALSE)</f>
        <v>0</v>
      </c>
      <c r="BC340" s="120">
        <f>BB340-BD340</f>
        <v>0</v>
      </c>
      <c r="BD340" s="120">
        <f>SUM(BD341:BD345)</f>
        <v>0</v>
      </c>
      <c r="BE340" s="120">
        <f>VLOOKUP($C340,'1 预算编制表单'!$C:$BJ,60,FALSE)</f>
        <v>0</v>
      </c>
      <c r="BF340" s="120">
        <f>BE340-BG340</f>
        <v>0</v>
      </c>
      <c r="BG340" s="120">
        <f>SUM(BG341:BG345)</f>
        <v>0</v>
      </c>
      <c r="BH340" s="120">
        <f>VLOOKUP($C340,'1 预算编制表单'!$C:$BJ,27,FALSE)</f>
        <v>0</v>
      </c>
      <c r="BI340" s="120">
        <f>BH340-BJ340</f>
        <v>0</v>
      </c>
      <c r="BJ340" s="120">
        <f>SUM(BJ341:BJ345)</f>
        <v>0</v>
      </c>
      <c r="BK340" s="120">
        <f>VLOOKUP($C340,'1 预算编制表单'!$C:$BJ,30,FALSE)</f>
        <v>0</v>
      </c>
      <c r="BL340" s="120">
        <f>BK340-BM340</f>
        <v>0</v>
      </c>
      <c r="BM340" s="120">
        <f>SUM(BM341:BM345)</f>
        <v>0</v>
      </c>
      <c r="BN340" s="120">
        <f>VLOOKUP($C340,'1 预算编制表单'!$C:$BJ,33,FALSE)</f>
        <v>0</v>
      </c>
      <c r="BO340" s="120">
        <f>BN340-BP340</f>
        <v>0</v>
      </c>
      <c r="BP340" s="120">
        <f>SUM(BP341:BP345)</f>
        <v>0</v>
      </c>
      <c r="BQ340" s="120">
        <f>VLOOKUP($C340,'1 预算编制表单'!$C:$BJ,36,FALSE)</f>
        <v>0</v>
      </c>
      <c r="BR340" s="120">
        <f>BQ340-BS340</f>
        <v>0</v>
      </c>
      <c r="BS340" s="120">
        <f>SUM(BS341:BS345)</f>
        <v>0</v>
      </c>
      <c r="BT340" s="120">
        <f>VLOOKUP($C340,'1 预算编制表单'!$C:$BJ,39,FALSE)</f>
        <v>0</v>
      </c>
      <c r="BU340" s="120">
        <f>BT340-BV340</f>
        <v>0</v>
      </c>
      <c r="BV340" s="120">
        <f>SUM(BV341:BV345)</f>
        <v>0</v>
      </c>
      <c r="BW340" s="120">
        <f>VLOOKUP($C340,'1 预算编制表单'!$C:$BJ,42,FALSE)</f>
        <v>0</v>
      </c>
      <c r="BX340" s="120">
        <f>BW340-BY340</f>
        <v>0</v>
      </c>
      <c r="BY340" s="120">
        <f>SUM(BY341:BY345)</f>
        <v>0</v>
      </c>
      <c r="BZ340" s="120">
        <f>VLOOKUP($C340,'1 预算编制表单'!$C:$BJ,45,FALSE)</f>
        <v>0</v>
      </c>
      <c r="CA340" s="120">
        <f>BZ340-CB340</f>
        <v>0</v>
      </c>
      <c r="CB340" s="120">
        <f>SUM(CB341:CB345)</f>
        <v>0</v>
      </c>
      <c r="CC340" s="120">
        <f>VLOOKUP($C340,'1 预算编制表单'!$C:$BJ,48,FALSE)</f>
        <v>0</v>
      </c>
      <c r="CD340" s="120">
        <f>CC340-CE340</f>
        <v>0</v>
      </c>
      <c r="CE340" s="120">
        <f>SUM(CE341:CE345)</f>
        <v>0</v>
      </c>
      <c r="CF340" s="120">
        <f>VLOOKUP($C340,'1 预算编制表单'!$C:$BJ,51,FALSE)</f>
        <v>0</v>
      </c>
      <c r="CG340" s="120">
        <f>CF340-CH340</f>
        <v>0</v>
      </c>
      <c r="CH340" s="120">
        <f>SUM(CH341:CH345)</f>
        <v>0</v>
      </c>
      <c r="CI340" s="120">
        <f>VLOOKUP($C340,'1 预算编制表单'!$C:$BJ,54,FALSE)</f>
        <v>0</v>
      </c>
      <c r="CJ340" s="120">
        <f>CI340-CK340</f>
        <v>0</v>
      </c>
      <c r="CK340" s="120">
        <f>SUM(CK341:CK345)</f>
        <v>0</v>
      </c>
      <c r="CL340" s="120">
        <f>VLOOKUP($C340,'1 预算编制表单'!$C:$BJ,57,FALSE)</f>
        <v>0</v>
      </c>
      <c r="CM340" s="120">
        <f>CL340-CN340</f>
        <v>0</v>
      </c>
      <c r="CN340" s="120">
        <f>SUM(CN341:CN345)</f>
        <v>0</v>
      </c>
      <c r="CO340" s="120">
        <f>VLOOKUP($C340,'1 预算编制表单'!$C:$BJ,60,FALSE)</f>
        <v>0</v>
      </c>
      <c r="CP340" s="120">
        <f>CO340-CQ340</f>
        <v>0</v>
      </c>
      <c r="CQ340" s="120">
        <f>SUM(CQ341:CQ345)</f>
        <v>0</v>
      </c>
    </row>
    <row r="341" s="82" customFormat="1" ht="24" customHeight="1" outlineLevel="4" spans="1:95">
      <c r="A341" s="121"/>
      <c r="B341" s="122"/>
      <c r="C341" s="123"/>
      <c r="D341" s="121"/>
      <c r="E341" s="122"/>
      <c r="F341" s="122"/>
      <c r="G341" s="122"/>
      <c r="H341" s="124"/>
      <c r="I341" s="124"/>
      <c r="J341" s="124">
        <f t="shared" si="3853"/>
        <v>3200</v>
      </c>
      <c r="K341" s="124">
        <v>1</v>
      </c>
      <c r="L341" s="149" t="s">
        <v>2832</v>
      </c>
      <c r="M341" s="150" t="str">
        <f>IFERROR(VLOOKUP($L341,'2-2 引出数据_合同数据仓库'!$B$2:$BP$10000,3,FALSE),0)</f>
        <v>梅华小学2025年四害消杀合同</v>
      </c>
      <c r="N341" s="124"/>
      <c r="O341" s="150">
        <f>IFERROR(VLOOKUP((LEFT(VLOOKUP($L341,'2-2 引出数据_合同数据仓库'!$B$2:$BP$10000,64,FALSE),15)&amp;(RIGHT(VLOOKUP($L341,'2-2 引出数据_合同数据仓库'!$B$2:$BP$10000,64,FALSE),4)+1)),'2-2 引出数据_合同数据仓库'!$B$2:$BP$10000,3,FALSE),0)</f>
        <v>0</v>
      </c>
      <c r="P341" s="124"/>
      <c r="Q341" s="124" t="str">
        <f>IFERROR(VLOOKUP($L341,'2-2 引出数据_合同数据仓库'!$B$2:$BP$10000,28,FALSE),0)</f>
        <v>2025-03-07</v>
      </c>
      <c r="R341" s="124" t="str">
        <f>IFERROR(VLOOKUP($L341,'2-2 引出数据_合同数据仓库'!$B$2:$BP$10000,29,FALSE),0)</f>
        <v>2025-03-01</v>
      </c>
      <c r="S341" s="124" t="str">
        <f>IFERROR(VLOOKUP($L341,'2-2 引出数据_合同数据仓库'!$B$2:$BP$10000,4,FALSE),0)</f>
        <v>2025-06-30</v>
      </c>
      <c r="T341" s="124"/>
      <c r="U341" s="124">
        <f>IFERROR(VLOOKUP($L341,'2-2 引出数据_合同数据仓库'!$B$2:$BP$10000,15,FALSE),0)</f>
        <v>3200</v>
      </c>
      <c r="V341" s="124">
        <f t="shared" ref="V341:V344" si="3998">U341/(S341-R341+1)*365</f>
        <v>9573.77049180328</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813.114754098361</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786.885245901639</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813.114754098361</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786.885245901639</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0</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0</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0</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0</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0</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2821</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799</v>
      </c>
      <c r="C346" s="119" t="s">
        <v>1293</v>
      </c>
      <c r="D346" s="117" t="s">
        <v>1294</v>
      </c>
      <c r="E346" s="118"/>
      <c r="F346" s="118"/>
      <c r="G346" s="118"/>
      <c r="H346" s="120">
        <f>X346+AA346+AD346+AG346+AJ346+AM346+AP346+AS346+AV346+AY346+BB346+BE346</f>
        <v>0</v>
      </c>
      <c r="I346" s="120">
        <f>Y346+AB346+AE346+AH346+AK346+AN346+AQ346+AT346+AW346+AZ346+BC346+BF346</f>
        <v>-4400</v>
      </c>
      <c r="J346" s="120">
        <f t="shared" si="3853"/>
        <v>4400</v>
      </c>
      <c r="K346" s="120"/>
      <c r="L346" s="148"/>
      <c r="M346" s="148"/>
      <c r="N346" s="120"/>
      <c r="O346" s="120"/>
      <c r="P346" s="120"/>
      <c r="Q346" s="120"/>
      <c r="R346" s="120"/>
      <c r="S346" s="120"/>
      <c r="T346" s="120"/>
      <c r="U346" s="120"/>
      <c r="V346" s="120"/>
      <c r="W346" s="120"/>
      <c r="X346" s="120">
        <f>VLOOKUP($C346,'1 预算编制表单'!$C:$BJ,27,FALSE)</f>
        <v>0</v>
      </c>
      <c r="Y346" s="120">
        <f>X346-Z346</f>
        <v>0</v>
      </c>
      <c r="Z346" s="120">
        <f>SUM(Z347:Z354)</f>
        <v>0</v>
      </c>
      <c r="AA346" s="120">
        <f>VLOOKUP($C346,'1 预算编制表单'!$C:$BJ,30,FALSE)</f>
        <v>0</v>
      </c>
      <c r="AB346" s="120">
        <f>AA346-AC346</f>
        <v>0</v>
      </c>
      <c r="AC346" s="120">
        <f>SUM(AC347:AC354)</f>
        <v>0</v>
      </c>
      <c r="AD346" s="120">
        <f>VLOOKUP($C346,'1 预算编制表单'!$C:$BJ,33,FALSE)</f>
        <v>0</v>
      </c>
      <c r="AE346" s="120">
        <f>AD346-AF346</f>
        <v>-556.734693877551</v>
      </c>
      <c r="AF346" s="120">
        <f>SUM(AF347:AF354)</f>
        <v>556.734693877551</v>
      </c>
      <c r="AG346" s="120">
        <f>VLOOKUP($C346,'1 预算编制表单'!$C:$BJ,36,FALSE)</f>
        <v>0</v>
      </c>
      <c r="AH346" s="120">
        <f>AG346-AI346</f>
        <v>-538.775510204082</v>
      </c>
      <c r="AI346" s="120">
        <f>SUM(AI347:AI354)</f>
        <v>538.775510204082</v>
      </c>
      <c r="AJ346" s="120">
        <f>VLOOKUP($C346,'1 预算编制表单'!$C:$BJ,39,FALSE)</f>
        <v>0</v>
      </c>
      <c r="AK346" s="120">
        <f>AJ346-AL346</f>
        <v>-556.734693877551</v>
      </c>
      <c r="AL346" s="120">
        <f>SUM(AL347:AL354)</f>
        <v>556.734693877551</v>
      </c>
      <c r="AM346" s="120">
        <f>VLOOKUP($C346,'1 预算编制表单'!$C:$BJ,42,FALSE)</f>
        <v>0</v>
      </c>
      <c r="AN346" s="120">
        <f>AM346-AO346</f>
        <v>-538.775510204082</v>
      </c>
      <c r="AO346" s="120">
        <f>SUM(AO347:AO354)</f>
        <v>538.775510204082</v>
      </c>
      <c r="AP346" s="120">
        <f>VLOOKUP($C346,'1 预算编制表单'!$C:$BJ,45,FALSE)</f>
        <v>0</v>
      </c>
      <c r="AQ346" s="120">
        <f>AP346-AR346</f>
        <v>-556.734693877551</v>
      </c>
      <c r="AR346" s="120">
        <f>SUM(AR347:AR354)</f>
        <v>556.734693877551</v>
      </c>
      <c r="AS346" s="120">
        <f>VLOOKUP($C346,'1 预算编制表单'!$C:$BJ,48,FALSE)</f>
        <v>0</v>
      </c>
      <c r="AT346" s="120">
        <f>AS346-AU346</f>
        <v>-556.734693877551</v>
      </c>
      <c r="AU346" s="120">
        <f>SUM(AU347:AU354)</f>
        <v>556.734693877551</v>
      </c>
      <c r="AV346" s="120">
        <f>VLOOKUP($C346,'1 预算编制表单'!$C:$BJ,51,FALSE)</f>
        <v>0</v>
      </c>
      <c r="AW346" s="120">
        <f>AV346-AX346</f>
        <v>-538.775510204082</v>
      </c>
      <c r="AX346" s="120">
        <f>SUM(AX347:AX354)</f>
        <v>538.775510204082</v>
      </c>
      <c r="AY346" s="120">
        <f>VLOOKUP($C346,'1 预算编制表单'!$C:$BJ,54,FALSE)</f>
        <v>0</v>
      </c>
      <c r="AZ346" s="120">
        <f>AY346-BA346</f>
        <v>-556.734693877551</v>
      </c>
      <c r="BA346" s="120">
        <f>SUM(BA347:BA354)</f>
        <v>556.734693877551</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0</v>
      </c>
      <c r="BI346" s="120">
        <f>BH346-BJ346</f>
        <v>0</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2833</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4400</v>
      </c>
      <c r="K348" s="124">
        <f t="shared" ref="K348:K349" si="4070">K347+1</f>
        <v>1</v>
      </c>
      <c r="L348" s="149" t="s">
        <v>2834</v>
      </c>
      <c r="M348" s="150" t="str">
        <f>IFERROR(VLOOKUP($L348,'2-2 引出数据_合同数据仓库'!$B$2:$BP$10000,3,FALSE),0)</f>
        <v>非住梅华小学2025年生活垃圾清运合同</v>
      </c>
      <c r="N348" s="124"/>
      <c r="O348" s="150">
        <f>IFERROR(VLOOKUP((LEFT(VLOOKUP($L348,'2-2 引出数据_合同数据仓库'!$B$2:$BP$10000,64,FALSE),15)&amp;(RIGHT(VLOOKUP($L348,'2-2 引出数据_合同数据仓库'!$B$2:$BP$10000,64,FALSE),4)+1)),'2-2 引出数据_合同数据仓库'!$B$2:$BP$10000,3,FALSE),0)</f>
        <v>0</v>
      </c>
      <c r="P348" s="124"/>
      <c r="Q348" s="124" t="str">
        <f>IFERROR(VLOOKUP($L348,'2-2 引出数据_合同数据仓库'!$B$2:$BP$10000,28,FALSE),0)</f>
        <v>2025-04-22</v>
      </c>
      <c r="R348" s="124" t="str">
        <f>IFERROR(VLOOKUP($L348,'2-2 引出数据_合同数据仓库'!$B$2:$BP$10000,29,FALSE),0)</f>
        <v>2025-03-01</v>
      </c>
      <c r="S348" s="124" t="str">
        <f>IFERROR(VLOOKUP($L348,'2-2 引出数据_合同数据仓库'!$B$2:$BP$10000,4,FALSE),0)</f>
        <v>2025-10-31</v>
      </c>
      <c r="T348" s="124"/>
      <c r="U348" s="124">
        <f>IFERROR(VLOOKUP($L348,'2-2 引出数据_合同数据仓库'!$B$2:$BP$10000,15,FALSE),0)</f>
        <v>4400</v>
      </c>
      <c r="V348" s="124">
        <f t="shared" ref="V348:V353" si="4071">U348/(S348-R348+1)*365</f>
        <v>6555.10204081633</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556.734693877551</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538.775510204082</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556.734693877551</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538.775510204082</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556.734693877551</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556.734693877551</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538.775510204082</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556.734693877551</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2821</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799</v>
      </c>
      <c r="C355" s="119" t="s">
        <v>1312</v>
      </c>
      <c r="D355" s="117" t="s">
        <v>1313</v>
      </c>
      <c r="E355" s="118"/>
      <c r="F355" s="118"/>
      <c r="G355" s="118" t="s">
        <v>943</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2821</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799</v>
      </c>
      <c r="C361" s="119" t="s">
        <v>1314</v>
      </c>
      <c r="D361" s="117" t="s">
        <v>1315</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2821</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799</v>
      </c>
      <c r="C367" s="119" t="s">
        <v>1341</v>
      </c>
      <c r="D367" s="117" t="s">
        <v>1342</v>
      </c>
      <c r="E367" s="118" t="s">
        <v>1343</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2821</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799</v>
      </c>
      <c r="C373" s="119" t="s">
        <v>1356</v>
      </c>
      <c r="D373" s="117" t="s">
        <v>1357</v>
      </c>
      <c r="E373" s="118" t="s">
        <v>1358</v>
      </c>
      <c r="F373" s="118"/>
      <c r="G373" s="118" t="s">
        <v>943</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t="s">
        <v>2835</v>
      </c>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2821</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799</v>
      </c>
      <c r="C379" s="119" t="s">
        <v>1359</v>
      </c>
      <c r="D379" s="117" t="s">
        <v>1360</v>
      </c>
      <c r="E379" s="118" t="s">
        <v>1361</v>
      </c>
      <c r="F379" s="118"/>
      <c r="G379" s="118" t="s">
        <v>943</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2821</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799</v>
      </c>
      <c r="C385" s="119" t="s">
        <v>1363</v>
      </c>
      <c r="D385" s="117" t="s">
        <v>1364</v>
      </c>
      <c r="E385" s="118" t="s">
        <v>1365</v>
      </c>
      <c r="F385" s="118"/>
      <c r="G385" s="118" t="s">
        <v>943</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2821</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799</v>
      </c>
      <c r="C391" s="119" t="s">
        <v>1367</v>
      </c>
      <c r="D391" s="117" t="s">
        <v>1368</v>
      </c>
      <c r="E391" s="118" t="s">
        <v>1369</v>
      </c>
      <c r="F391" s="118"/>
      <c r="G391" s="118" t="s">
        <v>943</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2821</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8"/>
      <c r="B397" s="114" t="s">
        <v>799</v>
      </c>
      <c r="C397" s="115" t="s">
        <v>1371</v>
      </c>
      <c r="D397" s="48" t="s">
        <v>1372</v>
      </c>
      <c r="E397" s="114"/>
      <c r="F397" s="114"/>
      <c r="G397" s="114"/>
      <c r="H397" s="116">
        <f>X397+AA397+AD397+AG397+AJ397+AM397+AP397+AS397+AV397+AY397+BB397+BE397</f>
        <v>4716.98113207547</v>
      </c>
      <c r="I397" s="116">
        <f>Y397+AB397+AE397+AH397+AK397+AN397+AQ397+AT397+AW397+AZ397+BC397+BF397</f>
        <v>4716.98113207547</v>
      </c>
      <c r="J397" s="116">
        <f t="shared" si="4646"/>
        <v>0</v>
      </c>
      <c r="K397" s="116"/>
      <c r="L397" s="147"/>
      <c r="M397" s="147"/>
      <c r="N397" s="116"/>
      <c r="O397" s="116"/>
      <c r="P397" s="116"/>
      <c r="Q397" s="116"/>
      <c r="R397" s="116"/>
      <c r="S397" s="116"/>
      <c r="T397" s="116"/>
      <c r="U397" s="116"/>
      <c r="V397" s="116"/>
      <c r="W397" s="116"/>
      <c r="X397" s="116">
        <f>VLOOKUP($C397,'1 预算编制表单'!$C:$BJ,27,FALSE)</f>
        <v>4716.98113207547</v>
      </c>
      <c r="Y397" s="116">
        <f>X397-Z397</f>
        <v>4716.98113207547</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4716.98113207547</v>
      </c>
      <c r="BI397" s="116">
        <f>BH397-BJ397</f>
        <v>4716.98113207547</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customHeight="1" outlineLevel="3" spans="1:95">
      <c r="A398" s="121"/>
      <c r="B398" s="122"/>
      <c r="C398" s="123" t="s">
        <v>1373</v>
      </c>
      <c r="D398" s="121" t="s">
        <v>2836</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2821</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8"/>
      <c r="B403" s="114" t="s">
        <v>794</v>
      </c>
      <c r="C403" s="115" t="s">
        <v>1407</v>
      </c>
      <c r="D403" s="48" t="s">
        <v>1408</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799</v>
      </c>
      <c r="C404" s="119" t="s">
        <v>1409</v>
      </c>
      <c r="D404" s="117" t="s">
        <v>1410</v>
      </c>
      <c r="E404" s="118" t="s">
        <v>1411</v>
      </c>
      <c r="F404" s="118"/>
      <c r="G404" s="118" t="s">
        <v>943</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1413</v>
      </c>
      <c r="D405" s="121" t="s">
        <v>2837</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2821</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799</v>
      </c>
      <c r="C410" s="119" t="s">
        <v>1413</v>
      </c>
      <c r="D410" s="117" t="s">
        <v>1414</v>
      </c>
      <c r="E410" s="118" t="s">
        <v>1415</v>
      </c>
      <c r="F410" s="118"/>
      <c r="G410" s="118" t="s">
        <v>943</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2838</v>
      </c>
      <c r="D411" s="121" t="s">
        <v>2839</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2821</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799</v>
      </c>
      <c r="C416" s="119" t="s">
        <v>1418</v>
      </c>
      <c r="D416" s="117" t="s">
        <v>1419</v>
      </c>
      <c r="E416" s="118" t="s">
        <v>1420</v>
      </c>
      <c r="F416" s="118"/>
      <c r="G416" s="118" t="s">
        <v>943</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2821</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8"/>
      <c r="B422" s="114" t="s">
        <v>799</v>
      </c>
      <c r="C422" s="115" t="s">
        <v>1422</v>
      </c>
      <c r="D422" s="48" t="s">
        <v>1423</v>
      </c>
      <c r="E422" s="114" t="s">
        <v>1289</v>
      </c>
      <c r="F422" s="114"/>
      <c r="G422" s="114" t="s">
        <v>1424</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2821</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9"/>
      <c r="B428" s="111" t="s">
        <v>794</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8"/>
      <c r="B429" s="114" t="s">
        <v>799</v>
      </c>
      <c r="C429" s="115" t="s">
        <v>1425</v>
      </c>
      <c r="D429" s="48" t="s">
        <v>1426</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1427</v>
      </c>
      <c r="D430" s="121" t="s">
        <v>2840</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t="s">
        <v>2841</v>
      </c>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t="s">
        <v>2842</v>
      </c>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t="s">
        <v>2843</v>
      </c>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t="s">
        <v>2844</v>
      </c>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2821</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8"/>
      <c r="B436" s="114" t="s">
        <v>799</v>
      </c>
      <c r="C436" s="115" t="s">
        <v>1440</v>
      </c>
      <c r="D436" s="48" t="s">
        <v>1441</v>
      </c>
      <c r="E436" s="114"/>
      <c r="F436" s="114"/>
      <c r="G436" s="114" t="s">
        <v>943</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2821</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8"/>
      <c r="B442" s="114" t="s">
        <v>799</v>
      </c>
      <c r="C442" s="115" t="s">
        <v>1442</v>
      </c>
      <c r="D442" s="48" t="s">
        <v>1443</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2821</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8"/>
      <c r="B448" s="114" t="s">
        <v>799</v>
      </c>
      <c r="C448" s="115" t="s">
        <v>1498</v>
      </c>
      <c r="D448" s="48" t="s">
        <v>1499</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2821</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8"/>
      <c r="B454" s="114" t="s">
        <v>799</v>
      </c>
      <c r="C454" s="115" t="s">
        <v>1554</v>
      </c>
      <c r="D454" s="48" t="s">
        <v>1555</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2821</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8"/>
      <c r="B460" s="114" t="s">
        <v>799</v>
      </c>
      <c r="C460" s="115" t="s">
        <v>1569</v>
      </c>
      <c r="D460" s="48" t="s">
        <v>1570</v>
      </c>
      <c r="E460" s="114" t="s">
        <v>1571</v>
      </c>
      <c r="F460" s="114"/>
      <c r="G460" s="114" t="s">
        <v>943</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2821</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8"/>
      <c r="B466" s="114" t="s">
        <v>799</v>
      </c>
      <c r="C466" s="115" t="s">
        <v>1572</v>
      </c>
      <c r="D466" s="48" t="s">
        <v>1573</v>
      </c>
      <c r="E466" s="114" t="s">
        <v>1574</v>
      </c>
      <c r="F466" s="114"/>
      <c r="G466" s="114" t="s">
        <v>943</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2821</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8"/>
      <c r="B472" s="114" t="s">
        <v>799</v>
      </c>
      <c r="C472" s="115" t="s">
        <v>1575</v>
      </c>
      <c r="D472" s="48" t="s">
        <v>1576</v>
      </c>
      <c r="E472" s="114" t="s">
        <v>1577</v>
      </c>
      <c r="F472" s="114"/>
      <c r="G472" s="114" t="s">
        <v>943</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2821</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8"/>
      <c r="B478" s="114" t="s">
        <v>799</v>
      </c>
      <c r="C478" s="115" t="s">
        <v>1578</v>
      </c>
      <c r="D478" s="48" t="s">
        <v>1579</v>
      </c>
      <c r="E478" s="114"/>
      <c r="F478" s="114"/>
      <c r="G478" s="114" t="s">
        <v>943</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1580</v>
      </c>
      <c r="D479" s="121" t="s">
        <v>2845</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2821</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8"/>
      <c r="B484" s="114" t="s">
        <v>799</v>
      </c>
      <c r="C484" s="115" t="s">
        <v>1596</v>
      </c>
      <c r="D484" s="48" t="s">
        <v>1597</v>
      </c>
      <c r="E484" s="114" t="s">
        <v>1598</v>
      </c>
      <c r="F484" s="114"/>
      <c r="G484" s="114" t="s">
        <v>943</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t="s">
        <v>2846</v>
      </c>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2821</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8"/>
      <c r="B490" s="114" t="s">
        <v>799</v>
      </c>
      <c r="C490" s="115" t="s">
        <v>1599</v>
      </c>
      <c r="D490" s="48" t="s">
        <v>1600</v>
      </c>
      <c r="E490" s="114" t="s">
        <v>1601</v>
      </c>
      <c r="F490" s="114"/>
      <c r="G490" s="114" t="s">
        <v>943</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2821</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8"/>
      <c r="B496" s="114" t="s">
        <v>799</v>
      </c>
      <c r="C496" s="115" t="s">
        <v>1602</v>
      </c>
      <c r="D496" s="48" t="s">
        <v>1603</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2821</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8"/>
      <c r="B502" s="114" t="s">
        <v>799</v>
      </c>
      <c r="C502" s="115" t="s">
        <v>1622</v>
      </c>
      <c r="D502" s="48" t="s">
        <v>1623</v>
      </c>
      <c r="E502" s="114" t="s">
        <v>1624</v>
      </c>
      <c r="F502" s="114" t="s">
        <v>1625</v>
      </c>
      <c r="G502" s="114" t="s">
        <v>943</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2821</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794</v>
      </c>
      <c r="C508" s="109">
        <v>1.2</v>
      </c>
      <c r="D508" s="107" t="s">
        <v>9</v>
      </c>
      <c r="E508" s="108"/>
      <c r="F508" s="108"/>
      <c r="G508" s="108"/>
      <c r="H508" s="166">
        <f t="shared" ref="H508:H537" si="5979">X508+AA508+AD508+AG508+AJ508+AM508+AP508+AS508+AV508+AY508+BB508+BE508</f>
        <v>42000</v>
      </c>
      <c r="I508" s="166">
        <f t="shared" ref="I508:I537" si="5980">Y508+AB508+AE508+AH508+AK508+AN508+AQ508+AT508+AW508+AZ508+BC508+BF508</f>
        <v>42000</v>
      </c>
      <c r="J508" s="166">
        <f t="shared" si="5367"/>
        <v>0</v>
      </c>
      <c r="K508" s="166"/>
      <c r="L508" s="167"/>
      <c r="M508" s="167"/>
      <c r="N508" s="166"/>
      <c r="O508" s="167"/>
      <c r="P508" s="166"/>
      <c r="Q508" s="166"/>
      <c r="R508" s="166"/>
      <c r="S508" s="166"/>
      <c r="T508" s="166"/>
      <c r="U508" s="166"/>
      <c r="V508" s="166"/>
      <c r="W508" s="166"/>
      <c r="X508" s="166">
        <f>VLOOKUP($C508,'1 预算编制表单'!$C:$BJ,27,FALSE)</f>
        <v>42000</v>
      </c>
      <c r="Y508" s="166">
        <f>Y509+Y516+Y520+Y524+Y527+Y531</f>
        <v>42000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42000</v>
      </c>
      <c r="BI508" s="166">
        <f>BI509+BI516+BI520+BI524+BI527+BI531</f>
        <v>42000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9"/>
      <c r="B509" s="111" t="s">
        <v>794</v>
      </c>
      <c r="C509" s="112" t="s">
        <v>1626</v>
      </c>
      <c r="D509" s="29" t="s">
        <v>1627</v>
      </c>
      <c r="E509" s="111"/>
      <c r="F509" s="111"/>
      <c r="G509" s="111"/>
      <c r="H509" s="113">
        <f t="shared" si="5979"/>
        <v>42000</v>
      </c>
      <c r="I509" s="113">
        <f t="shared" si="5980"/>
        <v>42000</v>
      </c>
      <c r="J509" s="113">
        <f t="shared" si="5367"/>
        <v>0</v>
      </c>
      <c r="K509" s="113"/>
      <c r="L509" s="146"/>
      <c r="M509" s="146"/>
      <c r="N509" s="113"/>
      <c r="O509" s="146"/>
      <c r="P509" s="113"/>
      <c r="Q509" s="113"/>
      <c r="R509" s="113"/>
      <c r="S509" s="113"/>
      <c r="T509" s="113"/>
      <c r="U509" s="113"/>
      <c r="V509" s="113"/>
      <c r="W509" s="113"/>
      <c r="X509" s="113">
        <f>VLOOKUP($C509,'1 预算编制表单'!$C:$BJ,27,FALSE)</f>
        <v>42000</v>
      </c>
      <c r="Y509" s="113">
        <f t="shared" ref="Y509:Y513" si="5981">X509-Z509</f>
        <v>42000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42000</v>
      </c>
      <c r="BI509" s="113">
        <f t="shared" ref="BI509:BI535" si="5993">BH509-BJ509</f>
        <v>42000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8"/>
      <c r="B510" s="114" t="s">
        <v>794</v>
      </c>
      <c r="C510" s="115" t="s">
        <v>1628</v>
      </c>
      <c r="D510" s="48" t="s">
        <v>1629</v>
      </c>
      <c r="E510" s="114"/>
      <c r="F510" s="114"/>
      <c r="G510" s="114"/>
      <c r="H510" s="116">
        <f t="shared" si="5979"/>
        <v>0</v>
      </c>
      <c r="I510" s="116">
        <f t="shared" si="5980"/>
        <v>0</v>
      </c>
      <c r="J510" s="116">
        <f t="shared" si="5367"/>
        <v>0</v>
      </c>
      <c r="K510" s="116"/>
      <c r="L510" s="147"/>
      <c r="M510" s="147"/>
      <c r="N510" s="116"/>
      <c r="O510" s="147"/>
      <c r="P510" s="116"/>
      <c r="Q510" s="116"/>
      <c r="R510" s="116"/>
      <c r="S510" s="116"/>
      <c r="T510" s="116"/>
      <c r="U510" s="116"/>
      <c r="V510" s="116"/>
      <c r="W510" s="116"/>
      <c r="X510" s="116">
        <f>VLOOKUP($C510,'1 预算编制表单'!$C:$BJ,27,FALSE)</f>
        <v>0</v>
      </c>
      <c r="Y510" s="116">
        <f t="shared" si="5981"/>
        <v>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0</v>
      </c>
      <c r="BI510" s="116">
        <f t="shared" si="5993"/>
        <v>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8"/>
      <c r="B511" s="114" t="s">
        <v>794</v>
      </c>
      <c r="C511" s="115" t="s">
        <v>1670</v>
      </c>
      <c r="D511" s="48" t="s">
        <v>1671</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8"/>
      <c r="B512" s="114" t="s">
        <v>794</v>
      </c>
      <c r="C512" s="115" t="s">
        <v>1703</v>
      </c>
      <c r="D512" s="48" t="s">
        <v>1704</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8"/>
      <c r="B513" s="114" t="s">
        <v>794</v>
      </c>
      <c r="C513" s="115" t="s">
        <v>1726</v>
      </c>
      <c r="D513" s="48" t="s">
        <v>2847</v>
      </c>
      <c r="E513" s="114"/>
      <c r="F513" s="114"/>
      <c r="G513" s="114" t="s">
        <v>943</v>
      </c>
      <c r="H513" s="116">
        <f t="shared" si="5979"/>
        <v>42000</v>
      </c>
      <c r="I513" s="116">
        <f t="shared" si="5980"/>
        <v>42000</v>
      </c>
      <c r="J513" s="116">
        <f t="shared" si="5367"/>
        <v>0</v>
      </c>
      <c r="K513" s="116"/>
      <c r="L513" s="147"/>
      <c r="M513" s="147"/>
      <c r="N513" s="116"/>
      <c r="O513" s="147"/>
      <c r="P513" s="116"/>
      <c r="Q513" s="116"/>
      <c r="R513" s="116"/>
      <c r="S513" s="116"/>
      <c r="T513" s="116"/>
      <c r="U513" s="116"/>
      <c r="V513" s="116"/>
      <c r="W513" s="116"/>
      <c r="X513" s="116">
        <f>X514</f>
        <v>42000</v>
      </c>
      <c r="Y513" s="116">
        <f t="shared" si="5981"/>
        <v>42000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42000</v>
      </c>
      <c r="BI513" s="116">
        <f t="shared" si="5993"/>
        <v>42000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8"/>
      <c r="B514" s="114"/>
      <c r="C514" s="115"/>
      <c r="D514" s="48" t="s">
        <v>1727</v>
      </c>
      <c r="E514" s="114"/>
      <c r="F514" s="114"/>
      <c r="G514" s="114" t="s">
        <v>943</v>
      </c>
      <c r="H514" s="116"/>
      <c r="I514" s="116"/>
      <c r="J514" s="116"/>
      <c r="K514" s="116"/>
      <c r="L514" s="147"/>
      <c r="M514" s="147"/>
      <c r="N514" s="116"/>
      <c r="O514" s="147"/>
      <c r="P514" s="116"/>
      <c r="Q514" s="116"/>
      <c r="R514" s="116"/>
      <c r="S514" s="116"/>
      <c r="T514" s="116"/>
      <c r="U514" s="116"/>
      <c r="V514" s="116"/>
      <c r="W514" s="116"/>
      <c r="X514" s="116">
        <f>VLOOKUP($C513,'1 预算编制表单'!$C:$BJ,27,FALSE)</f>
        <v>42000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42000</v>
      </c>
      <c r="BI514" s="116">
        <f t="shared" si="5993"/>
        <v>42000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8"/>
      <c r="B515" s="114"/>
      <c r="C515" s="115"/>
      <c r="D515" s="48" t="s">
        <v>2848</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9"/>
      <c r="B516" s="111" t="s">
        <v>794</v>
      </c>
      <c r="C516" s="112" t="s">
        <v>1764</v>
      </c>
      <c r="D516" s="29" t="s">
        <v>1765</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8"/>
      <c r="B517" s="114" t="s">
        <v>794</v>
      </c>
      <c r="C517" s="115" t="s">
        <v>1766</v>
      </c>
      <c r="D517" s="48" t="s">
        <v>1767</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8"/>
      <c r="B518" s="114" t="s">
        <v>794</v>
      </c>
      <c r="C518" s="115" t="s">
        <v>1786</v>
      </c>
      <c r="D518" s="48" t="s">
        <v>1787</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8"/>
      <c r="B519" s="114" t="s">
        <v>794</v>
      </c>
      <c r="C519" s="115" t="s">
        <v>1799</v>
      </c>
      <c r="D519" s="48" t="s">
        <v>1800</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9"/>
      <c r="B520" s="111" t="s">
        <v>794</v>
      </c>
      <c r="C520" s="112" t="s">
        <v>1852</v>
      </c>
      <c r="D520" s="29" t="s">
        <v>1853</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8"/>
      <c r="B521" s="114" t="s">
        <v>794</v>
      </c>
      <c r="C521" s="115" t="s">
        <v>1854</v>
      </c>
      <c r="D521" s="48" t="s">
        <v>1855</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8"/>
      <c r="B522" s="114" t="s">
        <v>794</v>
      </c>
      <c r="C522" s="115" t="s">
        <v>1866</v>
      </c>
      <c r="D522" s="48" t="s">
        <v>1867</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8"/>
      <c r="B523" s="114" t="s">
        <v>794</v>
      </c>
      <c r="C523" s="115" t="s">
        <v>1893</v>
      </c>
      <c r="D523" s="48" t="s">
        <v>1894</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9"/>
      <c r="B524" s="111" t="s">
        <v>794</v>
      </c>
      <c r="C524" s="112" t="s">
        <v>1918</v>
      </c>
      <c r="D524" s="29" t="s">
        <v>1919</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8"/>
      <c r="B525" s="114" t="s">
        <v>794</v>
      </c>
      <c r="C525" s="115" t="s">
        <v>1920</v>
      </c>
      <c r="D525" s="48" t="s">
        <v>1921</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8"/>
      <c r="B526" s="114" t="s">
        <v>794</v>
      </c>
      <c r="C526" s="115" t="s">
        <v>1936</v>
      </c>
      <c r="D526" s="48" t="s">
        <v>1937</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9"/>
      <c r="B527" s="111" t="s">
        <v>794</v>
      </c>
      <c r="C527" s="112" t="s">
        <v>1959</v>
      </c>
      <c r="D527" s="29" t="s">
        <v>1960</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8"/>
      <c r="B528" s="114" t="s">
        <v>794</v>
      </c>
      <c r="C528" s="115" t="s">
        <v>1961</v>
      </c>
      <c r="D528" s="48" t="s">
        <v>1962</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8"/>
      <c r="B529" s="114" t="s">
        <v>794</v>
      </c>
      <c r="C529" s="115" t="s">
        <v>1987</v>
      </c>
      <c r="D529" s="48" t="s">
        <v>1988</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8"/>
      <c r="B530" s="114" t="s">
        <v>794</v>
      </c>
      <c r="C530" s="115" t="s">
        <v>2013</v>
      </c>
      <c r="D530" s="48" t="s">
        <v>2014</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9"/>
      <c r="B531" s="111" t="s">
        <v>794</v>
      </c>
      <c r="C531" s="112" t="s">
        <v>2070</v>
      </c>
      <c r="D531" s="29" t="s">
        <v>2071</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8"/>
      <c r="B532" s="114" t="s">
        <v>794</v>
      </c>
      <c r="C532" s="115" t="s">
        <v>2072</v>
      </c>
      <c r="D532" s="48" t="s">
        <v>2073</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8"/>
      <c r="B533" s="114" t="s">
        <v>794</v>
      </c>
      <c r="C533" s="115" t="s">
        <v>2095</v>
      </c>
      <c r="D533" s="48" t="s">
        <v>2096</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8"/>
      <c r="B534" s="114" t="s">
        <v>794</v>
      </c>
      <c r="C534" s="115" t="s">
        <v>2135</v>
      </c>
      <c r="D534" s="48" t="s">
        <v>2136</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8"/>
      <c r="B535" s="114" t="s">
        <v>794</v>
      </c>
      <c r="C535" s="115" t="s">
        <v>2159</v>
      </c>
      <c r="D535" s="48" t="s">
        <v>2160</v>
      </c>
      <c r="E535" s="114"/>
      <c r="F535" s="114" t="s">
        <v>2139</v>
      </c>
      <c r="G535" s="114" t="s">
        <v>1851</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794</v>
      </c>
      <c r="C536" s="109">
        <v>1.3</v>
      </c>
      <c r="D536" s="107" t="s">
        <v>64</v>
      </c>
      <c r="E536" s="108"/>
      <c r="F536" s="108"/>
      <c r="G536" s="108"/>
      <c r="H536" s="166">
        <f t="shared" si="5979"/>
        <v>0</v>
      </c>
      <c r="I536" s="166">
        <f t="shared" si="5980"/>
        <v>0</v>
      </c>
      <c r="J536" s="166">
        <f t="shared" si="6007"/>
        <v>0</v>
      </c>
      <c r="K536" s="166"/>
      <c r="L536" s="167"/>
      <c r="M536" s="167"/>
      <c r="N536" s="166"/>
      <c r="O536" s="167"/>
      <c r="P536" s="166"/>
      <c r="Q536" s="166"/>
      <c r="R536" s="166"/>
      <c r="S536" s="166"/>
      <c r="T536" s="166"/>
      <c r="U536" s="166"/>
      <c r="V536" s="166"/>
      <c r="W536" s="166"/>
      <c r="X536" s="166">
        <f>VLOOKUP($C536,'1 预算编制表单'!$C:$BJ,27,FALSE)</f>
        <v>0</v>
      </c>
      <c r="Y536" s="166">
        <f t="shared" ref="Y536:BG536" si="6010">Y537+Y543+Y549+Y555+Y561+Y567+Y573+Y579+Y585+Y591</f>
        <v>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0</v>
      </c>
      <c r="BI536" s="166">
        <f t="shared" ref="BI536:BM536" si="6011">BI537+BI543+BI549+BI555+BI561+BI567+BI573+BI579+BI585+BI591</f>
        <v>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customHeight="1" outlineLevel="1" spans="1:95">
      <c r="A537" s="29"/>
      <c r="B537" s="111" t="s">
        <v>799</v>
      </c>
      <c r="C537" s="112" t="s">
        <v>2161</v>
      </c>
      <c r="D537" s="29" t="s">
        <v>2162</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2821</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9"/>
      <c r="B543" s="111" t="s">
        <v>799</v>
      </c>
      <c r="C543" s="112" t="s">
        <v>2197</v>
      </c>
      <c r="D543" s="29" t="s">
        <v>2198</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2821</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9"/>
      <c r="B549" s="111" t="s">
        <v>799</v>
      </c>
      <c r="C549" s="112" t="s">
        <v>2205</v>
      </c>
      <c r="D549" s="29" t="s">
        <v>2206</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2821</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9"/>
      <c r="B555" s="111" t="s">
        <v>799</v>
      </c>
      <c r="C555" s="112" t="s">
        <v>2223</v>
      </c>
      <c r="D555" s="29" t="s">
        <v>2224</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2821</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9"/>
      <c r="B561" s="111" t="s">
        <v>799</v>
      </c>
      <c r="C561" s="112" t="s">
        <v>2243</v>
      </c>
      <c r="D561" s="29" t="s">
        <v>2244</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2821</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9"/>
      <c r="B567" s="111" t="s">
        <v>799</v>
      </c>
      <c r="C567" s="112" t="s">
        <v>2249</v>
      </c>
      <c r="D567" s="29" t="s">
        <v>2250</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2821</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9"/>
      <c r="B573" s="111" t="s">
        <v>799</v>
      </c>
      <c r="C573" s="112" t="s">
        <v>2263</v>
      </c>
      <c r="D573" s="29" t="s">
        <v>2264</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2821</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9"/>
      <c r="B579" s="111" t="s">
        <v>799</v>
      </c>
      <c r="C579" s="112" t="s">
        <v>2281</v>
      </c>
      <c r="D579" s="29" t="s">
        <v>2282</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2821</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9"/>
      <c r="B585" s="111" t="s">
        <v>799</v>
      </c>
      <c r="C585" s="112" t="s">
        <v>2287</v>
      </c>
      <c r="D585" s="29" t="s">
        <v>2288</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2821</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9"/>
      <c r="B591" s="111" t="s">
        <v>799</v>
      </c>
      <c r="C591" s="112" t="s">
        <v>2300</v>
      </c>
      <c r="D591" s="29" t="s">
        <v>2301</v>
      </c>
      <c r="E591" s="29"/>
      <c r="F591" s="29"/>
      <c r="G591" s="111" t="s">
        <v>1851</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2821</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794</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794</v>
      </c>
      <c r="C598" s="170" t="s">
        <v>84</v>
      </c>
      <c r="D598" s="168" t="s">
        <v>85</v>
      </c>
      <c r="E598" s="169" t="s">
        <v>2302</v>
      </c>
      <c r="F598" s="169"/>
      <c r="G598" s="169" t="s">
        <v>1851</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794</v>
      </c>
      <c r="C599" s="170" t="s">
        <v>88</v>
      </c>
      <c r="D599" s="168" t="s">
        <v>89</v>
      </c>
      <c r="E599" s="169" t="s">
        <v>2306</v>
      </c>
      <c r="F599" s="169"/>
      <c r="G599" s="169" t="s">
        <v>1851</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794</v>
      </c>
      <c r="C600" s="170" t="s">
        <v>96</v>
      </c>
      <c r="D600" s="168" t="s">
        <v>97</v>
      </c>
      <c r="E600" s="169" t="s">
        <v>2310</v>
      </c>
      <c r="F600" s="169"/>
      <c r="G600" s="169" t="s">
        <v>1851</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794</v>
      </c>
      <c r="C601" s="170" t="s">
        <v>92</v>
      </c>
      <c r="D601" s="168" t="s">
        <v>93</v>
      </c>
      <c r="E601" s="169" t="s">
        <v>2312</v>
      </c>
      <c r="F601" s="169" t="s">
        <v>1625</v>
      </c>
      <c r="G601" s="169" t="s">
        <v>1851</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9"/>
      <c r="B602" s="111" t="s">
        <v>794</v>
      </c>
      <c r="C602" s="112" t="s">
        <v>100</v>
      </c>
      <c r="D602" s="29" t="s">
        <v>101</v>
      </c>
      <c r="E602" s="111" t="s">
        <v>2315</v>
      </c>
      <c r="F602" s="111"/>
      <c r="G602" s="111" t="s">
        <v>1851</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794</v>
      </c>
      <c r="C603" s="109">
        <v>1.5</v>
      </c>
      <c r="D603" s="107" t="s">
        <v>216</v>
      </c>
      <c r="E603" s="107"/>
      <c r="F603" s="107"/>
      <c r="G603" s="108"/>
      <c r="H603" s="166">
        <f t="shared" si="6666"/>
        <v>4800</v>
      </c>
      <c r="I603" s="166">
        <f t="shared" si="6667"/>
        <v>4800</v>
      </c>
      <c r="J603" s="166">
        <f t="shared" si="6664"/>
        <v>0</v>
      </c>
      <c r="K603" s="166"/>
      <c r="L603" s="167"/>
      <c r="M603" s="167"/>
      <c r="N603" s="166"/>
      <c r="O603" s="167"/>
      <c r="P603" s="166"/>
      <c r="Q603" s="166"/>
      <c r="R603" s="166"/>
      <c r="S603" s="166"/>
      <c r="T603" s="166"/>
      <c r="U603" s="166"/>
      <c r="V603" s="166"/>
      <c r="W603" s="166"/>
      <c r="X603" s="166">
        <f>VLOOKUP($C603,'1 预算编制表单'!$C:$BJ,27,FALSE)</f>
        <v>400</v>
      </c>
      <c r="Y603" s="166">
        <f t="shared" ref="Y603:BG603" si="6771">Y604+Y605+Y608+Y609+Y611+Y612+Y613+Y614+Y615</f>
        <v>400</v>
      </c>
      <c r="Z603" s="166">
        <f t="shared" si="6771"/>
        <v>0</v>
      </c>
      <c r="AA603" s="166">
        <f>VLOOKUP($C603,'1 预算编制表单'!$C:$BJ,30,FALSE)</f>
        <v>400</v>
      </c>
      <c r="AB603" s="166">
        <f t="shared" si="6771"/>
        <v>400</v>
      </c>
      <c r="AC603" s="166">
        <f t="shared" si="6771"/>
        <v>0</v>
      </c>
      <c r="AD603" s="166">
        <f>VLOOKUP($C603,'1 预算编制表单'!$C:$BJ,33,FALSE)</f>
        <v>400</v>
      </c>
      <c r="AE603" s="166">
        <f t="shared" si="6771"/>
        <v>400</v>
      </c>
      <c r="AF603" s="166">
        <f t="shared" si="6771"/>
        <v>0</v>
      </c>
      <c r="AG603" s="166">
        <f>VLOOKUP($C603,'1 预算编制表单'!$C:$BJ,36,FALSE)</f>
        <v>400</v>
      </c>
      <c r="AH603" s="166">
        <f t="shared" si="6771"/>
        <v>400</v>
      </c>
      <c r="AI603" s="166">
        <f t="shared" si="6771"/>
        <v>0</v>
      </c>
      <c r="AJ603" s="166">
        <f>VLOOKUP($C603,'1 预算编制表单'!$C:$BJ,39,FALSE)</f>
        <v>400</v>
      </c>
      <c r="AK603" s="166">
        <f t="shared" si="6771"/>
        <v>400</v>
      </c>
      <c r="AL603" s="166">
        <f t="shared" si="6771"/>
        <v>0</v>
      </c>
      <c r="AM603" s="166">
        <f>VLOOKUP($C603,'1 预算编制表单'!$C:$BJ,42,FALSE)</f>
        <v>400</v>
      </c>
      <c r="AN603" s="166">
        <f t="shared" si="6771"/>
        <v>400</v>
      </c>
      <c r="AO603" s="166">
        <f t="shared" si="6771"/>
        <v>0</v>
      </c>
      <c r="AP603" s="166">
        <f>VLOOKUP($C603,'1 预算编制表单'!$C:$BJ,45,FALSE)</f>
        <v>400</v>
      </c>
      <c r="AQ603" s="166">
        <f t="shared" si="6771"/>
        <v>400</v>
      </c>
      <c r="AR603" s="166">
        <f t="shared" si="6771"/>
        <v>0</v>
      </c>
      <c r="AS603" s="166">
        <f>VLOOKUP($C603,'1 预算编制表单'!$C:$BJ,48,FALSE)</f>
        <v>400</v>
      </c>
      <c r="AT603" s="166">
        <f t="shared" si="6771"/>
        <v>400</v>
      </c>
      <c r="AU603" s="166">
        <f t="shared" si="6771"/>
        <v>0</v>
      </c>
      <c r="AV603" s="166">
        <f>VLOOKUP($C603,'1 预算编制表单'!$C:$BJ,51,FALSE)</f>
        <v>400</v>
      </c>
      <c r="AW603" s="166">
        <f t="shared" si="6771"/>
        <v>400</v>
      </c>
      <c r="AX603" s="166">
        <f t="shared" si="6771"/>
        <v>0</v>
      </c>
      <c r="AY603" s="166">
        <f>VLOOKUP($C603,'1 预算编制表单'!$C:$BJ,54,FALSE)</f>
        <v>400</v>
      </c>
      <c r="AZ603" s="166">
        <f t="shared" si="6771"/>
        <v>400</v>
      </c>
      <c r="BA603" s="166">
        <f t="shared" si="6771"/>
        <v>0</v>
      </c>
      <c r="BB603" s="166">
        <f>VLOOKUP($C603,'1 预算编制表单'!$C:$BJ,57,FALSE)</f>
        <v>400</v>
      </c>
      <c r="BC603" s="166">
        <f t="shared" si="6771"/>
        <v>400</v>
      </c>
      <c r="BD603" s="166">
        <f t="shared" si="6771"/>
        <v>0</v>
      </c>
      <c r="BE603" s="166">
        <f>VLOOKUP($C603,'1 预算编制表单'!$C:$BJ,60,FALSE)</f>
        <v>400</v>
      </c>
      <c r="BF603" s="166">
        <f t="shared" si="6771"/>
        <v>400</v>
      </c>
      <c r="BG603" s="166">
        <f t="shared" si="6771"/>
        <v>0</v>
      </c>
      <c r="BH603" s="166">
        <f>VLOOKUP($C603,'1 预算编制表单'!$C:$BJ,27,FALSE)</f>
        <v>400</v>
      </c>
      <c r="BI603" s="166">
        <f t="shared" ref="BI603:BM603" si="6772">BI604+BI605+BI608+BI609+BI611+BI612+BI613+BI614+BI615</f>
        <v>400</v>
      </c>
      <c r="BJ603" s="166">
        <f t="shared" si="6772"/>
        <v>0</v>
      </c>
      <c r="BK603" s="166">
        <f>VLOOKUP($C603,'1 预算编制表单'!$C:$BJ,30,FALSE)</f>
        <v>400</v>
      </c>
      <c r="BL603" s="166">
        <f t="shared" si="6772"/>
        <v>400</v>
      </c>
      <c r="BM603" s="166">
        <f t="shared" si="6772"/>
        <v>0</v>
      </c>
      <c r="BN603" s="166">
        <f>VLOOKUP($C603,'1 预算编制表单'!$C:$BJ,33,FALSE)</f>
        <v>400</v>
      </c>
      <c r="BO603" s="166">
        <f t="shared" ref="BO603:BS603" si="6773">BO604+BO605+BO608+BO609+BO611+BO612+BO613+BO614+BO615</f>
        <v>400</v>
      </c>
      <c r="BP603" s="166">
        <f t="shared" si="6773"/>
        <v>0</v>
      </c>
      <c r="BQ603" s="166">
        <f>VLOOKUP($C603,'1 预算编制表单'!$C:$BJ,36,FALSE)</f>
        <v>400</v>
      </c>
      <c r="BR603" s="166">
        <f t="shared" si="6773"/>
        <v>400</v>
      </c>
      <c r="BS603" s="166">
        <f t="shared" si="6773"/>
        <v>0</v>
      </c>
      <c r="BT603" s="166">
        <f>VLOOKUP($C603,'1 预算编制表单'!$C:$BJ,39,FALSE)</f>
        <v>400</v>
      </c>
      <c r="BU603" s="166">
        <f t="shared" ref="BU603:BY603" si="6774">BU604+BU605+BU608+BU609+BU611+BU612+BU613+BU614+BU615</f>
        <v>400</v>
      </c>
      <c r="BV603" s="166">
        <f t="shared" si="6774"/>
        <v>0</v>
      </c>
      <c r="BW603" s="166">
        <f>VLOOKUP($C603,'1 预算编制表单'!$C:$BJ,42,FALSE)</f>
        <v>400</v>
      </c>
      <c r="BX603" s="166">
        <f t="shared" si="6774"/>
        <v>400</v>
      </c>
      <c r="BY603" s="166">
        <f t="shared" si="6774"/>
        <v>0</v>
      </c>
      <c r="BZ603" s="166">
        <f>VLOOKUP($C603,'1 预算编制表单'!$C:$BJ,45,FALSE)</f>
        <v>400</v>
      </c>
      <c r="CA603" s="166">
        <f t="shared" ref="CA603:CE603" si="6775">CA604+CA605+CA608+CA609+CA611+CA612+CA613+CA614+CA615</f>
        <v>400</v>
      </c>
      <c r="CB603" s="166">
        <f t="shared" si="6775"/>
        <v>0</v>
      </c>
      <c r="CC603" s="166">
        <f>VLOOKUP($C603,'1 预算编制表单'!$C:$BJ,48,FALSE)</f>
        <v>400</v>
      </c>
      <c r="CD603" s="166">
        <f t="shared" si="6775"/>
        <v>400</v>
      </c>
      <c r="CE603" s="166">
        <f t="shared" si="6775"/>
        <v>0</v>
      </c>
      <c r="CF603" s="166">
        <f>VLOOKUP($C603,'1 预算编制表单'!$C:$BJ,51,FALSE)</f>
        <v>400</v>
      </c>
      <c r="CG603" s="166">
        <f t="shared" ref="CG603:CK603" si="6776">CG604+CG605+CG608+CG609+CG611+CG612+CG613+CG614+CG615</f>
        <v>400</v>
      </c>
      <c r="CH603" s="166">
        <f t="shared" si="6776"/>
        <v>0</v>
      </c>
      <c r="CI603" s="166">
        <f>VLOOKUP($C603,'1 预算编制表单'!$C:$BJ,54,FALSE)</f>
        <v>400</v>
      </c>
      <c r="CJ603" s="166">
        <f t="shared" si="6776"/>
        <v>400</v>
      </c>
      <c r="CK603" s="166">
        <f t="shared" si="6776"/>
        <v>0</v>
      </c>
      <c r="CL603" s="166">
        <f>VLOOKUP($C603,'1 预算编制表单'!$C:$BJ,57,FALSE)</f>
        <v>400</v>
      </c>
      <c r="CM603" s="166">
        <f t="shared" ref="CM603:CQ603" si="6777">CM604+CM605+CM608+CM609+CM611+CM612+CM613+CM614+CM615</f>
        <v>400</v>
      </c>
      <c r="CN603" s="166">
        <f t="shared" si="6777"/>
        <v>0</v>
      </c>
      <c r="CO603" s="166">
        <f>VLOOKUP($C603,'1 预算编制表单'!$C:$BJ,60,FALSE)</f>
        <v>400</v>
      </c>
      <c r="CP603" s="166">
        <f t="shared" si="6777"/>
        <v>400</v>
      </c>
      <c r="CQ603" s="166">
        <f t="shared" si="6777"/>
        <v>0</v>
      </c>
    </row>
    <row r="604" ht="24" customHeight="1" outlineLevel="1" spans="1:95">
      <c r="A604" s="29"/>
      <c r="B604" s="111" t="s">
        <v>794</v>
      </c>
      <c r="C604" s="112" t="s">
        <v>135</v>
      </c>
      <c r="D604" s="29" t="s">
        <v>136</v>
      </c>
      <c r="E604" s="111" t="s">
        <v>2316</v>
      </c>
      <c r="F604" s="111"/>
      <c r="G604" s="111" t="s">
        <v>943</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9"/>
      <c r="B605" s="111" t="s">
        <v>794</v>
      </c>
      <c r="C605" s="112" t="s">
        <v>137</v>
      </c>
      <c r="D605" s="29" t="s">
        <v>2849</v>
      </c>
      <c r="E605" s="111" t="s">
        <v>2317</v>
      </c>
      <c r="F605" s="111"/>
      <c r="G605" s="111" t="s">
        <v>1851</v>
      </c>
      <c r="H605" s="113">
        <f t="shared" si="6666"/>
        <v>0</v>
      </c>
      <c r="I605" s="113">
        <f t="shared" si="6667"/>
        <v>0</v>
      </c>
      <c r="J605" s="113">
        <f t="shared" si="6664"/>
        <v>0</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0</v>
      </c>
      <c r="AO605" s="116">
        <f>SUM(AO606:AO607)</f>
        <v>0</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customHeight="1" outlineLevel="2" spans="1:95">
      <c r="A606" s="130"/>
      <c r="B606" s="131"/>
      <c r="C606" s="132" t="s">
        <v>2850</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0</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2851</v>
      </c>
      <c r="D607" s="130" t="s">
        <v>2852</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794</v>
      </c>
      <c r="C608" s="170" t="s">
        <v>141</v>
      </c>
      <c r="D608" s="168" t="s">
        <v>142</v>
      </c>
      <c r="E608" s="169" t="s">
        <v>2318</v>
      </c>
      <c r="F608" s="169"/>
      <c r="G608" s="169" t="s">
        <v>1851</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794</v>
      </c>
      <c r="C609" s="170" t="s">
        <v>102</v>
      </c>
      <c r="D609" s="168" t="s">
        <v>103</v>
      </c>
      <c r="E609" s="169" t="s">
        <v>2319</v>
      </c>
      <c r="F609" s="169"/>
      <c r="G609" s="169" t="s">
        <v>1851</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customHeight="1" outlineLevel="2" spans="1:95">
      <c r="A610" s="130"/>
      <c r="B610" s="131"/>
      <c r="C610" s="132" t="s">
        <v>2853</v>
      </c>
      <c r="D610" s="130" t="s">
        <v>2854</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9"/>
      <c r="B611" s="111" t="s">
        <v>794</v>
      </c>
      <c r="C611" s="112" t="s">
        <v>143</v>
      </c>
      <c r="D611" s="29" t="s">
        <v>144</v>
      </c>
      <c r="E611" s="111"/>
      <c r="F611" s="111"/>
      <c r="G611" s="111" t="s">
        <v>1851</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794</v>
      </c>
      <c r="C612" s="170" t="s">
        <v>147</v>
      </c>
      <c r="D612" s="168" t="s">
        <v>148</v>
      </c>
      <c r="E612" s="169" t="s">
        <v>2320</v>
      </c>
      <c r="F612" s="169"/>
      <c r="G612" s="169" t="s">
        <v>1851</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9"/>
      <c r="B613" s="111" t="s">
        <v>794</v>
      </c>
      <c r="C613" s="112" t="s">
        <v>153</v>
      </c>
      <c r="D613" s="29" t="s">
        <v>154</v>
      </c>
      <c r="E613" s="111" t="s">
        <v>2321</v>
      </c>
      <c r="F613" s="111"/>
      <c r="G613" s="111" t="s">
        <v>1851</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9"/>
      <c r="B614" s="111" t="s">
        <v>794</v>
      </c>
      <c r="C614" s="112" t="s">
        <v>157</v>
      </c>
      <c r="D614" s="29" t="s">
        <v>158</v>
      </c>
      <c r="E614" s="111" t="s">
        <v>2322</v>
      </c>
      <c r="F614" s="111"/>
      <c r="G614" s="111" t="s">
        <v>1851</v>
      </c>
      <c r="H614" s="113">
        <f t="shared" si="6779"/>
        <v>4800</v>
      </c>
      <c r="I614" s="113">
        <f t="shared" si="6780"/>
        <v>4800</v>
      </c>
      <c r="J614" s="113">
        <f t="shared" si="6781"/>
        <v>0</v>
      </c>
      <c r="K614" s="113"/>
      <c r="L614" s="146"/>
      <c r="M614" s="146"/>
      <c r="N614" s="113"/>
      <c r="O614" s="146"/>
      <c r="P614" s="113"/>
      <c r="Q614" s="113"/>
      <c r="R614" s="113"/>
      <c r="S614" s="113"/>
      <c r="T614" s="113"/>
      <c r="U614" s="113"/>
      <c r="V614" s="113"/>
      <c r="W614" s="113"/>
      <c r="X614" s="113">
        <f>VLOOKUP($C614,'1 预算编制表单'!$C:$BJ,27,FALSE)</f>
        <v>400</v>
      </c>
      <c r="Y614" s="113">
        <f>X614-Z614</f>
        <v>400</v>
      </c>
      <c r="Z614" s="113"/>
      <c r="AA614" s="113">
        <f>VLOOKUP($C614,'1 预算编制表单'!$C:$BJ,30,FALSE)</f>
        <v>400</v>
      </c>
      <c r="AB614" s="113">
        <f>AA614-AC614</f>
        <v>400</v>
      </c>
      <c r="AC614" s="113"/>
      <c r="AD614" s="113">
        <f>VLOOKUP($C614,'1 预算编制表单'!$C:$BJ,33,FALSE)</f>
        <v>400</v>
      </c>
      <c r="AE614" s="113">
        <f>AD614-AF614</f>
        <v>400</v>
      </c>
      <c r="AF614" s="113"/>
      <c r="AG614" s="113">
        <f>VLOOKUP($C614,'1 预算编制表单'!$C:$BJ,36,FALSE)</f>
        <v>400</v>
      </c>
      <c r="AH614" s="113">
        <f>AG614-AI614</f>
        <v>400</v>
      </c>
      <c r="AI614" s="113"/>
      <c r="AJ614" s="113">
        <f>VLOOKUP($C614,'1 预算编制表单'!$C:$BJ,39,FALSE)</f>
        <v>400</v>
      </c>
      <c r="AK614" s="113">
        <f>AJ614-AL614</f>
        <v>400</v>
      </c>
      <c r="AL614" s="113"/>
      <c r="AM614" s="113">
        <f>VLOOKUP($C614,'1 预算编制表单'!$C:$BJ,42,FALSE)</f>
        <v>400</v>
      </c>
      <c r="AN614" s="113">
        <f>AM614-AO614</f>
        <v>400</v>
      </c>
      <c r="AO614" s="113"/>
      <c r="AP614" s="113">
        <f>VLOOKUP($C614,'1 预算编制表单'!$C:$BJ,45,FALSE)</f>
        <v>400</v>
      </c>
      <c r="AQ614" s="113">
        <f>AP614-AR614</f>
        <v>400</v>
      </c>
      <c r="AR614" s="113"/>
      <c r="AS614" s="113">
        <f>VLOOKUP($C614,'1 预算编制表单'!$C:$BJ,48,FALSE)</f>
        <v>400</v>
      </c>
      <c r="AT614" s="113">
        <f>AS614-AU614</f>
        <v>400</v>
      </c>
      <c r="AU614" s="113"/>
      <c r="AV614" s="113">
        <f>VLOOKUP($C614,'1 预算编制表单'!$C:$BJ,51,FALSE)</f>
        <v>400</v>
      </c>
      <c r="AW614" s="113">
        <f>AV614-AX614</f>
        <v>400</v>
      </c>
      <c r="AX614" s="113"/>
      <c r="AY614" s="113">
        <f>VLOOKUP($C614,'1 预算编制表单'!$C:$BJ,54,FALSE)</f>
        <v>400</v>
      </c>
      <c r="AZ614" s="113">
        <f>AY614-BA614</f>
        <v>400</v>
      </c>
      <c r="BA614" s="113"/>
      <c r="BB614" s="113">
        <f>VLOOKUP($C614,'1 预算编制表单'!$C:$BJ,57,FALSE)</f>
        <v>400</v>
      </c>
      <c r="BC614" s="113">
        <f>BB614-BD614</f>
        <v>400</v>
      </c>
      <c r="BD614" s="113"/>
      <c r="BE614" s="113">
        <f>VLOOKUP($C614,'1 预算编制表单'!$C:$BJ,60,FALSE)</f>
        <v>400</v>
      </c>
      <c r="BF614" s="113">
        <f>BE614-BG614</f>
        <v>400</v>
      </c>
      <c r="BG614" s="113"/>
      <c r="BH614" s="113">
        <f>VLOOKUP($C614,'1 预算编制表单'!$C:$BJ,27,FALSE)</f>
        <v>400</v>
      </c>
      <c r="BI614" s="113">
        <f>BH614-BJ614</f>
        <v>400</v>
      </c>
      <c r="BJ614" s="113"/>
      <c r="BK614" s="113">
        <f>VLOOKUP($C614,'1 预算编制表单'!$C:$BJ,30,FALSE)</f>
        <v>400</v>
      </c>
      <c r="BL614" s="113">
        <f>BK614-BM614</f>
        <v>400</v>
      </c>
      <c r="BM614" s="113"/>
      <c r="BN614" s="113">
        <f>VLOOKUP($C614,'1 预算编制表单'!$C:$BJ,33,FALSE)</f>
        <v>400</v>
      </c>
      <c r="BO614" s="113">
        <f>BN614-BP614</f>
        <v>400</v>
      </c>
      <c r="BP614" s="113"/>
      <c r="BQ614" s="113">
        <f>VLOOKUP($C614,'1 预算编制表单'!$C:$BJ,36,FALSE)</f>
        <v>400</v>
      </c>
      <c r="BR614" s="113">
        <f>BQ614-BS614</f>
        <v>400</v>
      </c>
      <c r="BS614" s="113"/>
      <c r="BT614" s="113">
        <f>VLOOKUP($C614,'1 预算编制表单'!$C:$BJ,39,FALSE)</f>
        <v>400</v>
      </c>
      <c r="BU614" s="113">
        <f>BT614-BV614</f>
        <v>400</v>
      </c>
      <c r="BV614" s="113"/>
      <c r="BW614" s="113">
        <f>VLOOKUP($C614,'1 预算编制表单'!$C:$BJ,42,FALSE)</f>
        <v>400</v>
      </c>
      <c r="BX614" s="113">
        <f>BW614-BY614</f>
        <v>400</v>
      </c>
      <c r="BY614" s="113"/>
      <c r="BZ614" s="113">
        <f>VLOOKUP($C614,'1 预算编制表单'!$C:$BJ,45,FALSE)</f>
        <v>400</v>
      </c>
      <c r="CA614" s="113">
        <f>BZ614-CB614</f>
        <v>400</v>
      </c>
      <c r="CB614" s="113"/>
      <c r="CC614" s="113">
        <f>VLOOKUP($C614,'1 预算编制表单'!$C:$BJ,48,FALSE)</f>
        <v>400</v>
      </c>
      <c r="CD614" s="113">
        <f>CC614-CE614</f>
        <v>400</v>
      </c>
      <c r="CE614" s="113"/>
      <c r="CF614" s="113">
        <f>VLOOKUP($C614,'1 预算编制表单'!$C:$BJ,51,FALSE)</f>
        <v>400</v>
      </c>
      <c r="CG614" s="113">
        <f>CF614-CH614</f>
        <v>400</v>
      </c>
      <c r="CH614" s="113"/>
      <c r="CI614" s="113">
        <f>VLOOKUP($C614,'1 预算编制表单'!$C:$BJ,54,FALSE)</f>
        <v>400</v>
      </c>
      <c r="CJ614" s="113">
        <f>CI614-CK614</f>
        <v>400</v>
      </c>
      <c r="CK614" s="113"/>
      <c r="CL614" s="113">
        <f>VLOOKUP($C614,'1 预算编制表单'!$C:$BJ,57,FALSE)</f>
        <v>400</v>
      </c>
      <c r="CM614" s="113">
        <f>CL614-CN614</f>
        <v>400</v>
      </c>
      <c r="CN614" s="113"/>
      <c r="CO614" s="113">
        <f>VLOOKUP($C614,'1 预算编制表单'!$C:$BJ,60,FALSE)</f>
        <v>400</v>
      </c>
      <c r="CP614" s="113">
        <f>CO614-CQ614</f>
        <v>400</v>
      </c>
      <c r="CQ614" s="113"/>
    </row>
    <row r="615" s="85" customFormat="1" ht="24" customHeight="1" outlineLevel="1" spans="1:95">
      <c r="A615" s="168"/>
      <c r="B615" s="169" t="s">
        <v>794</v>
      </c>
      <c r="C615" s="170" t="s">
        <v>78</v>
      </c>
      <c r="D615" s="168" t="s">
        <v>79</v>
      </c>
      <c r="E615" s="169" t="s">
        <v>2323</v>
      </c>
      <c r="F615" s="169"/>
      <c r="G615" s="169" t="s">
        <v>1851</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794</v>
      </c>
      <c r="C616" s="109">
        <v>1.6</v>
      </c>
      <c r="D616" s="107" t="s">
        <v>217</v>
      </c>
      <c r="E616" s="107"/>
      <c r="F616" s="107" t="s">
        <v>2324</v>
      </c>
      <c r="G616" s="108"/>
      <c r="H616" s="166">
        <f t="shared" si="6779"/>
        <v>640</v>
      </c>
      <c r="I616" s="166">
        <f t="shared" si="6780"/>
        <v>640</v>
      </c>
      <c r="J616" s="166">
        <f t="shared" si="6781"/>
        <v>0</v>
      </c>
      <c r="K616" s="166"/>
      <c r="L616" s="167"/>
      <c r="M616" s="167"/>
      <c r="N616" s="166"/>
      <c r="O616" s="167"/>
      <c r="P616" s="166"/>
      <c r="Q616" s="166"/>
      <c r="R616" s="166"/>
      <c r="S616" s="166"/>
      <c r="T616" s="166"/>
      <c r="U616" s="166"/>
      <c r="V616" s="166"/>
      <c r="W616" s="166"/>
      <c r="X616" s="166">
        <f>VLOOKUP($C616,'1 预算编制表单'!$C:$BJ,27,FALSE)</f>
        <v>640</v>
      </c>
      <c r="Y616" s="166">
        <f t="shared" ref="Y616:AC616" si="6782">Y617+Y618+Y619+Y620+Y621</f>
        <v>640</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640</v>
      </c>
      <c r="BI616" s="166">
        <f t="shared" ref="BI616:BM616" si="6788">BI617+BI618+BI619+BI620+BI621</f>
        <v>640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9"/>
      <c r="B617" s="111" t="s">
        <v>794</v>
      </c>
      <c r="C617" s="112" t="s">
        <v>2325</v>
      </c>
      <c r="D617" s="29" t="s">
        <v>2326</v>
      </c>
      <c r="E617" s="29"/>
      <c r="F617" s="29"/>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9"/>
      <c r="B618" s="111" t="s">
        <v>794</v>
      </c>
      <c r="C618" s="112" t="s">
        <v>2379</v>
      </c>
      <c r="D618" s="29" t="s">
        <v>2380</v>
      </c>
      <c r="E618" s="111" t="s">
        <v>2381</v>
      </c>
      <c r="F618" s="111" t="s">
        <v>1625</v>
      </c>
      <c r="G618" s="111" t="s">
        <v>943</v>
      </c>
      <c r="H618" s="113">
        <f t="shared" si="6779"/>
        <v>640</v>
      </c>
      <c r="I618" s="113">
        <f t="shared" si="6780"/>
        <v>640</v>
      </c>
      <c r="J618" s="113">
        <f t="shared" si="6781"/>
        <v>0</v>
      </c>
      <c r="K618" s="113"/>
      <c r="L618" s="146"/>
      <c r="M618" s="146"/>
      <c r="N618" s="113"/>
      <c r="O618" s="146"/>
      <c r="P618" s="113"/>
      <c r="Q618" s="113"/>
      <c r="R618" s="113"/>
      <c r="S618" s="113"/>
      <c r="T618" s="113"/>
      <c r="U618" s="113"/>
      <c r="V618" s="113"/>
      <c r="W618" s="113"/>
      <c r="X618" s="113">
        <f>VLOOKUP($C618,'1 预算编制表单'!$C:$BJ,27,FALSE)</f>
        <v>640</v>
      </c>
      <c r="Y618" s="113">
        <f t="shared" ref="Y618:Y621" si="6806">X618-Z618</f>
        <v>640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640</v>
      </c>
      <c r="BI618" s="113">
        <f t="shared" si="6794"/>
        <v>640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9"/>
      <c r="B619" s="111" t="s">
        <v>794</v>
      </c>
      <c r="C619" s="112" t="s">
        <v>2382</v>
      </c>
      <c r="D619" s="29" t="s">
        <v>2383</v>
      </c>
      <c r="E619" s="111" t="s">
        <v>2384</v>
      </c>
      <c r="F619" s="111" t="s">
        <v>1625</v>
      </c>
      <c r="G619" s="111" t="s">
        <v>943</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9"/>
      <c r="B620" s="111" t="s">
        <v>794</v>
      </c>
      <c r="C620" s="112" t="s">
        <v>2385</v>
      </c>
      <c r="D620" s="29" t="s">
        <v>2386</v>
      </c>
      <c r="E620" s="29"/>
      <c r="F620" s="111" t="s">
        <v>1625</v>
      </c>
      <c r="G620" s="111" t="s">
        <v>943</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9"/>
      <c r="B621" s="111" t="s">
        <v>794</v>
      </c>
      <c r="C621" s="112" t="s">
        <v>2387</v>
      </c>
      <c r="D621" s="29" t="s">
        <v>2388</v>
      </c>
      <c r="E621" s="29"/>
      <c r="F621" s="111" t="s">
        <v>1625</v>
      </c>
      <c r="G621" s="111" t="s">
        <v>943</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6"/>
  <sheetViews>
    <sheetView zoomScale="70" zoomScaleNormal="70" workbookViewId="0">
      <selection activeCell="E5" sqref="E5"/>
    </sheetView>
  </sheetViews>
  <sheetFormatPr defaultColWidth="9" defaultRowHeight="13.5" outlineLevelRow="5"/>
  <cols>
    <col min="1" max="3" width="12" style="65" customWidth="1"/>
    <col min="4" max="4" width="18" style="65" customWidth="1"/>
    <col min="5" max="6" width="12" style="65" customWidth="1"/>
    <col min="7" max="7" width="6" style="65" customWidth="1"/>
    <col min="8" max="9" width="12" style="65" customWidth="1"/>
    <col min="10" max="10" width="15" style="65" customWidth="1"/>
    <col min="11" max="11" width="18" style="65" customWidth="1"/>
    <col min="12" max="12" width="12" style="65" customWidth="1"/>
    <col min="13" max="13" width="11" style="65" customWidth="1"/>
    <col min="14" max="16384" width="9" style="65"/>
  </cols>
  <sheetData>
    <row r="1" s="65" customFormat="1" ht="20" customHeight="1" spans="1:1">
      <c r="A1" s="76" t="s">
        <v>2855</v>
      </c>
    </row>
    <row r="2" s="65" customFormat="1" ht="20" customHeight="1" spans="1:1">
      <c r="A2" s="76" t="s">
        <v>2856</v>
      </c>
    </row>
    <row r="3" s="65" customFormat="1" ht="20" customHeight="1" spans="1:1">
      <c r="A3" s="76" t="s">
        <v>2857</v>
      </c>
    </row>
    <row r="4" s="65" customFormat="1" ht="32.45" customHeight="1" spans="1:13">
      <c r="A4" s="77" t="s">
        <v>2858</v>
      </c>
      <c r="B4" s="77" t="s">
        <v>2859</v>
      </c>
      <c r="C4" s="77" t="s">
        <v>2860</v>
      </c>
      <c r="D4" s="77" t="s">
        <v>2861</v>
      </c>
      <c r="E4" s="77" t="s">
        <v>2862</v>
      </c>
      <c r="F4" s="77" t="s">
        <v>2863</v>
      </c>
      <c r="G4" s="77" t="s">
        <v>1242</v>
      </c>
      <c r="H4" s="77" t="s">
        <v>2864</v>
      </c>
      <c r="I4" s="77" t="s">
        <v>2865</v>
      </c>
      <c r="J4" s="77" t="s">
        <v>2866</v>
      </c>
      <c r="K4" s="77" t="s">
        <v>2867</v>
      </c>
      <c r="L4" s="77" t="s">
        <v>2868</v>
      </c>
      <c r="M4" s="77" t="s">
        <v>2869</v>
      </c>
    </row>
    <row r="5" s="65" customFormat="1" ht="185.25" spans="1:13">
      <c r="A5" s="78" t="s">
        <v>2870</v>
      </c>
      <c r="B5" s="78" t="s">
        <v>2871</v>
      </c>
      <c r="C5" s="78" t="s">
        <v>2872</v>
      </c>
      <c r="D5" s="78" t="s">
        <v>2873</v>
      </c>
      <c r="E5" s="78" t="s">
        <v>2872</v>
      </c>
      <c r="F5" s="79">
        <v>3104</v>
      </c>
      <c r="G5" s="79">
        <v>1</v>
      </c>
      <c r="H5" s="79">
        <v>3104</v>
      </c>
      <c r="I5" s="79">
        <v>3104</v>
      </c>
      <c r="J5" s="78" t="s">
        <v>2874</v>
      </c>
      <c r="K5" s="78" t="s">
        <v>2875</v>
      </c>
      <c r="L5" s="78" t="s">
        <v>2876</v>
      </c>
      <c r="M5" s="78" t="s">
        <v>2877</v>
      </c>
    </row>
    <row r="6" s="65" customFormat="1" ht="185.25" spans="1:13">
      <c r="A6" s="78" t="s">
        <v>2878</v>
      </c>
      <c r="B6" s="78" t="s">
        <v>2879</v>
      </c>
      <c r="C6" s="78" t="s">
        <v>2880</v>
      </c>
      <c r="D6" s="78" t="s">
        <v>2881</v>
      </c>
      <c r="E6" s="78" t="s">
        <v>33</v>
      </c>
      <c r="F6" s="79">
        <v>2380</v>
      </c>
      <c r="G6" s="79">
        <v>1</v>
      </c>
      <c r="H6" s="79">
        <v>2380</v>
      </c>
      <c r="I6" s="79">
        <v>2380</v>
      </c>
      <c r="J6" s="78" t="s">
        <v>2882</v>
      </c>
      <c r="K6" s="78" t="s">
        <v>2883</v>
      </c>
      <c r="L6" s="78" t="s">
        <v>2876</v>
      </c>
      <c r="M6" s="78" t="s">
        <v>2884</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20"/>
  <sheetViews>
    <sheetView zoomScale="70" zoomScaleNormal="70" workbookViewId="0">
      <selection activeCell="AT19" sqref="AT19"/>
    </sheetView>
  </sheetViews>
  <sheetFormatPr defaultColWidth="9" defaultRowHeight="13.5"/>
  <cols>
    <col min="1" max="1" width="50" style="65" customWidth="1"/>
    <col min="2" max="4" width="21" style="65" customWidth="1"/>
    <col min="5" max="5" width="25" style="66" hidden="1" customWidth="1"/>
    <col min="6" max="6" width="21" style="65" hidden="1" customWidth="1"/>
    <col min="7" max="12" width="25" style="65" hidden="1" customWidth="1"/>
    <col min="13" max="13" width="21" style="65" hidden="1" customWidth="1"/>
    <col min="14" max="14" width="16" style="67" hidden="1" customWidth="1"/>
    <col min="15" max="15" width="20" style="68" hidden="1" customWidth="1"/>
    <col min="16" max="16" width="24" style="68" hidden="1" customWidth="1"/>
    <col min="17" max="17" width="26" style="65" hidden="1" customWidth="1"/>
    <col min="18" max="18" width="24" style="68" hidden="1" customWidth="1"/>
    <col min="19" max="19" width="16" style="69" hidden="1" customWidth="1"/>
    <col min="20" max="20" width="20" style="65" hidden="1" customWidth="1"/>
    <col min="21" max="21" width="18" style="70" hidden="1" customWidth="1"/>
    <col min="22" max="25" width="21" style="65" hidden="1" customWidth="1"/>
    <col min="26" max="26" width="18" style="65" hidden="1" customWidth="1"/>
    <col min="27" max="28" width="22" style="65" hidden="1" customWidth="1"/>
    <col min="29" max="30" width="24" style="66" hidden="1" customWidth="1"/>
    <col min="31" max="32" width="23" style="65" hidden="1" customWidth="1"/>
    <col min="33" max="33" width="16" style="65" hidden="1" customWidth="1"/>
    <col min="34" max="35" width="25" style="65" hidden="1" customWidth="1"/>
    <col min="36" max="36" width="22" style="67" hidden="1" customWidth="1"/>
    <col min="37" max="38" width="25" style="65" hidden="1" customWidth="1"/>
    <col min="39" max="40" width="23" style="65" hidden="1" customWidth="1"/>
    <col min="41" max="44" width="20" style="65" hidden="1" customWidth="1"/>
    <col min="45" max="45" width="26" style="65" hidden="1"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2885</v>
      </c>
      <c r="E1" s="66"/>
      <c r="N1" s="67"/>
      <c r="O1" s="68"/>
      <c r="P1" s="68"/>
      <c r="R1" s="68"/>
      <c r="S1" s="69"/>
      <c r="U1" s="70"/>
      <c r="AC1" s="66"/>
      <c r="AD1" s="66"/>
      <c r="AJ1" s="67"/>
      <c r="BF1" s="71"/>
      <c r="BG1" s="71"/>
      <c r="BH1" s="71"/>
      <c r="BM1" s="65" t="s">
        <v>2886</v>
      </c>
    </row>
    <row r="2" s="65" customFormat="1" ht="45" hidden="1" customHeight="1" spans="1:60">
      <c r="A2" s="72" t="s">
        <v>2887</v>
      </c>
      <c r="E2" s="66"/>
      <c r="N2" s="67"/>
      <c r="O2" s="68"/>
      <c r="P2" s="68"/>
      <c r="R2" s="68"/>
      <c r="S2" s="69"/>
      <c r="U2" s="70"/>
      <c r="AC2" s="66"/>
      <c r="AD2" s="66"/>
      <c r="AJ2" s="67"/>
      <c r="BF2" s="71"/>
      <c r="BG2" s="71"/>
      <c r="BH2" s="71"/>
    </row>
    <row r="3" s="65" customFormat="1" hidden="1" spans="1:68">
      <c r="A3" s="65" t="s">
        <v>2888</v>
      </c>
      <c r="B3" s="65" t="s">
        <v>2889</v>
      </c>
      <c r="C3" s="65" t="s">
        <v>2890</v>
      </c>
      <c r="D3" s="65" t="s">
        <v>2891</v>
      </c>
      <c r="E3" s="65" t="s">
        <v>2892</v>
      </c>
      <c r="F3" s="65" t="s">
        <v>2893</v>
      </c>
      <c r="G3" s="65" t="s">
        <v>2894</v>
      </c>
      <c r="H3" s="65" t="s">
        <v>2895</v>
      </c>
      <c r="I3" s="65" t="s">
        <v>2896</v>
      </c>
      <c r="J3" s="65" t="s">
        <v>2897</v>
      </c>
      <c r="K3" s="65" t="s">
        <v>2898</v>
      </c>
      <c r="L3" s="65" t="s">
        <v>2899</v>
      </c>
      <c r="M3" s="65" t="s">
        <v>2900</v>
      </c>
      <c r="N3" s="65" t="s">
        <v>2901</v>
      </c>
      <c r="O3" s="65" t="s">
        <v>2902</v>
      </c>
      <c r="P3" s="65" t="s">
        <v>2903</v>
      </c>
      <c r="Q3" s="65" t="s">
        <v>2904</v>
      </c>
      <c r="R3" s="65" t="s">
        <v>2905</v>
      </c>
      <c r="S3" s="65" t="s">
        <v>2906</v>
      </c>
      <c r="T3" s="65" t="s">
        <v>2907</v>
      </c>
      <c r="U3" s="65" t="s">
        <v>2908</v>
      </c>
      <c r="V3" s="65" t="s">
        <v>2909</v>
      </c>
      <c r="W3" s="65" t="s">
        <v>2910</v>
      </c>
      <c r="X3" s="65" t="s">
        <v>2911</v>
      </c>
      <c r="Y3" s="65" t="s">
        <v>2912</v>
      </c>
      <c r="Z3" s="65" t="s">
        <v>2913</v>
      </c>
      <c r="AA3" s="65" t="s">
        <v>2914</v>
      </c>
      <c r="AB3" s="65" t="s">
        <v>2915</v>
      </c>
      <c r="AC3" s="65" t="s">
        <v>2916</v>
      </c>
      <c r="AD3" s="65" t="s">
        <v>2917</v>
      </c>
      <c r="AE3" s="65" t="s">
        <v>2918</v>
      </c>
      <c r="AF3" s="65" t="s">
        <v>2919</v>
      </c>
      <c r="AG3" s="65" t="s">
        <v>2920</v>
      </c>
      <c r="AH3" s="65" t="s">
        <v>2921</v>
      </c>
      <c r="AI3" s="65" t="s">
        <v>2922</v>
      </c>
      <c r="AJ3" s="65" t="s">
        <v>2923</v>
      </c>
      <c r="AK3" s="65" t="s">
        <v>2924</v>
      </c>
      <c r="AL3" s="65" t="s">
        <v>2925</v>
      </c>
      <c r="AM3" s="65" t="s">
        <v>2926</v>
      </c>
      <c r="AN3" s="65" t="s">
        <v>2927</v>
      </c>
      <c r="AO3" s="65" t="s">
        <v>2928</v>
      </c>
      <c r="AP3" s="65" t="s">
        <v>2929</v>
      </c>
      <c r="AQ3" s="65" t="s">
        <v>2930</v>
      </c>
      <c r="AR3" s="65" t="s">
        <v>2931</v>
      </c>
      <c r="AS3" s="65" t="s">
        <v>2932</v>
      </c>
      <c r="AT3" s="65" t="s">
        <v>2933</v>
      </c>
      <c r="AU3" s="65" t="s">
        <v>2934</v>
      </c>
      <c r="AV3" s="65" t="s">
        <v>2935</v>
      </c>
      <c r="AW3" s="65" t="s">
        <v>2936</v>
      </c>
      <c r="AX3" s="65" t="s">
        <v>2937</v>
      </c>
      <c r="AY3" s="65" t="s">
        <v>2938</v>
      </c>
      <c r="AZ3" s="65" t="s">
        <v>2939</v>
      </c>
      <c r="BA3" s="65" t="s">
        <v>2940</v>
      </c>
      <c r="BB3" s="65" t="s">
        <v>2941</v>
      </c>
      <c r="BC3" s="65" t="s">
        <v>2942</v>
      </c>
      <c r="BD3" s="65" t="s">
        <v>2943</v>
      </c>
      <c r="BE3" s="65" t="s">
        <v>2944</v>
      </c>
      <c r="BF3" s="65" t="s">
        <v>2945</v>
      </c>
      <c r="BG3" s="65" t="s">
        <v>2946</v>
      </c>
      <c r="BH3" s="65" t="s">
        <v>2947</v>
      </c>
      <c r="BI3" s="65" t="s">
        <v>2948</v>
      </c>
      <c r="BJ3" s="65" t="s">
        <v>2949</v>
      </c>
      <c r="BK3" s="65" t="s">
        <v>2950</v>
      </c>
      <c r="BL3" s="65" t="s">
        <v>2951</v>
      </c>
      <c r="BM3" s="65" t="s">
        <v>2952</v>
      </c>
      <c r="BN3" s="65" t="s">
        <v>2953</v>
      </c>
      <c r="BO3" s="65" t="s">
        <v>2954</v>
      </c>
      <c r="BP3" s="65" t="s">
        <v>2955</v>
      </c>
    </row>
    <row r="4" s="65" customFormat="1" ht="15" hidden="1" spans="1:68">
      <c r="A4" s="73" t="s">
        <v>2956</v>
      </c>
      <c r="B4" s="74" t="s">
        <v>2957</v>
      </c>
      <c r="C4" s="74" t="s">
        <v>2958</v>
      </c>
      <c r="D4" s="74" t="s">
        <v>2959</v>
      </c>
      <c r="E4" s="74" t="s">
        <v>2960</v>
      </c>
      <c r="F4" s="74" t="s">
        <v>2961</v>
      </c>
      <c r="G4" s="74" t="s">
        <v>2962</v>
      </c>
      <c r="H4" s="73" t="s">
        <v>2963</v>
      </c>
      <c r="I4" s="73" t="s">
        <v>2964</v>
      </c>
      <c r="J4" s="73" t="s">
        <v>2965</v>
      </c>
      <c r="K4" s="73" t="s">
        <v>2966</v>
      </c>
      <c r="L4" s="73" t="s">
        <v>2967</v>
      </c>
      <c r="M4" s="73" t="s">
        <v>2968</v>
      </c>
      <c r="N4" s="73" t="s">
        <v>2969</v>
      </c>
      <c r="O4" s="73" t="s">
        <v>2970</v>
      </c>
      <c r="P4" s="73" t="s">
        <v>2971</v>
      </c>
      <c r="Q4" s="73" t="s">
        <v>2972</v>
      </c>
      <c r="R4" s="73" t="s">
        <v>2973</v>
      </c>
      <c r="S4" s="73" t="s">
        <v>2974</v>
      </c>
      <c r="T4" s="73" t="s">
        <v>2975</v>
      </c>
      <c r="U4" s="73" t="s">
        <v>2976</v>
      </c>
      <c r="V4" s="73" t="s">
        <v>2977</v>
      </c>
      <c r="W4" s="73" t="s">
        <v>2978</v>
      </c>
      <c r="X4" s="73" t="s">
        <v>2979</v>
      </c>
      <c r="Y4" s="73" t="s">
        <v>2980</v>
      </c>
      <c r="Z4" s="73" t="s">
        <v>2981</v>
      </c>
      <c r="AA4" s="73" t="s">
        <v>2982</v>
      </c>
      <c r="AB4" s="73" t="s">
        <v>2983</v>
      </c>
      <c r="AC4" s="73" t="s">
        <v>2811</v>
      </c>
      <c r="AD4" s="73" t="s">
        <v>2984</v>
      </c>
      <c r="AE4" s="73" t="s">
        <v>2985</v>
      </c>
      <c r="AF4" s="73" t="s">
        <v>2986</v>
      </c>
      <c r="AG4" s="73" t="s">
        <v>715</v>
      </c>
      <c r="AH4" s="73" t="s">
        <v>2987</v>
      </c>
      <c r="AI4" s="73" t="s">
        <v>2988</v>
      </c>
      <c r="AJ4" s="73" t="s">
        <v>2989</v>
      </c>
      <c r="AK4" s="73" t="s">
        <v>2990</v>
      </c>
      <c r="AL4" s="73" t="s">
        <v>2991</v>
      </c>
      <c r="AM4" s="73" t="s">
        <v>2992</v>
      </c>
      <c r="AN4" s="73" t="s">
        <v>2993</v>
      </c>
      <c r="AO4" s="73" t="s">
        <v>2994</v>
      </c>
      <c r="AP4" s="73" t="s">
        <v>2995</v>
      </c>
      <c r="AQ4" s="73" t="s">
        <v>2996</v>
      </c>
      <c r="AR4" s="73" t="s">
        <v>2997</v>
      </c>
      <c r="AS4" s="74" t="s">
        <v>2998</v>
      </c>
      <c r="AT4" s="73" t="s">
        <v>2999</v>
      </c>
      <c r="AU4" s="73" t="s">
        <v>3000</v>
      </c>
      <c r="AV4" s="73" t="s">
        <v>3001</v>
      </c>
      <c r="AW4" s="73" t="s">
        <v>3002</v>
      </c>
      <c r="AX4" s="73" t="s">
        <v>3003</v>
      </c>
      <c r="AY4" s="73" t="s">
        <v>3004</v>
      </c>
      <c r="AZ4" s="73" t="s">
        <v>3005</v>
      </c>
      <c r="BA4" s="73" t="s">
        <v>3006</v>
      </c>
      <c r="BB4" s="73" t="s">
        <v>3007</v>
      </c>
      <c r="BC4" s="73" t="s">
        <v>3008</v>
      </c>
      <c r="BD4" s="73" t="s">
        <v>3009</v>
      </c>
      <c r="BE4" s="73" t="s">
        <v>3010</v>
      </c>
      <c r="BF4" s="73" t="s">
        <v>3011</v>
      </c>
      <c r="BG4" s="73" t="s">
        <v>3012</v>
      </c>
      <c r="BH4" s="73" t="s">
        <v>3013</v>
      </c>
      <c r="BI4" s="73" t="s">
        <v>3014</v>
      </c>
      <c r="BJ4" s="73" t="s">
        <v>3015</v>
      </c>
      <c r="BK4" s="73" t="s">
        <v>3016</v>
      </c>
      <c r="BL4" s="73" t="s">
        <v>3017</v>
      </c>
      <c r="BM4" s="73" t="s">
        <v>2956</v>
      </c>
      <c r="BN4" s="73" t="s">
        <v>3018</v>
      </c>
      <c r="BO4" s="73" t="s">
        <v>3019</v>
      </c>
      <c r="BP4" s="73" t="s">
        <v>3020</v>
      </c>
    </row>
    <row r="5" s="65" customFormat="1" ht="378" hidden="1" spans="1:68">
      <c r="A5" s="75" t="s">
        <v>3021</v>
      </c>
      <c r="B5" s="75" t="s">
        <v>2834</v>
      </c>
      <c r="C5" s="75" t="s">
        <v>3022</v>
      </c>
      <c r="D5" s="75" t="s">
        <v>3023</v>
      </c>
      <c r="E5" s="66" t="s">
        <v>3024</v>
      </c>
      <c r="F5" s="75" t="s">
        <v>3025</v>
      </c>
      <c r="G5" s="75" t="s">
        <v>3026</v>
      </c>
      <c r="J5" s="75" t="s">
        <v>3027</v>
      </c>
      <c r="K5" s="75" t="s">
        <v>3028</v>
      </c>
      <c r="L5" s="75" t="s">
        <v>3029</v>
      </c>
      <c r="M5" s="75" t="s">
        <v>3030</v>
      </c>
      <c r="N5" s="67"/>
      <c r="O5" s="68"/>
      <c r="P5" s="69">
        <v>4400</v>
      </c>
      <c r="Q5" s="75" t="s">
        <v>3031</v>
      </c>
      <c r="R5" s="69">
        <v>4400</v>
      </c>
      <c r="S5" s="69"/>
      <c r="T5" s="75" t="s">
        <v>3032</v>
      </c>
      <c r="U5" s="70"/>
      <c r="V5" s="75" t="s">
        <v>3033</v>
      </c>
      <c r="W5" s="75" t="s">
        <v>3034</v>
      </c>
      <c r="X5" s="75" t="s">
        <v>2402</v>
      </c>
      <c r="Y5" s="75" t="s">
        <v>2404</v>
      </c>
      <c r="Z5" s="75" t="s">
        <v>2834</v>
      </c>
      <c r="AA5" s="75" t="s">
        <v>3031</v>
      </c>
      <c r="AB5" s="75" t="s">
        <v>3031</v>
      </c>
      <c r="AC5" s="66" t="s">
        <v>3035</v>
      </c>
      <c r="AD5" s="66" t="s">
        <v>3036</v>
      </c>
      <c r="AE5" s="75" t="s">
        <v>3037</v>
      </c>
      <c r="AF5" s="75" t="s">
        <v>3038</v>
      </c>
      <c r="AG5" s="75" t="s">
        <v>3039</v>
      </c>
      <c r="AJ5" s="67"/>
      <c r="AM5" s="75" t="s">
        <v>3040</v>
      </c>
      <c r="AN5" s="75" t="s">
        <v>3041</v>
      </c>
      <c r="AO5" s="75" t="s">
        <v>3042</v>
      </c>
      <c r="AP5" s="75" t="s">
        <v>3043</v>
      </c>
      <c r="AQ5" s="75" t="s">
        <v>3044</v>
      </c>
      <c r="AR5" s="75" t="s">
        <v>3045</v>
      </c>
      <c r="AS5" s="75" t="s">
        <v>3046</v>
      </c>
      <c r="AT5" s="75" t="s">
        <v>3047</v>
      </c>
      <c r="AU5" s="75" t="s">
        <v>3048</v>
      </c>
      <c r="AV5" s="75" t="s">
        <v>794</v>
      </c>
      <c r="AW5" s="75" t="s">
        <v>794</v>
      </c>
      <c r="AX5" s="75" t="s">
        <v>3049</v>
      </c>
      <c r="AY5" s="75" t="s">
        <v>3050</v>
      </c>
      <c r="AZ5" s="75" t="s">
        <v>3051</v>
      </c>
      <c r="BA5" s="75" t="s">
        <v>3048</v>
      </c>
      <c r="BC5" s="75" t="s">
        <v>3052</v>
      </c>
      <c r="BD5" s="75" t="s">
        <v>3040</v>
      </c>
      <c r="BE5" s="75" t="s">
        <v>3041</v>
      </c>
      <c r="BF5" s="71" t="s">
        <v>3053</v>
      </c>
      <c r="BG5" s="71" t="s">
        <v>3054</v>
      </c>
      <c r="BH5" s="71" t="s">
        <v>3055</v>
      </c>
      <c r="BI5" s="75" t="s">
        <v>3056</v>
      </c>
      <c r="BJ5" s="75" t="s">
        <v>3057</v>
      </c>
      <c r="BK5" s="75" t="s">
        <v>3058</v>
      </c>
      <c r="BL5" s="75" t="s">
        <v>3059</v>
      </c>
      <c r="BM5" s="75" t="s">
        <v>3060</v>
      </c>
      <c r="BN5" s="75" t="s">
        <v>3061</v>
      </c>
      <c r="BO5" s="75" t="s">
        <v>3062</v>
      </c>
      <c r="BP5" s="75" t="s">
        <v>3062</v>
      </c>
    </row>
    <row r="6" s="65" customFormat="1" ht="27" hidden="1" spans="5:68">
      <c r="E6" s="66"/>
      <c r="N6" s="67"/>
      <c r="O6" s="68"/>
      <c r="P6" s="68"/>
      <c r="R6" s="68"/>
      <c r="S6" s="69"/>
      <c r="U6" s="70"/>
      <c r="AC6" s="66"/>
      <c r="AD6" s="66"/>
      <c r="AJ6" s="67"/>
      <c r="BF6" s="71"/>
      <c r="BG6" s="71"/>
      <c r="BH6" s="71"/>
      <c r="BM6" s="75" t="s">
        <v>3063</v>
      </c>
      <c r="BN6" s="75" t="s">
        <v>3064</v>
      </c>
      <c r="BO6" s="75" t="s">
        <v>3065</v>
      </c>
      <c r="BP6" s="75" t="s">
        <v>3065</v>
      </c>
    </row>
    <row r="7" s="65" customFormat="1" ht="351" hidden="1" spans="1:68">
      <c r="A7" s="75" t="s">
        <v>3066</v>
      </c>
      <c r="B7" s="75" t="s">
        <v>2829</v>
      </c>
      <c r="C7" s="75" t="s">
        <v>3022</v>
      </c>
      <c r="D7" s="75" t="s">
        <v>3067</v>
      </c>
      <c r="E7" s="66" t="s">
        <v>3024</v>
      </c>
      <c r="F7" s="75" t="s">
        <v>3025</v>
      </c>
      <c r="G7" s="75" t="s">
        <v>3026</v>
      </c>
      <c r="J7" s="75" t="s">
        <v>3027</v>
      </c>
      <c r="K7" s="75" t="s">
        <v>3028</v>
      </c>
      <c r="L7" s="75" t="s">
        <v>3029</v>
      </c>
      <c r="M7" s="75" t="s">
        <v>3030</v>
      </c>
      <c r="N7" s="67"/>
      <c r="O7" s="68"/>
      <c r="P7" s="69">
        <v>11250</v>
      </c>
      <c r="Q7" s="75" t="s">
        <v>3031</v>
      </c>
      <c r="R7" s="68"/>
      <c r="S7" s="69"/>
      <c r="T7" s="75" t="s">
        <v>3032</v>
      </c>
      <c r="U7" s="70"/>
      <c r="V7" s="75" t="s">
        <v>3033</v>
      </c>
      <c r="W7" s="75" t="s">
        <v>3034</v>
      </c>
      <c r="X7" s="75" t="s">
        <v>2402</v>
      </c>
      <c r="Y7" s="75" t="s">
        <v>2404</v>
      </c>
      <c r="Z7" s="75" t="s">
        <v>2829</v>
      </c>
      <c r="AA7" s="75" t="s">
        <v>3031</v>
      </c>
      <c r="AB7" s="75" t="s">
        <v>3031</v>
      </c>
      <c r="AC7" s="66" t="s">
        <v>3068</v>
      </c>
      <c r="AD7" s="66" t="s">
        <v>3069</v>
      </c>
      <c r="AE7" s="75" t="s">
        <v>3037</v>
      </c>
      <c r="AF7" s="75" t="s">
        <v>3038</v>
      </c>
      <c r="AG7" s="75" t="s">
        <v>3039</v>
      </c>
      <c r="AJ7" s="67"/>
      <c r="AM7" s="75" t="s">
        <v>3040</v>
      </c>
      <c r="AN7" s="75" t="s">
        <v>3041</v>
      </c>
      <c r="AO7" s="75" t="s">
        <v>3042</v>
      </c>
      <c r="AP7" s="75" t="s">
        <v>3043</v>
      </c>
      <c r="AQ7" s="75" t="s">
        <v>3044</v>
      </c>
      <c r="AR7" s="75" t="s">
        <v>3045</v>
      </c>
      <c r="AS7" s="75" t="s">
        <v>3070</v>
      </c>
      <c r="AT7" s="75" t="s">
        <v>47</v>
      </c>
      <c r="AU7" s="75" t="s">
        <v>3071</v>
      </c>
      <c r="AV7" s="75" t="s">
        <v>794</v>
      </c>
      <c r="AW7" s="75" t="s">
        <v>794</v>
      </c>
      <c r="AX7" s="75" t="s">
        <v>3072</v>
      </c>
      <c r="AY7" s="75" t="s">
        <v>3073</v>
      </c>
      <c r="AZ7" s="75" t="s">
        <v>3051</v>
      </c>
      <c r="BA7" s="75" t="s">
        <v>3071</v>
      </c>
      <c r="BC7" s="75" t="s">
        <v>3074</v>
      </c>
      <c r="BD7" s="75" t="s">
        <v>3040</v>
      </c>
      <c r="BE7" s="75" t="s">
        <v>3041</v>
      </c>
      <c r="BF7" s="71" t="s">
        <v>3075</v>
      </c>
      <c r="BG7" s="71" t="s">
        <v>3076</v>
      </c>
      <c r="BH7" s="71" t="s">
        <v>3077</v>
      </c>
      <c r="BI7" s="75" t="s">
        <v>3056</v>
      </c>
      <c r="BJ7" s="75" t="s">
        <v>3057</v>
      </c>
      <c r="BK7" s="75" t="s">
        <v>3078</v>
      </c>
      <c r="BL7" s="75" t="s">
        <v>3079</v>
      </c>
      <c r="BM7" s="75" t="s">
        <v>3080</v>
      </c>
      <c r="BN7" s="75" t="s">
        <v>3061</v>
      </c>
      <c r="BO7" s="75" t="s">
        <v>3062</v>
      </c>
      <c r="BP7" s="75" t="s">
        <v>3062</v>
      </c>
    </row>
    <row r="8" s="65" customFormat="1" ht="27" hidden="1" spans="5:68">
      <c r="E8" s="66"/>
      <c r="N8" s="67"/>
      <c r="O8" s="68"/>
      <c r="P8" s="68"/>
      <c r="R8" s="68"/>
      <c r="S8" s="69"/>
      <c r="U8" s="70"/>
      <c r="AC8" s="66"/>
      <c r="AD8" s="66"/>
      <c r="AJ8" s="67"/>
      <c r="BF8" s="71"/>
      <c r="BG8" s="71"/>
      <c r="BH8" s="71"/>
      <c r="BM8" s="75" t="s">
        <v>3081</v>
      </c>
      <c r="BN8" s="75" t="s">
        <v>3082</v>
      </c>
      <c r="BO8" s="75" t="s">
        <v>3083</v>
      </c>
      <c r="BP8" s="75" t="s">
        <v>3083</v>
      </c>
    </row>
    <row r="9" s="65" customFormat="1" ht="256.5" hidden="1" spans="1:68">
      <c r="A9" s="75" t="s">
        <v>3084</v>
      </c>
      <c r="B9" s="75" t="s">
        <v>2828</v>
      </c>
      <c r="C9" s="75" t="s">
        <v>3022</v>
      </c>
      <c r="D9" s="75" t="s">
        <v>3085</v>
      </c>
      <c r="E9" s="66" t="s">
        <v>3024</v>
      </c>
      <c r="F9" s="75" t="s">
        <v>3025</v>
      </c>
      <c r="G9" s="75" t="s">
        <v>3026</v>
      </c>
      <c r="J9" s="75" t="s">
        <v>3027</v>
      </c>
      <c r="K9" s="75" t="s">
        <v>3028</v>
      </c>
      <c r="L9" s="75" t="s">
        <v>3029</v>
      </c>
      <c r="M9" s="75" t="s">
        <v>3030</v>
      </c>
      <c r="N9" s="67"/>
      <c r="O9" s="68"/>
      <c r="P9" s="69">
        <v>2380</v>
      </c>
      <c r="Q9" s="75" t="s">
        <v>3031</v>
      </c>
      <c r="R9" s="68"/>
      <c r="S9" s="69"/>
      <c r="T9" s="75" t="s">
        <v>3032</v>
      </c>
      <c r="U9" s="70"/>
      <c r="V9" s="75" t="s">
        <v>3033</v>
      </c>
      <c r="W9" s="75" t="s">
        <v>3034</v>
      </c>
      <c r="X9" s="75" t="s">
        <v>2402</v>
      </c>
      <c r="Y9" s="75" t="s">
        <v>2404</v>
      </c>
      <c r="Z9" s="75" t="s">
        <v>2828</v>
      </c>
      <c r="AA9" s="75" t="s">
        <v>3031</v>
      </c>
      <c r="AB9" s="75" t="s">
        <v>3031</v>
      </c>
      <c r="AC9" s="66" t="s">
        <v>3086</v>
      </c>
      <c r="AD9" s="66" t="s">
        <v>3087</v>
      </c>
      <c r="AE9" s="75" t="s">
        <v>3088</v>
      </c>
      <c r="AF9" s="75" t="s">
        <v>3089</v>
      </c>
      <c r="AG9" s="75" t="s">
        <v>3090</v>
      </c>
      <c r="AJ9" s="67"/>
      <c r="AM9" s="75" t="s">
        <v>3040</v>
      </c>
      <c r="AN9" s="75" t="s">
        <v>3041</v>
      </c>
      <c r="AO9" s="75" t="s">
        <v>3091</v>
      </c>
      <c r="AP9" s="75" t="s">
        <v>3092</v>
      </c>
      <c r="AQ9" s="75" t="s">
        <v>3044</v>
      </c>
      <c r="AR9" s="75" t="s">
        <v>3045</v>
      </c>
      <c r="AS9" s="75" t="s">
        <v>3093</v>
      </c>
      <c r="AT9" s="75" t="s">
        <v>3094</v>
      </c>
      <c r="AU9" s="75" t="s">
        <v>3071</v>
      </c>
      <c r="AV9" s="75" t="s">
        <v>794</v>
      </c>
      <c r="AW9" s="75" t="s">
        <v>794</v>
      </c>
      <c r="AX9" s="75" t="s">
        <v>3095</v>
      </c>
      <c r="AY9" s="75" t="s">
        <v>3096</v>
      </c>
      <c r="AZ9" s="75" t="s">
        <v>3051</v>
      </c>
      <c r="BA9" s="75" t="s">
        <v>3071</v>
      </c>
      <c r="BC9" s="75" t="s">
        <v>3097</v>
      </c>
      <c r="BD9" s="75" t="s">
        <v>3040</v>
      </c>
      <c r="BE9" s="75" t="s">
        <v>3041</v>
      </c>
      <c r="BF9" s="71" t="s">
        <v>3098</v>
      </c>
      <c r="BG9" s="71" t="s">
        <v>3099</v>
      </c>
      <c r="BH9" s="71" t="s">
        <v>3100</v>
      </c>
      <c r="BI9" s="75" t="s">
        <v>3056</v>
      </c>
      <c r="BJ9" s="75" t="s">
        <v>3057</v>
      </c>
      <c r="BK9" s="75" t="s">
        <v>3101</v>
      </c>
      <c r="BL9" s="75" t="s">
        <v>3079</v>
      </c>
      <c r="BM9" s="75" t="s">
        <v>3102</v>
      </c>
      <c r="BN9" s="75" t="s">
        <v>3061</v>
      </c>
      <c r="BO9" s="75" t="s">
        <v>3062</v>
      </c>
      <c r="BP9" s="75" t="s">
        <v>3062</v>
      </c>
    </row>
    <row r="10" s="65" customFormat="1" ht="27" hidden="1" spans="5:68">
      <c r="E10" s="66"/>
      <c r="N10" s="67"/>
      <c r="O10" s="68"/>
      <c r="P10" s="68"/>
      <c r="R10" s="68"/>
      <c r="S10" s="69"/>
      <c r="U10" s="70"/>
      <c r="AC10" s="66"/>
      <c r="AD10" s="66"/>
      <c r="AJ10" s="67"/>
      <c r="BF10" s="71"/>
      <c r="BG10" s="71"/>
      <c r="BH10" s="71"/>
      <c r="BM10" s="75" t="s">
        <v>3103</v>
      </c>
      <c r="BN10" s="75" t="s">
        <v>3104</v>
      </c>
      <c r="BO10" s="75" t="s">
        <v>2882</v>
      </c>
      <c r="BP10" s="75" t="s">
        <v>2882</v>
      </c>
    </row>
    <row r="11" s="65" customFormat="1" ht="40.5" hidden="1" spans="1:68">
      <c r="A11" s="75" t="s">
        <v>3105</v>
      </c>
      <c r="B11" s="75" t="s">
        <v>3106</v>
      </c>
      <c r="C11" s="75" t="s">
        <v>3107</v>
      </c>
      <c r="D11" s="75" t="s">
        <v>3108</v>
      </c>
      <c r="E11" s="66" t="s">
        <v>3024</v>
      </c>
      <c r="F11" s="75" t="s">
        <v>3109</v>
      </c>
      <c r="G11" s="75" t="s">
        <v>3026</v>
      </c>
      <c r="J11" s="75" t="s">
        <v>3027</v>
      </c>
      <c r="K11" s="75" t="s">
        <v>3028</v>
      </c>
      <c r="L11" s="75" t="s">
        <v>3029</v>
      </c>
      <c r="M11" s="75" t="s">
        <v>3030</v>
      </c>
      <c r="N11" s="67">
        <v>1</v>
      </c>
      <c r="O11" s="69">
        <v>10613.21</v>
      </c>
      <c r="P11" s="69">
        <v>11250</v>
      </c>
      <c r="Q11" s="75" t="s">
        <v>3110</v>
      </c>
      <c r="R11" s="68"/>
      <c r="S11" s="69">
        <v>636.79</v>
      </c>
      <c r="T11" s="75" t="s">
        <v>3032</v>
      </c>
      <c r="U11" s="70"/>
      <c r="V11" s="75" t="s">
        <v>3033</v>
      </c>
      <c r="W11" s="75" t="s">
        <v>3034</v>
      </c>
      <c r="X11" s="75" t="s">
        <v>2402</v>
      </c>
      <c r="Y11" s="75" t="s">
        <v>2404</v>
      </c>
      <c r="Z11" s="75" t="s">
        <v>3106</v>
      </c>
      <c r="AA11" s="75" t="s">
        <v>3031</v>
      </c>
      <c r="AB11" s="75" t="s">
        <v>3031</v>
      </c>
      <c r="AC11" s="66" t="s">
        <v>3111</v>
      </c>
      <c r="AD11" s="66" t="s">
        <v>3111</v>
      </c>
      <c r="AE11" s="75" t="s">
        <v>3040</v>
      </c>
      <c r="AF11" s="75" t="s">
        <v>3041</v>
      </c>
      <c r="AG11" s="75" t="s">
        <v>3039</v>
      </c>
      <c r="AH11" s="75" t="s">
        <v>3112</v>
      </c>
      <c r="AI11" s="75" t="s">
        <v>3113</v>
      </c>
      <c r="AJ11" s="67"/>
      <c r="AM11" s="75" t="s">
        <v>3040</v>
      </c>
      <c r="AN11" s="75" t="s">
        <v>3041</v>
      </c>
      <c r="AO11" s="75" t="s">
        <v>3114</v>
      </c>
      <c r="AP11" s="75" t="s">
        <v>3043</v>
      </c>
      <c r="AQ11" s="75" t="s">
        <v>3115</v>
      </c>
      <c r="AR11" s="75" t="s">
        <v>3116</v>
      </c>
      <c r="AS11" s="75" t="s">
        <v>3070</v>
      </c>
      <c r="AT11" s="75" t="s">
        <v>47</v>
      </c>
      <c r="AU11" s="75" t="s">
        <v>3071</v>
      </c>
      <c r="AV11" s="75" t="s">
        <v>799</v>
      </c>
      <c r="AW11" s="75" t="s">
        <v>794</v>
      </c>
      <c r="AX11" s="75" t="s">
        <v>3117</v>
      </c>
      <c r="AY11" s="75" t="s">
        <v>3118</v>
      </c>
      <c r="AZ11" s="75" t="s">
        <v>3051</v>
      </c>
      <c r="BA11" s="75" t="s">
        <v>3071</v>
      </c>
      <c r="BC11" s="75" t="s">
        <v>3031</v>
      </c>
      <c r="BD11" s="75" t="s">
        <v>3119</v>
      </c>
      <c r="BE11" s="75" t="s">
        <v>3120</v>
      </c>
      <c r="BF11" s="71"/>
      <c r="BG11" s="71" t="s">
        <v>3121</v>
      </c>
      <c r="BH11" s="71" t="s">
        <v>3122</v>
      </c>
      <c r="BK11" s="75" t="s">
        <v>3123</v>
      </c>
      <c r="BL11" s="75" t="s">
        <v>3079</v>
      </c>
      <c r="BM11" s="75" t="s">
        <v>3124</v>
      </c>
      <c r="BN11" s="75" t="s">
        <v>3125</v>
      </c>
      <c r="BO11" s="75" t="s">
        <v>3126</v>
      </c>
      <c r="BP11" s="75" t="s">
        <v>3126</v>
      </c>
    </row>
    <row r="12" s="65" customFormat="1" ht="27" hidden="1" spans="5:68">
      <c r="E12" s="66"/>
      <c r="N12" s="67"/>
      <c r="O12" s="68"/>
      <c r="P12" s="68"/>
      <c r="R12" s="68"/>
      <c r="S12" s="69"/>
      <c r="U12" s="70"/>
      <c r="AC12" s="66"/>
      <c r="AD12" s="66"/>
      <c r="AJ12" s="67"/>
      <c r="BF12" s="71"/>
      <c r="BG12" s="71"/>
      <c r="BH12" s="71"/>
      <c r="BM12" s="75" t="s">
        <v>3127</v>
      </c>
      <c r="BN12" s="75" t="s">
        <v>3061</v>
      </c>
      <c r="BO12" s="75" t="s">
        <v>3062</v>
      </c>
      <c r="BP12" s="75" t="s">
        <v>3062</v>
      </c>
    </row>
    <row r="13" s="65" customFormat="1" ht="40.5" hidden="1" spans="1:68">
      <c r="A13" s="75" t="s">
        <v>3128</v>
      </c>
      <c r="B13" s="75" t="s">
        <v>2832</v>
      </c>
      <c r="C13" s="75" t="s">
        <v>3022</v>
      </c>
      <c r="D13" s="75" t="s">
        <v>3129</v>
      </c>
      <c r="E13" s="66" t="s">
        <v>3130</v>
      </c>
      <c r="F13" s="75" t="s">
        <v>3109</v>
      </c>
      <c r="G13" s="75" t="s">
        <v>3026</v>
      </c>
      <c r="J13" s="75" t="s">
        <v>3027</v>
      </c>
      <c r="K13" s="75" t="s">
        <v>3028</v>
      </c>
      <c r="L13" s="75" t="s">
        <v>3029</v>
      </c>
      <c r="M13" s="75" t="s">
        <v>3030</v>
      </c>
      <c r="N13" s="67">
        <v>1</v>
      </c>
      <c r="O13" s="69">
        <v>3018.87</v>
      </c>
      <c r="P13" s="69">
        <v>3200</v>
      </c>
      <c r="Q13" s="75" t="s">
        <v>3131</v>
      </c>
      <c r="R13" s="69">
        <v>3200</v>
      </c>
      <c r="S13" s="69">
        <v>181.13</v>
      </c>
      <c r="T13" s="75" t="s">
        <v>3032</v>
      </c>
      <c r="U13" s="70"/>
      <c r="V13" s="75" t="s">
        <v>3033</v>
      </c>
      <c r="W13" s="75" t="s">
        <v>3034</v>
      </c>
      <c r="X13" s="75" t="s">
        <v>2402</v>
      </c>
      <c r="Y13" s="75" t="s">
        <v>2404</v>
      </c>
      <c r="Z13" s="75" t="s">
        <v>2832</v>
      </c>
      <c r="AA13" s="75" t="s">
        <v>3031</v>
      </c>
      <c r="AB13" s="75" t="s">
        <v>3031</v>
      </c>
      <c r="AC13" s="66" t="s">
        <v>3132</v>
      </c>
      <c r="AD13" s="66" t="s">
        <v>3036</v>
      </c>
      <c r="AE13" s="75" t="s">
        <v>3040</v>
      </c>
      <c r="AF13" s="75" t="s">
        <v>3041</v>
      </c>
      <c r="AG13" s="75" t="s">
        <v>3039</v>
      </c>
      <c r="AH13" s="75" t="s">
        <v>3133</v>
      </c>
      <c r="AI13" s="75" t="s">
        <v>3134</v>
      </c>
      <c r="AJ13" s="67"/>
      <c r="AM13" s="75" t="s">
        <v>3040</v>
      </c>
      <c r="AN13" s="75" t="s">
        <v>3041</v>
      </c>
      <c r="AO13" s="75" t="s">
        <v>3042</v>
      </c>
      <c r="AP13" s="75" t="s">
        <v>3092</v>
      </c>
      <c r="AQ13" s="75" t="s">
        <v>3044</v>
      </c>
      <c r="AR13" s="75" t="s">
        <v>3045</v>
      </c>
      <c r="AS13" s="75" t="s">
        <v>3135</v>
      </c>
      <c r="AT13" s="75" t="s">
        <v>2872</v>
      </c>
      <c r="AU13" s="75" t="s">
        <v>3048</v>
      </c>
      <c r="AV13" s="75" t="s">
        <v>799</v>
      </c>
      <c r="AW13" s="75" t="s">
        <v>794</v>
      </c>
      <c r="AX13" s="75" t="s">
        <v>3136</v>
      </c>
      <c r="AY13" s="75" t="s">
        <v>3137</v>
      </c>
      <c r="AZ13" s="75" t="s">
        <v>3051</v>
      </c>
      <c r="BA13" s="75" t="s">
        <v>3048</v>
      </c>
      <c r="BC13" s="75" t="s">
        <v>3031</v>
      </c>
      <c r="BD13" s="75" t="s">
        <v>3119</v>
      </c>
      <c r="BE13" s="75" t="s">
        <v>3120</v>
      </c>
      <c r="BF13" s="71" t="s">
        <v>3138</v>
      </c>
      <c r="BG13" s="71" t="s">
        <v>3139</v>
      </c>
      <c r="BH13" s="71" t="s">
        <v>3140</v>
      </c>
      <c r="BI13" s="75" t="s">
        <v>3056</v>
      </c>
      <c r="BJ13" s="75" t="s">
        <v>3057</v>
      </c>
      <c r="BK13" s="75" t="s">
        <v>3141</v>
      </c>
      <c r="BL13" s="75" t="s">
        <v>3059</v>
      </c>
      <c r="BM13" s="75" t="s">
        <v>3142</v>
      </c>
      <c r="BN13" s="75" t="s">
        <v>3061</v>
      </c>
      <c r="BO13" s="75" t="s">
        <v>3062</v>
      </c>
      <c r="BP13" s="75" t="s">
        <v>3062</v>
      </c>
    </row>
    <row r="14" s="65" customFormat="1" ht="27" hidden="1" spans="5:68">
      <c r="E14" s="66"/>
      <c r="N14" s="67"/>
      <c r="O14" s="68"/>
      <c r="P14" s="68"/>
      <c r="R14" s="68"/>
      <c r="S14" s="69"/>
      <c r="U14" s="70"/>
      <c r="AC14" s="66"/>
      <c r="AD14" s="66"/>
      <c r="AJ14" s="67"/>
      <c r="BF14" s="71"/>
      <c r="BG14" s="71"/>
      <c r="BH14" s="71"/>
      <c r="BM14" s="75" t="s">
        <v>3143</v>
      </c>
      <c r="BN14" s="75" t="s">
        <v>3144</v>
      </c>
      <c r="BO14" s="75" t="s">
        <v>2874</v>
      </c>
      <c r="BP14" s="75" t="s">
        <v>2874</v>
      </c>
    </row>
    <row r="15" s="65" customFormat="1" ht="40.5" hidden="1" spans="1:68">
      <c r="A15" s="75" t="s">
        <v>3145</v>
      </c>
      <c r="B15" s="75" t="s">
        <v>3146</v>
      </c>
      <c r="C15" s="75" t="s">
        <v>3147</v>
      </c>
      <c r="D15" s="75" t="s">
        <v>3148</v>
      </c>
      <c r="E15" s="66" t="s">
        <v>3024</v>
      </c>
      <c r="F15" s="75" t="s">
        <v>3109</v>
      </c>
      <c r="G15" s="75" t="s">
        <v>3026</v>
      </c>
      <c r="J15" s="75" t="s">
        <v>3027</v>
      </c>
      <c r="K15" s="75" t="s">
        <v>3028</v>
      </c>
      <c r="L15" s="75" t="s">
        <v>3029</v>
      </c>
      <c r="M15" s="75" t="s">
        <v>3030</v>
      </c>
      <c r="N15" s="67">
        <v>1</v>
      </c>
      <c r="O15" s="69">
        <v>166415.09</v>
      </c>
      <c r="P15" s="69">
        <v>176400</v>
      </c>
      <c r="Q15" s="75" t="s">
        <v>3149</v>
      </c>
      <c r="R15" s="69">
        <v>176400</v>
      </c>
      <c r="S15" s="69">
        <v>9984.91</v>
      </c>
      <c r="T15" s="75" t="s">
        <v>3032</v>
      </c>
      <c r="U15" s="70"/>
      <c r="V15" s="75" t="s">
        <v>3033</v>
      </c>
      <c r="W15" s="75" t="s">
        <v>3034</v>
      </c>
      <c r="X15" s="75" t="s">
        <v>2402</v>
      </c>
      <c r="Y15" s="75" t="s">
        <v>2404</v>
      </c>
      <c r="Z15" s="75" t="s">
        <v>3146</v>
      </c>
      <c r="AA15" s="75" t="s">
        <v>3031</v>
      </c>
      <c r="AB15" s="75" t="s">
        <v>3031</v>
      </c>
      <c r="AC15" s="66" t="s">
        <v>3150</v>
      </c>
      <c r="AD15" s="66" t="s">
        <v>3151</v>
      </c>
      <c r="AE15" s="75" t="s">
        <v>3040</v>
      </c>
      <c r="AF15" s="75" t="s">
        <v>3041</v>
      </c>
      <c r="AG15" s="75" t="s">
        <v>3039</v>
      </c>
      <c r="AH15" s="75" t="s">
        <v>3152</v>
      </c>
      <c r="AI15" s="75" t="s">
        <v>2823</v>
      </c>
      <c r="AJ15" s="67"/>
      <c r="AM15" s="75" t="s">
        <v>3040</v>
      </c>
      <c r="AN15" s="75" t="s">
        <v>3041</v>
      </c>
      <c r="AO15" s="75" t="s">
        <v>3153</v>
      </c>
      <c r="AP15" s="75" t="s">
        <v>3043</v>
      </c>
      <c r="AQ15" s="75" t="s">
        <v>3115</v>
      </c>
      <c r="AR15" s="75" t="s">
        <v>3116</v>
      </c>
      <c r="AS15" s="75" t="s">
        <v>3135</v>
      </c>
      <c r="AT15" s="75" t="s">
        <v>2872</v>
      </c>
      <c r="AU15" s="75" t="s">
        <v>3048</v>
      </c>
      <c r="AV15" s="75" t="s">
        <v>799</v>
      </c>
      <c r="AW15" s="75" t="s">
        <v>794</v>
      </c>
      <c r="AX15" s="75" t="s">
        <v>3154</v>
      </c>
      <c r="AY15" s="75" t="s">
        <v>3155</v>
      </c>
      <c r="AZ15" s="75" t="s">
        <v>3051</v>
      </c>
      <c r="BA15" s="75" t="s">
        <v>3048</v>
      </c>
      <c r="BC15" s="75" t="s">
        <v>3031</v>
      </c>
      <c r="BD15" s="75" t="s">
        <v>3056</v>
      </c>
      <c r="BE15" s="75" t="s">
        <v>3057</v>
      </c>
      <c r="BF15" s="71"/>
      <c r="BG15" s="71" t="s">
        <v>3156</v>
      </c>
      <c r="BH15" s="71" t="s">
        <v>3157</v>
      </c>
      <c r="BK15" s="75" t="s">
        <v>3158</v>
      </c>
      <c r="BL15" s="75" t="s">
        <v>3059</v>
      </c>
      <c r="BM15" s="75" t="s">
        <v>3159</v>
      </c>
      <c r="BN15" s="75" t="s">
        <v>3061</v>
      </c>
      <c r="BO15" s="75" t="s">
        <v>3062</v>
      </c>
      <c r="BP15" s="75" t="s">
        <v>3062</v>
      </c>
    </row>
    <row r="16" s="65" customFormat="1" ht="27" hidden="1" spans="5:68">
      <c r="E16" s="66"/>
      <c r="N16" s="67"/>
      <c r="O16" s="68"/>
      <c r="P16" s="68"/>
      <c r="R16" s="68"/>
      <c r="S16" s="69"/>
      <c r="U16" s="70"/>
      <c r="AC16" s="66"/>
      <c r="AD16" s="66"/>
      <c r="AJ16" s="67"/>
      <c r="BF16" s="71"/>
      <c r="BG16" s="71"/>
      <c r="BH16" s="71"/>
      <c r="BM16" s="75" t="s">
        <v>3160</v>
      </c>
      <c r="BN16" s="75" t="s">
        <v>3161</v>
      </c>
      <c r="BO16" s="75" t="s">
        <v>3162</v>
      </c>
      <c r="BP16" s="75" t="s">
        <v>3162</v>
      </c>
    </row>
    <row r="17" s="65" customFormat="1" ht="229.5" spans="1:68">
      <c r="A17" s="75" t="s">
        <v>3163</v>
      </c>
      <c r="B17" s="75" t="s">
        <v>2823</v>
      </c>
      <c r="C17" s="75" t="s">
        <v>3022</v>
      </c>
      <c r="D17" s="75" t="s">
        <v>3164</v>
      </c>
      <c r="E17" s="66" t="s">
        <v>3024</v>
      </c>
      <c r="F17" s="75" t="s">
        <v>3025</v>
      </c>
      <c r="G17" s="75" t="s">
        <v>3026</v>
      </c>
      <c r="J17" s="75" t="s">
        <v>3027</v>
      </c>
      <c r="K17" s="75" t="s">
        <v>3028</v>
      </c>
      <c r="L17" s="75" t="s">
        <v>3029</v>
      </c>
      <c r="M17" s="75" t="s">
        <v>3030</v>
      </c>
      <c r="N17" s="67"/>
      <c r="O17" s="68"/>
      <c r="P17" s="69">
        <v>176400</v>
      </c>
      <c r="Q17" s="75" t="s">
        <v>3031</v>
      </c>
      <c r="R17" s="69">
        <v>176400</v>
      </c>
      <c r="S17" s="69"/>
      <c r="T17" s="75" t="s">
        <v>3032</v>
      </c>
      <c r="U17" s="70"/>
      <c r="V17" s="75" t="s">
        <v>3033</v>
      </c>
      <c r="W17" s="75" t="s">
        <v>3034</v>
      </c>
      <c r="X17" s="75" t="s">
        <v>2402</v>
      </c>
      <c r="Y17" s="75" t="s">
        <v>2404</v>
      </c>
      <c r="Z17" s="75" t="s">
        <v>2823</v>
      </c>
      <c r="AA17" s="75" t="s">
        <v>3031</v>
      </c>
      <c r="AB17" s="75" t="s">
        <v>3031</v>
      </c>
      <c r="AC17" s="66" t="s">
        <v>3165</v>
      </c>
      <c r="AD17" s="66" t="s">
        <v>3151</v>
      </c>
      <c r="AE17" s="75" t="s">
        <v>3166</v>
      </c>
      <c r="AF17" s="75" t="s">
        <v>3167</v>
      </c>
      <c r="AG17" s="75" t="s">
        <v>3039</v>
      </c>
      <c r="AJ17" s="67">
        <v>1</v>
      </c>
      <c r="AM17" s="75" t="s">
        <v>3040</v>
      </c>
      <c r="AN17" s="75" t="s">
        <v>3041</v>
      </c>
      <c r="AO17" s="75" t="s">
        <v>3042</v>
      </c>
      <c r="AP17" s="75" t="s">
        <v>3092</v>
      </c>
      <c r="AQ17" s="75" t="s">
        <v>3044</v>
      </c>
      <c r="AR17" s="75" t="s">
        <v>3045</v>
      </c>
      <c r="AS17" s="75" t="s">
        <v>3168</v>
      </c>
      <c r="AT17" s="75" t="s">
        <v>3169</v>
      </c>
      <c r="AU17" s="75" t="s">
        <v>3048</v>
      </c>
      <c r="AV17" s="75" t="s">
        <v>794</v>
      </c>
      <c r="AW17" s="75" t="s">
        <v>794</v>
      </c>
      <c r="AX17" s="75" t="s">
        <v>3170</v>
      </c>
      <c r="AY17" s="75" t="s">
        <v>3171</v>
      </c>
      <c r="AZ17" s="75" t="s">
        <v>3051</v>
      </c>
      <c r="BA17" s="75" t="s">
        <v>3048</v>
      </c>
      <c r="BC17" s="75" t="s">
        <v>3172</v>
      </c>
      <c r="BD17" s="75" t="s">
        <v>3119</v>
      </c>
      <c r="BE17" s="75" t="s">
        <v>3120</v>
      </c>
      <c r="BF17" s="71" t="s">
        <v>3173</v>
      </c>
      <c r="BG17" s="71" t="s">
        <v>3174</v>
      </c>
      <c r="BH17" s="71" t="s">
        <v>3175</v>
      </c>
      <c r="BI17" s="75" t="s">
        <v>3056</v>
      </c>
      <c r="BJ17" s="75" t="s">
        <v>3057</v>
      </c>
      <c r="BK17" s="75" t="s">
        <v>3176</v>
      </c>
      <c r="BL17" s="75" t="s">
        <v>3059</v>
      </c>
      <c r="BM17" s="75" t="s">
        <v>3177</v>
      </c>
      <c r="BN17" s="75" t="s">
        <v>3061</v>
      </c>
      <c r="BO17" s="75" t="s">
        <v>3062</v>
      </c>
      <c r="BP17" s="75" t="s">
        <v>3062</v>
      </c>
    </row>
    <row r="18" s="65" customFormat="1" ht="27" hidden="1" spans="5:68">
      <c r="E18" s="66"/>
      <c r="N18" s="67"/>
      <c r="O18" s="68"/>
      <c r="P18" s="68"/>
      <c r="R18" s="68"/>
      <c r="S18" s="69"/>
      <c r="U18" s="70"/>
      <c r="AC18" s="66"/>
      <c r="AD18" s="66"/>
      <c r="AJ18" s="67"/>
      <c r="BF18" s="71"/>
      <c r="BG18" s="71"/>
      <c r="BH18" s="71"/>
      <c r="BM18" s="75" t="s">
        <v>3178</v>
      </c>
      <c r="BN18" s="75" t="s">
        <v>3161</v>
      </c>
      <c r="BO18" s="75" t="s">
        <v>3162</v>
      </c>
      <c r="BP18" s="75" t="s">
        <v>3162</v>
      </c>
    </row>
    <row r="19" s="65" customFormat="1" ht="243" spans="1:68">
      <c r="A19" s="75" t="s">
        <v>3179</v>
      </c>
      <c r="B19" s="75" t="s">
        <v>2824</v>
      </c>
      <c r="C19" s="75" t="s">
        <v>3022</v>
      </c>
      <c r="D19" s="75" t="s">
        <v>3180</v>
      </c>
      <c r="E19" s="66" t="s">
        <v>3024</v>
      </c>
      <c r="F19" s="75" t="s">
        <v>3025</v>
      </c>
      <c r="G19" s="75" t="s">
        <v>3026</v>
      </c>
      <c r="J19" s="75" t="s">
        <v>3027</v>
      </c>
      <c r="K19" s="75" t="s">
        <v>3028</v>
      </c>
      <c r="L19" s="75" t="s">
        <v>3029</v>
      </c>
      <c r="M19" s="75" t="s">
        <v>3030</v>
      </c>
      <c r="N19" s="67"/>
      <c r="O19" s="68"/>
      <c r="P19" s="69">
        <v>56400</v>
      </c>
      <c r="Q19" s="75" t="s">
        <v>3031</v>
      </c>
      <c r="R19" s="69">
        <v>56400</v>
      </c>
      <c r="S19" s="69"/>
      <c r="T19" s="75" t="s">
        <v>3032</v>
      </c>
      <c r="U19" s="70"/>
      <c r="V19" s="75" t="s">
        <v>3033</v>
      </c>
      <c r="W19" s="75" t="s">
        <v>3034</v>
      </c>
      <c r="X19" s="75" t="s">
        <v>2402</v>
      </c>
      <c r="Y19" s="75" t="s">
        <v>2404</v>
      </c>
      <c r="Z19" s="75" t="s">
        <v>2824</v>
      </c>
      <c r="AA19" s="75" t="s">
        <v>3031</v>
      </c>
      <c r="AB19" s="75" t="s">
        <v>3031</v>
      </c>
      <c r="AC19" s="66" t="s">
        <v>3165</v>
      </c>
      <c r="AD19" s="66" t="s">
        <v>3151</v>
      </c>
      <c r="AE19" s="75" t="s">
        <v>3166</v>
      </c>
      <c r="AF19" s="75" t="s">
        <v>3167</v>
      </c>
      <c r="AG19" s="75" t="s">
        <v>3039</v>
      </c>
      <c r="AJ19" s="67"/>
      <c r="AM19" s="75" t="s">
        <v>3040</v>
      </c>
      <c r="AN19" s="75" t="s">
        <v>3041</v>
      </c>
      <c r="AO19" s="75" t="s">
        <v>3181</v>
      </c>
      <c r="AP19" s="75" t="s">
        <v>3092</v>
      </c>
      <c r="AQ19" s="75" t="s">
        <v>3044</v>
      </c>
      <c r="AR19" s="75" t="s">
        <v>3045</v>
      </c>
      <c r="AS19" s="75" t="s">
        <v>3168</v>
      </c>
      <c r="AT19" s="75" t="s">
        <v>3169</v>
      </c>
      <c r="AU19" s="75" t="s">
        <v>3048</v>
      </c>
      <c r="AV19" s="75" t="s">
        <v>794</v>
      </c>
      <c r="AW19" s="75" t="s">
        <v>794</v>
      </c>
      <c r="AX19" s="75" t="s">
        <v>3182</v>
      </c>
      <c r="AY19" s="75" t="s">
        <v>3183</v>
      </c>
      <c r="AZ19" s="75" t="s">
        <v>3051</v>
      </c>
      <c r="BA19" s="75" t="s">
        <v>3048</v>
      </c>
      <c r="BC19" s="75" t="s">
        <v>3184</v>
      </c>
      <c r="BD19" s="75" t="s">
        <v>3119</v>
      </c>
      <c r="BE19" s="75" t="s">
        <v>3120</v>
      </c>
      <c r="BF19" s="71" t="s">
        <v>3185</v>
      </c>
      <c r="BG19" s="71" t="s">
        <v>3186</v>
      </c>
      <c r="BH19" s="71" t="s">
        <v>3187</v>
      </c>
      <c r="BI19" s="75" t="s">
        <v>3056</v>
      </c>
      <c r="BJ19" s="75" t="s">
        <v>3057</v>
      </c>
      <c r="BK19" s="75" t="s">
        <v>3188</v>
      </c>
      <c r="BL19" s="75" t="s">
        <v>3059</v>
      </c>
      <c r="BM19" s="75" t="s">
        <v>3189</v>
      </c>
      <c r="BN19" s="75" t="s">
        <v>3061</v>
      </c>
      <c r="BO19" s="75" t="s">
        <v>3062</v>
      </c>
      <c r="BP19" s="75" t="s">
        <v>3062</v>
      </c>
    </row>
    <row r="20" s="65" customFormat="1" ht="27" hidden="1" spans="5:68">
      <c r="E20" s="66"/>
      <c r="N20" s="67"/>
      <c r="O20" s="68"/>
      <c r="P20" s="68"/>
      <c r="R20" s="68"/>
      <c r="S20" s="69"/>
      <c r="U20" s="70"/>
      <c r="AC20" s="66"/>
      <c r="AD20" s="66"/>
      <c r="AJ20" s="67"/>
      <c r="BF20" s="71"/>
      <c r="BG20" s="71"/>
      <c r="BH20" s="71"/>
      <c r="BM20" s="75" t="s">
        <v>3190</v>
      </c>
      <c r="BN20" s="75" t="s">
        <v>3161</v>
      </c>
      <c r="BO20" s="75" t="s">
        <v>3162</v>
      </c>
      <c r="BP20" s="75" t="s">
        <v>3162</v>
      </c>
    </row>
  </sheetData>
  <autoFilter xmlns:etc="http://www.wps.cn/officeDocument/2017/etCustomData" ref="A1:BP20" etc:filterBottomFollowUsedRange="0">
    <filterColumn colId="2">
      <customFilters>
        <customFilter operator="equal" val="审核通过"/>
      </customFilters>
    </filterColumn>
    <filterColumn colId="45">
      <customFilters>
        <customFilter operator="equal" val="保洁外包"/>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3191</v>
      </c>
      <c r="B1" s="60" t="s">
        <v>3192</v>
      </c>
      <c r="C1" s="60" t="s">
        <v>3193</v>
      </c>
      <c r="D1" s="60" t="s">
        <v>3194</v>
      </c>
      <c r="E1" s="60" t="s">
        <v>3195</v>
      </c>
      <c r="F1" s="61" t="s">
        <v>3196</v>
      </c>
      <c r="G1" s="62" t="s">
        <v>3197</v>
      </c>
      <c r="H1" s="63" t="s">
        <v>2981</v>
      </c>
      <c r="I1" s="1" t="s">
        <v>3198</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3199</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3200</v>
      </c>
      <c r="C1" s="27" t="s">
        <v>3201</v>
      </c>
      <c r="D1" s="27" t="s">
        <v>3202</v>
      </c>
      <c r="E1" s="27" t="s">
        <v>3203</v>
      </c>
      <c r="F1" s="27" t="s">
        <v>3204</v>
      </c>
      <c r="G1" s="27" t="s">
        <v>3205</v>
      </c>
      <c r="H1" s="27" t="s">
        <v>3206</v>
      </c>
      <c r="I1" s="27" t="s">
        <v>3207</v>
      </c>
      <c r="J1" s="27" t="s">
        <v>3208</v>
      </c>
      <c r="K1" s="27" t="s">
        <v>3209</v>
      </c>
      <c r="L1" s="27" t="s">
        <v>3210</v>
      </c>
      <c r="M1" s="27" t="s">
        <v>3211</v>
      </c>
    </row>
    <row r="2" s="53" customFormat="1" spans="1:13">
      <c r="A2" s="56" t="s">
        <v>3212</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3213</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3214</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3215</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3216</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3217</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3218</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3219</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3220</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3221</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3222</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3223</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3224</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3225</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3226</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3227</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3228</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3229</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3230</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3231</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3232</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3233</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3234</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3235</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3236</v>
      </c>
      <c r="C1" s="26" t="s">
        <v>3237</v>
      </c>
      <c r="D1" s="27" t="s">
        <v>3200</v>
      </c>
      <c r="E1" s="27" t="s">
        <v>3201</v>
      </c>
      <c r="F1" s="27" t="s">
        <v>3202</v>
      </c>
      <c r="G1" s="27" t="s">
        <v>3203</v>
      </c>
      <c r="H1" s="27" t="s">
        <v>3204</v>
      </c>
      <c r="I1" s="27" t="s">
        <v>3205</v>
      </c>
      <c r="J1" s="27" t="s">
        <v>3206</v>
      </c>
      <c r="K1" s="27" t="s">
        <v>3207</v>
      </c>
      <c r="L1" s="27" t="s">
        <v>3208</v>
      </c>
      <c r="M1" s="27" t="s">
        <v>3209</v>
      </c>
      <c r="N1" s="27" t="s">
        <v>3210</v>
      </c>
      <c r="O1" s="27" t="s">
        <v>3211</v>
      </c>
    </row>
    <row r="2" ht="16.5" spans="1:15">
      <c r="A2" s="17" t="s">
        <v>3238</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3239</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3240</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3241</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3242</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3243</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3244</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3245</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3246</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3247</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3248</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3249</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3250</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3251</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3252</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3253</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3254</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3255</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3256</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3257</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3258</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3259</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3260</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3261</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3262</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3263</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3264</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3265</v>
      </c>
      <c r="B29" s="31"/>
      <c r="C29" s="31" t="s">
        <v>3266</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3267</v>
      </c>
      <c r="B30" s="31"/>
      <c r="C30" s="31" t="s">
        <v>3266</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3268</v>
      </c>
      <c r="B31" s="31"/>
      <c r="C31" s="31" t="s">
        <v>3266</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3269</v>
      </c>
      <c r="B32" s="31"/>
      <c r="C32" s="31" t="s">
        <v>3266</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3270</v>
      </c>
      <c r="B33" s="31"/>
      <c r="C33" s="31" t="s">
        <v>3266</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3271</v>
      </c>
      <c r="B34" s="31"/>
      <c r="C34" s="31" t="s">
        <v>3266</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3272</v>
      </c>
      <c r="B35" s="31"/>
      <c r="C35" s="31" t="s">
        <v>3266</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2881</v>
      </c>
      <c r="B36" s="31"/>
      <c r="C36" s="31" t="s">
        <v>3266</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3273</v>
      </c>
      <c r="B37" s="31"/>
      <c r="C37" s="31" t="s">
        <v>3266</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3274</v>
      </c>
      <c r="B38" s="31"/>
      <c r="C38" s="31" t="s">
        <v>3266</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3275</v>
      </c>
      <c r="B39" s="31"/>
      <c r="C39" s="31" t="s">
        <v>3266</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3276</v>
      </c>
      <c r="B40" s="31"/>
      <c r="C40" s="31" t="s">
        <v>3266</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3277</v>
      </c>
      <c r="B41" s="31"/>
      <c r="C41" s="31" t="s">
        <v>3266</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3278</v>
      </c>
      <c r="B42" s="31"/>
      <c r="C42" s="31" t="s">
        <v>3266</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3279</v>
      </c>
      <c r="B43" s="31"/>
      <c r="C43" s="31" t="s">
        <v>3266</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3280</v>
      </c>
      <c r="B44" s="31"/>
      <c r="C44" s="31" t="s">
        <v>3266</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3281</v>
      </c>
      <c r="B45" s="31"/>
      <c r="C45" s="31" t="s">
        <v>3266</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3282</v>
      </c>
      <c r="B46" s="31"/>
      <c r="C46" s="31" t="s">
        <v>3266</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3283</v>
      </c>
      <c r="B47" s="31"/>
      <c r="C47" s="31" t="s">
        <v>3266</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3284</v>
      </c>
      <c r="B48" s="31"/>
      <c r="C48" s="31" t="s">
        <v>3266</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3285</v>
      </c>
      <c r="B49" s="31"/>
      <c r="C49" s="31" t="s">
        <v>3266</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3286</v>
      </c>
      <c r="B50" s="31"/>
      <c r="C50" s="31" t="s">
        <v>3266</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3287</v>
      </c>
      <c r="B51" s="31"/>
      <c r="C51" s="31" t="s">
        <v>3266</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3288</v>
      </c>
      <c r="B52" s="31"/>
      <c r="C52" s="31" t="s">
        <v>3266</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3289</v>
      </c>
      <c r="B53" s="31"/>
      <c r="C53" s="31" t="s">
        <v>3266</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3290</v>
      </c>
      <c r="B54" s="31"/>
      <c r="C54" s="31" t="s">
        <v>3266</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3291</v>
      </c>
      <c r="B55" s="31"/>
      <c r="C55" s="31" t="s">
        <v>3266</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3292</v>
      </c>
      <c r="B56" s="31"/>
      <c r="C56" s="31" t="s">
        <v>3266</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3293</v>
      </c>
      <c r="B57" s="31"/>
      <c r="C57" s="31" t="s">
        <v>3266</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3294</v>
      </c>
      <c r="B58" s="31"/>
      <c r="C58" s="31" t="s">
        <v>3266</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3295</v>
      </c>
      <c r="B59" s="31"/>
      <c r="C59" s="31" t="s">
        <v>3266</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3296</v>
      </c>
      <c r="B60" s="31"/>
      <c r="C60" s="31" t="s">
        <v>3266</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3297</v>
      </c>
      <c r="B61" s="31"/>
      <c r="C61" s="31" t="s">
        <v>3266</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3298</v>
      </c>
      <c r="B62" s="31"/>
      <c r="C62" s="31" t="s">
        <v>3266</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3299</v>
      </c>
      <c r="B63" s="31"/>
      <c r="C63" s="31" t="s">
        <v>3266</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3300</v>
      </c>
      <c r="B64" s="31"/>
      <c r="C64" s="31" t="s">
        <v>3266</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3301</v>
      </c>
      <c r="B65" s="31"/>
      <c r="C65" s="31" t="s">
        <v>3266</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3302</v>
      </c>
      <c r="B66" s="31"/>
      <c r="C66" s="31" t="s">
        <v>3266</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3303</v>
      </c>
      <c r="B67" s="31"/>
      <c r="C67" s="31" t="s">
        <v>3266</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3304</v>
      </c>
      <c r="B68" s="31"/>
      <c r="C68" s="31" t="s">
        <v>3266</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2873</v>
      </c>
      <c r="B69" s="31"/>
      <c r="C69" s="31" t="s">
        <v>3266</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3305</v>
      </c>
      <c r="B70" s="31"/>
      <c r="C70" s="31" t="s">
        <v>3266</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3306</v>
      </c>
      <c r="B71" s="31"/>
      <c r="C71" s="31" t="s">
        <v>3266</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3307</v>
      </c>
      <c r="B72" s="31"/>
      <c r="C72" s="31" t="s">
        <v>3266</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3308</v>
      </c>
      <c r="B73" s="31"/>
      <c r="C73" s="31" t="s">
        <v>3266</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3309</v>
      </c>
      <c r="B74" s="31"/>
      <c r="C74" s="31" t="s">
        <v>3266</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3310</v>
      </c>
      <c r="B75" s="31"/>
      <c r="C75" s="31" t="s">
        <v>3266</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3311</v>
      </c>
      <c r="B76" s="31"/>
      <c r="C76" s="31" t="s">
        <v>3266</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3312</v>
      </c>
      <c r="B77" s="31"/>
      <c r="C77" s="31" t="s">
        <v>3266</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3313</v>
      </c>
      <c r="B78" s="31"/>
      <c r="C78" s="31" t="s">
        <v>3266</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3314</v>
      </c>
      <c r="B79" s="31"/>
      <c r="C79" s="31" t="s">
        <v>3266</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3315</v>
      </c>
      <c r="B80" s="31"/>
      <c r="C80" s="31" t="s">
        <v>3266</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3316</v>
      </c>
      <c r="B81" s="31"/>
      <c r="C81" s="31" t="s">
        <v>3266</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3317</v>
      </c>
      <c r="B82" s="31"/>
      <c r="C82" s="31" t="s">
        <v>3266</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3318</v>
      </c>
      <c r="B83" s="31"/>
      <c r="C83" s="31" t="s">
        <v>3266</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3319</v>
      </c>
      <c r="B84" s="31"/>
      <c r="C84" s="31" t="s">
        <v>3266</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3320</v>
      </c>
      <c r="B85" s="31"/>
      <c r="C85" s="31" t="s">
        <v>3266</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3321</v>
      </c>
      <c r="B86" s="31"/>
      <c r="C86" s="31" t="s">
        <v>3266</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3322</v>
      </c>
      <c r="B87" s="31"/>
      <c r="C87" s="31" t="s">
        <v>3266</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3323</v>
      </c>
      <c r="B88" s="31"/>
      <c r="C88" s="31" t="s">
        <v>3266</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3324</v>
      </c>
      <c r="B89" s="31"/>
      <c r="C89" s="31" t="s">
        <v>3266</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3325</v>
      </c>
      <c r="B90" s="31"/>
      <c r="C90" s="31" t="s">
        <v>3266</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3326</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3327</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3328</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3329</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3330</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3331</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3332</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3333</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3334</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3335</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3336</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3337</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3338</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3339</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3340</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3341</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3342</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3343</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3344</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3345</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3346</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3347</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3348</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3349</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3350</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3351</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3352</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3353</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3354</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3355</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3356</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3357</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3358</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3359</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3360</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3361</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3362</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3363</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3364</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3365</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3366</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3367</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3368</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3369</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3370</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3371</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3372</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3373</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3374</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3375</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3376</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3377</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3378</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3379</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3380</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3381</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3382</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3383</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3384</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3385</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3386</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3387</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3388</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3389</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3390</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3391</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3392</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3393</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3394</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3395</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3396</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3397</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3398</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3399</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3400</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3401</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3402</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3403</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3404</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3405</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3406</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3407</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3408</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3409</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3410</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3411</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3412</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3413</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3414</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3415</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3416</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3417</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3418</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3419</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3420</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3421</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3422</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3423</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3424</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3425</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3426</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3427</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3428</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3429</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3430</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3431</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3432</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3433</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3434</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3435</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3436</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3437</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3438</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3439</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3440</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3441</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3442</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3443</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3444</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3445</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3446</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3447</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3448</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3449</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3450</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3451</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3452</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3453</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3454</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3455</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3456</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3457</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3458</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3459</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3460</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3461</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3462</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3463</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3464</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3465</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3466</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3467</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3468</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3469</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3470</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3471</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3472</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3473</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3474</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3475</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3476</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3477</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3478</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3479</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3480</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3481</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3482</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3483</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3484</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3485</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3486</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3487</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3488</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3489</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3490</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3491</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3492</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3493</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3494</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3495</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3496</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3497</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3498</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3499</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3500</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3501</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3502</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3503</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3504</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3505</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3506</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3507</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3508</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3509</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3510</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3511</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3512</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3513</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3514</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3515</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3516</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3517</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3518</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3519</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3520</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3521</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3522</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3523</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3524</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3525</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3526</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3527</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3528</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3529</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3530</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3531</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3532</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3533</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3534</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3535</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3536</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3537</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3538</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3539</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3540</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3541</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3542</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3543</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3544</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3545</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3546</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3547</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3548</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3549</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3550</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3551</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3552</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3553</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3554</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3555</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3556</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3557</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3558</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3559</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3560</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3561</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3562</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3563</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3564</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3565</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3566</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3567</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3568</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3569</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3570</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3571</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3572</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3573</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3574</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3575</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3576</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3577</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3578</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3579</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3580</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3581</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3582</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3583</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3584</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3585</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3586</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3587</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3588</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3589</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3590</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3591</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3592</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3593</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3594</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3595</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3596</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3597</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3598</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3599</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3600</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3601</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3602</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3603</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3604</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3605</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3606</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3607</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3608</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3609</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3610</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3611</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3612</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3613</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3614</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3615</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3616</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3617</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3618</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3619</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3620</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3621</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3622</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3623</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3624</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3625</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3626</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3627</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3628</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3629</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3630</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3631</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3632</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3633</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3634</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3635</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3636</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3637</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3638</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3639</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3640</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3641</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3642</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3643</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3644</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3645</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3646</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3647</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3648</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3649</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3650</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3651</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3652</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3653</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3654</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3655</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3656</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3657</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3658</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3659</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3660</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3661</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3662</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3663</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3664</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3665</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3666</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3667</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3668</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3669</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3670</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3671</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3672</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3673</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3674</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3675</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3676</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3677</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3678</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3679</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3680</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3681</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3682</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3683</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3684</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3685</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3686</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3687</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3688</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3689</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3690</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3691</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3692</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3693</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3694</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3695</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3696</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3697</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3698</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3699</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3700</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3701</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3702</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3703</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3704</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3705</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3706</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3707</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3708</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3709</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3710</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3711</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3712</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3713</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3714</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3715</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3716</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3717</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3718</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3719</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3720</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3721</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3722</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3723</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3724</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3725</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3726</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3727</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3728</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3729</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3730</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3731</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3732</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3733</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3734</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3735</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3736</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3737</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3738</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3739</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3740</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3741</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3742</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3743</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3744</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3745</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3746</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3747</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3748</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3749</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3750</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3751</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3752</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3753</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3754</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3755</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3756</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3757</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3758</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3759</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3760</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3761</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3762</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3763</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3764</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3765</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3766</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3767</v>
      </c>
      <c r="B532" s="47" t="s">
        <v>1726</v>
      </c>
      <c r="C532" s="48" t="s">
        <v>3768</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3769</v>
      </c>
      <c r="B533" s="47" t="s">
        <v>1726</v>
      </c>
      <c r="C533" s="48" t="s">
        <v>3768</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3770</v>
      </c>
      <c r="B534" s="47" t="s">
        <v>1726</v>
      </c>
      <c r="C534" s="48" t="s">
        <v>3768</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3771</v>
      </c>
      <c r="B535" s="47" t="s">
        <v>1726</v>
      </c>
      <c r="C535" s="48" t="s">
        <v>3768</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3772</v>
      </c>
      <c r="B536" s="47" t="s">
        <v>1726</v>
      </c>
      <c r="C536" s="48" t="s">
        <v>3768</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3773</v>
      </c>
      <c r="B537" s="47" t="s">
        <v>1726</v>
      </c>
      <c r="C537" s="48" t="s">
        <v>3768</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3774</v>
      </c>
      <c r="B538" s="47" t="s">
        <v>1726</v>
      </c>
      <c r="C538" s="48" t="s">
        <v>3768</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3775</v>
      </c>
      <c r="B539" s="47" t="s">
        <v>1726</v>
      </c>
      <c r="C539" s="48" t="s">
        <v>3768</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3776</v>
      </c>
      <c r="B540" s="47" t="s">
        <v>1726</v>
      </c>
      <c r="C540" s="48" t="s">
        <v>3768</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3777</v>
      </c>
      <c r="B541" s="47" t="s">
        <v>1726</v>
      </c>
      <c r="C541" s="48" t="s">
        <v>3768</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3778</v>
      </c>
      <c r="B542" s="47" t="s">
        <v>1726</v>
      </c>
      <c r="C542" s="48" t="s">
        <v>3768</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3779</v>
      </c>
      <c r="B543" s="47" t="s">
        <v>1726</v>
      </c>
      <c r="C543" s="48" t="s">
        <v>3768</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3780</v>
      </c>
      <c r="B544" s="47" t="s">
        <v>1726</v>
      </c>
      <c r="C544" s="48" t="s">
        <v>3768</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3781</v>
      </c>
      <c r="B545" s="47" t="s">
        <v>1726</v>
      </c>
      <c r="C545" s="48" t="s">
        <v>3768</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3782</v>
      </c>
      <c r="B546" s="47" t="s">
        <v>1726</v>
      </c>
      <c r="C546" s="48" t="s">
        <v>3768</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3783</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3784</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3785</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3786</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3787</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3788</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3789</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3790</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3791</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3792</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3793</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3794</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3795</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3796</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3797</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3798</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3799</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3800</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3801</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3802</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3803</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3804</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3805</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3806</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3807</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3808</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3809</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3810</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3811</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3812</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3813</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3814</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3815</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3816</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3817</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3818</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3819</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3820</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3821</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3822</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3823</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3824</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3825</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3826</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3827</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3828</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3829</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3830</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3831</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3832</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3833</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3834</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3835</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3836</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3837</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3838</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3839</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3840</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3841</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3842</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3843</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3844</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3845</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3846</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3847</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3848</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3849</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3850</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3851</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3852</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3853</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3854</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3855</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3856</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3857</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3858</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3859</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3860</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3861</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3862</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3863</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3864</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3865</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3866</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3867</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3868</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3869</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3870</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3871</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3872</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3873</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3874</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3875</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3876</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3877</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3878</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3879</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3880</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3881</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3882</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3883</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3884</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3885</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3886</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3887</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3888</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3889</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3890</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3891</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3892</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3893</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3894</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3895</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3896</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3897</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3898</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3899</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3900</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3901</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3902</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3903</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3904</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3905</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3906</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3907</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3908</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3909</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3910</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3911</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3912</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3913</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3914</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3915</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3916</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3917</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3918</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3919</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3920</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3921</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3922</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3923</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3924</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3925</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3926</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3927</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3928</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3929</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3930</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3931</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3932</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3933</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3934</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3935</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3936</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3937</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3938</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3939</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3940</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3941</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3942</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3943</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3944</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3945</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3946</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3947</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3948</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3949</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3950</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3951</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3952</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3953</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3954</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3955</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3956</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3957</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3958</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3959</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3960</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3961</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3962</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3963</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3964</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3965</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3966</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3967</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3968</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3969</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3970</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3971</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3972</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3973</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3974</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3975</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3976</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3977</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3978</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3979</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3980</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3981</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3982</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3983</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3984</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3985</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3986</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3987</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3988</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3989</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3990</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3991</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3992</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3993</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3994</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3995</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3996</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3997</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3998</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3999</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4000</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4001</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4002</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4003</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4004</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4005</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4006</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4007</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4008</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4009</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4010</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4011</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4012</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4013</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4014</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4015</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4016</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4017</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4018</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4019</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4020</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4021</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4022</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4023</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4024</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4025</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4026</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4027</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4028</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4029</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4030</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4031</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4032</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4033</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4034</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4035</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4036</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4037</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4038</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4039</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4040</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4041</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4042</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4043</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4044</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4045</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4046</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4047</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4048</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4049</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4050</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4051</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4052</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4053</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4054</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4055</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4056</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4057</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4058</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4059</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4060</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4061</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4062</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4063</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4064</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4065</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4066</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4067</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4068</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4069</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4070</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4071</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4072</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4073</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4074</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4075</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4076</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4077</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4078</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4079</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4080</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4081</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4082</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4083</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4084</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4085</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4086</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4087</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4088</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4089</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4090</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4091</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4092</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4093</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4094</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4095</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4096</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4097</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4098</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4099</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4100</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4101</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4102</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4103</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4104</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4105</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4106</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4107</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4108</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4109</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4110</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4111</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4112</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4113</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4114</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4115</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4116</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4117</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4118</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4119</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4120</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4121</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4122</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4123</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4124</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4125</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4126</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4127</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4128</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4129</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4130</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4131</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4132</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4133</v>
      </c>
      <c r="B897" s="50" t="s">
        <v>1726</v>
      </c>
      <c r="C897" s="51" t="s">
        <v>3768</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4134</v>
      </c>
      <c r="B898" s="50" t="s">
        <v>1726</v>
      </c>
      <c r="C898" s="51" t="s">
        <v>3768</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4135</v>
      </c>
      <c r="B899" s="50" t="s">
        <v>1726</v>
      </c>
      <c r="C899" s="51" t="s">
        <v>3768</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4136</v>
      </c>
      <c r="B900" s="50" t="s">
        <v>1726</v>
      </c>
      <c r="C900" s="51" t="s">
        <v>3768</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4137</v>
      </c>
      <c r="B901" s="50" t="s">
        <v>1726</v>
      </c>
      <c r="C901" s="51" t="s">
        <v>3768</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4138</v>
      </c>
      <c r="B902" s="50" t="s">
        <v>1726</v>
      </c>
      <c r="C902" s="51" t="s">
        <v>3768</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4139</v>
      </c>
      <c r="B903" s="50" t="s">
        <v>1726</v>
      </c>
      <c r="C903" s="51" t="s">
        <v>3768</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4140</v>
      </c>
      <c r="B904" s="50" t="s">
        <v>1726</v>
      </c>
      <c r="C904" s="51" t="s">
        <v>3768</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4141</v>
      </c>
      <c r="B905" s="50" t="s">
        <v>1726</v>
      </c>
      <c r="C905" s="51" t="s">
        <v>3768</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4142</v>
      </c>
      <c r="B906" s="50" t="s">
        <v>1726</v>
      </c>
      <c r="C906" s="51" t="s">
        <v>3768</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4143</v>
      </c>
      <c r="B907" s="50" t="s">
        <v>1726</v>
      </c>
      <c r="C907" s="51" t="s">
        <v>3768</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4144</v>
      </c>
      <c r="B908" s="50" t="s">
        <v>1726</v>
      </c>
      <c r="C908" s="51" t="s">
        <v>3768</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4145</v>
      </c>
      <c r="B909" s="50" t="s">
        <v>1726</v>
      </c>
      <c r="C909" s="51" t="s">
        <v>3768</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4146</v>
      </c>
      <c r="B910" s="50" t="s">
        <v>1726</v>
      </c>
      <c r="C910" s="51" t="s">
        <v>3768</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4147</v>
      </c>
      <c r="B911" s="50" t="s">
        <v>1726</v>
      </c>
      <c r="C911" s="51" t="s">
        <v>3768</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4148</v>
      </c>
      <c r="B912" s="50" t="s">
        <v>1726</v>
      </c>
      <c r="C912" s="51" t="s">
        <v>3768</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4149</v>
      </c>
      <c r="B913" s="50" t="s">
        <v>1726</v>
      </c>
      <c r="C913" s="51" t="s">
        <v>3768</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4150</v>
      </c>
      <c r="B914" s="50" t="s">
        <v>1726</v>
      </c>
      <c r="C914" s="51" t="s">
        <v>3768</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4151</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4152</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4153</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4154</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4155</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4156</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4157</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4158</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4159</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4160</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4161</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4162</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4163</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4164</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4165</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4166</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4167</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4168</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4169</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4170</v>
      </c>
      <c r="C934" s="42" t="s">
        <v>3266</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4171</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4172</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4173</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4174</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4175</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4176</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4177</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4178</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4179</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4180</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4181</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4182</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4183</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4184</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4185</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4186</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4187</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4188</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4189</v>
      </c>
      <c r="B1" s="43" t="s">
        <v>4190</v>
      </c>
      <c r="C1" s="44" t="s">
        <v>4191</v>
      </c>
      <c r="D1" s="44" t="s">
        <v>4192</v>
      </c>
      <c r="E1" s="44" t="s">
        <v>4193</v>
      </c>
      <c r="F1" s="44" t="s">
        <v>4194</v>
      </c>
      <c r="G1" s="43" t="s">
        <v>4195</v>
      </c>
      <c r="H1" s="43" t="s">
        <v>4196</v>
      </c>
      <c r="I1" s="1"/>
      <c r="J1" s="1"/>
      <c r="K1" s="1"/>
      <c r="L1" s="1"/>
      <c r="M1" s="1"/>
    </row>
    <row r="2" spans="1:8">
      <c r="A2" s="19" t="str">
        <f>'2 过程管理表单'!$BE$1</f>
        <v>2025年</v>
      </c>
      <c r="B2" s="43" t="s">
        <v>766</v>
      </c>
      <c r="C2" s="44">
        <f>'2 过程管理表单'!Z4</f>
        <v>19772.0547945206</v>
      </c>
      <c r="D2" s="44">
        <f>C2</f>
        <v>19772.0547945206</v>
      </c>
      <c r="E2" s="45">
        <f>'2 过程管理表单'!X4</f>
        <v>76001.5079245283</v>
      </c>
      <c r="F2" s="45">
        <f>E2</f>
        <v>76001.5079245283</v>
      </c>
      <c r="G2" s="46">
        <f>表1[[#This Row],[发生费用]]/表1[[#This Row],[预算费用]]</f>
        <v>0.260153453983503</v>
      </c>
      <c r="H2" s="46">
        <f>表1[[#This Row],[累计发生费用]]/表1[[#This Row],[累计预算费用]]</f>
        <v>0.260153453983503</v>
      </c>
    </row>
    <row r="3" spans="1:8">
      <c r="A3" s="19" t="str">
        <f>'2 过程管理表单'!$BE$1</f>
        <v>2025年</v>
      </c>
      <c r="B3" s="43" t="s">
        <v>767</v>
      </c>
      <c r="C3" s="44">
        <f>'2 过程管理表单'!AC4</f>
        <v>17858.6301369863</v>
      </c>
      <c r="D3" s="44">
        <f>D2+C3</f>
        <v>37630.6849315069</v>
      </c>
      <c r="E3" s="45">
        <f>'2 过程管理表单'!AA4</f>
        <v>27325.9467924528</v>
      </c>
      <c r="F3" s="45">
        <f>F2+E3</f>
        <v>103327.454716981</v>
      </c>
      <c r="G3" s="46">
        <f>表1[[#This Row],[发生费用]]/表1[[#This Row],[预算费用]]</f>
        <v>0.65354112970456</v>
      </c>
      <c r="H3" s="46">
        <f>表1[[#This Row],[累计发生费用]]/表1[[#This Row],[累计预算费用]]</f>
        <v>0.364188637323731</v>
      </c>
    </row>
    <row r="4" spans="1:8">
      <c r="A4" s="19" t="str">
        <f>'2 过程管理表单'!$BE$1</f>
        <v>2025年</v>
      </c>
      <c r="B4" s="43" t="s">
        <v>768</v>
      </c>
      <c r="C4" s="44">
        <f>'2 过程管理表单'!AF4</f>
        <v>21141.9042424965</v>
      </c>
      <c r="D4" s="44">
        <f t="shared" ref="D4:D13" si="0">D3+C4</f>
        <v>58772.5891740033</v>
      </c>
      <c r="E4" s="45">
        <f>'2 过程管理表单'!AD4</f>
        <v>27325.9467924528</v>
      </c>
      <c r="F4" s="45">
        <f t="shared" ref="F4:F13" si="1">F3+E4</f>
        <v>130653.401509434</v>
      </c>
      <c r="G4" s="46">
        <f>表1[[#This Row],[发生费用]]/表1[[#This Row],[预算费用]]</f>
        <v>0.773693383913626</v>
      </c>
      <c r="H4" s="46">
        <f>表1[[#This Row],[累计发生费用]]/表1[[#This Row],[累计预算费用]]</f>
        <v>0.449835890187364</v>
      </c>
    </row>
    <row r="5" spans="1:8">
      <c r="A5" s="19" t="str">
        <f>'2 过程管理表单'!$BE$1</f>
        <v>2025年</v>
      </c>
      <c r="B5" s="43" t="s">
        <v>769</v>
      </c>
      <c r="C5" s="44">
        <f>'2 过程管理表单'!AI4</f>
        <v>21338.3275941124</v>
      </c>
      <c r="D5" s="44">
        <f t="shared" si="0"/>
        <v>80110.9167681157</v>
      </c>
      <c r="E5" s="45">
        <f>'2 过程管理表单'!AG4</f>
        <v>27325.9467924528</v>
      </c>
      <c r="F5" s="45">
        <f t="shared" si="1"/>
        <v>157979.348301887</v>
      </c>
      <c r="G5" s="46">
        <f>表1[[#This Row],[发生费用]]/表1[[#This Row],[预算费用]]</f>
        <v>0.780881546618757</v>
      </c>
      <c r="H5" s="46">
        <f>表1[[#This Row],[累计发生费用]]/表1[[#This Row],[累计预算费用]]</f>
        <v>0.507097399940084</v>
      </c>
    </row>
    <row r="6" spans="1:8">
      <c r="A6" s="19" t="str">
        <f>'2 过程管理表单'!$BE$1</f>
        <v>2025年</v>
      </c>
      <c r="B6" s="43" t="s">
        <v>770</v>
      </c>
      <c r="C6" s="44">
        <f>'2 过程管理表单'!AL4</f>
        <v>23290.2682199824</v>
      </c>
      <c r="D6" s="44">
        <f t="shared" si="0"/>
        <v>103401.184988098</v>
      </c>
      <c r="E6" s="45">
        <f>'2 过程管理表单'!AJ4</f>
        <v>27325.9467924528</v>
      </c>
      <c r="F6" s="45">
        <f t="shared" si="1"/>
        <v>185305.295094339</v>
      </c>
      <c r="G6" s="46">
        <f>表1[[#This Row],[发生费用]]/表1[[#This Row],[预算费用]]</f>
        <v>0.852313312211198</v>
      </c>
      <c r="H6" s="46">
        <f>表1[[#This Row],[累计发生费用]]/表1[[#This Row],[累计预算费用]]</f>
        <v>0.558004480851214</v>
      </c>
    </row>
    <row r="7" spans="1:8">
      <c r="A7" s="19" t="str">
        <f>'2 过程管理表单'!$BE$1</f>
        <v>2025年</v>
      </c>
      <c r="B7" s="43" t="s">
        <v>771</v>
      </c>
      <c r="C7" s="44">
        <f>'2 过程管理表单'!AO4</f>
        <v>22538.9692451442</v>
      </c>
      <c r="D7" s="44">
        <f t="shared" si="0"/>
        <v>125940.154233242</v>
      </c>
      <c r="E7" s="45">
        <f>'2 过程管理表单'!AM4</f>
        <v>27325.9467924528</v>
      </c>
      <c r="F7" s="45">
        <f t="shared" si="1"/>
        <v>212631.241886792</v>
      </c>
      <c r="G7" s="46">
        <f>表1[[#This Row],[发生费用]]/表1[[#This Row],[预算费用]]</f>
        <v>0.824819334397931</v>
      </c>
      <c r="H7" s="46">
        <f>表1[[#This Row],[累计发生费用]]/表1[[#This Row],[累计预算费用]]</f>
        <v>0.592293743457954</v>
      </c>
    </row>
    <row r="8" spans="1:8">
      <c r="A8" s="19" t="str">
        <f>'2 过程管理表单'!$BE$1</f>
        <v>2025年</v>
      </c>
      <c r="B8" s="43" t="s">
        <v>772</v>
      </c>
      <c r="C8" s="44">
        <f>'2 过程管理表单'!AR4</f>
        <v>22477.153465884</v>
      </c>
      <c r="D8" s="44">
        <f t="shared" si="0"/>
        <v>148417.307699126</v>
      </c>
      <c r="E8" s="45">
        <f>'2 过程管理表单'!AP4</f>
        <v>27325.9467924528</v>
      </c>
      <c r="F8" s="45">
        <f t="shared" si="1"/>
        <v>239957.188679245</v>
      </c>
      <c r="G8" s="46">
        <f>表1[[#This Row],[发生费用]]/表1[[#This Row],[预算费用]]</f>
        <v>0.82255717017249</v>
      </c>
      <c r="H8" s="46">
        <f>表1[[#This Row],[累计发生费用]]/表1[[#This Row],[累计预算费用]]</f>
        <v>0.618515779902381</v>
      </c>
    </row>
    <row r="9" spans="1:8">
      <c r="A9" s="19" t="str">
        <f>'2 过程管理表单'!$BE$1</f>
        <v>2025年</v>
      </c>
      <c r="B9" s="43" t="s">
        <v>773</v>
      </c>
      <c r="C9" s="44">
        <f>'2 过程管理表单'!AU4</f>
        <v>22477.153465884</v>
      </c>
      <c r="D9" s="44">
        <f t="shared" si="0"/>
        <v>170894.46116501</v>
      </c>
      <c r="E9" s="45">
        <f>'2 过程管理表单'!AS4</f>
        <v>27325.9467924528</v>
      </c>
      <c r="F9" s="45">
        <f t="shared" si="1"/>
        <v>267283.135471698</v>
      </c>
      <c r="G9" s="46">
        <f>表1[[#This Row],[发生费用]]/表1[[#This Row],[预算费用]]</f>
        <v>0.82255717017249</v>
      </c>
      <c r="H9" s="46">
        <f>表1[[#This Row],[累计发生费用]]/表1[[#This Row],[累计预算费用]]</f>
        <v>0.639376146435194</v>
      </c>
    </row>
    <row r="10" spans="1:8">
      <c r="A10" s="19" t="str">
        <f>'2 过程管理表单'!$BE$1</f>
        <v>2025年</v>
      </c>
      <c r="B10" s="43" t="s">
        <v>774</v>
      </c>
      <c r="C10" s="44">
        <f>'2 过程管理表单'!AX4</f>
        <v>21752.0839992426</v>
      </c>
      <c r="D10" s="44">
        <f t="shared" si="0"/>
        <v>192646.545164253</v>
      </c>
      <c r="E10" s="45">
        <f>'2 过程管理表单'!AV4</f>
        <v>27325.9467924528</v>
      </c>
      <c r="F10" s="45">
        <f t="shared" si="1"/>
        <v>294609.082264151</v>
      </c>
      <c r="G10" s="46">
        <f>表1[[#This Row],[发生费用]]/表1[[#This Row],[预算费用]]</f>
        <v>0.796023067908862</v>
      </c>
      <c r="H10" s="46">
        <f>表1[[#This Row],[累计发生费用]]/表1[[#This Row],[累计预算费用]]</f>
        <v>0.65390565587358</v>
      </c>
    </row>
    <row r="11" spans="1:8">
      <c r="A11" s="19" t="str">
        <f>'2 过程管理表单'!$BE$1</f>
        <v>2025年</v>
      </c>
      <c r="B11" s="43" t="s">
        <v>775</v>
      </c>
      <c r="C11" s="44">
        <f>'2 过程管理表单'!BA4</f>
        <v>22477.153465884</v>
      </c>
      <c r="D11" s="44">
        <f t="shared" si="0"/>
        <v>215123.698630137</v>
      </c>
      <c r="E11" s="45">
        <f>'2 过程管理表单'!AY4</f>
        <v>27325.9467924528</v>
      </c>
      <c r="F11" s="45">
        <f t="shared" si="1"/>
        <v>321935.029056604</v>
      </c>
      <c r="G11" s="46">
        <f>表1[[#This Row],[发生费用]]/表1[[#This Row],[预算费用]]</f>
        <v>0.82255717017249</v>
      </c>
      <c r="H11" s="46">
        <f>表1[[#This Row],[累计发生费用]]/表1[[#This Row],[累计预算费用]]</f>
        <v>0.668220849593578</v>
      </c>
    </row>
    <row r="12" spans="1:8">
      <c r="A12" s="19" t="str">
        <f>'2 过程管理表单'!$BE$1</f>
        <v>2025年</v>
      </c>
      <c r="B12" s="43" t="s">
        <v>776</v>
      </c>
      <c r="C12" s="44">
        <f>'2 过程管理表单'!BD4</f>
        <v>0</v>
      </c>
      <c r="D12" s="44">
        <f t="shared" si="0"/>
        <v>215123.698630137</v>
      </c>
      <c r="E12" s="45">
        <f>'2 过程管理表单'!BB4</f>
        <v>27325.9467924528</v>
      </c>
      <c r="F12" s="45">
        <f t="shared" si="1"/>
        <v>349260.975849056</v>
      </c>
      <c r="G12" s="46">
        <f>表1[[#This Row],[发生费用]]/表1[[#This Row],[预算费用]]</f>
        <v>0</v>
      </c>
      <c r="H12" s="46">
        <f>表1[[#This Row],[累计发生费用]]/表1[[#This Row],[累计预算费用]]</f>
        <v>0.615939694113176</v>
      </c>
    </row>
    <row r="13" spans="1:8">
      <c r="A13" s="19" t="str">
        <f>'2 过程管理表单'!$BE$1</f>
        <v>2025年</v>
      </c>
      <c r="B13" s="43" t="s">
        <v>777</v>
      </c>
      <c r="C13" s="44">
        <f>'2 过程管理表单'!BG4</f>
        <v>0</v>
      </c>
      <c r="D13" s="44">
        <f t="shared" si="0"/>
        <v>215123.698630137</v>
      </c>
      <c r="E13" s="45">
        <f>'2 过程管理表单'!BE4</f>
        <v>27325.9467924528</v>
      </c>
      <c r="F13" s="45">
        <f t="shared" si="1"/>
        <v>376586.922641509</v>
      </c>
      <c r="G13" s="46">
        <f>表1[[#This Row],[发生费用]]/表1[[#This Row],[预算费用]]</f>
        <v>0</v>
      </c>
      <c r="H13" s="46">
        <f>表1[[#This Row],[累计发生费用]]/表1[[#This Row],[累计预算费用]]</f>
        <v>0.57124580195506</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
    </sheetView>
  </sheetViews>
  <sheetFormatPr defaultColWidth="9" defaultRowHeight="13.5"/>
  <cols>
    <col min="1" max="1" width="14.375" customWidth="1"/>
    <col min="2" max="2" width="23.5" customWidth="1"/>
    <col min="3" max="14" width="12.625"/>
  </cols>
  <sheetData>
    <row r="1" spans="1:14">
      <c r="A1" s="11" t="s">
        <v>4197</v>
      </c>
      <c r="B1" s="17" t="s">
        <v>4198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4199</v>
      </c>
      <c r="C2">
        <f>'2 过程管理表单'!Z5</f>
        <v>19772.0547945206</v>
      </c>
      <c r="D2">
        <f>'2 过程管理表单'!AC5</f>
        <v>17858.6301369863</v>
      </c>
      <c r="E2">
        <f>'2 过程管理表单'!AF5</f>
        <v>21141.9042424965</v>
      </c>
      <c r="F2">
        <f>'2 过程管理表单'!AI5</f>
        <v>21338.3275941124</v>
      </c>
      <c r="G2">
        <f>'2 过程管理表单'!AL5</f>
        <v>23290.2682199824</v>
      </c>
      <c r="H2">
        <f>'2 过程管理表单'!AO5</f>
        <v>22538.9692451442</v>
      </c>
      <c r="I2">
        <f>'2 过程管理表单'!AR5</f>
        <v>22477.153465884</v>
      </c>
      <c r="J2">
        <f>'2 过程管理表单'!AU5</f>
        <v>22477.153465884</v>
      </c>
      <c r="K2">
        <f>'2 过程管理表单'!AX5</f>
        <v>21752.0839992426</v>
      </c>
      <c r="L2">
        <f>'2 过程管理表单'!BA5</f>
        <v>22477.153465884</v>
      </c>
      <c r="M2">
        <f>'2 过程管理表单'!BD5</f>
        <v>0</v>
      </c>
      <c r="N2">
        <f>'2 过程管理表单'!BG4</f>
        <v>0</v>
      </c>
    </row>
    <row r="3" spans="1:14">
      <c r="A3" s="6" t="s">
        <v>214</v>
      </c>
      <c r="B3" s="17" t="s">
        <v>4200</v>
      </c>
      <c r="C3">
        <f t="shared" ref="C3:C7" si="0">C2</f>
        <v>19772.0547945206</v>
      </c>
      <c r="D3">
        <f t="shared" ref="D3:N3" si="1">C3+D2</f>
        <v>37630.6849315069</v>
      </c>
      <c r="E3">
        <f t="shared" si="1"/>
        <v>58772.5891740034</v>
      </c>
      <c r="F3">
        <f t="shared" si="1"/>
        <v>80110.9167681158</v>
      </c>
      <c r="G3">
        <f t="shared" si="1"/>
        <v>103401.184988098</v>
      </c>
      <c r="H3">
        <f t="shared" si="1"/>
        <v>125940.154233242</v>
      </c>
      <c r="I3">
        <f t="shared" si="1"/>
        <v>148417.307699126</v>
      </c>
      <c r="J3">
        <f t="shared" si="1"/>
        <v>170894.46116501</v>
      </c>
      <c r="K3">
        <f t="shared" si="1"/>
        <v>192646.545164253</v>
      </c>
      <c r="L3">
        <f t="shared" si="1"/>
        <v>215123.698630137</v>
      </c>
      <c r="M3">
        <f t="shared" si="1"/>
        <v>215123.698630137</v>
      </c>
      <c r="N3">
        <f t="shared" si="1"/>
        <v>215123.698630137</v>
      </c>
    </row>
    <row r="4" spans="1:14">
      <c r="A4" s="6" t="s">
        <v>214</v>
      </c>
      <c r="B4" s="17" t="s">
        <v>4201</v>
      </c>
      <c r="C4">
        <f>'2 过程管理表单'!X5-'2 过程管理表单'!X8-'2 过程管理表单'!X27-'2 过程管理表单'!X46-'2 过程管理表单'!X71-'2 过程管理表单'!X96-'2 过程管理表单'!X115-'2 过程管理表单'!X140-'2 过程管理表单'!X159</f>
        <v>23018.8679245283</v>
      </c>
      <c r="D4">
        <f>'2 过程管理表单'!AA5-'2 过程管理表单'!AA8-'2 过程管理表单'!AA27-'2 过程管理表单'!AA46-'2 过程管理表单'!AA71-'2 过程管理表单'!AA96-'2 过程管理表单'!AA115-'2 过程管理表单'!AA140-'2 过程管理表单'!AA159</f>
        <v>18301.8867924528</v>
      </c>
      <c r="E4">
        <f>'2 过程管理表单'!AD5-'2 过程管理表单'!AD8-'2 过程管理表单'!AD27-'2 过程管理表单'!AD46-'2 过程管理表单'!AD71-'2 过程管理表单'!AD96-'2 过程管理表单'!AD115-'2 过程管理表单'!AD140-'2 过程管理表单'!AD159</f>
        <v>18301.8867924528</v>
      </c>
      <c r="F4">
        <f>'2 过程管理表单'!AG5-'2 过程管理表单'!AG8-'2 过程管理表单'!AG27-'2 过程管理表单'!AG46-'2 过程管理表单'!AG71-'2 过程管理表单'!AG96-'2 过程管理表单'!AG115-'2 过程管理表单'!AG140-'2 过程管理表单'!AG159</f>
        <v>18301.8867924528</v>
      </c>
      <c r="G4">
        <f>'2 过程管理表单'!AJ5-'2 过程管理表单'!AJ8-'2 过程管理表单'!AJ27-'2 过程管理表单'!AJ46-'2 过程管理表单'!AJ71-'2 过程管理表单'!AJ96-'2 过程管理表单'!AJ115-'2 过程管理表单'!AJ140-'2 过程管理表单'!AJ159</f>
        <v>18301.8867924528</v>
      </c>
      <c r="H4">
        <f>'2 过程管理表单'!AM5-'2 过程管理表单'!AM8-'2 过程管理表单'!AM27-'2 过程管理表单'!AM46-'2 过程管理表单'!AM71-'2 过程管理表单'!AM96-'2 过程管理表单'!AM115-'2 过程管理表单'!AM140-'2 过程管理表单'!AM159</f>
        <v>18301.8867924528</v>
      </c>
      <c r="I4">
        <f>'2 过程管理表单'!AP5-'2 过程管理表单'!AP8-'2 过程管理表单'!AP27-'2 过程管理表单'!AP46-'2 过程管理表单'!AP71-'2 过程管理表单'!AP96-'2 过程管理表单'!AP115-'2 过程管理表单'!AP140-'2 过程管理表单'!AP159</f>
        <v>18301.8867924528</v>
      </c>
      <c r="J4">
        <f>'2 过程管理表单'!AS5-'2 过程管理表单'!AS8-'2 过程管理表单'!AS27-'2 过程管理表单'!AS46-'2 过程管理表单'!AS71-'2 过程管理表单'!AS96-'2 过程管理表单'!AS115-'2 过程管理表单'!AS140-'2 过程管理表单'!AS159</f>
        <v>18301.8867924528</v>
      </c>
      <c r="K4">
        <f>'2 过程管理表单'!AV5-'2 过程管理表单'!AV8-'2 过程管理表单'!AV27-'2 过程管理表单'!AV46-'2 过程管理表单'!AV71-'2 过程管理表单'!AV96-'2 过程管理表单'!AV115-'2 过程管理表单'!AV140-'2 过程管理表单'!AV159</f>
        <v>18301.8867924528</v>
      </c>
      <c r="L4">
        <f>'2 过程管理表单'!AY5-'2 过程管理表单'!AY8-'2 过程管理表单'!AY27-'2 过程管理表单'!AY46-'2 过程管理表单'!AY71-'2 过程管理表单'!AY96-'2 过程管理表单'!AY115-'2 过程管理表单'!AY140-'2 过程管理表单'!AY159</f>
        <v>18301.8867924528</v>
      </c>
      <c r="M4">
        <f>'2 过程管理表单'!BB5-'2 过程管理表单'!BB8-'2 过程管理表单'!BB27-'2 过程管理表单'!BB46-'2 过程管理表单'!BB71-'2 过程管理表单'!BB96-'2 过程管理表单'!BB115-'2 过程管理表单'!BB140-'2 过程管理表单'!BB159</f>
        <v>18301.8867924528</v>
      </c>
      <c r="N4">
        <f>'2 过程管理表单'!BE5-'2 过程管理表单'!BE8-'2 过程管理表单'!BE27-'2 过程管理表单'!BE46-'2 过程管理表单'!BE71-'2 过程管理表单'!BE96-'2 过程管理表单'!BE115-'2 过程管理表单'!BE140-'2 过程管理表单'!BE159</f>
        <v>18301.8867924528</v>
      </c>
    </row>
    <row r="5" spans="1:14">
      <c r="A5" s="6" t="s">
        <v>214</v>
      </c>
      <c r="B5" s="17" t="s">
        <v>4202</v>
      </c>
      <c r="C5">
        <f t="shared" si="0"/>
        <v>23018.8679245283</v>
      </c>
      <c r="D5">
        <f t="shared" ref="D5:N5" si="2">C5+D4</f>
        <v>41320.7547169811</v>
      </c>
      <c r="E5">
        <f t="shared" si="2"/>
        <v>59622.6415094339</v>
      </c>
      <c r="F5">
        <f t="shared" si="2"/>
        <v>77924.5283018867</v>
      </c>
      <c r="G5">
        <f t="shared" si="2"/>
        <v>96226.4150943395</v>
      </c>
      <c r="H5">
        <f t="shared" si="2"/>
        <v>114528.301886792</v>
      </c>
      <c r="I5">
        <f t="shared" si="2"/>
        <v>132830.188679245</v>
      </c>
      <c r="J5">
        <f t="shared" si="2"/>
        <v>151132.075471698</v>
      </c>
      <c r="K5">
        <f t="shared" si="2"/>
        <v>169433.962264151</v>
      </c>
      <c r="L5">
        <f t="shared" si="2"/>
        <v>187735.849056604</v>
      </c>
      <c r="M5">
        <f t="shared" si="2"/>
        <v>206037.735849056</v>
      </c>
      <c r="N5">
        <f t="shared" si="2"/>
        <v>224339.622641509</v>
      </c>
    </row>
    <row r="6" spans="1:14">
      <c r="A6" s="6" t="s">
        <v>9</v>
      </c>
      <c r="B6" s="18" t="s">
        <v>4203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4204</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4205</v>
      </c>
      <c r="C8">
        <f>'2 过程管理表单'!X508</f>
        <v>42000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4206</v>
      </c>
      <c r="C9">
        <f t="shared" ref="C9:C13" si="4">C8</f>
        <v>42000</v>
      </c>
      <c r="D9">
        <f t="shared" ref="D9:N9" si="5">C9+D8</f>
        <v>42000</v>
      </c>
      <c r="E9">
        <f t="shared" si="5"/>
        <v>42000</v>
      </c>
      <c r="F9">
        <f t="shared" si="5"/>
        <v>42000</v>
      </c>
      <c r="G9">
        <f t="shared" si="5"/>
        <v>42000</v>
      </c>
      <c r="H9">
        <f t="shared" si="5"/>
        <v>42000</v>
      </c>
      <c r="I9">
        <f t="shared" si="5"/>
        <v>42000</v>
      </c>
      <c r="J9">
        <f t="shared" si="5"/>
        <v>42000</v>
      </c>
      <c r="K9">
        <f t="shared" si="5"/>
        <v>42000</v>
      </c>
      <c r="L9">
        <f t="shared" si="5"/>
        <v>42000</v>
      </c>
      <c r="M9">
        <f t="shared" si="5"/>
        <v>42000</v>
      </c>
      <c r="N9">
        <f t="shared" si="5"/>
        <v>42000</v>
      </c>
    </row>
    <row r="10" spans="1:14">
      <c r="A10" s="6" t="s">
        <v>64</v>
      </c>
      <c r="B10" s="17" t="s">
        <v>4207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4208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4209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4210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4211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4212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4213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4214</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4215</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4216</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4217</v>
      </c>
      <c r="C20">
        <f>'2 过程管理表单'!X603</f>
        <v>400</v>
      </c>
      <c r="D20">
        <f>'2 过程管理表单'!AA603</f>
        <v>400</v>
      </c>
      <c r="E20">
        <f>'2 过程管理表单'!AD603</f>
        <v>400</v>
      </c>
      <c r="F20">
        <f>'2 过程管理表单'!AG603</f>
        <v>400</v>
      </c>
      <c r="G20">
        <f>'2 过程管理表单'!AJ603</f>
        <v>400</v>
      </c>
      <c r="H20">
        <f>'2 过程管理表单'!AM603</f>
        <v>400</v>
      </c>
      <c r="I20">
        <f>'2 过程管理表单'!AP603</f>
        <v>400</v>
      </c>
      <c r="J20">
        <f>'2 过程管理表单'!AS603</f>
        <v>400</v>
      </c>
      <c r="K20">
        <f>'2 过程管理表单'!AV603</f>
        <v>400</v>
      </c>
      <c r="L20">
        <f>'2 过程管理表单'!AY603</f>
        <v>400</v>
      </c>
      <c r="M20">
        <f>'2 过程管理表单'!BB603</f>
        <v>400</v>
      </c>
      <c r="N20">
        <f>'2 过程管理表单'!BE603</f>
        <v>400</v>
      </c>
    </row>
    <row r="21" spans="1:14">
      <c r="A21" s="6" t="s">
        <v>216</v>
      </c>
      <c r="B21" s="17" t="s">
        <v>4218</v>
      </c>
      <c r="C21">
        <f t="shared" ref="C21:C25" si="10">C20</f>
        <v>400</v>
      </c>
      <c r="D21">
        <f>表3_37[[#This Row],[1月]]+D20</f>
        <v>800</v>
      </c>
      <c r="E21">
        <f>表3_37[[#This Row],[2月]]+E20</f>
        <v>1200</v>
      </c>
      <c r="F21">
        <f>表3_37[[#This Row],[3月]]+F20</f>
        <v>1600</v>
      </c>
      <c r="G21">
        <f>表3_37[[#This Row],[4月]]+G20</f>
        <v>2000</v>
      </c>
      <c r="H21">
        <f>表3_37[[#This Row],[5月]]+H20</f>
        <v>2400</v>
      </c>
      <c r="I21">
        <f>表3_37[[#This Row],[6月]]+I20</f>
        <v>2800</v>
      </c>
      <c r="J21">
        <f>表3_37[[#This Row],[7月]]+J20</f>
        <v>3200</v>
      </c>
      <c r="K21">
        <f>表3_37[[#This Row],[8月]]+K20</f>
        <v>3600</v>
      </c>
      <c r="L21">
        <f>表3_37[[#This Row],[9月]]+L20</f>
        <v>4000</v>
      </c>
      <c r="M21">
        <f>表3_37[[#This Row],[10月]]+M20</f>
        <v>4400</v>
      </c>
      <c r="N21">
        <f>表3_37[[#This Row],[11月]]+N20</f>
        <v>4800</v>
      </c>
    </row>
    <row r="22" spans="1:14">
      <c r="A22" s="6" t="s">
        <v>217</v>
      </c>
      <c r="B22" s="17" t="s">
        <v>4219</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4220</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4221</v>
      </c>
      <c r="C24">
        <f>'2 过程管理表单'!X616</f>
        <v>640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4222</v>
      </c>
      <c r="C25">
        <f t="shared" si="10"/>
        <v>640</v>
      </c>
      <c r="D25">
        <f>表3_37[[#This Row],[1月]]+D24</f>
        <v>640</v>
      </c>
      <c r="E25">
        <f>表3_37[[#This Row],[2月]]+E24</f>
        <v>640</v>
      </c>
      <c r="F25">
        <f>表3_37[[#This Row],[3月]]+F24</f>
        <v>640</v>
      </c>
      <c r="G25">
        <f>表3_37[[#This Row],[4月]]+G24</f>
        <v>640</v>
      </c>
      <c r="H25">
        <f>表3_37[[#This Row],[5月]]+H24</f>
        <v>640</v>
      </c>
      <c r="I25">
        <f>表3_37[[#This Row],[6月]]+I24</f>
        <v>640</v>
      </c>
      <c r="J25">
        <f>表3_37[[#This Row],[7月]]+J24</f>
        <v>640</v>
      </c>
      <c r="K25">
        <f>表3_37[[#This Row],[8月]]+K24</f>
        <v>640</v>
      </c>
      <c r="L25">
        <f>表3_37[[#This Row],[9月]]+L24</f>
        <v>640</v>
      </c>
      <c r="M25">
        <f>表3_37[[#This Row],[10月]]+M24</f>
        <v>640</v>
      </c>
      <c r="N25">
        <f>表3_37[[#This Row],[11月]]+N24</f>
        <v>640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4197</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4</v>
      </c>
      <c r="C2" s="6">
        <f>COUNTIF('2 过程管理表单'!AB6:AB507,"&lt;"&amp;0)</f>
        <v>0</v>
      </c>
      <c r="D2" s="6">
        <f>COUNTIF('2 过程管理表单'!AE6:AE507,"&lt;"&amp;0)</f>
        <v>8</v>
      </c>
      <c r="E2" s="6">
        <f>COUNTIF('2 过程管理表单'!AH6:AH507,"&lt;"&amp;0)</f>
        <v>11</v>
      </c>
      <c r="F2" s="6">
        <f>COUNTIF('2 过程管理表单'!AK6:AK507,"&lt;"&amp;0)</f>
        <v>11</v>
      </c>
      <c r="G2" s="6">
        <f>COUNTIF('2 过程管理表单'!AN6:AN507,"&lt;"&amp;0)</f>
        <v>11</v>
      </c>
      <c r="H2" s="6">
        <f>COUNTIF('2 过程管理表单'!AQ6:AQ507,"&lt;"&amp;0)</f>
        <v>10</v>
      </c>
      <c r="I2" s="6">
        <f>COUNTIF('2 过程管理表单'!AT6:AT507,"&lt;"&amp;0)</f>
        <v>10</v>
      </c>
      <c r="J2" s="6">
        <f>COUNTIF('2 过程管理表单'!AW6:AW507,"&lt;"&amp;0)</f>
        <v>10</v>
      </c>
      <c r="K2" s="6">
        <f>COUNTIF('2 过程管理表单'!AW6:AW507,"&lt;"&amp;0)</f>
        <v>10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4223</v>
      </c>
      <c r="B8" s="6">
        <f>B2+B3+B4+B5+B6+B7</f>
        <v>4</v>
      </c>
      <c r="C8" s="6">
        <f t="shared" ref="C8:M8" si="0">SUM(C2:C7)</f>
        <v>0</v>
      </c>
      <c r="D8" s="6">
        <f t="shared" si="0"/>
        <v>8</v>
      </c>
      <c r="E8" s="6">
        <f t="shared" si="0"/>
        <v>11</v>
      </c>
      <c r="F8" s="6">
        <f t="shared" si="0"/>
        <v>11</v>
      </c>
      <c r="G8" s="6">
        <f t="shared" si="0"/>
        <v>11</v>
      </c>
      <c r="H8" s="6">
        <f t="shared" si="0"/>
        <v>10</v>
      </c>
      <c r="I8" s="6">
        <f t="shared" si="0"/>
        <v>10</v>
      </c>
      <c r="J8" s="6">
        <f t="shared" si="0"/>
        <v>10</v>
      </c>
      <c r="K8" s="6">
        <f t="shared" si="0"/>
        <v>10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4197</v>
      </c>
      <c r="B1" s="17" t="s">
        <v>4198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4199</v>
      </c>
      <c r="C2">
        <f>'2 过程管理表单'!Z5</f>
        <v>19772.0547945206</v>
      </c>
      <c r="D2">
        <f>'2 过程管理表单'!AC5</f>
        <v>17858.6301369863</v>
      </c>
      <c r="E2">
        <f>'2 过程管理表单'!AF5</f>
        <v>21141.9042424965</v>
      </c>
      <c r="F2">
        <f>'2 过程管理表单'!AI5</f>
        <v>21338.3275941124</v>
      </c>
      <c r="G2">
        <f>'2 过程管理表单'!AL5</f>
        <v>23290.2682199824</v>
      </c>
      <c r="H2">
        <f>'2 过程管理表单'!AO5</f>
        <v>22538.9692451442</v>
      </c>
      <c r="I2">
        <f>'2 过程管理表单'!AR5</f>
        <v>22477.153465884</v>
      </c>
      <c r="J2">
        <f>'2 过程管理表单'!AU5</f>
        <v>22477.153465884</v>
      </c>
      <c r="K2">
        <f>'2 过程管理表单'!AX5</f>
        <v>21752.0839992426</v>
      </c>
      <c r="L2">
        <f>'2 过程管理表单'!BA5</f>
        <v>22477.153465884</v>
      </c>
      <c r="M2">
        <f>'2 过程管理表单'!BD5</f>
        <v>0</v>
      </c>
      <c r="N2">
        <f>'2 过程管理表单'!BG4</f>
        <v>0</v>
      </c>
    </row>
    <row r="3" spans="1:14">
      <c r="A3" s="6" t="s">
        <v>214</v>
      </c>
      <c r="B3" s="17" t="s">
        <v>4200</v>
      </c>
      <c r="C3">
        <f>C2</f>
        <v>19772.0547945206</v>
      </c>
      <c r="D3">
        <f t="shared" ref="D3:N3" si="0">C3+D2</f>
        <v>37630.6849315069</v>
      </c>
      <c r="E3">
        <f t="shared" si="0"/>
        <v>58772.5891740033</v>
      </c>
      <c r="F3">
        <f t="shared" si="0"/>
        <v>80110.9167681157</v>
      </c>
      <c r="G3">
        <f t="shared" si="0"/>
        <v>103401.184988098</v>
      </c>
      <c r="H3">
        <f t="shared" si="0"/>
        <v>125940.154233242</v>
      </c>
      <c r="I3">
        <f t="shared" si="0"/>
        <v>148417.307699126</v>
      </c>
      <c r="J3">
        <f t="shared" si="0"/>
        <v>170894.46116501</v>
      </c>
      <c r="K3">
        <f t="shared" si="0"/>
        <v>192646.545164253</v>
      </c>
      <c r="L3">
        <f t="shared" si="0"/>
        <v>215123.698630137</v>
      </c>
      <c r="M3">
        <f t="shared" si="0"/>
        <v>215123.698630137</v>
      </c>
      <c r="N3">
        <f t="shared" si="0"/>
        <v>215123.698630137</v>
      </c>
    </row>
    <row r="4" spans="1:14">
      <c r="A4" s="6" t="s">
        <v>214</v>
      </c>
      <c r="B4" s="17" t="s">
        <v>4201</v>
      </c>
      <c r="C4">
        <f>'2 过程管理表单'!X5</f>
        <v>32961.5079245283</v>
      </c>
      <c r="D4">
        <f>'2 过程管理表单'!AA5</f>
        <v>26925.9467924528</v>
      </c>
      <c r="E4">
        <f>'2 过程管理表单'!AD5</f>
        <v>26925.9467924528</v>
      </c>
      <c r="F4">
        <f>'2 过程管理表单'!AG5</f>
        <v>26925.9467924528</v>
      </c>
      <c r="G4">
        <f>'2 过程管理表单'!AJ5</f>
        <v>26925.9467924528</v>
      </c>
      <c r="H4">
        <f>'2 过程管理表单'!AM5</f>
        <v>26925.9467924528</v>
      </c>
      <c r="I4">
        <f>'2 过程管理表单'!AP5</f>
        <v>26925.9467924528</v>
      </c>
      <c r="J4">
        <f>'2 过程管理表单'!AS5</f>
        <v>26925.9467924528</v>
      </c>
      <c r="K4">
        <f>'2 过程管理表单'!AV5</f>
        <v>26925.9467924528</v>
      </c>
      <c r="L4">
        <f>'2 过程管理表单'!AY5</f>
        <v>26925.9467924528</v>
      </c>
      <c r="M4">
        <f>'2 过程管理表单'!BB5</f>
        <v>26925.9467924528</v>
      </c>
      <c r="N4">
        <f>'2 过程管理表单'!BE5</f>
        <v>26925.9467924528</v>
      </c>
    </row>
    <row r="5" spans="1:14">
      <c r="A5" s="6" t="s">
        <v>214</v>
      </c>
      <c r="B5" s="17" t="s">
        <v>4202</v>
      </c>
      <c r="C5">
        <f>C4</f>
        <v>32961.5079245283</v>
      </c>
      <c r="D5">
        <f t="shared" ref="D5:N5" si="1">C5+D4</f>
        <v>59887.4547169811</v>
      </c>
      <c r="E5">
        <f t="shared" si="1"/>
        <v>86813.4015094339</v>
      </c>
      <c r="F5">
        <f t="shared" si="1"/>
        <v>113739.348301887</v>
      </c>
      <c r="G5">
        <f t="shared" si="1"/>
        <v>140665.295094339</v>
      </c>
      <c r="H5">
        <f t="shared" si="1"/>
        <v>167591.241886792</v>
      </c>
      <c r="I5">
        <f t="shared" si="1"/>
        <v>194517.188679245</v>
      </c>
      <c r="J5">
        <f t="shared" si="1"/>
        <v>221443.135471698</v>
      </c>
      <c r="K5">
        <f t="shared" si="1"/>
        <v>248369.082264151</v>
      </c>
      <c r="L5">
        <f t="shared" si="1"/>
        <v>275295.029056603</v>
      </c>
      <c r="M5">
        <f t="shared" si="1"/>
        <v>302220.975849056</v>
      </c>
      <c r="N5">
        <f t="shared" si="1"/>
        <v>329146.922641509</v>
      </c>
    </row>
    <row r="6" spans="1:14">
      <c r="A6" s="6" t="s">
        <v>9</v>
      </c>
      <c r="B6" s="18" t="s">
        <v>4203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4204</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4205</v>
      </c>
      <c r="C8">
        <f>'2 过程管理表单'!X508</f>
        <v>42000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4206</v>
      </c>
      <c r="C9">
        <f>C8</f>
        <v>42000</v>
      </c>
      <c r="D9">
        <f t="shared" ref="D9:N9" si="3">C9+D8</f>
        <v>42000</v>
      </c>
      <c r="E9">
        <f t="shared" si="3"/>
        <v>42000</v>
      </c>
      <c r="F9">
        <f t="shared" si="3"/>
        <v>42000</v>
      </c>
      <c r="G9">
        <f t="shared" si="3"/>
        <v>42000</v>
      </c>
      <c r="H9">
        <f t="shared" si="3"/>
        <v>42000</v>
      </c>
      <c r="I9">
        <f t="shared" si="3"/>
        <v>42000</v>
      </c>
      <c r="J9">
        <f t="shared" si="3"/>
        <v>42000</v>
      </c>
      <c r="K9">
        <f t="shared" si="3"/>
        <v>42000</v>
      </c>
      <c r="L9">
        <f t="shared" si="3"/>
        <v>42000</v>
      </c>
      <c r="M9">
        <f t="shared" si="3"/>
        <v>42000</v>
      </c>
      <c r="N9">
        <f t="shared" si="3"/>
        <v>42000</v>
      </c>
    </row>
    <row r="10" spans="1:14">
      <c r="A10" s="6" t="s">
        <v>64</v>
      </c>
      <c r="B10" s="17" t="s">
        <v>4207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4208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4209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4210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4211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4212</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4213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4214</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4215</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4216</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4217</v>
      </c>
      <c r="C20">
        <f>'2 过程管理表单'!X603</f>
        <v>400</v>
      </c>
      <c r="D20">
        <f>'2 过程管理表单'!AA603</f>
        <v>400</v>
      </c>
      <c r="E20">
        <f>'2 过程管理表单'!AD603</f>
        <v>400</v>
      </c>
      <c r="F20">
        <f>'2 过程管理表单'!AG603</f>
        <v>400</v>
      </c>
      <c r="G20">
        <f>'2 过程管理表单'!AJ603</f>
        <v>400</v>
      </c>
      <c r="H20">
        <f>'2 过程管理表单'!AM603</f>
        <v>400</v>
      </c>
      <c r="I20">
        <f>'2 过程管理表单'!AP603</f>
        <v>400</v>
      </c>
      <c r="J20">
        <f>'2 过程管理表单'!AS603</f>
        <v>400</v>
      </c>
      <c r="K20">
        <f>'2 过程管理表单'!AV603</f>
        <v>400</v>
      </c>
      <c r="L20">
        <f>'2 过程管理表单'!AY603</f>
        <v>400</v>
      </c>
      <c r="M20">
        <f>'2 过程管理表单'!BB603</f>
        <v>400</v>
      </c>
      <c r="N20">
        <f>'2 过程管理表单'!BE603</f>
        <v>400</v>
      </c>
    </row>
    <row r="21" spans="1:14">
      <c r="A21" s="6" t="s">
        <v>216</v>
      </c>
      <c r="B21" s="17" t="s">
        <v>4218</v>
      </c>
      <c r="C21">
        <f>C20</f>
        <v>400</v>
      </c>
      <c r="D21">
        <f>表3_3[[#This Row],[1月]]+D20</f>
        <v>800</v>
      </c>
      <c r="E21">
        <f>表3_3[[#This Row],[2月]]+E20</f>
        <v>1200</v>
      </c>
      <c r="F21">
        <f>表3_3[[#This Row],[3月]]+F20</f>
        <v>1600</v>
      </c>
      <c r="G21">
        <f>表3_3[[#This Row],[4月]]+G20</f>
        <v>2000</v>
      </c>
      <c r="H21">
        <f>表3_3[[#This Row],[5月]]+H20</f>
        <v>2400</v>
      </c>
      <c r="I21">
        <f>表3_3[[#This Row],[6月]]+I20</f>
        <v>2800</v>
      </c>
      <c r="J21">
        <f>表3_3[[#This Row],[7月]]+J20</f>
        <v>3200</v>
      </c>
      <c r="K21">
        <f>表3_3[[#This Row],[8月]]+K20</f>
        <v>3600</v>
      </c>
      <c r="L21">
        <f>表3_3[[#This Row],[9月]]+L20</f>
        <v>4000</v>
      </c>
      <c r="M21">
        <f>表3_3[[#This Row],[10月]]+M20</f>
        <v>4400</v>
      </c>
      <c r="N21">
        <f>表3_3[[#This Row],[11月]]+N20</f>
        <v>4800</v>
      </c>
    </row>
    <row r="22" spans="1:14">
      <c r="A22" s="6" t="s">
        <v>217</v>
      </c>
      <c r="B22" s="17" t="s">
        <v>4219</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4220</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4221</v>
      </c>
      <c r="C24">
        <f>'2 过程管理表单'!X616</f>
        <v>640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4222</v>
      </c>
      <c r="C25">
        <f>C24</f>
        <v>640</v>
      </c>
      <c r="D25">
        <f>表3_3[[#This Row],[1月]]+D24</f>
        <v>640</v>
      </c>
      <c r="E25">
        <f>表3_3[[#This Row],[2月]]+E24</f>
        <v>640</v>
      </c>
      <c r="F25">
        <f>表3_3[[#This Row],[3月]]+F24</f>
        <v>640</v>
      </c>
      <c r="G25">
        <f>表3_3[[#This Row],[4月]]+G24</f>
        <v>640</v>
      </c>
      <c r="H25">
        <f>表3_3[[#This Row],[5月]]+H24</f>
        <v>640</v>
      </c>
      <c r="I25">
        <f>表3_3[[#This Row],[6月]]+I24</f>
        <v>640</v>
      </c>
      <c r="J25">
        <f>表3_3[[#This Row],[7月]]+J24</f>
        <v>640</v>
      </c>
      <c r="K25">
        <f>表3_3[[#This Row],[8月]]+K24</f>
        <v>640</v>
      </c>
      <c r="L25">
        <f>表3_3[[#This Row],[9月]]+L24</f>
        <v>640</v>
      </c>
      <c r="M25">
        <f>表3_3[[#This Row],[10月]]+M24</f>
        <v>640</v>
      </c>
      <c r="N25">
        <f>表3_3[[#This Row],[11月]]+N24</f>
        <v>640</v>
      </c>
    </row>
    <row r="26" spans="1:14">
      <c r="A26" s="20" t="s">
        <v>4224</v>
      </c>
      <c r="B26" s="21" t="s">
        <v>4225</v>
      </c>
      <c r="C26">
        <f>'2 过程管理表单'!Z6</f>
        <v>19772.0547945206</v>
      </c>
      <c r="D26">
        <f>'2 过程管理表单'!AC6</f>
        <v>17858.6301369863</v>
      </c>
      <c r="E26">
        <f>'2 过程管理表单'!AF6</f>
        <v>19772.0547945206</v>
      </c>
      <c r="F26">
        <f>'2 过程管理表单'!AI6</f>
        <v>19134.2465753425</v>
      </c>
      <c r="G26">
        <f>'2 过程管理表单'!AL6</f>
        <v>19772.0547945206</v>
      </c>
      <c r="H26">
        <f>'2 过程管理表单'!AO6</f>
        <v>19134.2465753425</v>
      </c>
      <c r="I26">
        <f>'2 过程管理表单'!AR6</f>
        <v>19772.0547945206</v>
      </c>
      <c r="J26">
        <f>'2 过程管理表单'!AU6</f>
        <v>19772.0547945206</v>
      </c>
      <c r="K26">
        <f>'2 过程管理表单'!AX6</f>
        <v>19134.2465753425</v>
      </c>
      <c r="L26">
        <f>'2 过程管理表单'!BA6</f>
        <v>19772.0547945206</v>
      </c>
      <c r="M26">
        <f>'2 过程管理表单'!BD6</f>
        <v>0</v>
      </c>
      <c r="N26">
        <f>'2 过程管理表单'!BG6</f>
        <v>0</v>
      </c>
    </row>
    <row r="27" spans="1:14">
      <c r="A27" s="20" t="s">
        <v>4224</v>
      </c>
      <c r="B27" s="21" t="s">
        <v>4226</v>
      </c>
      <c r="C27">
        <f>C26</f>
        <v>19772.0547945206</v>
      </c>
      <c r="D27">
        <f>表3_3[[#This Row],[1月]]+D26</f>
        <v>37630.6849315069</v>
      </c>
      <c r="E27">
        <f>表3_3[[#This Row],[2月]]+E26</f>
        <v>57402.7397260274</v>
      </c>
      <c r="F27">
        <f>表3_3[[#This Row],[3月]]+F26</f>
        <v>76536.9863013699</v>
      </c>
      <c r="G27">
        <f>表3_3[[#This Row],[4月]]+G26</f>
        <v>96309.0410958904</v>
      </c>
      <c r="H27">
        <f>表3_3[[#This Row],[5月]]+H26</f>
        <v>115443.287671233</v>
      </c>
      <c r="I27">
        <f>表3_3[[#This Row],[6月]]+I26</f>
        <v>135215.342465753</v>
      </c>
      <c r="J27">
        <f>表3_3[[#This Row],[7月]]+J26</f>
        <v>154987.397260274</v>
      </c>
      <c r="K27">
        <f>表3_3[[#This Row],[8月]]+K26</f>
        <v>174121.643835616</v>
      </c>
      <c r="L27">
        <f>表3_3[[#This Row],[9月]]+L26</f>
        <v>193893.698630137</v>
      </c>
      <c r="M27">
        <f>表3_3[[#This Row],[10月]]+M26</f>
        <v>193893.698630137</v>
      </c>
      <c r="N27">
        <f>表3_3[[#This Row],[11月]]+N26</f>
        <v>193893.698630137</v>
      </c>
    </row>
    <row r="28" spans="1:14">
      <c r="A28" s="20" t="s">
        <v>4224</v>
      </c>
      <c r="B28" s="21" t="s">
        <v>4227</v>
      </c>
      <c r="C28">
        <f>'2 过程管理表单'!X6</f>
        <v>28244.5267924528</v>
      </c>
      <c r="D28">
        <f>'2 过程管理表单'!AA6</f>
        <v>26925.9467924528</v>
      </c>
      <c r="E28">
        <f>'2 过程管理表单'!AD6</f>
        <v>26925.9467924528</v>
      </c>
      <c r="F28">
        <f>'2 过程管理表单'!AG6</f>
        <v>26925.9467924528</v>
      </c>
      <c r="G28">
        <f>'2 过程管理表单'!AJ6</f>
        <v>26925.9467924528</v>
      </c>
      <c r="H28">
        <f>'2 过程管理表单'!AM6</f>
        <v>26925.9467924528</v>
      </c>
      <c r="I28">
        <f>'2 过程管理表单'!AP6</f>
        <v>26925.9467924528</v>
      </c>
      <c r="J28">
        <f>'2 过程管理表单'!AS6</f>
        <v>26925.9467924528</v>
      </c>
      <c r="K28">
        <f>'2 过程管理表单'!AV6</f>
        <v>26925.9467924528</v>
      </c>
      <c r="L28">
        <f>'2 过程管理表单'!AY6</f>
        <v>26925.9467924528</v>
      </c>
      <c r="M28">
        <f>'2 过程管理表单'!BB6</f>
        <v>26925.9467924528</v>
      </c>
      <c r="N28">
        <f>'2 过程管理表单'!BE6</f>
        <v>26925.9467924528</v>
      </c>
    </row>
    <row r="29" spans="1:14">
      <c r="A29" s="20" t="s">
        <v>4224</v>
      </c>
      <c r="B29" s="21" t="s">
        <v>4228</v>
      </c>
      <c r="C29">
        <f>C28</f>
        <v>28244.5267924528</v>
      </c>
      <c r="D29">
        <f>表3_3[[#This Row],[1月]]+D28</f>
        <v>55170.4735849056</v>
      </c>
      <c r="E29">
        <f>表3_3[[#This Row],[2月]]+E28</f>
        <v>82096.4203773584</v>
      </c>
      <c r="F29">
        <f>表3_3[[#This Row],[3月]]+F28</f>
        <v>109022.367169811</v>
      </c>
      <c r="G29">
        <f>表3_3[[#This Row],[4月]]+G28</f>
        <v>135948.313962264</v>
      </c>
      <c r="H29">
        <f>表3_3[[#This Row],[5月]]+H28</f>
        <v>162874.260754717</v>
      </c>
      <c r="I29">
        <f>表3_3[[#This Row],[6月]]+I28</f>
        <v>189800.20754717</v>
      </c>
      <c r="J29">
        <f>表3_3[[#This Row],[7月]]+J28</f>
        <v>216726.154339622</v>
      </c>
      <c r="K29">
        <f>表3_3[[#This Row],[8月]]+K28</f>
        <v>243652.101132075</v>
      </c>
      <c r="L29">
        <f>表3_3[[#This Row],[9月]]+L28</f>
        <v>270578.047924528</v>
      </c>
      <c r="M29">
        <f>表3_3[[#This Row],[10月]]+M28</f>
        <v>297503.994716981</v>
      </c>
      <c r="N29">
        <f>表3_3[[#This Row],[11月]]+N28</f>
        <v>324429.941509434</v>
      </c>
    </row>
    <row r="30" spans="1:14">
      <c r="A30" s="20" t="s">
        <v>4229</v>
      </c>
      <c r="B30" s="21" t="s">
        <v>4225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4229</v>
      </c>
      <c r="B31" s="21" t="s">
        <v>4226</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4229</v>
      </c>
      <c r="B32" s="21" t="s">
        <v>4227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4229</v>
      </c>
      <c r="B33" s="21" t="s">
        <v>4228</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4230</v>
      </c>
      <c r="B34" s="21" t="s">
        <v>4225</v>
      </c>
      <c r="C34" s="22">
        <f>'2 过程管理表单'!Z177</f>
        <v>0</v>
      </c>
      <c r="D34" s="22">
        <f>'2 过程管理表单'!AC177</f>
        <v>0</v>
      </c>
      <c r="E34" s="22">
        <f>'2 过程管理表单'!AF177</f>
        <v>1369.84944797591</v>
      </c>
      <c r="F34" s="22">
        <f>'2 过程管理表单'!AI177</f>
        <v>2204.08101876989</v>
      </c>
      <c r="G34" s="22">
        <f>'2 过程管理表单'!AL177</f>
        <v>3518.21342546184</v>
      </c>
      <c r="H34" s="22">
        <f>'2 过程管理表单'!AO177</f>
        <v>3404.72266980178</v>
      </c>
      <c r="I34" s="22">
        <f>'2 过程管理表单'!AR177</f>
        <v>2705.09867136348</v>
      </c>
      <c r="J34" s="22">
        <f>'2 过程管理表单'!AU177</f>
        <v>2705.09867136348</v>
      </c>
      <c r="K34" s="22">
        <f>'2 过程管理表单'!AX177</f>
        <v>2617.83742390014</v>
      </c>
      <c r="L34" s="22">
        <f>'2 过程管理表单'!BA177</f>
        <v>2705.09867136348</v>
      </c>
      <c r="M34" s="22">
        <f>'2 过程管理表单'!BD177</f>
        <v>0</v>
      </c>
      <c r="N34" s="22">
        <f>'2 过程管理表单'!BG177</f>
        <v>0</v>
      </c>
    </row>
    <row r="35" spans="1:14">
      <c r="A35" s="20" t="s">
        <v>4230</v>
      </c>
      <c r="B35" s="21" t="s">
        <v>4226</v>
      </c>
      <c r="C35" s="22">
        <f>C34</f>
        <v>0</v>
      </c>
      <c r="D35" s="22">
        <f>C35+C34</f>
        <v>0</v>
      </c>
      <c r="E35" s="22">
        <f>D35+E34</f>
        <v>1369.84944797591</v>
      </c>
      <c r="F35" s="22">
        <f>E35+F34</f>
        <v>3573.9304667458</v>
      </c>
      <c r="G35" s="22">
        <f>F35+G34</f>
        <v>7092.14389220764</v>
      </c>
      <c r="H35" s="22">
        <f t="shared" ref="H35:N35" si="7">H34+G35</f>
        <v>10496.8665620094</v>
      </c>
      <c r="I35" s="22">
        <f t="shared" si="7"/>
        <v>13201.9652333729</v>
      </c>
      <c r="J35" s="22">
        <f t="shared" si="7"/>
        <v>15907.0639047364</v>
      </c>
      <c r="K35" s="22">
        <f t="shared" si="7"/>
        <v>18524.9013286365</v>
      </c>
      <c r="L35" s="22">
        <f t="shared" si="7"/>
        <v>21230</v>
      </c>
      <c r="M35" s="22">
        <f t="shared" si="7"/>
        <v>21230</v>
      </c>
      <c r="N35" s="22">
        <f t="shared" si="7"/>
        <v>21230</v>
      </c>
    </row>
    <row r="36" spans="1:14">
      <c r="A36" s="20" t="s">
        <v>4230</v>
      </c>
      <c r="B36" s="21" t="s">
        <v>4227</v>
      </c>
      <c r="C36" s="22">
        <f>'2 过程管理表单'!X177</f>
        <v>4716.98113207547</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4230</v>
      </c>
      <c r="B37" s="21" t="s">
        <v>4228</v>
      </c>
      <c r="C37" s="14">
        <f>C36</f>
        <v>4716.98113207547</v>
      </c>
      <c r="D37" s="13">
        <f t="shared" ref="D37:N37" si="8">D36+C37</f>
        <v>4716.98113207547</v>
      </c>
      <c r="E37" s="14">
        <f t="shared" si="8"/>
        <v>4716.98113207547</v>
      </c>
      <c r="F37" s="14">
        <f t="shared" si="8"/>
        <v>4716.98113207547</v>
      </c>
      <c r="G37" s="14">
        <f t="shared" si="8"/>
        <v>4716.98113207547</v>
      </c>
      <c r="H37" s="14">
        <f t="shared" si="8"/>
        <v>4716.98113207547</v>
      </c>
      <c r="I37" s="14">
        <f t="shared" si="8"/>
        <v>4716.98113207547</v>
      </c>
      <c r="J37" s="14">
        <f t="shared" si="8"/>
        <v>4716.98113207547</v>
      </c>
      <c r="K37" s="14">
        <f t="shared" si="8"/>
        <v>4716.98113207547</v>
      </c>
      <c r="L37" s="14">
        <f t="shared" si="8"/>
        <v>4716.98113207547</v>
      </c>
      <c r="M37" s="14">
        <f t="shared" si="8"/>
        <v>4716.98113207547</v>
      </c>
      <c r="N37" s="13">
        <f t="shared" si="8"/>
        <v>4716.98113207547</v>
      </c>
    </row>
    <row r="38" spans="1:14">
      <c r="A38" s="23" t="s">
        <v>4231</v>
      </c>
      <c r="B38" s="17" t="s">
        <v>4232</v>
      </c>
      <c r="C38">
        <f>C5+C9+C13+C17+C21+C25</f>
        <v>76001.5079245283</v>
      </c>
      <c r="D38">
        <f t="shared" ref="D38:N38" si="9">D5+D9+D13+D17+D21+D25</f>
        <v>103327.454716981</v>
      </c>
      <c r="E38">
        <f t="shared" si="9"/>
        <v>130653.401509434</v>
      </c>
      <c r="F38">
        <f t="shared" si="9"/>
        <v>157979.348301887</v>
      </c>
      <c r="G38">
        <f t="shared" si="9"/>
        <v>185305.295094339</v>
      </c>
      <c r="H38">
        <f t="shared" si="9"/>
        <v>212631.241886792</v>
      </c>
      <c r="I38">
        <f t="shared" si="9"/>
        <v>239957.188679245</v>
      </c>
      <c r="J38">
        <f t="shared" si="9"/>
        <v>267283.135471698</v>
      </c>
      <c r="K38">
        <f t="shared" si="9"/>
        <v>294609.082264151</v>
      </c>
      <c r="L38">
        <f t="shared" si="9"/>
        <v>321935.029056603</v>
      </c>
      <c r="M38">
        <f t="shared" si="9"/>
        <v>349260.975849056</v>
      </c>
      <c r="N38">
        <f t="shared" si="9"/>
        <v>376586.922641509</v>
      </c>
    </row>
    <row r="39" spans="1:14">
      <c r="A39" s="23" t="s">
        <v>4231</v>
      </c>
      <c r="B39" s="17" t="s">
        <v>4233</v>
      </c>
      <c r="C39">
        <f>C3+C7+C11+C15+C19+C23</f>
        <v>19772.0547945206</v>
      </c>
      <c r="D39">
        <f t="shared" ref="D39:N39" si="10">D3+D7+D11+D15+D19+D23</f>
        <v>37630.6849315069</v>
      </c>
      <c r="E39">
        <f t="shared" si="10"/>
        <v>58772.5891740033</v>
      </c>
      <c r="F39">
        <f t="shared" si="10"/>
        <v>80110.9167681157</v>
      </c>
      <c r="G39">
        <f t="shared" si="10"/>
        <v>103401.184988098</v>
      </c>
      <c r="H39">
        <f t="shared" si="10"/>
        <v>125940.154233242</v>
      </c>
      <c r="I39">
        <f t="shared" si="10"/>
        <v>148417.307699126</v>
      </c>
      <c r="J39">
        <f t="shared" si="10"/>
        <v>170894.46116501</v>
      </c>
      <c r="K39">
        <f t="shared" si="10"/>
        <v>192646.545164253</v>
      </c>
      <c r="L39">
        <f t="shared" si="10"/>
        <v>215123.698630137</v>
      </c>
      <c r="M39">
        <f t="shared" si="10"/>
        <v>215123.698630137</v>
      </c>
      <c r="N39">
        <f t="shared" si="10"/>
        <v>215123.698630137</v>
      </c>
    </row>
    <row r="42" spans="1:14">
      <c r="A42" s="12" t="s">
        <v>214</v>
      </c>
      <c r="B42" t="s">
        <v>4234</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4234</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4234</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4234</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4234</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4234</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34" workbookViewId="0">
      <selection activeCell="K50" sqref="K50"/>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3236</v>
      </c>
      <c r="B1" s="26"/>
      <c r="C1" s="26" t="s">
        <v>3237</v>
      </c>
      <c r="D1" s="27" t="s">
        <v>3200</v>
      </c>
      <c r="E1" s="27" t="s">
        <v>3201</v>
      </c>
      <c r="F1" s="27" t="s">
        <v>3202</v>
      </c>
      <c r="G1" s="27" t="s">
        <v>3203</v>
      </c>
      <c r="H1" s="27" t="s">
        <v>3204</v>
      </c>
      <c r="I1" s="27" t="s">
        <v>3205</v>
      </c>
      <c r="J1" s="27" t="s">
        <v>3206</v>
      </c>
      <c r="K1" s="27" t="s">
        <v>3207</v>
      </c>
      <c r="L1" s="27" t="s">
        <v>3208</v>
      </c>
      <c r="M1" s="27" t="s">
        <v>3209</v>
      </c>
      <c r="N1" s="27" t="s">
        <v>3210</v>
      </c>
      <c r="O1" s="27" t="s">
        <v>3211</v>
      </c>
    </row>
    <row r="2" ht="16.5" spans="1:15">
      <c r="A2" s="17" t="s">
        <v>3238</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3239</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3240</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3241</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3242</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3243</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3244</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3245</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3246</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3247</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3248</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3249</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3250</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3251</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3252</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3253</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3254</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3255</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3256</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3257</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3258</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3259</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3260</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3261</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3262</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3263</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3264</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3265</v>
      </c>
      <c r="B29" s="31"/>
      <c r="C29" s="31" t="s">
        <v>3266</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3267</v>
      </c>
      <c r="B30" s="31"/>
      <c r="C30" s="31" t="s">
        <v>3266</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3268</v>
      </c>
      <c r="B31" s="31"/>
      <c r="C31" s="31" t="s">
        <v>3266</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3269</v>
      </c>
      <c r="B32" s="31"/>
      <c r="C32" s="31" t="s">
        <v>3266</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3270</v>
      </c>
      <c r="B33" s="31"/>
      <c r="C33" s="31" t="s">
        <v>3266</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3271</v>
      </c>
      <c r="B34" s="31"/>
      <c r="C34" s="31" t="s">
        <v>3266</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3272</v>
      </c>
      <c r="B35" s="31"/>
      <c r="C35" s="31" t="s">
        <v>3266</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2881</v>
      </c>
      <c r="B36" s="31"/>
      <c r="C36" s="31" t="s">
        <v>3266</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2380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3273</v>
      </c>
      <c r="B37" s="31"/>
      <c r="C37" s="31" t="s">
        <v>3266</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3274</v>
      </c>
      <c r="B38" s="31"/>
      <c r="C38" s="31" t="s">
        <v>3266</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3275</v>
      </c>
      <c r="B39" s="31"/>
      <c r="C39" s="31" t="s">
        <v>3266</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3276</v>
      </c>
      <c r="B40" s="31"/>
      <c r="C40" s="31" t="s">
        <v>3266</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3277</v>
      </c>
      <c r="B41" s="31"/>
      <c r="C41" s="31" t="s">
        <v>3266</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3278</v>
      </c>
      <c r="B42" s="31"/>
      <c r="C42" s="31" t="s">
        <v>3266</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3279</v>
      </c>
      <c r="B43" s="31"/>
      <c r="C43" s="31" t="s">
        <v>3266</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3280</v>
      </c>
      <c r="B44" s="31"/>
      <c r="C44" s="31" t="s">
        <v>3266</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3281</v>
      </c>
      <c r="B45" s="31"/>
      <c r="C45" s="31" t="s">
        <v>3266</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3282</v>
      </c>
      <c r="B46" s="31"/>
      <c r="C46" s="31" t="s">
        <v>3266</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3283</v>
      </c>
      <c r="B47" s="31"/>
      <c r="C47" s="31" t="s">
        <v>3266</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3284</v>
      </c>
      <c r="B48" s="31"/>
      <c r="C48" s="31" t="s">
        <v>3266</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3285</v>
      </c>
      <c r="B49" s="31"/>
      <c r="C49" s="31" t="s">
        <v>3266</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3286</v>
      </c>
      <c r="B50" s="31"/>
      <c r="C50" s="31" t="s">
        <v>3266</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3287</v>
      </c>
      <c r="B51" s="31"/>
      <c r="C51" s="31" t="s">
        <v>3266</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3288</v>
      </c>
      <c r="B52" s="31"/>
      <c r="C52" s="31" t="s">
        <v>3266</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3289</v>
      </c>
      <c r="B53" s="31"/>
      <c r="C53" s="31" t="s">
        <v>3266</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3290</v>
      </c>
      <c r="B54" s="31"/>
      <c r="C54" s="31" t="s">
        <v>3266</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3291</v>
      </c>
      <c r="B55" s="31"/>
      <c r="C55" s="31" t="s">
        <v>3266</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3292</v>
      </c>
      <c r="B56" s="31"/>
      <c r="C56" s="31" t="s">
        <v>3266</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3293</v>
      </c>
      <c r="B57" s="31"/>
      <c r="C57" s="31" t="s">
        <v>3266</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3294</v>
      </c>
      <c r="B58" s="31"/>
      <c r="C58" s="31" t="s">
        <v>3266</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3295</v>
      </c>
      <c r="B59" s="31"/>
      <c r="C59" s="31" t="s">
        <v>3266</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3296</v>
      </c>
      <c r="B60" s="31"/>
      <c r="C60" s="31" t="s">
        <v>3266</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3297</v>
      </c>
      <c r="B61" s="31"/>
      <c r="C61" s="31" t="s">
        <v>3266</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3298</v>
      </c>
      <c r="B62" s="31"/>
      <c r="C62" s="31" t="s">
        <v>3266</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3299</v>
      </c>
      <c r="B63" s="31"/>
      <c r="C63" s="31" t="s">
        <v>3266</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3300</v>
      </c>
      <c r="B64" s="31"/>
      <c r="C64" s="31" t="s">
        <v>3266</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3301</v>
      </c>
      <c r="B65" s="31"/>
      <c r="C65" s="31" t="s">
        <v>3266</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3302</v>
      </c>
      <c r="B66" s="31"/>
      <c r="C66" s="31" t="s">
        <v>3266</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3303</v>
      </c>
      <c r="B67" s="31"/>
      <c r="C67" s="31" t="s">
        <v>3266</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3304</v>
      </c>
      <c r="B68" s="31"/>
      <c r="C68" s="31" t="s">
        <v>3266</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2873</v>
      </c>
      <c r="B69" s="31"/>
      <c r="C69" s="31" t="s">
        <v>3266</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3104</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3305</v>
      </c>
      <c r="B70" s="31"/>
      <c r="C70" s="31" t="s">
        <v>3266</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3306</v>
      </c>
      <c r="B71" s="31"/>
      <c r="C71" s="31" t="s">
        <v>3266</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3307</v>
      </c>
      <c r="B72" s="31"/>
      <c r="C72" s="31" t="s">
        <v>3266</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3308</v>
      </c>
      <c r="B73" s="31"/>
      <c r="C73" s="31" t="s">
        <v>3266</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3309</v>
      </c>
      <c r="B74" s="31"/>
      <c r="C74" s="31" t="s">
        <v>3266</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3310</v>
      </c>
      <c r="B75" s="31"/>
      <c r="C75" s="31" t="s">
        <v>3266</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3311</v>
      </c>
      <c r="B76" s="31"/>
      <c r="C76" s="31" t="s">
        <v>3266</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3312</v>
      </c>
      <c r="B77" s="31"/>
      <c r="C77" s="31" t="s">
        <v>3266</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3313</v>
      </c>
      <c r="B78" s="31"/>
      <c r="C78" s="31" t="s">
        <v>3266</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3314</v>
      </c>
      <c r="B79" s="31"/>
      <c r="C79" s="31" t="s">
        <v>3266</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3315</v>
      </c>
      <c r="B80" s="31"/>
      <c r="C80" s="31" t="s">
        <v>3266</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3316</v>
      </c>
      <c r="B81" s="31"/>
      <c r="C81" s="31" t="s">
        <v>3266</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3317</v>
      </c>
      <c r="B82" s="31"/>
      <c r="C82" s="31" t="s">
        <v>3266</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3318</v>
      </c>
      <c r="B83" s="31"/>
      <c r="C83" s="31" t="s">
        <v>3266</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3319</v>
      </c>
      <c r="B84" s="31"/>
      <c r="C84" s="31" t="s">
        <v>3266</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3320</v>
      </c>
      <c r="B85" s="31"/>
      <c r="C85" s="31" t="s">
        <v>3266</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3321</v>
      </c>
      <c r="B86" s="31"/>
      <c r="C86" s="31" t="s">
        <v>3266</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3322</v>
      </c>
      <c r="B87" s="31"/>
      <c r="C87" s="31" t="s">
        <v>3266</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3323</v>
      </c>
      <c r="B88" s="31"/>
      <c r="C88" s="31" t="s">
        <v>3266</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3324</v>
      </c>
      <c r="B89" s="31"/>
      <c r="C89" s="31" t="s">
        <v>3266</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3325</v>
      </c>
      <c r="B90" s="31"/>
      <c r="C90" s="31" t="s">
        <v>3266</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3326</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3327</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3328</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3329</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3330</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3331</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3332</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3333</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3334</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3335</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3336</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3337</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3338</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3339</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3340</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3341</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3342</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3343</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3344</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3345</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3346</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3347</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3348</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3349</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3350</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3351</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3352</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3353</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3354</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3355</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3356</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3357</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3358</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3359</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3360</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3361</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3362</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3363</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3364</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3365</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3366</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3367</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3368</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3369</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3370</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3371</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3372</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3373</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3374</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3375</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3376</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3377</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3378</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3379</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3380</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3381</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3382</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3383</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3384</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3385</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3386</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3387</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3388</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3389</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3390</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3391</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3392</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3393</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3394</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3395</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3396</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3397</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3398</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3399</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3400</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3401</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3402</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3403</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3404</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3405</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3406</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3407</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3408</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3409</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3410</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3411</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3412</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3413</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3414</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3415</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3416</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3417</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3418</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3419</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3420</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3421</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3422</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3423</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3424</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3425</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3426</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3427</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3428</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3429</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3430</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3431</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3432</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3433</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3434</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3435</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3436</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3437</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3438</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3439</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3440</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3441</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3442</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3443</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3444</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3445</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3446</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3447</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3448</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3449</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3450</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3451</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3452</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3453</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3454</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3455</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3456</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3457</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3458</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3459</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3460</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3461</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3462</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3463</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3464</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3465</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3466</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3467</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3468</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3469</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3470</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3471</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3472</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3473</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3474</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3475</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3476</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3477</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3478</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3479</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3480</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3481</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3482</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3483</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3484</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3485</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3486</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3487</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3488</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3489</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3490</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3491</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3492</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3493</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3494</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3495</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3496</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3497</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3498</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3499</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3500</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3501</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3502</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3503</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3504</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3505</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3506</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3507</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3508</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3509</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3510</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3511</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3512</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3513</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3514</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3515</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3516</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3517</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3518</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3519</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3520</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3521</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3522</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3523</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3524</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3525</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3526</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3527</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3528</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3529</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3530</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3531</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3532</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3533</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3534</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3535</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3536</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3537</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3538</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3539</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3540</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3541</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3542</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3543</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3544</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3545</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3546</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3547</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3548</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3549</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3550</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3551</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3552</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3553</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3554</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3555</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3556</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3557</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3558</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3559</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3560</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3561</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3562</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3563</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3564</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3565</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3566</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3567</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3568</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3569</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3570</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3571</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3572</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3573</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3574</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3575</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3576</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3577</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3578</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3579</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3580</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3581</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3582</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3583</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3584</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3585</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3586</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3587</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3588</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3589</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3590</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3591</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3592</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3593</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3594</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3595</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3596</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3597</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3598</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3599</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3600</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3601</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3602</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3603</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3604</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3605</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3606</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3607</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3608</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3609</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3610</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3611</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3612</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3613</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3614</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3615</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3616</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3617</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3618</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3619</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3620</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3621</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3622</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3623</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3624</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3625</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3626</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3627</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3628</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3629</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3630</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3631</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3632</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3633</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3634</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3635</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3636</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3637</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3638</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3639</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3640</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3641</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3642</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3643</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3644</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3645</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3646</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3647</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3648</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3649</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3650</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3651</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3652</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3653</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3654</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3655</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3656</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3657</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3658</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3659</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3660</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3661</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3662</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3663</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3664</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3665</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3666</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3667</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3668</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3669</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3670</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3671</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3672</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3673</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3674</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3675</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3676</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3677</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3678</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3679</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3680</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3681</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3682</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3683</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3684</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3685</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3686</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3687</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3688</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3689</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3690</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3691</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3692</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3693</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3694</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3695</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3696</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3697</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3698</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3699</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3700</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3701</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3702</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3703</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3704</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3705</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3706</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3707</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3708</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3709</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3710</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3711</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3712</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3713</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3714</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3715</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3716</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3717</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3718</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3719</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3720</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3721</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3722</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3723</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3724</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3725</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3726</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3727</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3728</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3729</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3730</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3731</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3732</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3733</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3734</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3735</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3736</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3737</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3738</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3739</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3740</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3741</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3742</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3743</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3744</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3745</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3746</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3747</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3748</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3749</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3750</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3751</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3752</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3753</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3754</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3755</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3756</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3757</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3758</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3759</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3760</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3761</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3762</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3763</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3764</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3765</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3766</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3767</v>
      </c>
      <c r="B532" s="33" t="s">
        <v>1726</v>
      </c>
      <c r="C532" s="34" t="s">
        <v>3768</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3769</v>
      </c>
      <c r="B533" s="33" t="s">
        <v>1726</v>
      </c>
      <c r="C533" s="34" t="s">
        <v>3768</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3770</v>
      </c>
      <c r="B534" s="33" t="s">
        <v>1726</v>
      </c>
      <c r="C534" s="34" t="s">
        <v>3768</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3771</v>
      </c>
      <c r="B535" s="33" t="s">
        <v>1726</v>
      </c>
      <c r="C535" s="34" t="s">
        <v>3768</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3772</v>
      </c>
      <c r="B536" s="33" t="s">
        <v>1726</v>
      </c>
      <c r="C536" s="34" t="s">
        <v>3768</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3773</v>
      </c>
      <c r="B537" s="33" t="s">
        <v>1726</v>
      </c>
      <c r="C537" s="34" t="s">
        <v>3768</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3774</v>
      </c>
      <c r="B538" s="33" t="s">
        <v>1726</v>
      </c>
      <c r="C538" s="34" t="s">
        <v>3768</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3775</v>
      </c>
      <c r="B539" s="33" t="s">
        <v>1726</v>
      </c>
      <c r="C539" s="34" t="s">
        <v>3768</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3776</v>
      </c>
      <c r="B540" s="33" t="s">
        <v>1726</v>
      </c>
      <c r="C540" s="34" t="s">
        <v>3768</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3777</v>
      </c>
      <c r="B541" s="33" t="s">
        <v>1726</v>
      </c>
      <c r="C541" s="34" t="s">
        <v>3768</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3778</v>
      </c>
      <c r="B542" s="33" t="s">
        <v>1726</v>
      </c>
      <c r="C542" s="34" t="s">
        <v>3768</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3779</v>
      </c>
      <c r="B543" s="33" t="s">
        <v>1726</v>
      </c>
      <c r="C543" s="34" t="s">
        <v>3768</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3780</v>
      </c>
      <c r="B544" s="33" t="s">
        <v>1726</v>
      </c>
      <c r="C544" s="34" t="s">
        <v>3768</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3781</v>
      </c>
      <c r="B545" s="33" t="s">
        <v>1726</v>
      </c>
      <c r="C545" s="34" t="s">
        <v>3768</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3782</v>
      </c>
      <c r="B546" s="33" t="s">
        <v>1726</v>
      </c>
      <c r="C546" s="34" t="s">
        <v>3768</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3783</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3784</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3785</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3786</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3787</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3788</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3789</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3790</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3791</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3792</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3793</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3794</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3795</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3796</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3797</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3798</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3799</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3800</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3801</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3802</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3803</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3804</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3805</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3806</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3807</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3808</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3809</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3810</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3811</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3812</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3813</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3814</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3815</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3816</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3817</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3818</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3819</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3820</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3821</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3822</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3823</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3824</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3825</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3826</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3827</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3828</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3829</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3830</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3831</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3832</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3833</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3834</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3835</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3836</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3837</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3838</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3839</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3840</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3841</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3842</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3843</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3844</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3845</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3846</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3847</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3848</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3849</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3850</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3851</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3852</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3853</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3854</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3855</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3856</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3857</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3858</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3859</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3860</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3861</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3862</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3863</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3864</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3865</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3866</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3867</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3868</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3869</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3870</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3871</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3872</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3873</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3874</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3875</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3876</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3877</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3878</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3879</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3880</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3881</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3882</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3883</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3884</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3885</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3886</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3887</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3888</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3889</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3890</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3891</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3892</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3893</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3894</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3895</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3896</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3897</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3898</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3899</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3900</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3901</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3902</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3903</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3904</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3905</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3906</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3907</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3908</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3909</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3910</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3911</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3912</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3913</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3914</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3915</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3916</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3917</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3918</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3919</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3920</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3921</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3922</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3923</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3924</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3925</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3926</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3927</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3928</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3929</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3930</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3931</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3932</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3933</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3934</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3935</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3936</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3937</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3938</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3939</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3940</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3941</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3942</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3943</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3944</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3945</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3946</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3947</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3948</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3949</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3950</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3951</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3952</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3953</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3954</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3955</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3956</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3957</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3958</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3959</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3960</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3961</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3962</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3963</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3964</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3965</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3966</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3967</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3968</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3969</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3970</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3971</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3972</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3973</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3974</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3975</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3976</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3977</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3978</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3979</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3980</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3981</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3982</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3983</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3984</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3985</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3986</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3987</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3988</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3989</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3990</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3991</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3992</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3993</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3994</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3995</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3996</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3997</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3998</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3999</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4000</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4001</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4002</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4003</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4004</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4005</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4006</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4007</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4008</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4009</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4010</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4011</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4012</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4013</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4014</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4015</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4016</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4017</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4018</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4019</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4020</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4021</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4022</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4023</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4024</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4025</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4026</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4027</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4028</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4029</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4030</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4031</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4032</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4033</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4034</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4035</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4036</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4037</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4038</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4039</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4040</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4041</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4042</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4043</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4044</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4045</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4046</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4047</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4048</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4049</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4050</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4051</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4052</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4053</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4054</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4055</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4056</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4057</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4058</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4059</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4060</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4061</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4062</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4063</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4064</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4065</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4066</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4067</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4068</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4069</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4070</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4071</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4072</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4073</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4074</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4075</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4076</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4077</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4078</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4079</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4080</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4081</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4082</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4083</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4084</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4085</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4086</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4087</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4088</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4089</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4090</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4091</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4092</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4093</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4094</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4095</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4096</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4097</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4098</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4099</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4100</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4101</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4102</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4103</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4104</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4105</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4106</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4107</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4108</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4109</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4110</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4111</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4112</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4113</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4114</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4115</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4116</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4117</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4118</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4119</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4120</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4121</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4122</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4123</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4124</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4125</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4126</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4127</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4128</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4129</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4130</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4131</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4132</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4133</v>
      </c>
      <c r="B897" s="37" t="s">
        <v>1726</v>
      </c>
      <c r="C897" s="38" t="s">
        <v>3768</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4134</v>
      </c>
      <c r="B898" s="37" t="s">
        <v>1726</v>
      </c>
      <c r="C898" s="38" t="s">
        <v>3768</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4135</v>
      </c>
      <c r="B899" s="37" t="s">
        <v>1726</v>
      </c>
      <c r="C899" s="38" t="s">
        <v>3768</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4136</v>
      </c>
      <c r="B900" s="37" t="s">
        <v>1726</v>
      </c>
      <c r="C900" s="38" t="s">
        <v>3768</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4137</v>
      </c>
      <c r="B901" s="37" t="s">
        <v>1726</v>
      </c>
      <c r="C901" s="38" t="s">
        <v>3768</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4138</v>
      </c>
      <c r="B902" s="37" t="s">
        <v>1726</v>
      </c>
      <c r="C902" s="38" t="s">
        <v>3768</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4139</v>
      </c>
      <c r="B903" s="37" t="s">
        <v>1726</v>
      </c>
      <c r="C903" s="38" t="s">
        <v>3768</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4140</v>
      </c>
      <c r="B904" s="37" t="s">
        <v>1726</v>
      </c>
      <c r="C904" s="38" t="s">
        <v>3768</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4141</v>
      </c>
      <c r="B905" s="37" t="s">
        <v>1726</v>
      </c>
      <c r="C905" s="38" t="s">
        <v>3768</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4142</v>
      </c>
      <c r="B906" s="37" t="s">
        <v>1726</v>
      </c>
      <c r="C906" s="38" t="s">
        <v>3768</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4143</v>
      </c>
      <c r="B907" s="37" t="s">
        <v>1726</v>
      </c>
      <c r="C907" s="38" t="s">
        <v>3768</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4144</v>
      </c>
      <c r="B908" s="37" t="s">
        <v>1726</v>
      </c>
      <c r="C908" s="38" t="s">
        <v>3768</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4145</v>
      </c>
      <c r="B909" s="37" t="s">
        <v>1726</v>
      </c>
      <c r="C909" s="38" t="s">
        <v>3768</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4146</v>
      </c>
      <c r="B910" s="37" t="s">
        <v>1726</v>
      </c>
      <c r="C910" s="38" t="s">
        <v>3768</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4147</v>
      </c>
      <c r="B911" s="37" t="s">
        <v>1726</v>
      </c>
      <c r="C911" s="38" t="s">
        <v>3768</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4148</v>
      </c>
      <c r="B912" s="37" t="s">
        <v>1726</v>
      </c>
      <c r="C912" s="38" t="s">
        <v>3768</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4149</v>
      </c>
      <c r="B913" s="37" t="s">
        <v>1726</v>
      </c>
      <c r="C913" s="38" t="s">
        <v>3768</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4150</v>
      </c>
      <c r="B914" s="37" t="s">
        <v>1726</v>
      </c>
      <c r="C914" s="38" t="s">
        <v>3768</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4151</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4152</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4153</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4154</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4155</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4156</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4157</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4158</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4159</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4160</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4161</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4162</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4163</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4164</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4165</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4166</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4167</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4168</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4169</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4170</v>
      </c>
      <c r="B934" s="26"/>
      <c r="C934" s="42" t="s">
        <v>3266</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4171</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4172</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4173</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4174</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4175</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4176</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4177</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4178</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4179</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4180</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4181</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4182</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4183</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4184</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4185</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4186</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4187</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4188</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E21" sqref="E21"/>
    </sheetView>
  </sheetViews>
  <sheetFormatPr defaultColWidth="9" defaultRowHeight="13.5"/>
  <cols>
    <col min="1" max="1" width="14.375" customWidth="1"/>
    <col min="2" max="2" width="23.5" customWidth="1"/>
    <col min="3" max="14" width="12.8166666666667"/>
  </cols>
  <sheetData>
    <row r="1" spans="1:14">
      <c r="A1" s="11" t="s">
        <v>4197</v>
      </c>
      <c r="B1" s="17" t="s">
        <v>4198</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4199</v>
      </c>
      <c r="C2">
        <f>'2 过程管理表单'!Z5</f>
        <v>19772.0547945206</v>
      </c>
      <c r="D2">
        <f>'2 过程管理表单'!AC5</f>
        <v>17858.6301369863</v>
      </c>
      <c r="E2">
        <f>'2 过程管理表单'!AF5</f>
        <v>21141.9042424965</v>
      </c>
      <c r="F2">
        <f>'2 过程管理表单'!AI5</f>
        <v>21338.3275941124</v>
      </c>
      <c r="G2">
        <f>'2 过程管理表单'!AL5</f>
        <v>23290.2682199824</v>
      </c>
      <c r="H2">
        <f>'2 过程管理表单'!AO5</f>
        <v>22538.9692451442</v>
      </c>
      <c r="I2">
        <f>'2 过程管理表单'!AR5</f>
        <v>22477.153465884</v>
      </c>
      <c r="J2">
        <f>'2 过程管理表单'!AU5</f>
        <v>22477.153465884</v>
      </c>
      <c r="K2">
        <f>'2 过程管理表单'!AX5</f>
        <v>21752.0839992426</v>
      </c>
      <c r="L2">
        <f>'2 过程管理表单'!BA5</f>
        <v>22477.153465884</v>
      </c>
      <c r="M2">
        <f>'2 过程管理表单'!BD5</f>
        <v>0</v>
      </c>
      <c r="N2">
        <f>'2 过程管理表单'!BG4</f>
        <v>0</v>
      </c>
    </row>
    <row r="3" spans="1:14">
      <c r="A3" s="6" t="s">
        <v>214</v>
      </c>
      <c r="B3" s="17" t="s">
        <v>4200</v>
      </c>
      <c r="C3">
        <f t="shared" ref="C3:C7" si="0">C2</f>
        <v>19772.0547945206</v>
      </c>
      <c r="D3">
        <f t="shared" ref="D3:N3" si="1">C3+D2</f>
        <v>37630.6849315069</v>
      </c>
      <c r="E3">
        <f t="shared" si="1"/>
        <v>58772.5891740034</v>
      </c>
      <c r="F3">
        <f t="shared" si="1"/>
        <v>80110.9167681158</v>
      </c>
      <c r="G3">
        <f t="shared" si="1"/>
        <v>103401.184988098</v>
      </c>
      <c r="H3">
        <f t="shared" si="1"/>
        <v>125940.154233242</v>
      </c>
      <c r="I3">
        <f t="shared" si="1"/>
        <v>148417.307699126</v>
      </c>
      <c r="J3">
        <f t="shared" si="1"/>
        <v>170894.46116501</v>
      </c>
      <c r="K3">
        <f t="shared" si="1"/>
        <v>192646.545164253</v>
      </c>
      <c r="L3">
        <f t="shared" si="1"/>
        <v>215123.698630137</v>
      </c>
      <c r="M3">
        <f t="shared" si="1"/>
        <v>215123.698630137</v>
      </c>
      <c r="N3">
        <f t="shared" si="1"/>
        <v>215123.698630137</v>
      </c>
    </row>
    <row r="4" spans="1:14">
      <c r="A4" s="6" t="s">
        <v>214</v>
      </c>
      <c r="B4" s="17" t="s">
        <v>4201</v>
      </c>
      <c r="C4">
        <f>'2 过程管理表单'!X5-'2 过程管理表单'!X8-'2 过程管理表单'!X27-'2 过程管理表单'!X46-'2 过程管理表单'!X71-'2 过程管理表单'!X96-'2 过程管理表单'!X115-'2 过程管理表单'!X140-'2 过程管理表单'!X159</f>
        <v>23018.8679245283</v>
      </c>
      <c r="D4">
        <f>'2 过程管理表单'!AA5-'2 过程管理表单'!AA8-'2 过程管理表单'!AA27-'2 过程管理表单'!AA46-'2 过程管理表单'!AA71-'2 过程管理表单'!AA96-'2 过程管理表单'!AA115-'2 过程管理表单'!AA140-'2 过程管理表单'!AA159</f>
        <v>18301.8867924528</v>
      </c>
      <c r="E4">
        <f>'2 过程管理表单'!AD5-'2 过程管理表单'!AD8-'2 过程管理表单'!AD27-'2 过程管理表单'!AD46-'2 过程管理表单'!AD71-'2 过程管理表单'!AD96-'2 过程管理表单'!AD115-'2 过程管理表单'!AD140-'2 过程管理表单'!AD159</f>
        <v>18301.8867924528</v>
      </c>
      <c r="F4">
        <f>'2 过程管理表单'!AG5-'2 过程管理表单'!AG8-'2 过程管理表单'!AG27-'2 过程管理表单'!AG46-'2 过程管理表单'!AG71-'2 过程管理表单'!AG96-'2 过程管理表单'!AG115-'2 过程管理表单'!AG140-'2 过程管理表单'!AG159</f>
        <v>18301.8867924528</v>
      </c>
      <c r="G4">
        <f>'2 过程管理表单'!AJ5-'2 过程管理表单'!AJ8-'2 过程管理表单'!AJ27-'2 过程管理表单'!AJ46-'2 过程管理表单'!AJ71-'2 过程管理表单'!AJ96-'2 过程管理表单'!AJ115-'2 过程管理表单'!AJ140-'2 过程管理表单'!AJ159</f>
        <v>18301.8867924528</v>
      </c>
      <c r="H4">
        <f>'2 过程管理表单'!AM5-'2 过程管理表单'!AM8-'2 过程管理表单'!AM27-'2 过程管理表单'!AM46-'2 过程管理表单'!AM71-'2 过程管理表单'!AM96-'2 过程管理表单'!AM115-'2 过程管理表单'!AM140-'2 过程管理表单'!AM159</f>
        <v>18301.8867924528</v>
      </c>
      <c r="I4">
        <f>'2 过程管理表单'!AP5-'2 过程管理表单'!AP8-'2 过程管理表单'!AP27-'2 过程管理表单'!AP46-'2 过程管理表单'!AP71-'2 过程管理表单'!AP96-'2 过程管理表单'!AP115-'2 过程管理表单'!AP140-'2 过程管理表单'!AP159</f>
        <v>18301.8867924528</v>
      </c>
      <c r="J4">
        <f>'2 过程管理表单'!AS5-'2 过程管理表单'!AS8-'2 过程管理表单'!AS27-'2 过程管理表单'!AS46-'2 过程管理表单'!AS71-'2 过程管理表单'!AS96-'2 过程管理表单'!AS115-'2 过程管理表单'!AS140-'2 过程管理表单'!AS159</f>
        <v>18301.8867924528</v>
      </c>
      <c r="K4">
        <f>'2 过程管理表单'!AV5-'2 过程管理表单'!AV8-'2 过程管理表单'!AV27-'2 过程管理表单'!AV46-'2 过程管理表单'!AV71-'2 过程管理表单'!AV96-'2 过程管理表单'!AV115-'2 过程管理表单'!AV140-'2 过程管理表单'!AV159</f>
        <v>18301.8867924528</v>
      </c>
      <c r="L4">
        <f>'2 过程管理表单'!AY5-'2 过程管理表单'!AY8-'2 过程管理表单'!AY27-'2 过程管理表单'!AY46-'2 过程管理表单'!AY71-'2 过程管理表单'!AY96-'2 过程管理表单'!AY115-'2 过程管理表单'!AY140-'2 过程管理表单'!AY159</f>
        <v>18301.8867924528</v>
      </c>
      <c r="M4">
        <f>'2 过程管理表单'!BB5-'2 过程管理表单'!BB8-'2 过程管理表单'!BB27-'2 过程管理表单'!BB46-'2 过程管理表单'!BB71-'2 过程管理表单'!BB96-'2 过程管理表单'!BB115-'2 过程管理表单'!BB140-'2 过程管理表单'!BB159</f>
        <v>18301.8867924528</v>
      </c>
      <c r="N4">
        <f>'2 过程管理表单'!BE5-'2 过程管理表单'!BE8-'2 过程管理表单'!BE27-'2 过程管理表单'!BE46-'2 过程管理表单'!BE71-'2 过程管理表单'!BE96-'2 过程管理表单'!BE115-'2 过程管理表单'!BE140-'2 过程管理表单'!BE159</f>
        <v>18301.8867924528</v>
      </c>
    </row>
    <row r="5" spans="1:14">
      <c r="A5" s="6" t="s">
        <v>214</v>
      </c>
      <c r="B5" s="17" t="s">
        <v>4202</v>
      </c>
      <c r="C5">
        <f t="shared" si="0"/>
        <v>23018.8679245283</v>
      </c>
      <c r="D5">
        <f t="shared" ref="D5:N5" si="2">C5+D4</f>
        <v>41320.7547169811</v>
      </c>
      <c r="E5">
        <f t="shared" si="2"/>
        <v>59622.6415094339</v>
      </c>
      <c r="F5">
        <f t="shared" si="2"/>
        <v>77924.5283018867</v>
      </c>
      <c r="G5">
        <f t="shared" si="2"/>
        <v>96226.4150943395</v>
      </c>
      <c r="H5">
        <f t="shared" si="2"/>
        <v>114528.301886792</v>
      </c>
      <c r="I5">
        <f t="shared" si="2"/>
        <v>132830.188679245</v>
      </c>
      <c r="J5">
        <f t="shared" si="2"/>
        <v>151132.075471698</v>
      </c>
      <c r="K5">
        <f t="shared" si="2"/>
        <v>169433.962264151</v>
      </c>
      <c r="L5">
        <f t="shared" si="2"/>
        <v>187735.849056604</v>
      </c>
      <c r="M5">
        <f t="shared" si="2"/>
        <v>206037.735849056</v>
      </c>
      <c r="N5">
        <f t="shared" si="2"/>
        <v>224339.622641509</v>
      </c>
    </row>
    <row r="6" spans="1:14">
      <c r="A6" s="6" t="s">
        <v>9</v>
      </c>
      <c r="B6" s="18" t="s">
        <v>4203</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4204</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4205</v>
      </c>
      <c r="C8">
        <f>'2 过程管理表单'!X508</f>
        <v>42000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4206</v>
      </c>
      <c r="C9">
        <f t="shared" ref="C9:C13" si="4">C8</f>
        <v>42000</v>
      </c>
      <c r="D9">
        <f t="shared" ref="D9:N9" si="5">C9+D8</f>
        <v>42000</v>
      </c>
      <c r="E9">
        <f t="shared" si="5"/>
        <v>42000</v>
      </c>
      <c r="F9">
        <f t="shared" si="5"/>
        <v>42000</v>
      </c>
      <c r="G9">
        <f t="shared" si="5"/>
        <v>42000</v>
      </c>
      <c r="H9">
        <f t="shared" si="5"/>
        <v>42000</v>
      </c>
      <c r="I9">
        <f t="shared" si="5"/>
        <v>42000</v>
      </c>
      <c r="J9">
        <f t="shared" si="5"/>
        <v>42000</v>
      </c>
      <c r="K9">
        <f t="shared" si="5"/>
        <v>42000</v>
      </c>
      <c r="L9">
        <f t="shared" si="5"/>
        <v>42000</v>
      </c>
      <c r="M9">
        <f t="shared" si="5"/>
        <v>42000</v>
      </c>
      <c r="N9">
        <f t="shared" si="5"/>
        <v>42000</v>
      </c>
    </row>
    <row r="10" spans="1:14">
      <c r="A10" s="6" t="s">
        <v>64</v>
      </c>
      <c r="B10" s="17" t="s">
        <v>4207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4208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4209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4210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4211</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4212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4213</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4214</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4215</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4216</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4217</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4218</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4219</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4220</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4221</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4222</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4224</v>
      </c>
      <c r="B26" s="21" t="s">
        <v>4225</v>
      </c>
      <c r="C26">
        <f>'2 过程管理表单'!Z6</f>
        <v>19772.0547945206</v>
      </c>
      <c r="D26">
        <f>'2 过程管理表单'!AC6</f>
        <v>17858.6301369863</v>
      </c>
      <c r="E26">
        <f>'2 过程管理表单'!AF6</f>
        <v>19772.0547945206</v>
      </c>
      <c r="F26">
        <f>'2 过程管理表单'!AI6</f>
        <v>19134.2465753425</v>
      </c>
      <c r="G26">
        <f>'2 过程管理表单'!AL6</f>
        <v>19772.0547945206</v>
      </c>
      <c r="H26">
        <f>'2 过程管理表单'!AO6</f>
        <v>19134.2465753425</v>
      </c>
      <c r="I26">
        <f>'2 过程管理表单'!AR6</f>
        <v>19772.0547945206</v>
      </c>
      <c r="J26">
        <f>'2 过程管理表单'!AU6</f>
        <v>19772.0547945206</v>
      </c>
      <c r="K26">
        <f>'2 过程管理表单'!AX6</f>
        <v>19134.2465753425</v>
      </c>
      <c r="L26">
        <f>'2 过程管理表单'!BA6</f>
        <v>19772.0547945206</v>
      </c>
      <c r="M26">
        <f>'2 过程管理表单'!BD6</f>
        <v>0</v>
      </c>
      <c r="N26">
        <f>'2 过程管理表单'!BG6</f>
        <v>0</v>
      </c>
    </row>
    <row r="27" spans="1:14">
      <c r="A27" s="20" t="s">
        <v>4224</v>
      </c>
      <c r="B27" s="21" t="s">
        <v>4226</v>
      </c>
      <c r="C27">
        <f t="shared" ref="C27:C31" si="11">C26</f>
        <v>19772.0547945206</v>
      </c>
      <c r="D27">
        <f>表3_36[[#This Row],[1月]]+D26</f>
        <v>37630.6849315069</v>
      </c>
      <c r="E27">
        <f>表3_36[[#This Row],[2月]]+E26</f>
        <v>57402.7397260275</v>
      </c>
      <c r="F27">
        <f>表3_36[[#This Row],[3月]]+F26</f>
        <v>76536.98630137</v>
      </c>
      <c r="G27">
        <f>表3_36[[#This Row],[4月]]+G26</f>
        <v>96309.0410958906</v>
      </c>
      <c r="H27">
        <f>表3_36[[#This Row],[5月]]+H26</f>
        <v>115443.287671233</v>
      </c>
      <c r="I27">
        <f>表3_36[[#This Row],[6月]]+I26</f>
        <v>135215.342465754</v>
      </c>
      <c r="J27">
        <f>表3_36[[#This Row],[7月]]+J26</f>
        <v>154987.397260274</v>
      </c>
      <c r="K27">
        <f>表3_36[[#This Row],[8月]]+K26</f>
        <v>174121.643835617</v>
      </c>
      <c r="L27">
        <f>表3_36[[#This Row],[9月]]+L26</f>
        <v>193893.698630137</v>
      </c>
      <c r="M27">
        <f>表3_36[[#This Row],[10月]]+M26</f>
        <v>193893.698630137</v>
      </c>
      <c r="N27">
        <f>表3_36[[#This Row],[11月]]+N26</f>
        <v>193893.698630137</v>
      </c>
    </row>
    <row r="28" spans="1:14">
      <c r="A28" s="20" t="s">
        <v>4224</v>
      </c>
      <c r="B28" s="21" t="s">
        <v>4227</v>
      </c>
      <c r="C28">
        <f>'2 过程管理表单'!X6</f>
        <v>28244.5267924528</v>
      </c>
      <c r="D28">
        <f>'2 过程管理表单'!AA6</f>
        <v>26925.9467924528</v>
      </c>
      <c r="E28">
        <f>'2 过程管理表单'!AD6</f>
        <v>26925.9467924528</v>
      </c>
      <c r="F28">
        <f>'2 过程管理表单'!AG6</f>
        <v>26925.9467924528</v>
      </c>
      <c r="G28">
        <f>'2 过程管理表单'!AJ6</f>
        <v>26925.9467924528</v>
      </c>
      <c r="H28">
        <f>'2 过程管理表单'!AM6</f>
        <v>26925.9467924528</v>
      </c>
      <c r="I28">
        <f>'2 过程管理表单'!AP6</f>
        <v>26925.9467924528</v>
      </c>
      <c r="J28">
        <f>'2 过程管理表单'!AS6</f>
        <v>26925.9467924528</v>
      </c>
      <c r="K28">
        <f>'2 过程管理表单'!AV6</f>
        <v>26925.9467924528</v>
      </c>
      <c r="L28">
        <f>'2 过程管理表单'!AY6</f>
        <v>26925.9467924528</v>
      </c>
      <c r="M28">
        <f>'2 过程管理表单'!BB6</f>
        <v>26925.9467924528</v>
      </c>
      <c r="N28">
        <f>'2 过程管理表单'!BE6</f>
        <v>26925.9467924528</v>
      </c>
    </row>
    <row r="29" spans="1:14">
      <c r="A29" s="20" t="s">
        <v>4224</v>
      </c>
      <c r="B29" s="21" t="s">
        <v>4228</v>
      </c>
      <c r="C29">
        <f t="shared" si="11"/>
        <v>28244.5267924528</v>
      </c>
      <c r="D29">
        <f>表3_36[[#This Row],[1月]]+D28</f>
        <v>55170.4735849056</v>
      </c>
      <c r="E29">
        <f>表3_36[[#This Row],[2月]]+E28</f>
        <v>82096.4203773584</v>
      </c>
      <c r="F29">
        <f>表3_36[[#This Row],[3月]]+F28</f>
        <v>109022.367169811</v>
      </c>
      <c r="G29">
        <f>表3_36[[#This Row],[4月]]+G28</f>
        <v>135948.313962264</v>
      </c>
      <c r="H29">
        <f>表3_36[[#This Row],[5月]]+H28</f>
        <v>162874.260754717</v>
      </c>
      <c r="I29">
        <f>表3_36[[#This Row],[6月]]+I28</f>
        <v>189800.20754717</v>
      </c>
      <c r="J29">
        <f>表3_36[[#This Row],[7月]]+J28</f>
        <v>216726.154339622</v>
      </c>
      <c r="K29">
        <f>表3_36[[#This Row],[8月]]+K28</f>
        <v>243652.101132075</v>
      </c>
      <c r="L29">
        <f>表3_36[[#This Row],[9月]]+L28</f>
        <v>270578.047924528</v>
      </c>
      <c r="M29">
        <f>表3_36[[#This Row],[10月]]+M28</f>
        <v>297503.994716981</v>
      </c>
      <c r="N29">
        <f>表3_36[[#This Row],[11月]]+N28</f>
        <v>324429.941509434</v>
      </c>
    </row>
    <row r="30" spans="1:14">
      <c r="A30" s="20" t="s">
        <v>4229</v>
      </c>
      <c r="B30" s="21" t="s">
        <v>4225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4229</v>
      </c>
      <c r="B31" s="21" t="s">
        <v>4226</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4229</v>
      </c>
      <c r="B32" s="21" t="s">
        <v>4227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4229</v>
      </c>
      <c r="B33" s="21" t="s">
        <v>4228</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4230</v>
      </c>
      <c r="B34" s="21" t="s">
        <v>4225</v>
      </c>
      <c r="C34" s="22">
        <f>'2 过程管理表单'!Z177</f>
        <v>0</v>
      </c>
      <c r="D34" s="22">
        <f>'2 过程管理表单'!AC177</f>
        <v>0</v>
      </c>
      <c r="E34" s="22">
        <f>'2 过程管理表单'!AF177</f>
        <v>1369.84944797591</v>
      </c>
      <c r="F34" s="22">
        <f>'2 过程管理表单'!AI177</f>
        <v>2204.08101876989</v>
      </c>
      <c r="G34" s="22">
        <f>'2 过程管理表单'!AL177</f>
        <v>3518.21342546184</v>
      </c>
      <c r="H34" s="22">
        <f>'2 过程管理表单'!AO177</f>
        <v>3404.72266980178</v>
      </c>
      <c r="I34" s="22">
        <f>'2 过程管理表单'!AR177</f>
        <v>2705.09867136348</v>
      </c>
      <c r="J34" s="22">
        <f>'2 过程管理表单'!AU177</f>
        <v>2705.09867136348</v>
      </c>
      <c r="K34" s="22">
        <f>'2 过程管理表单'!AX177</f>
        <v>2617.83742390014</v>
      </c>
      <c r="L34" s="22">
        <f>'2 过程管理表单'!BA177</f>
        <v>2705.09867136348</v>
      </c>
      <c r="M34" s="22">
        <f>'2 过程管理表单'!BD177</f>
        <v>0</v>
      </c>
      <c r="N34" s="22">
        <f>'2 过程管理表单'!BG177</f>
        <v>0</v>
      </c>
    </row>
    <row r="35" spans="1:14">
      <c r="A35" s="20" t="s">
        <v>4230</v>
      </c>
      <c r="B35" s="21" t="s">
        <v>4226</v>
      </c>
      <c r="C35" s="22">
        <f t="shared" si="12"/>
        <v>0</v>
      </c>
      <c r="D35" s="22">
        <f>C35+C34</f>
        <v>0</v>
      </c>
      <c r="E35" s="22">
        <f t="shared" ref="E35:G35" si="13">D35+E34</f>
        <v>1369.84944797591</v>
      </c>
      <c r="F35" s="22">
        <f t="shared" si="13"/>
        <v>3573.9304667458</v>
      </c>
      <c r="G35" s="22">
        <f t="shared" si="13"/>
        <v>7092.14389220764</v>
      </c>
      <c r="H35" s="22">
        <f t="shared" ref="H35:N35" si="14">H34+G35</f>
        <v>10496.8665620094</v>
      </c>
      <c r="I35" s="22">
        <f t="shared" si="14"/>
        <v>13201.9652333729</v>
      </c>
      <c r="J35" s="22">
        <f t="shared" si="14"/>
        <v>15907.0639047364</v>
      </c>
      <c r="K35" s="22">
        <f t="shared" si="14"/>
        <v>18524.9013286365</v>
      </c>
      <c r="L35" s="22">
        <f t="shared" si="14"/>
        <v>21230</v>
      </c>
      <c r="M35" s="22">
        <f t="shared" si="14"/>
        <v>21230</v>
      </c>
      <c r="N35" s="22">
        <f t="shared" si="14"/>
        <v>21230</v>
      </c>
    </row>
    <row r="36" spans="1:14">
      <c r="A36" s="20" t="s">
        <v>4230</v>
      </c>
      <c r="B36" s="21" t="s">
        <v>4227</v>
      </c>
      <c r="C36" s="22">
        <f>'2 过程管理表单'!X177</f>
        <v>4716.98113207547</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4230</v>
      </c>
      <c r="B37" s="21" t="s">
        <v>4228</v>
      </c>
      <c r="C37" s="14">
        <f t="shared" si="12"/>
        <v>4716.98113207547</v>
      </c>
      <c r="D37" s="13">
        <f t="shared" ref="D37:N37" si="15">D36+C37</f>
        <v>4716.98113207547</v>
      </c>
      <c r="E37" s="14">
        <f t="shared" si="15"/>
        <v>4716.98113207547</v>
      </c>
      <c r="F37" s="14">
        <f t="shared" si="15"/>
        <v>4716.98113207547</v>
      </c>
      <c r="G37" s="14">
        <f t="shared" si="15"/>
        <v>4716.98113207547</v>
      </c>
      <c r="H37" s="14">
        <f t="shared" si="15"/>
        <v>4716.98113207547</v>
      </c>
      <c r="I37" s="14">
        <f t="shared" si="15"/>
        <v>4716.98113207547</v>
      </c>
      <c r="J37" s="14">
        <f t="shared" si="15"/>
        <v>4716.98113207547</v>
      </c>
      <c r="K37" s="14">
        <f t="shared" si="15"/>
        <v>4716.98113207547</v>
      </c>
      <c r="L37" s="14">
        <f t="shared" si="15"/>
        <v>4716.98113207547</v>
      </c>
      <c r="M37" s="14">
        <f t="shared" si="15"/>
        <v>4716.98113207547</v>
      </c>
      <c r="N37" s="13">
        <f t="shared" si="15"/>
        <v>4716.98113207547</v>
      </c>
    </row>
    <row r="38" spans="1:14">
      <c r="A38" s="23" t="s">
        <v>4231</v>
      </c>
      <c r="B38" s="17" t="s">
        <v>4232</v>
      </c>
      <c r="C38">
        <f t="shared" ref="C38:N38" si="16">C5+C9+C13+C17+C21+C25</f>
        <v>65018.8679245283</v>
      </c>
      <c r="D38">
        <f t="shared" si="16"/>
        <v>83320.7547169811</v>
      </c>
      <c r="E38">
        <f t="shared" si="16"/>
        <v>101622.641509434</v>
      </c>
      <c r="F38">
        <f t="shared" si="16"/>
        <v>119924.528301887</v>
      </c>
      <c r="G38">
        <f t="shared" si="16"/>
        <v>138226.415094339</v>
      </c>
      <c r="H38">
        <f t="shared" si="16"/>
        <v>156528.301886792</v>
      </c>
      <c r="I38">
        <f t="shared" si="16"/>
        <v>174830.188679245</v>
      </c>
      <c r="J38">
        <f t="shared" si="16"/>
        <v>193132.075471698</v>
      </c>
      <c r="K38">
        <f t="shared" si="16"/>
        <v>211433.962264151</v>
      </c>
      <c r="L38">
        <f t="shared" si="16"/>
        <v>229735.849056604</v>
      </c>
      <c r="M38">
        <f t="shared" si="16"/>
        <v>248037.735849056</v>
      </c>
      <c r="N38">
        <f t="shared" si="16"/>
        <v>266339.622641509</v>
      </c>
    </row>
    <row r="39" spans="1:14">
      <c r="A39" s="23" t="s">
        <v>4231</v>
      </c>
      <c r="B39" s="17" t="s">
        <v>4233</v>
      </c>
      <c r="C39">
        <f t="shared" ref="C39:N39" si="17">C3+C7+C11+C15+C19+C23</f>
        <v>19772.0547945206</v>
      </c>
      <c r="D39">
        <f t="shared" si="17"/>
        <v>37630.6849315069</v>
      </c>
      <c r="E39">
        <f t="shared" si="17"/>
        <v>58772.5891740034</v>
      </c>
      <c r="F39">
        <f t="shared" si="17"/>
        <v>80110.9167681158</v>
      </c>
      <c r="G39">
        <f t="shared" si="17"/>
        <v>103401.184988098</v>
      </c>
      <c r="H39">
        <f t="shared" si="17"/>
        <v>125940.154233242</v>
      </c>
      <c r="I39">
        <f t="shared" si="17"/>
        <v>148417.307699126</v>
      </c>
      <c r="J39">
        <f t="shared" si="17"/>
        <v>170894.46116501</v>
      </c>
      <c r="K39">
        <f t="shared" si="17"/>
        <v>192646.545164253</v>
      </c>
      <c r="L39">
        <f t="shared" si="17"/>
        <v>215123.698630137</v>
      </c>
      <c r="M39">
        <f t="shared" si="17"/>
        <v>215123.698630137</v>
      </c>
      <c r="N39">
        <f t="shared" si="17"/>
        <v>215123.698630137</v>
      </c>
    </row>
    <row r="40" customFormat="1"/>
    <row r="41" customFormat="1"/>
    <row r="42" spans="1:14">
      <c r="A42" s="12" t="s">
        <v>214</v>
      </c>
      <c r="B42" t="s">
        <v>4234</v>
      </c>
      <c r="C42">
        <f t="shared" ref="C42:N42" si="18">IF(C3&gt;C5,1,0)</f>
        <v>0</v>
      </c>
      <c r="D42">
        <f t="shared" si="18"/>
        <v>0</v>
      </c>
      <c r="E42">
        <f t="shared" si="18"/>
        <v>0</v>
      </c>
      <c r="F42">
        <f t="shared" si="18"/>
        <v>1</v>
      </c>
      <c r="G42">
        <f t="shared" si="18"/>
        <v>1</v>
      </c>
      <c r="H42">
        <f t="shared" si="18"/>
        <v>1</v>
      </c>
      <c r="I42">
        <f t="shared" si="18"/>
        <v>1</v>
      </c>
      <c r="J42">
        <f t="shared" si="18"/>
        <v>1</v>
      </c>
      <c r="K42">
        <f t="shared" si="18"/>
        <v>1</v>
      </c>
      <c r="L42">
        <f t="shared" si="18"/>
        <v>1</v>
      </c>
      <c r="M42">
        <f t="shared" si="18"/>
        <v>1</v>
      </c>
      <c r="N42">
        <f t="shared" si="18"/>
        <v>0</v>
      </c>
    </row>
    <row r="43" spans="1:14">
      <c r="A43" s="12" t="s">
        <v>9</v>
      </c>
      <c r="B43" t="s">
        <v>4234</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4234</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4234</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4234</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4234</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4224</v>
      </c>
      <c r="B48" t="s">
        <v>4234</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4229</v>
      </c>
      <c r="B49" t="s">
        <v>4234</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4230</v>
      </c>
      <c r="B50" t="s">
        <v>4234</v>
      </c>
      <c r="C50">
        <f t="shared" ref="C50:N50" si="26">IF(C35&gt;C37,1,0)</f>
        <v>0</v>
      </c>
      <c r="D50">
        <f t="shared" si="26"/>
        <v>0</v>
      </c>
      <c r="E50">
        <f t="shared" si="26"/>
        <v>0</v>
      </c>
      <c r="F50">
        <f t="shared" si="26"/>
        <v>0</v>
      </c>
      <c r="G50">
        <f t="shared" si="26"/>
        <v>1</v>
      </c>
      <c r="H50">
        <f t="shared" si="26"/>
        <v>1</v>
      </c>
      <c r="I50">
        <f t="shared" si="26"/>
        <v>1</v>
      </c>
      <c r="J50">
        <f t="shared" si="26"/>
        <v>1</v>
      </c>
      <c r="K50">
        <f t="shared" si="26"/>
        <v>1</v>
      </c>
      <c r="L50">
        <f t="shared" si="26"/>
        <v>1</v>
      </c>
      <c r="M50">
        <f t="shared" si="26"/>
        <v>1</v>
      </c>
      <c r="N50">
        <f t="shared" si="26"/>
        <v>1</v>
      </c>
    </row>
    <row r="51" customFormat="1" spans="2:14">
      <c r="B51" t="s">
        <v>745</v>
      </c>
      <c r="C51">
        <f t="shared" ref="C51:N51" si="27">SUM(C42:C50)</f>
        <v>0</v>
      </c>
      <c r="D51">
        <f t="shared" si="27"/>
        <v>0</v>
      </c>
      <c r="E51">
        <f t="shared" si="27"/>
        <v>0</v>
      </c>
      <c r="F51">
        <f t="shared" si="27"/>
        <v>1</v>
      </c>
      <c r="G51">
        <f t="shared" si="27"/>
        <v>2</v>
      </c>
      <c r="H51">
        <f t="shared" si="27"/>
        <v>2</v>
      </c>
      <c r="I51">
        <f t="shared" si="27"/>
        <v>2</v>
      </c>
      <c r="J51">
        <f t="shared" si="27"/>
        <v>2</v>
      </c>
      <c r="K51">
        <f t="shared" si="27"/>
        <v>2</v>
      </c>
      <c r="L51">
        <f t="shared" si="27"/>
        <v>2</v>
      </c>
      <c r="M51">
        <f t="shared" si="27"/>
        <v>2</v>
      </c>
      <c r="N51">
        <f t="shared" si="27"/>
        <v>1</v>
      </c>
    </row>
    <row r="52" customFormat="1" spans="2:14">
      <c r="B52" t="s">
        <v>4235</v>
      </c>
      <c r="C52">
        <f>C51</f>
        <v>0</v>
      </c>
      <c r="D52">
        <f t="shared" ref="D52:N52" si="28">C52+D51</f>
        <v>0</v>
      </c>
      <c r="E52">
        <f t="shared" si="28"/>
        <v>0</v>
      </c>
      <c r="F52">
        <f t="shared" si="28"/>
        <v>1</v>
      </c>
      <c r="G52">
        <f t="shared" si="28"/>
        <v>3</v>
      </c>
      <c r="H52">
        <f t="shared" si="28"/>
        <v>5</v>
      </c>
      <c r="I52">
        <f t="shared" si="28"/>
        <v>7</v>
      </c>
      <c r="J52">
        <f t="shared" si="28"/>
        <v>9</v>
      </c>
      <c r="K52">
        <f t="shared" si="28"/>
        <v>11</v>
      </c>
      <c r="L52">
        <f t="shared" si="28"/>
        <v>13</v>
      </c>
      <c r="M52">
        <f t="shared" si="28"/>
        <v>15</v>
      </c>
      <c r="N52">
        <f t="shared" si="28"/>
        <v>16</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topLeftCell="A25" workbookViewId="0">
      <selection activeCell="M60" sqref="M60"/>
    </sheetView>
  </sheetViews>
  <sheetFormatPr defaultColWidth="9" defaultRowHeight="13.5"/>
  <cols>
    <col min="1" max="1" width="25.375" customWidth="1"/>
    <col min="2" max="2" width="19.375" customWidth="1"/>
    <col min="3" max="14" width="12.8166666666667"/>
  </cols>
  <sheetData>
    <row r="1" customFormat="1" spans="1:14">
      <c r="A1" t="s">
        <v>4236</v>
      </c>
      <c r="C1" t="s">
        <v>766</v>
      </c>
      <c r="D1" t="s">
        <v>767</v>
      </c>
      <c r="E1" t="s">
        <v>768</v>
      </c>
      <c r="F1" t="s">
        <v>769</v>
      </c>
      <c r="G1" t="s">
        <v>770</v>
      </c>
      <c r="H1" t="s">
        <v>771</v>
      </c>
      <c r="I1" t="s">
        <v>772</v>
      </c>
      <c r="J1" t="s">
        <v>773</v>
      </c>
      <c r="K1" t="s">
        <v>774</v>
      </c>
      <c r="L1" t="s">
        <v>775</v>
      </c>
      <c r="M1" t="s">
        <v>776</v>
      </c>
      <c r="N1" t="s">
        <v>777</v>
      </c>
    </row>
    <row r="2" spans="1:14">
      <c r="A2" t="s">
        <v>4237</v>
      </c>
      <c r="B2" t="s">
        <v>4225</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4237</v>
      </c>
      <c r="B3" t="s">
        <v>4226</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4237</v>
      </c>
      <c r="B4" t="s">
        <v>4227</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4237</v>
      </c>
      <c r="B5" t="s">
        <v>4228</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4238</v>
      </c>
      <c r="B6" t="s">
        <v>4225</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4238</v>
      </c>
      <c r="B7" t="s">
        <v>4226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4238</v>
      </c>
      <c r="B8" t="s">
        <v>4227</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4238</v>
      </c>
      <c r="B9" t="s">
        <v>4228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4239</v>
      </c>
      <c r="B10" t="s">
        <v>4225</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4239</v>
      </c>
      <c r="B11" t="s">
        <v>4226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4239</v>
      </c>
      <c r="B12" t="s">
        <v>4227</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4239</v>
      </c>
      <c r="B13" t="s">
        <v>4228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4240</v>
      </c>
      <c r="B14" t="s">
        <v>4225</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4240</v>
      </c>
      <c r="B15" t="s">
        <v>4226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4240</v>
      </c>
      <c r="B16" t="s">
        <v>4227</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4240</v>
      </c>
      <c r="B17" t="s">
        <v>4228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4241</v>
      </c>
      <c r="B18" t="s">
        <v>4225</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4241</v>
      </c>
      <c r="B19" t="s">
        <v>4226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4241</v>
      </c>
      <c r="B20" t="s">
        <v>4227</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4241</v>
      </c>
      <c r="B21" t="s">
        <v>4228</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4242</v>
      </c>
      <c r="B22" t="s">
        <v>4225</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4242</v>
      </c>
      <c r="B23" t="s">
        <v>4226</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4242</v>
      </c>
      <c r="B24" t="s">
        <v>4227</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4242</v>
      </c>
      <c r="B25" t="s">
        <v>4228</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4243</v>
      </c>
      <c r="B26" t="s">
        <v>4225</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4243</v>
      </c>
      <c r="B27" t="s">
        <v>4226</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4243</v>
      </c>
      <c r="B28" t="s">
        <v>4227</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4243</v>
      </c>
      <c r="B29" t="s">
        <v>4228</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4244</v>
      </c>
      <c r="B30" t="s">
        <v>4225</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4244</v>
      </c>
      <c r="B31" t="s">
        <v>4226</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4244</v>
      </c>
      <c r="B32" t="s">
        <v>4227</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4244</v>
      </c>
      <c r="B33" t="s">
        <v>4228</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4245</v>
      </c>
      <c r="B34" t="s">
        <v>4225</v>
      </c>
      <c r="C34" cm="1">
        <f t="array" ref="C34">INDEX('2 过程管理表单'!$58:$58,26+(COLUMN(A1)-1)*3)</f>
        <v>14981.9178082192</v>
      </c>
      <c r="D34" cm="1">
        <f t="array" ref="D34">INDEX('2 过程管理表单'!$58:$58,26+(COLUMN(B1)-1)*3)</f>
        <v>13532.0547945205</v>
      </c>
      <c r="E34" cm="1">
        <f t="array" ref="E34">INDEX('2 过程管理表单'!$58:$58,26+(COLUMN(C1)-1)*3)</f>
        <v>14981.9178082192</v>
      </c>
      <c r="F34" cm="1">
        <f t="array" ref="F34">INDEX('2 过程管理表单'!$58:$58,26+(COLUMN(D1)-1)*3)</f>
        <v>14498.6301369863</v>
      </c>
      <c r="G34" cm="1">
        <f t="array" ref="G34">INDEX('2 过程管理表单'!$58:$58,26+(COLUMN(E1)-1)*3)</f>
        <v>14981.9178082192</v>
      </c>
      <c r="H34" cm="1">
        <f t="array" ref="H34">INDEX('2 过程管理表单'!$58:$58,26+(COLUMN(F1)-1)*3)</f>
        <v>14498.6301369863</v>
      </c>
      <c r="I34" cm="1">
        <f t="array" ref="I34">INDEX('2 过程管理表单'!$58:$58,26+(COLUMN(G1)-1)*3)</f>
        <v>14981.9178082192</v>
      </c>
      <c r="J34" cm="1">
        <f t="array" ref="J34">INDEX('2 过程管理表单'!$58:$58,26+(COLUMN(H1)-1)*3)</f>
        <v>14981.9178082192</v>
      </c>
      <c r="K34" cm="1">
        <f t="array" ref="K34">INDEX('2 过程管理表单'!$58:$58,26+(COLUMN(I1)-1)*3)</f>
        <v>14498.6301369863</v>
      </c>
      <c r="L34" cm="1">
        <f t="array" ref="L34">INDEX('2 过程管理表单'!$58:$58,26+(COLUMN(J1)-1)*3)</f>
        <v>14981.9178082192</v>
      </c>
      <c r="M34" cm="1">
        <f t="array" ref="M34">INDEX('2 过程管理表单'!$58:$58,26+(COLUMN(K1)-1)*3)</f>
        <v>0</v>
      </c>
      <c r="N34" cm="1">
        <f t="array" ref="N34">INDEX('2 过程管理表单'!$58:$58,26+(COLUMN(L1)-1)*3)</f>
        <v>0</v>
      </c>
    </row>
    <row r="35" spans="1:14">
      <c r="A35" t="s">
        <v>4245</v>
      </c>
      <c r="B35" t="s">
        <v>4226</v>
      </c>
      <c r="C35">
        <f t="shared" si="20"/>
        <v>14981.9178082192</v>
      </c>
      <c r="D35">
        <f t="shared" ref="D35:N35" si="22">C35+D34</f>
        <v>28513.9726027397</v>
      </c>
      <c r="E35">
        <f t="shared" si="22"/>
        <v>43495.8904109589</v>
      </c>
      <c r="F35">
        <f t="shared" si="22"/>
        <v>57994.5205479452</v>
      </c>
      <c r="G35">
        <f t="shared" si="22"/>
        <v>72976.4383561644</v>
      </c>
      <c r="H35">
        <f t="shared" si="22"/>
        <v>87475.0684931507</v>
      </c>
      <c r="I35">
        <f t="shared" si="22"/>
        <v>102456.98630137</v>
      </c>
      <c r="J35">
        <f t="shared" si="22"/>
        <v>117438.904109589</v>
      </c>
      <c r="K35">
        <f t="shared" si="22"/>
        <v>131937.534246575</v>
      </c>
      <c r="L35">
        <f t="shared" si="22"/>
        <v>146919.452054795</v>
      </c>
      <c r="M35">
        <f t="shared" si="22"/>
        <v>146919.452054795</v>
      </c>
      <c r="N35">
        <f t="shared" si="22"/>
        <v>146919.452054795</v>
      </c>
    </row>
    <row r="36" spans="1:14">
      <c r="A36" t="s">
        <v>4245</v>
      </c>
      <c r="B36" t="s">
        <v>4227</v>
      </c>
      <c r="C36" cm="1">
        <f t="array" ref="C36">INDEX('2 过程管理表单'!$58:$58,24+(COLUMN(A1)-1)*3)</f>
        <v>13867.9245283019</v>
      </c>
      <c r="D36" cm="1">
        <f t="array" ref="D36">INDEX('2 过程管理表单'!$58:$58,24+(COLUMN(B1)-1)*3)</f>
        <v>13867.9245283019</v>
      </c>
      <c r="E36" cm="1">
        <f t="array" ref="E36">INDEX('2 过程管理表单'!$58:$58,24+(COLUMN(C1)-1)*3)</f>
        <v>13867.9245283019</v>
      </c>
      <c r="F36" cm="1">
        <f t="array" ref="F36">INDEX('2 过程管理表单'!$58:$58,24+(COLUMN(D1)-1)*3)</f>
        <v>13867.9245283019</v>
      </c>
      <c r="G36" cm="1">
        <f t="array" ref="G36">INDEX('2 过程管理表单'!$58:$58,24+(COLUMN(E1)-1)*3)</f>
        <v>13867.9245283019</v>
      </c>
      <c r="H36" cm="1">
        <f t="array" ref="H36">INDEX('2 过程管理表单'!$58:$58,24+(COLUMN(F1)-1)*3)</f>
        <v>13867.9245283019</v>
      </c>
      <c r="I36" cm="1">
        <f t="array" ref="I36">INDEX('2 过程管理表单'!$58:$58,24+(COLUMN(G1)-1)*3)</f>
        <v>13867.9245283019</v>
      </c>
      <c r="J36" cm="1">
        <f t="array" ref="J36">INDEX('2 过程管理表单'!$58:$58,24+(COLUMN(H1)-1)*3)</f>
        <v>13867.9245283019</v>
      </c>
      <c r="K36" cm="1">
        <f t="array" ref="K36">INDEX('2 过程管理表单'!$58:$58,24+(COLUMN(I1)-1)*3)</f>
        <v>13867.9245283019</v>
      </c>
      <c r="L36" cm="1">
        <f t="array" ref="L36">INDEX('2 过程管理表单'!$58:$58,24+(COLUMN(J1)-1)*3)</f>
        <v>13867.9245283019</v>
      </c>
      <c r="M36" cm="1">
        <f t="array" ref="M36">INDEX('2 过程管理表单'!$58:$58,24+(COLUMN(K1)-1)*3)</f>
        <v>13867.9245283019</v>
      </c>
      <c r="N36" cm="1">
        <f t="array" ref="N36">INDEX('2 过程管理表单'!$58:$58,24+(COLUMN(L1)-1)*3)</f>
        <v>13867.9245283019</v>
      </c>
    </row>
    <row r="37" spans="1:14">
      <c r="A37" t="s">
        <v>4245</v>
      </c>
      <c r="B37" t="s">
        <v>4228</v>
      </c>
      <c r="C37">
        <f t="shared" si="20"/>
        <v>13867.9245283019</v>
      </c>
      <c r="D37">
        <f t="shared" ref="D37:N37" si="23">C37+D36</f>
        <v>27735.8490566038</v>
      </c>
      <c r="E37">
        <f t="shared" si="23"/>
        <v>41603.7735849057</v>
      </c>
      <c r="F37">
        <f t="shared" si="23"/>
        <v>55471.6981132076</v>
      </c>
      <c r="G37">
        <f t="shared" si="23"/>
        <v>69339.6226415095</v>
      </c>
      <c r="H37">
        <f t="shared" si="23"/>
        <v>83207.5471698114</v>
      </c>
      <c r="I37">
        <f t="shared" si="23"/>
        <v>97075.4716981133</v>
      </c>
      <c r="J37">
        <f t="shared" si="23"/>
        <v>110943.396226415</v>
      </c>
      <c r="K37">
        <f t="shared" si="23"/>
        <v>124811.320754717</v>
      </c>
      <c r="L37">
        <f t="shared" si="23"/>
        <v>138679.245283019</v>
      </c>
      <c r="M37">
        <f t="shared" si="23"/>
        <v>152547.169811321</v>
      </c>
      <c r="N37">
        <f t="shared" si="23"/>
        <v>166415.094339623</v>
      </c>
    </row>
    <row r="38" spans="1:14">
      <c r="A38" t="s">
        <v>4246</v>
      </c>
      <c r="B38" t="s">
        <v>4225</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4246</v>
      </c>
      <c r="B39" t="s">
        <v>4226</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4246</v>
      </c>
      <c r="B40" t="s">
        <v>4227</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4246</v>
      </c>
      <c r="B41" t="s">
        <v>4228</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4247</v>
      </c>
      <c r="B42" t="s">
        <v>4225</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4247</v>
      </c>
      <c r="B43" t="s">
        <v>4226</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4247</v>
      </c>
      <c r="B44" t="s">
        <v>4227</v>
      </c>
      <c r="C44" cm="1">
        <f t="array" ref="C44">INDEX('2 过程管理表单'!$71:$71,24+(COLUMN(A1)-1)*3)</f>
        <v>9942.64</v>
      </c>
      <c r="D44" cm="1">
        <f t="array" ref="D44">INDEX('2 过程管理表单'!$71:$71,24+(COLUMN(B1)-1)*3)</f>
        <v>8624.06</v>
      </c>
      <c r="E44" cm="1">
        <f t="array" ref="E44">INDEX('2 过程管理表单'!$71:$71,24+(COLUMN(C1)-1)*3)</f>
        <v>8624.06</v>
      </c>
      <c r="F44" cm="1">
        <f t="array" ref="F44">INDEX('2 过程管理表单'!$71:$71,24+(COLUMN(D1)-1)*3)</f>
        <v>8624.06</v>
      </c>
      <c r="G44" cm="1">
        <f t="array" ref="G44">INDEX('2 过程管理表单'!$71:$71,24+(COLUMN(E1)-1)*3)</f>
        <v>8624.06</v>
      </c>
      <c r="H44" cm="1">
        <f t="array" ref="H44">INDEX('2 过程管理表单'!$71:$71,24+(COLUMN(F1)-1)*3)</f>
        <v>8624.06</v>
      </c>
      <c r="I44" cm="1">
        <f t="array" ref="I44">INDEX('2 过程管理表单'!$71:$71,24+(COLUMN(G1)-1)*3)</f>
        <v>8624.06</v>
      </c>
      <c r="J44" cm="1">
        <f t="array" ref="J44">INDEX('2 过程管理表单'!$71:$71,24+(COLUMN(H1)-1)*3)</f>
        <v>8624.06</v>
      </c>
      <c r="K44" cm="1">
        <f t="array" ref="K44">INDEX('2 过程管理表单'!$71:$71,24+(COLUMN(I1)-1)*3)</f>
        <v>8624.06</v>
      </c>
      <c r="L44" cm="1">
        <f t="array" ref="L44">INDEX('2 过程管理表单'!$71:$71,24+(COLUMN(J1)-1)*3)</f>
        <v>8624.06</v>
      </c>
      <c r="M44" cm="1">
        <f t="array" ref="M44">INDEX('2 过程管理表单'!$71:$71,24+(COLUMN(K1)-1)*3)</f>
        <v>8624.06</v>
      </c>
      <c r="N44" cm="1">
        <f t="array" ref="N44">INDEX('2 过程管理表单'!$71:$71,24+(COLUMN(L1)-1)*3)</f>
        <v>8624.06</v>
      </c>
    </row>
    <row r="45" spans="1:14">
      <c r="A45" t="s">
        <v>4247</v>
      </c>
      <c r="B45" t="s">
        <v>4228</v>
      </c>
      <c r="C45">
        <f t="shared" ref="C45:C49" si="28">C44</f>
        <v>9942.64</v>
      </c>
      <c r="D45">
        <f t="shared" ref="D45:N45" si="29">C45+D44</f>
        <v>18566.7</v>
      </c>
      <c r="E45">
        <f t="shared" si="29"/>
        <v>27190.76</v>
      </c>
      <c r="F45">
        <f t="shared" si="29"/>
        <v>35814.82</v>
      </c>
      <c r="G45">
        <f t="shared" si="29"/>
        <v>44438.88</v>
      </c>
      <c r="H45">
        <f t="shared" si="29"/>
        <v>53062.94</v>
      </c>
      <c r="I45">
        <f t="shared" si="29"/>
        <v>61687</v>
      </c>
      <c r="J45">
        <f t="shared" si="29"/>
        <v>70311.06</v>
      </c>
      <c r="K45">
        <f t="shared" si="29"/>
        <v>78935.12</v>
      </c>
      <c r="L45">
        <f t="shared" si="29"/>
        <v>87559.18</v>
      </c>
      <c r="M45">
        <f t="shared" si="29"/>
        <v>96183.24</v>
      </c>
      <c r="N45">
        <f t="shared" si="29"/>
        <v>104807.3</v>
      </c>
    </row>
    <row r="46" spans="1:14">
      <c r="A46" t="s">
        <v>4248</v>
      </c>
      <c r="B46" t="s">
        <v>4225</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4248</v>
      </c>
      <c r="B47" t="s">
        <v>4226</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4248</v>
      </c>
      <c r="B48" t="s">
        <v>4227</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4248</v>
      </c>
      <c r="B49" t="s">
        <v>4228</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4249</v>
      </c>
      <c r="B50" t="s">
        <v>4225</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4249</v>
      </c>
      <c r="B51" t="s">
        <v>4226</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4249</v>
      </c>
      <c r="B52" t="s">
        <v>4227</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4249</v>
      </c>
      <c r="B53" t="s">
        <v>4228</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4250</v>
      </c>
      <c r="B54" t="s">
        <v>4225</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4250</v>
      </c>
      <c r="B55" t="s">
        <v>4226</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4250</v>
      </c>
      <c r="B56" t="s">
        <v>4227</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4250</v>
      </c>
      <c r="B57" t="s">
        <v>4228</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4251</v>
      </c>
      <c r="B58" t="s">
        <v>4225</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4251</v>
      </c>
      <c r="B59" t="s">
        <v>4226</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4251</v>
      </c>
      <c r="B60" t="s">
        <v>4227</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4251</v>
      </c>
      <c r="B61" t="s">
        <v>4228</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4252</v>
      </c>
      <c r="B62" t="s">
        <v>4225</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4252</v>
      </c>
      <c r="B63" t="s">
        <v>4226</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4252</v>
      </c>
      <c r="B64" t="s">
        <v>4227</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4252</v>
      </c>
      <c r="B65" t="s">
        <v>4228</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4253</v>
      </c>
      <c r="B66" t="s">
        <v>4225</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4253</v>
      </c>
      <c r="B67" t="s">
        <v>4226</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4253</v>
      </c>
      <c r="B68" t="s">
        <v>4227</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4253</v>
      </c>
      <c r="B69" t="s">
        <v>4228</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4254</v>
      </c>
      <c r="B70" t="s">
        <v>4225</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4254</v>
      </c>
      <c r="B71" t="s">
        <v>4226</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4254</v>
      </c>
      <c r="B72" t="s">
        <v>4227</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4254</v>
      </c>
      <c r="B73" t="s">
        <v>4228</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4255</v>
      </c>
      <c r="B74" t="s">
        <v>4225</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4255</v>
      </c>
      <c r="B75" t="s">
        <v>4226</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4255</v>
      </c>
      <c r="B76" t="s">
        <v>4227</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4255</v>
      </c>
      <c r="B77" t="s">
        <v>4228</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4256</v>
      </c>
      <c r="B78" t="s">
        <v>4225</v>
      </c>
      <c r="C78" cm="1">
        <f t="array" ref="C78">INDEX('2 过程管理表单'!$127:$127,26+(COLUMN(A1)-1)*3)</f>
        <v>4790.13698630137</v>
      </c>
      <c r="D78" cm="1">
        <f t="array" ref="D78">INDEX('2 过程管理表单'!$127:$127,26+(COLUMN(B1)-1)*3)</f>
        <v>4326.57534246575</v>
      </c>
      <c r="E78" cm="1">
        <f t="array" ref="E78">INDEX('2 过程管理表单'!$127:$127,26+(COLUMN(C1)-1)*3)</f>
        <v>4790.13698630137</v>
      </c>
      <c r="F78" cm="1">
        <f t="array" ref="F78">INDEX('2 过程管理表单'!$127:$127,26+(COLUMN(D1)-1)*3)</f>
        <v>4635.61643835616</v>
      </c>
      <c r="G78" cm="1">
        <f t="array" ref="G78">INDEX('2 过程管理表单'!$127:$127,26+(COLUMN(E1)-1)*3)</f>
        <v>4790.13698630137</v>
      </c>
      <c r="H78" cm="1">
        <f t="array" ref="H78">INDEX('2 过程管理表单'!$127:$127,26+(COLUMN(F1)-1)*3)</f>
        <v>4635.61643835616</v>
      </c>
      <c r="I78" cm="1">
        <f t="array" ref="I78">INDEX('2 过程管理表单'!$127:$127,26+(COLUMN(G1)-1)*3)</f>
        <v>4790.13698630137</v>
      </c>
      <c r="J78" cm="1">
        <f t="array" ref="J78">INDEX('2 过程管理表单'!$127:$127,26+(COLUMN(H1)-1)*3)</f>
        <v>4790.13698630137</v>
      </c>
      <c r="K78" cm="1">
        <f t="array" ref="K78">INDEX('2 过程管理表单'!$127:$127,26+(COLUMN(I1)-1)*3)</f>
        <v>4635.61643835616</v>
      </c>
      <c r="L78" cm="1">
        <f t="array" ref="L78">INDEX('2 过程管理表单'!$127:$127,26+(COLUMN(J1)-1)*3)</f>
        <v>4790.13698630137</v>
      </c>
      <c r="M78" cm="1">
        <f t="array" ref="M78">INDEX('2 过程管理表单'!$127:$127,26+(COLUMN(K1)-1)*3)</f>
        <v>0</v>
      </c>
      <c r="N78" cm="1">
        <f t="array" ref="N78">INDEX('2 过程管理表单'!$127:$127,26+(COLUMN(L1)-1)*3)</f>
        <v>0</v>
      </c>
    </row>
    <row r="79" spans="1:14">
      <c r="A79" t="s">
        <v>4256</v>
      </c>
      <c r="B79" t="s">
        <v>4226</v>
      </c>
      <c r="C79">
        <f t="shared" si="48"/>
        <v>4790.13698630137</v>
      </c>
      <c r="D79">
        <f t="shared" ref="D79:N79" si="51">C79+D78</f>
        <v>9116.71232876712</v>
      </c>
      <c r="E79">
        <f t="shared" si="51"/>
        <v>13906.8493150685</v>
      </c>
      <c r="F79">
        <f t="shared" si="51"/>
        <v>18542.4657534247</v>
      </c>
      <c r="G79">
        <f t="shared" si="51"/>
        <v>23332.602739726</v>
      </c>
      <c r="H79">
        <f t="shared" si="51"/>
        <v>27968.2191780822</v>
      </c>
      <c r="I79">
        <f t="shared" si="51"/>
        <v>32758.3561643835</v>
      </c>
      <c r="J79">
        <f t="shared" si="51"/>
        <v>37548.4931506849</v>
      </c>
      <c r="K79">
        <f t="shared" si="51"/>
        <v>42184.1095890411</v>
      </c>
      <c r="L79">
        <f t="shared" si="51"/>
        <v>46974.2465753424</v>
      </c>
      <c r="M79">
        <f t="shared" si="51"/>
        <v>46974.2465753424</v>
      </c>
      <c r="N79">
        <f t="shared" si="51"/>
        <v>46974.2465753424</v>
      </c>
    </row>
    <row r="80" spans="1:14">
      <c r="A80" t="s">
        <v>4256</v>
      </c>
      <c r="B80" t="s">
        <v>4227</v>
      </c>
      <c r="C80" cm="1">
        <f t="array" ref="C80">INDEX('2 过程管理表单'!$127:$127,24+(COLUMN(A1)-1)*3)</f>
        <v>4433.96226415094</v>
      </c>
      <c r="D80" cm="1">
        <f t="array" ref="D80">INDEX('2 过程管理表单'!$127:$127,24+(COLUMN(B1)-1)*3)</f>
        <v>4433.96226415094</v>
      </c>
      <c r="E80" cm="1">
        <f t="array" ref="E80">INDEX('2 过程管理表单'!$127:$127,24+(COLUMN(C1)-1)*3)</f>
        <v>4433.96226415094</v>
      </c>
      <c r="F80" cm="1">
        <f t="array" ref="F80">INDEX('2 过程管理表单'!$127:$127,24+(COLUMN(D1)-1)*3)</f>
        <v>4433.96226415094</v>
      </c>
      <c r="G80" cm="1">
        <f t="array" ref="G80">INDEX('2 过程管理表单'!$127:$127,24+(COLUMN(E1)-1)*3)</f>
        <v>4433.96226415094</v>
      </c>
      <c r="H80" cm="1">
        <f t="array" ref="H80">INDEX('2 过程管理表单'!$127:$127,24+(COLUMN(F1)-1)*3)</f>
        <v>4433.96226415094</v>
      </c>
      <c r="I80" cm="1">
        <f t="array" ref="I80">INDEX('2 过程管理表单'!$127:$127,24+(COLUMN(G1)-1)*3)</f>
        <v>4433.96226415094</v>
      </c>
      <c r="J80" cm="1">
        <f t="array" ref="J80">INDEX('2 过程管理表单'!$127:$127,24+(COLUMN(H1)-1)*3)</f>
        <v>4433.96226415094</v>
      </c>
      <c r="K80" cm="1">
        <f t="array" ref="K80">INDEX('2 过程管理表单'!$127:$127,24+(COLUMN(I1)-1)*3)</f>
        <v>4433.96226415094</v>
      </c>
      <c r="L80" cm="1">
        <f t="array" ref="L80">INDEX('2 过程管理表单'!$127:$127,24+(COLUMN(J1)-1)*3)</f>
        <v>4433.96226415094</v>
      </c>
      <c r="M80" cm="1">
        <f t="array" ref="M80">INDEX('2 过程管理表单'!$127:$127,24+(COLUMN(K1)-1)*3)</f>
        <v>4433.96226415094</v>
      </c>
      <c r="N80" cm="1">
        <f t="array" ref="N80">INDEX('2 过程管理表单'!$127:$127,24+(COLUMN(L1)-1)*3)</f>
        <v>4433.96226415094</v>
      </c>
    </row>
    <row r="81" spans="1:14">
      <c r="A81" t="s">
        <v>4256</v>
      </c>
      <c r="B81" t="s">
        <v>4228</v>
      </c>
      <c r="C81">
        <f t="shared" ref="C81:C85" si="52">C80</f>
        <v>4433.96226415094</v>
      </c>
      <c r="D81">
        <f t="shared" ref="D81:N81" si="53">C81+D80</f>
        <v>8867.92452830188</v>
      </c>
      <c r="E81">
        <f t="shared" si="53"/>
        <v>13301.8867924528</v>
      </c>
      <c r="F81">
        <f t="shared" si="53"/>
        <v>17735.8490566038</v>
      </c>
      <c r="G81">
        <f t="shared" si="53"/>
        <v>22169.8113207547</v>
      </c>
      <c r="H81">
        <f t="shared" si="53"/>
        <v>26603.7735849056</v>
      </c>
      <c r="I81">
        <f t="shared" si="53"/>
        <v>31037.7358490566</v>
      </c>
      <c r="J81">
        <f t="shared" si="53"/>
        <v>35471.6981132075</v>
      </c>
      <c r="K81">
        <f t="shared" si="53"/>
        <v>39905.6603773585</v>
      </c>
      <c r="L81">
        <f t="shared" si="53"/>
        <v>44339.6226415094</v>
      </c>
      <c r="M81">
        <f t="shared" si="53"/>
        <v>48773.5849056603</v>
      </c>
      <c r="N81">
        <f t="shared" si="53"/>
        <v>53207.5471698113</v>
      </c>
    </row>
    <row r="82" spans="1:14">
      <c r="A82" t="s">
        <v>4257</v>
      </c>
      <c r="B82" t="s">
        <v>4225</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4257</v>
      </c>
      <c r="B83" t="s">
        <v>4226</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4257</v>
      </c>
      <c r="B84" t="s">
        <v>4227</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4257</v>
      </c>
      <c r="B85" t="s">
        <v>4228</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4258</v>
      </c>
      <c r="B86" t="s">
        <v>4225</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4258</v>
      </c>
      <c r="B87" t="s">
        <v>4226</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4258</v>
      </c>
      <c r="B88" t="s">
        <v>4227</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4258</v>
      </c>
      <c r="B89" t="s">
        <v>4228</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4259</v>
      </c>
      <c r="B90" t="s">
        <v>4225</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4259</v>
      </c>
      <c r="B91" t="s">
        <v>4226</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4259</v>
      </c>
      <c r="B92" t="s">
        <v>4227</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4259</v>
      </c>
      <c r="B93" t="s">
        <v>4228</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4260</v>
      </c>
      <c r="B94" t="s">
        <v>4225</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4260</v>
      </c>
      <c r="B95" t="s">
        <v>4226</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4260</v>
      </c>
      <c r="B96" t="s">
        <v>4227</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4260</v>
      </c>
      <c r="B97" t="s">
        <v>4228</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4261</v>
      </c>
      <c r="B98" t="s">
        <v>4225</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4261</v>
      </c>
      <c r="B99" t="s">
        <v>4226</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4261</v>
      </c>
      <c r="B100" t="s">
        <v>4227</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4261</v>
      </c>
      <c r="B101" t="s">
        <v>4228</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4262</v>
      </c>
      <c r="B102" t="s">
        <v>4225</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4262</v>
      </c>
      <c r="B103" t="s">
        <v>4226</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4262</v>
      </c>
      <c r="B104" t="s">
        <v>4227</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4262</v>
      </c>
      <c r="B105" t="s">
        <v>4228</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4263</v>
      </c>
      <c r="B106" t="s">
        <v>4225</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4263</v>
      </c>
      <c r="B107" t="s">
        <v>4226</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4263</v>
      </c>
      <c r="B108" t="s">
        <v>4227</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4263</v>
      </c>
      <c r="B109" t="s">
        <v>4228</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4264</v>
      </c>
      <c r="B110" t="s">
        <v>4225</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4264</v>
      </c>
      <c r="B111" t="s">
        <v>4226</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4264</v>
      </c>
      <c r="B112" t="s">
        <v>4227</v>
      </c>
      <c r="C112">
        <f t="shared" ref="C112:N112" si="75">C4+C16+C28+C44+C60+C72+C88+C100</f>
        <v>9942.64</v>
      </c>
      <c r="D112">
        <f t="shared" si="75"/>
        <v>8624.06</v>
      </c>
      <c r="E112">
        <f t="shared" si="75"/>
        <v>8624.06</v>
      </c>
      <c r="F112">
        <f t="shared" si="75"/>
        <v>8624.06</v>
      </c>
      <c r="G112">
        <f t="shared" si="75"/>
        <v>8624.06</v>
      </c>
      <c r="H112">
        <f t="shared" si="75"/>
        <v>8624.06</v>
      </c>
      <c r="I112">
        <f t="shared" si="75"/>
        <v>8624.06</v>
      </c>
      <c r="J112">
        <f t="shared" si="75"/>
        <v>8624.06</v>
      </c>
      <c r="K112">
        <f t="shared" si="75"/>
        <v>8624.06</v>
      </c>
      <c r="L112">
        <f t="shared" si="75"/>
        <v>8624.06</v>
      </c>
      <c r="M112">
        <f t="shared" si="75"/>
        <v>8624.06</v>
      </c>
      <c r="N112">
        <f t="shared" si="75"/>
        <v>8624.06</v>
      </c>
    </row>
    <row r="113" spans="1:14">
      <c r="A113" t="s">
        <v>4264</v>
      </c>
      <c r="B113" t="s">
        <v>4228</v>
      </c>
      <c r="C113">
        <f t="shared" si="73"/>
        <v>9942.64</v>
      </c>
      <c r="D113">
        <f t="shared" ref="D113:N113" si="76">C113+D112</f>
        <v>18566.7</v>
      </c>
      <c r="E113">
        <f t="shared" si="76"/>
        <v>27190.76</v>
      </c>
      <c r="F113">
        <f t="shared" si="76"/>
        <v>35814.82</v>
      </c>
      <c r="G113">
        <f t="shared" si="76"/>
        <v>44438.88</v>
      </c>
      <c r="H113">
        <f t="shared" si="76"/>
        <v>53062.94</v>
      </c>
      <c r="I113">
        <f t="shared" si="76"/>
        <v>61687</v>
      </c>
      <c r="J113">
        <f t="shared" si="76"/>
        <v>70311.06</v>
      </c>
      <c r="K113">
        <f t="shared" si="76"/>
        <v>78935.12</v>
      </c>
      <c r="L113">
        <f t="shared" si="76"/>
        <v>87559.18</v>
      </c>
      <c r="M113">
        <f t="shared" si="76"/>
        <v>96183.24</v>
      </c>
      <c r="N113">
        <f t="shared" si="76"/>
        <v>104807.3</v>
      </c>
    </row>
    <row r="114" spans="1:14">
      <c r="A114" t="s">
        <v>4265</v>
      </c>
      <c r="B114" t="s">
        <v>4225</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4265</v>
      </c>
      <c r="B115" t="s">
        <v>4226</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4265</v>
      </c>
      <c r="B116" t="s">
        <v>4227</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4265</v>
      </c>
      <c r="B117" t="s">
        <v>4228</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4266</v>
      </c>
      <c r="B118" t="s">
        <v>4225</v>
      </c>
      <c r="C118">
        <f t="shared" ref="C118:N118" si="82">C10+C22+C34+C38+C50+C54+C66+C78+C82+C94+C106</f>
        <v>19772.0547945206</v>
      </c>
      <c r="D118">
        <f t="shared" si="82"/>
        <v>17858.6301369862</v>
      </c>
      <c r="E118">
        <f t="shared" si="82"/>
        <v>19772.0547945206</v>
      </c>
      <c r="F118">
        <f t="shared" si="82"/>
        <v>19134.2465753425</v>
      </c>
      <c r="G118">
        <f t="shared" si="82"/>
        <v>19772.0547945206</v>
      </c>
      <c r="H118">
        <f t="shared" si="82"/>
        <v>19134.2465753425</v>
      </c>
      <c r="I118">
        <f t="shared" si="82"/>
        <v>19772.0547945206</v>
      </c>
      <c r="J118">
        <f t="shared" si="82"/>
        <v>19772.0547945206</v>
      </c>
      <c r="K118">
        <f t="shared" si="82"/>
        <v>19134.2465753425</v>
      </c>
      <c r="L118">
        <f t="shared" si="82"/>
        <v>19772.0547945206</v>
      </c>
      <c r="M118">
        <f t="shared" si="82"/>
        <v>0</v>
      </c>
      <c r="N118">
        <f t="shared" si="82"/>
        <v>0</v>
      </c>
    </row>
    <row r="119" spans="1:14">
      <c r="A119" t="s">
        <v>4266</v>
      </c>
      <c r="B119" t="s">
        <v>4226</v>
      </c>
      <c r="C119">
        <f t="shared" si="80"/>
        <v>19772.0547945206</v>
      </c>
      <c r="D119">
        <f t="shared" ref="D119:N119" si="83">C119+D118</f>
        <v>37630.6849315068</v>
      </c>
      <c r="E119">
        <f t="shared" si="83"/>
        <v>57402.7397260274</v>
      </c>
      <c r="F119">
        <f t="shared" si="83"/>
        <v>76536.9863013698</v>
      </c>
      <c r="G119">
        <f t="shared" si="83"/>
        <v>96309.0410958904</v>
      </c>
      <c r="H119">
        <f t="shared" si="83"/>
        <v>115443.287671233</v>
      </c>
      <c r="I119">
        <f t="shared" si="83"/>
        <v>135215.342465753</v>
      </c>
      <c r="J119">
        <f t="shared" si="83"/>
        <v>154987.397260274</v>
      </c>
      <c r="K119">
        <f t="shared" si="83"/>
        <v>174121.643835617</v>
      </c>
      <c r="L119">
        <f t="shared" si="83"/>
        <v>193893.698630137</v>
      </c>
      <c r="M119">
        <f t="shared" si="83"/>
        <v>193893.698630137</v>
      </c>
      <c r="N119">
        <f t="shared" si="83"/>
        <v>193893.698630137</v>
      </c>
    </row>
    <row r="120" spans="1:14">
      <c r="A120" t="s">
        <v>4266</v>
      </c>
      <c r="B120" t="s">
        <v>4227</v>
      </c>
      <c r="C120">
        <f t="shared" ref="C120:N120" si="84">C12+C24+C36+C40+C52+C56+C80+C84+C68+C96+C108</f>
        <v>18301.8867924528</v>
      </c>
      <c r="D120">
        <f t="shared" si="84"/>
        <v>18301.8867924528</v>
      </c>
      <c r="E120">
        <f t="shared" si="84"/>
        <v>18301.8867924528</v>
      </c>
      <c r="F120">
        <f t="shared" si="84"/>
        <v>18301.8867924528</v>
      </c>
      <c r="G120">
        <f t="shared" si="84"/>
        <v>18301.8867924528</v>
      </c>
      <c r="H120">
        <f t="shared" si="84"/>
        <v>18301.8867924528</v>
      </c>
      <c r="I120">
        <f t="shared" si="84"/>
        <v>18301.8867924528</v>
      </c>
      <c r="J120">
        <f t="shared" si="84"/>
        <v>18301.8867924528</v>
      </c>
      <c r="K120">
        <f t="shared" si="84"/>
        <v>18301.8867924528</v>
      </c>
      <c r="L120">
        <f t="shared" si="84"/>
        <v>18301.8867924528</v>
      </c>
      <c r="M120">
        <f t="shared" si="84"/>
        <v>18301.8867924528</v>
      </c>
      <c r="N120">
        <f t="shared" si="84"/>
        <v>18301.8867924528</v>
      </c>
    </row>
    <row r="121" spans="1:14">
      <c r="A121" t="s">
        <v>4266</v>
      </c>
      <c r="B121" t="s">
        <v>4228</v>
      </c>
      <c r="C121">
        <f t="shared" si="80"/>
        <v>18301.8867924528</v>
      </c>
      <c r="D121">
        <f t="shared" ref="D121:N121" si="85">C121+D120</f>
        <v>36603.7735849057</v>
      </c>
      <c r="E121">
        <f t="shared" si="85"/>
        <v>54905.6603773585</v>
      </c>
      <c r="F121">
        <f t="shared" si="85"/>
        <v>73207.5471698114</v>
      </c>
      <c r="G121">
        <f t="shared" si="85"/>
        <v>91509.4339622642</v>
      </c>
      <c r="H121">
        <f t="shared" si="85"/>
        <v>109811.320754717</v>
      </c>
      <c r="I121">
        <f t="shared" si="85"/>
        <v>128113.20754717</v>
      </c>
      <c r="J121">
        <f t="shared" si="85"/>
        <v>146415.094339623</v>
      </c>
      <c r="K121">
        <f t="shared" si="85"/>
        <v>164716.981132076</v>
      </c>
      <c r="L121">
        <f t="shared" si="85"/>
        <v>183018.867924528</v>
      </c>
      <c r="M121">
        <f t="shared" si="85"/>
        <v>201320.754716981</v>
      </c>
      <c r="N121">
        <f t="shared" si="85"/>
        <v>219622.641509434</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Q20" sqref="Q20"/>
    </sheetView>
  </sheetViews>
  <sheetFormatPr defaultColWidth="9" defaultRowHeight="13.5"/>
  <cols>
    <col min="1" max="1" width="15.875" customWidth="1"/>
    <col min="2" max="2" width="14" customWidth="1"/>
    <col min="4" max="14" width="10.375"/>
  </cols>
  <sheetData>
    <row r="1" customFormat="1" spans="1:14">
      <c r="A1" t="s">
        <v>4267</v>
      </c>
      <c r="C1" t="s">
        <v>766</v>
      </c>
      <c r="D1" t="s">
        <v>767</v>
      </c>
      <c r="E1" t="s">
        <v>768</v>
      </c>
      <c r="F1" t="s">
        <v>769</v>
      </c>
      <c r="G1" t="s">
        <v>770</v>
      </c>
      <c r="H1" t="s">
        <v>771</v>
      </c>
      <c r="I1" t="s">
        <v>772</v>
      </c>
      <c r="J1" t="s">
        <v>773</v>
      </c>
      <c r="K1" t="s">
        <v>774</v>
      </c>
      <c r="L1" t="s">
        <v>775</v>
      </c>
      <c r="M1" t="s">
        <v>776</v>
      </c>
      <c r="N1" t="s">
        <v>777</v>
      </c>
    </row>
    <row r="2" spans="1:14">
      <c r="A2" t="s">
        <v>138</v>
      </c>
      <c r="B2" t="s">
        <v>4225</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4226</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4225</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4226</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3266</v>
      </c>
      <c r="B6" t="s">
        <v>4225</v>
      </c>
      <c r="C6">
        <f>SUM(物资过程计算表!D29:D90,物资过程计算表!D934)</f>
        <v>0</v>
      </c>
      <c r="D6">
        <f>SUM(物资过程计算表!E29:E90,物资过程计算表!E934)</f>
        <v>0</v>
      </c>
      <c r="E6">
        <f>SUM(物资过程计算表!F29:F90,物资过程计算表!F934)</f>
        <v>2380</v>
      </c>
      <c r="F6">
        <f>SUM(物资过程计算表!G29:G90,物资过程计算表!G934)</f>
        <v>0</v>
      </c>
      <c r="G6">
        <f>SUM(物资过程计算表!H29:H90,物资过程计算表!H934)</f>
        <v>0</v>
      </c>
      <c r="H6">
        <f>SUM(物资过程计算表!I29:I90,物资过程计算表!I934)</f>
        <v>3104</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3266</v>
      </c>
      <c r="B7" t="s">
        <v>4226</v>
      </c>
      <c r="C7">
        <f t="shared" si="0"/>
        <v>0</v>
      </c>
      <c r="D7">
        <f t="shared" ref="D7:N7" si="3">C7+D6</f>
        <v>0</v>
      </c>
      <c r="E7">
        <f t="shared" si="3"/>
        <v>2380</v>
      </c>
      <c r="F7">
        <f t="shared" si="3"/>
        <v>2380</v>
      </c>
      <c r="G7">
        <f t="shared" si="3"/>
        <v>2380</v>
      </c>
      <c r="H7">
        <f t="shared" si="3"/>
        <v>5484</v>
      </c>
      <c r="I7">
        <f t="shared" si="3"/>
        <v>5484</v>
      </c>
      <c r="J7">
        <f t="shared" si="3"/>
        <v>5484</v>
      </c>
      <c r="K7">
        <f t="shared" si="3"/>
        <v>5484</v>
      </c>
      <c r="L7">
        <f t="shared" si="3"/>
        <v>5484</v>
      </c>
      <c r="M7">
        <f t="shared" si="3"/>
        <v>5484</v>
      </c>
      <c r="N7">
        <f t="shared" si="3"/>
        <v>5484</v>
      </c>
    </row>
    <row r="8" spans="1:14">
      <c r="A8" t="s">
        <v>2071</v>
      </c>
      <c r="B8" t="s">
        <v>4225</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4226</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3768</v>
      </c>
      <c r="B10" t="s">
        <v>4225</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3768</v>
      </c>
      <c r="B11" t="s">
        <v>4226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4268</v>
      </c>
      <c r="B12" t="s">
        <v>4225</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4268</v>
      </c>
      <c r="B13" t="s">
        <v>4226</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4269</v>
      </c>
      <c r="B14" t="s">
        <v>4225</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4269</v>
      </c>
      <c r="B15" t="s">
        <v>4226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4270</v>
      </c>
      <c r="B16" t="s">
        <v>4225</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4270</v>
      </c>
      <c r="B17" t="s">
        <v>4226</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4271</v>
      </c>
      <c r="B18" t="s">
        <v>4225</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4271</v>
      </c>
      <c r="B19" t="s">
        <v>4226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4272</v>
      </c>
      <c r="B21" t="s">
        <v>4225</v>
      </c>
      <c r="C21">
        <f t="shared" ref="C21:N21" si="12">SUM(C2,C4,C6,C8,C10,C12,C14,C16,C18)</f>
        <v>0</v>
      </c>
      <c r="D21">
        <f t="shared" si="12"/>
        <v>0</v>
      </c>
      <c r="E21">
        <f t="shared" si="12"/>
        <v>2380</v>
      </c>
      <c r="F21">
        <f t="shared" si="12"/>
        <v>0</v>
      </c>
      <c r="G21">
        <f t="shared" si="12"/>
        <v>0</v>
      </c>
      <c r="H21">
        <f t="shared" si="12"/>
        <v>3104</v>
      </c>
      <c r="I21">
        <f t="shared" si="12"/>
        <v>0</v>
      </c>
      <c r="J21">
        <f t="shared" si="12"/>
        <v>0</v>
      </c>
      <c r="K21">
        <f t="shared" si="12"/>
        <v>0</v>
      </c>
      <c r="L21">
        <f t="shared" si="12"/>
        <v>0</v>
      </c>
      <c r="M21">
        <f t="shared" si="12"/>
        <v>0</v>
      </c>
      <c r="N21">
        <f t="shared" si="12"/>
        <v>0</v>
      </c>
    </row>
    <row r="22" customFormat="1" spans="2:14">
      <c r="B22" t="s">
        <v>4226</v>
      </c>
      <c r="C22">
        <f t="shared" ref="C22:N22" si="13">SUM(C3,C5,C7,C9,C11,C13,C15,C17,C19)</f>
        <v>0</v>
      </c>
      <c r="D22">
        <f t="shared" si="13"/>
        <v>0</v>
      </c>
      <c r="E22">
        <f t="shared" si="13"/>
        <v>2380</v>
      </c>
      <c r="F22">
        <f t="shared" si="13"/>
        <v>2380</v>
      </c>
      <c r="G22">
        <f t="shared" si="13"/>
        <v>2380</v>
      </c>
      <c r="H22">
        <f t="shared" si="13"/>
        <v>5484</v>
      </c>
      <c r="I22">
        <f t="shared" si="13"/>
        <v>5484</v>
      </c>
      <c r="J22">
        <f t="shared" si="13"/>
        <v>5484</v>
      </c>
      <c r="K22">
        <f t="shared" si="13"/>
        <v>5484</v>
      </c>
      <c r="L22">
        <f t="shared" si="13"/>
        <v>5484</v>
      </c>
      <c r="M22">
        <f t="shared" si="13"/>
        <v>5484</v>
      </c>
      <c r="N22">
        <f t="shared" si="13"/>
        <v>5484</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4197</v>
      </c>
      <c r="B1" s="10" t="s">
        <v>4198</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4207</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4208</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4209</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4210</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4207</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4208</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4209</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4210</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4207</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4208</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4209</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4210</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4207</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4208</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4209</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4210</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4207</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4208</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4209</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4210</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4207</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4208</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4209</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4210</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4207</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4208</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4209</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4210</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4207</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4208</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4209</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4210</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4207</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4208</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4209</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4210</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4207</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4208</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4209</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4210</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4207</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4208</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4209</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4210</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4197</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4</v>
      </c>
      <c r="C2" s="6">
        <f>COUNTIF('2 过程管理表单'!AB6:AB507,"&lt;"&amp;0)</f>
        <v>0</v>
      </c>
      <c r="D2" s="6">
        <f>COUNTIF('2 过程管理表单'!AE6:AE507,"&lt;"&amp;0)</f>
        <v>8</v>
      </c>
      <c r="E2" s="6">
        <f>COUNTIF('2 过程管理表单'!AH6:AH507,"&lt;"&amp;0)</f>
        <v>11</v>
      </c>
      <c r="F2" s="6">
        <f>COUNTIF('2 过程管理表单'!AK6:AK507,"&lt;"&amp;0)</f>
        <v>11</v>
      </c>
      <c r="G2" s="6">
        <f>COUNTIF('2 过程管理表单'!AN6:AN507,"&lt;"&amp;0)</f>
        <v>11</v>
      </c>
      <c r="H2" s="6">
        <f>COUNTIF('2 过程管理表单'!AQ6:AQ507,"&lt;"&amp;0)</f>
        <v>10</v>
      </c>
      <c r="I2" s="6">
        <f>COUNTIF('2 过程管理表单'!AT6:AT507,"&lt;"&amp;0)</f>
        <v>10</v>
      </c>
      <c r="J2" s="6">
        <f>COUNTIF('2 过程管理表单'!AW6:AW507,"&lt;"&amp;0)</f>
        <v>10</v>
      </c>
      <c r="K2" s="6">
        <f>COUNTIF('2 过程管理表单'!AW6:AW507,"&lt;"&amp;0)</f>
        <v>10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4223</v>
      </c>
      <c r="B8" s="6">
        <f>B2+B3+B4+B5+B6+B7</f>
        <v>4</v>
      </c>
      <c r="C8" s="6">
        <f t="shared" ref="C8:M8" si="0">SUM(C2:C7)</f>
        <v>0</v>
      </c>
      <c r="D8" s="6">
        <f t="shared" si="0"/>
        <v>8</v>
      </c>
      <c r="E8" s="6">
        <f t="shared" si="0"/>
        <v>11</v>
      </c>
      <c r="F8" s="6">
        <f t="shared" si="0"/>
        <v>11</v>
      </c>
      <c r="G8" s="6">
        <f t="shared" si="0"/>
        <v>11</v>
      </c>
      <c r="H8" s="6">
        <f t="shared" si="0"/>
        <v>10</v>
      </c>
      <c r="I8" s="6">
        <f t="shared" si="0"/>
        <v>10</v>
      </c>
      <c r="J8" s="6">
        <f t="shared" si="0"/>
        <v>10</v>
      </c>
      <c r="K8" s="6">
        <f t="shared" si="0"/>
        <v>10</v>
      </c>
      <c r="L8" s="6">
        <f t="shared" si="0"/>
        <v>0</v>
      </c>
      <c r="M8" s="6">
        <f t="shared" si="0"/>
        <v>0</v>
      </c>
    </row>
    <row r="9" spans="1:13">
      <c r="A9" s="7" t="s">
        <v>4273</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4274</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4275</v>
      </c>
      <c r="B17" s="8">
        <f>B8</f>
        <v>4</v>
      </c>
      <c r="C17" s="8">
        <f t="shared" ref="C17:M17" si="2">B17+C8</f>
        <v>4</v>
      </c>
      <c r="D17" s="8">
        <f t="shared" si="2"/>
        <v>12</v>
      </c>
      <c r="E17" s="8">
        <f t="shared" si="2"/>
        <v>23</v>
      </c>
      <c r="F17" s="8">
        <f t="shared" si="2"/>
        <v>34</v>
      </c>
      <c r="G17" s="8">
        <f t="shared" si="2"/>
        <v>45</v>
      </c>
      <c r="H17" s="8">
        <f t="shared" si="2"/>
        <v>55</v>
      </c>
      <c r="I17" s="8">
        <f t="shared" si="2"/>
        <v>65</v>
      </c>
      <c r="J17" s="8">
        <f t="shared" si="2"/>
        <v>75</v>
      </c>
      <c r="K17" s="8">
        <f t="shared" si="2"/>
        <v>85</v>
      </c>
      <c r="L17" s="8">
        <f t="shared" si="2"/>
        <v>85</v>
      </c>
      <c r="M17" s="8">
        <f t="shared" si="2"/>
        <v>85</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4225</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4226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4227</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4228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4225</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4226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4227</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4228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4225</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4226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4227</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4228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4225</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4226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4227</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4228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4225</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4226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4227</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4228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4225</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4226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4227</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4228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4225</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4226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4227</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4228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4225</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4226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4227</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4228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4276</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4277</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4278</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4279</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4225</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4226</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4227</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4228</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4225</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4226</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4227</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4228</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4225</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4226</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4227</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4228</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4225</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4226</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4227</v>
      </c>
      <c r="C16" s="2" cm="1">
        <f t="array" ref="C16">INDEX('2 过程管理表单'!$71:$71,24+(COLUMN(A9)-1)*3)</f>
        <v>9942.64</v>
      </c>
      <c r="D16" s="2" cm="1">
        <f t="array" ref="D16">INDEX('2 过程管理表单'!$71:$71,24+(COLUMN(B9)-1)*3)</f>
        <v>8624.06</v>
      </c>
      <c r="E16" s="2" cm="1">
        <f t="array" ref="E16">INDEX('2 过程管理表单'!$71:$71,24+(COLUMN(C9)-1)*3)</f>
        <v>8624.06</v>
      </c>
      <c r="F16" s="2" cm="1">
        <f t="array" ref="F16">INDEX('2 过程管理表单'!$71:$71,24+(COLUMN(D9)-1)*3)</f>
        <v>8624.06</v>
      </c>
      <c r="G16" s="2" cm="1">
        <f t="array" ref="G16">INDEX('2 过程管理表单'!$71:$71,24+(COLUMN(E9)-1)*3)</f>
        <v>8624.06</v>
      </c>
      <c r="H16" s="2" cm="1">
        <f t="array" ref="H16">INDEX('2 过程管理表单'!$71:$71,24+(COLUMN(F9)-1)*3)</f>
        <v>8624.06</v>
      </c>
      <c r="I16" s="2" cm="1">
        <f t="array" ref="I16">INDEX('2 过程管理表单'!$71:$71,24+(COLUMN(G9)-1)*3)</f>
        <v>8624.06</v>
      </c>
      <c r="J16" s="2" cm="1">
        <f t="array" ref="J16">INDEX('2 过程管理表单'!$71:$71,24+(COLUMN(H9)-1)*3)</f>
        <v>8624.06</v>
      </c>
      <c r="K16" s="2" cm="1">
        <f t="array" ref="K16">INDEX('2 过程管理表单'!$71:$71,24+(COLUMN(I9)-1)*3)</f>
        <v>8624.06</v>
      </c>
      <c r="L16" s="2" cm="1">
        <f t="array" ref="L16">INDEX('2 过程管理表单'!$71:$71,24+(COLUMN(J9)-1)*3)</f>
        <v>8624.06</v>
      </c>
      <c r="M16" s="2" cm="1">
        <f t="array" ref="M16">INDEX('2 过程管理表单'!$71:$71,24+(COLUMN(K9)-1)*3)</f>
        <v>8624.06</v>
      </c>
      <c r="N16" s="2" cm="1">
        <f t="array" ref="N16">INDEX('2 过程管理表单'!$71:$71,24+(COLUMN(L9)-1)*3)</f>
        <v>8624.06</v>
      </c>
    </row>
    <row r="17" spans="1:14">
      <c r="A17" t="s">
        <v>118</v>
      </c>
      <c r="B17" t="s">
        <v>4228</v>
      </c>
      <c r="C17" s="2">
        <f>C16</f>
        <v>9942.64</v>
      </c>
      <c r="D17" s="2">
        <f>C17+D16</f>
        <v>18566.7</v>
      </c>
      <c r="E17" s="2">
        <f t="shared" ref="E17:N17" si="7">D17+E16</f>
        <v>27190.76</v>
      </c>
      <c r="F17" s="2">
        <f t="shared" si="7"/>
        <v>35814.82</v>
      </c>
      <c r="G17" s="2">
        <f t="shared" si="7"/>
        <v>44438.88</v>
      </c>
      <c r="H17" s="2">
        <f t="shared" si="7"/>
        <v>53062.94</v>
      </c>
      <c r="I17" s="2">
        <f t="shared" si="7"/>
        <v>61687</v>
      </c>
      <c r="J17" s="2">
        <f t="shared" si="7"/>
        <v>70311.06</v>
      </c>
      <c r="K17" s="2">
        <f t="shared" si="7"/>
        <v>78935.12</v>
      </c>
      <c r="L17" s="2">
        <f t="shared" si="7"/>
        <v>87559.18</v>
      </c>
      <c r="M17" s="2">
        <f t="shared" si="7"/>
        <v>96183.24</v>
      </c>
      <c r="N17" s="2">
        <f t="shared" si="7"/>
        <v>104807.3</v>
      </c>
    </row>
    <row r="18" spans="1:14">
      <c r="A18" t="s">
        <v>121</v>
      </c>
      <c r="B18" t="s">
        <v>4225</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4226</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4227</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4228</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4225</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4226</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4227</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4228</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4225</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4226</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4227</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4228</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4225</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4226</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4227</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4228</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4276</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4277</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4278</v>
      </c>
      <c r="C36" s="3">
        <f t="shared" ref="C36:N36" si="18">C4+C8+C12+C16+C20+C24+C28+C32</f>
        <v>9942.64</v>
      </c>
      <c r="D36" s="3">
        <f t="shared" si="18"/>
        <v>8624.06</v>
      </c>
      <c r="E36" s="3">
        <f t="shared" si="18"/>
        <v>8624.06</v>
      </c>
      <c r="F36" s="3">
        <f t="shared" si="18"/>
        <v>8624.06</v>
      </c>
      <c r="G36" s="3">
        <f t="shared" si="18"/>
        <v>8624.06</v>
      </c>
      <c r="H36" s="3">
        <f t="shared" si="18"/>
        <v>8624.06</v>
      </c>
      <c r="I36" s="3">
        <f t="shared" si="18"/>
        <v>8624.06</v>
      </c>
      <c r="J36" s="3">
        <f t="shared" si="18"/>
        <v>8624.06</v>
      </c>
      <c r="K36" s="3">
        <f t="shared" si="18"/>
        <v>8624.06</v>
      </c>
      <c r="L36" s="3">
        <f t="shared" si="18"/>
        <v>8624.06</v>
      </c>
      <c r="M36" s="3">
        <f t="shared" si="18"/>
        <v>8624.06</v>
      </c>
      <c r="N36" s="3">
        <f t="shared" si="18"/>
        <v>8624.06</v>
      </c>
    </row>
    <row r="37" spans="2:14">
      <c r="B37" t="s">
        <v>4279</v>
      </c>
      <c r="C37" s="2">
        <f>C36</f>
        <v>9942.64</v>
      </c>
      <c r="D37" s="2">
        <f>C37+D36</f>
        <v>18566.7</v>
      </c>
      <c r="E37" s="2">
        <f t="shared" ref="E37:N37" si="19">D37+E36</f>
        <v>27190.76</v>
      </c>
      <c r="F37" s="2">
        <f t="shared" si="19"/>
        <v>35814.82</v>
      </c>
      <c r="G37" s="2">
        <f t="shared" si="19"/>
        <v>44438.88</v>
      </c>
      <c r="H37" s="2">
        <f t="shared" si="19"/>
        <v>53062.94</v>
      </c>
      <c r="I37" s="2">
        <f t="shared" si="19"/>
        <v>61687</v>
      </c>
      <c r="J37" s="2">
        <f t="shared" si="19"/>
        <v>70311.06</v>
      </c>
      <c r="K37" s="2">
        <f t="shared" si="19"/>
        <v>78935.12</v>
      </c>
      <c r="L37" s="2">
        <f t="shared" si="19"/>
        <v>87559.18</v>
      </c>
      <c r="M37" s="2">
        <f t="shared" si="19"/>
        <v>96183.24</v>
      </c>
      <c r="N37" s="2">
        <f t="shared" si="19"/>
        <v>104807.3</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4280</v>
      </c>
      <c r="C1" t="s">
        <v>766</v>
      </c>
      <c r="D1" t="s">
        <v>767</v>
      </c>
      <c r="E1" t="s">
        <v>768</v>
      </c>
      <c r="F1" t="s">
        <v>769</v>
      </c>
      <c r="G1" t="s">
        <v>770</v>
      </c>
      <c r="H1" t="s">
        <v>771</v>
      </c>
      <c r="I1" t="s">
        <v>772</v>
      </c>
      <c r="J1" t="s">
        <v>773</v>
      </c>
      <c r="K1" t="s">
        <v>774</v>
      </c>
      <c r="L1" t="s">
        <v>775</v>
      </c>
      <c r="M1" t="s">
        <v>776</v>
      </c>
      <c r="N1" t="s">
        <v>777</v>
      </c>
    </row>
    <row r="2" spans="1:14">
      <c r="A2" t="s">
        <v>18</v>
      </c>
      <c r="B2" t="s">
        <v>4225</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4226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4227</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4228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4225</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4226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4227</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4228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4225</v>
      </c>
      <c r="C10" cm="1">
        <f t="array" ref="C10">INDEX('2 过程管理表单'!$58:$58,26+(COLUMN(A1)-1)*3)</f>
        <v>14981.9178082192</v>
      </c>
      <c r="D10" cm="1">
        <f t="array" ref="D10">INDEX('2 过程管理表单'!$58:$58,26+(COLUMN(B1)-1)*3)</f>
        <v>13532.0547945205</v>
      </c>
      <c r="E10" cm="1">
        <f t="array" ref="E10">INDEX('2 过程管理表单'!$58:$58,26+(COLUMN(C1)-1)*3)</f>
        <v>14981.9178082192</v>
      </c>
      <c r="F10" cm="1">
        <f t="array" ref="F10">INDEX('2 过程管理表单'!$58:$58,26+(COLUMN(D1)-1)*3)</f>
        <v>14498.6301369863</v>
      </c>
      <c r="G10" cm="1">
        <f t="array" ref="G10">INDEX('2 过程管理表单'!$58:$58,26+(COLUMN(E1)-1)*3)</f>
        <v>14981.9178082192</v>
      </c>
      <c r="H10" cm="1">
        <f t="array" ref="H10">INDEX('2 过程管理表单'!$58:$58,26+(COLUMN(F1)-1)*3)</f>
        <v>14498.6301369863</v>
      </c>
      <c r="I10" cm="1">
        <f t="array" ref="I10">INDEX('2 过程管理表单'!$58:$58,26+(COLUMN(G1)-1)*3)</f>
        <v>14981.9178082192</v>
      </c>
      <c r="J10" cm="1">
        <f t="array" ref="J10">INDEX('2 过程管理表单'!$58:$58,26+(COLUMN(H1)-1)*3)</f>
        <v>14981.9178082192</v>
      </c>
      <c r="K10" cm="1">
        <f t="array" ref="K10">INDEX('2 过程管理表单'!$58:$58,26+(COLUMN(I1)-1)*3)</f>
        <v>14498.6301369863</v>
      </c>
      <c r="L10" cm="1">
        <f t="array" ref="L10">INDEX('2 过程管理表单'!$58:$58,26+(COLUMN(J1)-1)*3)</f>
        <v>14981.9178082192</v>
      </c>
      <c r="M10" cm="1">
        <f t="array" ref="M10">INDEX('2 过程管理表单'!$58:$58,26+(COLUMN(K1)-1)*3)</f>
        <v>0</v>
      </c>
      <c r="N10" cm="1">
        <f t="array" ref="N10">INDEX('2 过程管理表单'!$58:$58,26+(COLUMN(L1)-1)*3)</f>
        <v>0</v>
      </c>
    </row>
    <row r="11" spans="1:14">
      <c r="A11" t="s">
        <v>14</v>
      </c>
      <c r="B11" t="s">
        <v>4226</v>
      </c>
      <c r="C11">
        <f>C10</f>
        <v>14981.9178082192</v>
      </c>
      <c r="D11">
        <f>C11+D10</f>
        <v>28513.9726027397</v>
      </c>
      <c r="E11">
        <f t="shared" ref="E11:N11" si="4">D11+E10</f>
        <v>43495.8904109589</v>
      </c>
      <c r="F11">
        <f t="shared" si="4"/>
        <v>57994.5205479452</v>
      </c>
      <c r="G11">
        <f t="shared" si="4"/>
        <v>72976.4383561644</v>
      </c>
      <c r="H11">
        <f t="shared" si="4"/>
        <v>87475.0684931507</v>
      </c>
      <c r="I11">
        <f t="shared" si="4"/>
        <v>102456.98630137</v>
      </c>
      <c r="J11">
        <f t="shared" si="4"/>
        <v>117438.904109589</v>
      </c>
      <c r="K11">
        <f t="shared" si="4"/>
        <v>131937.534246575</v>
      </c>
      <c r="L11">
        <f t="shared" si="4"/>
        <v>146919.452054795</v>
      </c>
      <c r="M11">
        <f t="shared" si="4"/>
        <v>146919.452054795</v>
      </c>
      <c r="N11">
        <f t="shared" si="4"/>
        <v>146919.452054795</v>
      </c>
    </row>
    <row r="12" spans="1:14">
      <c r="A12" t="s">
        <v>14</v>
      </c>
      <c r="B12" t="s">
        <v>4227</v>
      </c>
      <c r="C12" cm="1">
        <f t="array" ref="C12">INDEX('2 过程管理表单'!$58:$58,24+(COLUMN(A9)-1)*3)</f>
        <v>13867.9245283019</v>
      </c>
      <c r="D12" cm="1">
        <f t="array" ref="D12">INDEX('2 过程管理表单'!$58:$58,24+(COLUMN(B9)-1)*3)</f>
        <v>13867.9245283019</v>
      </c>
      <c r="E12" cm="1">
        <f t="array" ref="E12">INDEX('2 过程管理表单'!$58:$58,24+(COLUMN(C9)-1)*3)</f>
        <v>13867.9245283019</v>
      </c>
      <c r="F12" cm="1">
        <f t="array" ref="F12">INDEX('2 过程管理表单'!$58:$58,24+(COLUMN(D9)-1)*3)</f>
        <v>13867.9245283019</v>
      </c>
      <c r="G12" cm="1">
        <f t="array" ref="G12">INDEX('2 过程管理表单'!$58:$58,24+(COLUMN(E9)-1)*3)</f>
        <v>13867.9245283019</v>
      </c>
      <c r="H12" cm="1">
        <f t="array" ref="H12">INDEX('2 过程管理表单'!$58:$58,24+(COLUMN(F9)-1)*3)</f>
        <v>13867.9245283019</v>
      </c>
      <c r="I12" cm="1">
        <f t="array" ref="I12">INDEX('2 过程管理表单'!$58:$58,24+(COLUMN(G9)-1)*3)</f>
        <v>13867.9245283019</v>
      </c>
      <c r="J12" cm="1">
        <f t="array" ref="J12">INDEX('2 过程管理表单'!$58:$58,24+(COLUMN(H9)-1)*3)</f>
        <v>13867.9245283019</v>
      </c>
      <c r="K12" cm="1">
        <f t="array" ref="K12">INDEX('2 过程管理表单'!$58:$58,24+(COLUMN(I9)-1)*3)</f>
        <v>13867.9245283019</v>
      </c>
      <c r="L12" cm="1">
        <f t="array" ref="L12">INDEX('2 过程管理表单'!$58:$58,24+(COLUMN(J9)-1)*3)</f>
        <v>13867.9245283019</v>
      </c>
      <c r="M12" cm="1">
        <f t="array" ref="M12">INDEX('2 过程管理表单'!$58:$58,24+(COLUMN(K9)-1)*3)</f>
        <v>13867.9245283019</v>
      </c>
      <c r="N12" cm="1">
        <f t="array" ref="N12">INDEX('2 过程管理表单'!$58:$58,24+(COLUMN(L9)-1)*3)</f>
        <v>13867.9245283019</v>
      </c>
    </row>
    <row r="13" spans="1:14">
      <c r="A13" t="s">
        <v>14</v>
      </c>
      <c r="B13" t="s">
        <v>4228</v>
      </c>
      <c r="C13">
        <f>C12</f>
        <v>13867.9245283019</v>
      </c>
      <c r="D13">
        <f>C13+D12</f>
        <v>27735.8490566038</v>
      </c>
      <c r="E13">
        <f t="shared" ref="E13:N13" si="5">D13+E12</f>
        <v>41603.7735849057</v>
      </c>
      <c r="F13">
        <f t="shared" si="5"/>
        <v>55471.6981132076</v>
      </c>
      <c r="G13">
        <f t="shared" si="5"/>
        <v>69339.6226415095</v>
      </c>
      <c r="H13">
        <f t="shared" si="5"/>
        <v>83207.5471698114</v>
      </c>
      <c r="I13">
        <f t="shared" si="5"/>
        <v>97075.4716981133</v>
      </c>
      <c r="J13">
        <f t="shared" si="5"/>
        <v>110943.396226415</v>
      </c>
      <c r="K13">
        <f t="shared" si="5"/>
        <v>124811.320754717</v>
      </c>
      <c r="L13">
        <f t="shared" si="5"/>
        <v>138679.245283019</v>
      </c>
      <c r="M13">
        <f t="shared" si="5"/>
        <v>152547.169811321</v>
      </c>
      <c r="N13">
        <f t="shared" si="5"/>
        <v>166415.094339623</v>
      </c>
    </row>
    <row r="14" spans="1:14">
      <c r="A14" t="s">
        <v>938</v>
      </c>
      <c r="B14" t="s">
        <v>4225</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4226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4227</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4228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4225</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4226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4227</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4228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4225</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4226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4227</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4228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4225</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4226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4227</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4228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4225</v>
      </c>
      <c r="C30" cm="1">
        <f t="array" ref="C30">INDEX('2 过程管理表单'!$127:$127,26+(COLUMN(A17)-1)*3)</f>
        <v>4790.13698630137</v>
      </c>
      <c r="D30" cm="1">
        <f t="array" ref="D30">INDEX('2 过程管理表单'!$127:$127,26+(COLUMN(B17)-1)*3)</f>
        <v>4326.57534246575</v>
      </c>
      <c r="E30" cm="1">
        <f t="array" ref="E30">INDEX('2 过程管理表单'!$127:$127,26+(COLUMN(C17)-1)*3)</f>
        <v>4790.13698630137</v>
      </c>
      <c r="F30" cm="1">
        <f t="array" ref="F30">INDEX('2 过程管理表单'!$127:$127,26+(COLUMN(D17)-1)*3)</f>
        <v>4635.61643835616</v>
      </c>
      <c r="G30" cm="1">
        <f t="array" ref="G30">INDEX('2 过程管理表单'!$127:$127,26+(COLUMN(E17)-1)*3)</f>
        <v>4790.13698630137</v>
      </c>
      <c r="H30" cm="1">
        <f t="array" ref="H30">INDEX('2 过程管理表单'!$127:$127,26+(COLUMN(F17)-1)*3)</f>
        <v>4635.61643835616</v>
      </c>
      <c r="I30" cm="1">
        <f t="array" ref="I30">INDEX('2 过程管理表单'!$127:$127,26+(COLUMN(G17)-1)*3)</f>
        <v>4790.13698630137</v>
      </c>
      <c r="J30" cm="1">
        <f t="array" ref="J30">INDEX('2 过程管理表单'!$127:$127,26+(COLUMN(H17)-1)*3)</f>
        <v>4790.13698630137</v>
      </c>
      <c r="K30" cm="1">
        <f t="array" ref="K30">INDEX('2 过程管理表单'!$127:$127,26+(COLUMN(I17)-1)*3)</f>
        <v>4635.61643835616</v>
      </c>
      <c r="L30" cm="1">
        <f t="array" ref="L30">INDEX('2 过程管理表单'!$127:$127,26+(COLUMN(J17)-1)*3)</f>
        <v>4790.13698630137</v>
      </c>
      <c r="M30" cm="1">
        <f t="array" ref="M30">INDEX('2 过程管理表单'!$127:$127,26+(COLUMN(K17)-1)*3)</f>
        <v>0</v>
      </c>
      <c r="N30" cm="1">
        <f t="array" ref="N30">INDEX('2 过程管理表单'!$127:$127,26+(COLUMN(L17)-1)*3)</f>
        <v>0</v>
      </c>
    </row>
    <row r="31" spans="1:14">
      <c r="A31" t="s">
        <v>22</v>
      </c>
      <c r="B31" t="s">
        <v>4226</v>
      </c>
      <c r="C31">
        <f>C30</f>
        <v>4790.13698630137</v>
      </c>
      <c r="D31">
        <f>C31+D30</f>
        <v>9116.71232876712</v>
      </c>
      <c r="E31">
        <f t="shared" ref="E31:N31" si="14">D31+E30</f>
        <v>13906.8493150685</v>
      </c>
      <c r="F31">
        <f t="shared" si="14"/>
        <v>18542.4657534247</v>
      </c>
      <c r="G31">
        <f t="shared" si="14"/>
        <v>23332.602739726</v>
      </c>
      <c r="H31">
        <f t="shared" si="14"/>
        <v>27968.2191780822</v>
      </c>
      <c r="I31">
        <f t="shared" si="14"/>
        <v>32758.3561643835</v>
      </c>
      <c r="J31">
        <f t="shared" si="14"/>
        <v>37548.4931506849</v>
      </c>
      <c r="K31">
        <f t="shared" si="14"/>
        <v>42184.1095890411</v>
      </c>
      <c r="L31">
        <f t="shared" si="14"/>
        <v>46974.2465753424</v>
      </c>
      <c r="M31">
        <f t="shared" si="14"/>
        <v>46974.2465753424</v>
      </c>
      <c r="N31">
        <f t="shared" si="14"/>
        <v>46974.2465753424</v>
      </c>
    </row>
    <row r="32" spans="1:14">
      <c r="A32" t="s">
        <v>22</v>
      </c>
      <c r="B32" t="s">
        <v>4227</v>
      </c>
      <c r="C32" cm="1">
        <f t="array" ref="C32">INDEX('2 过程管理表单'!$127:$127,24+(COLUMN(A29)-1)*3)</f>
        <v>4433.96226415094</v>
      </c>
      <c r="D32" cm="1">
        <f t="array" ref="D32">INDEX('2 过程管理表单'!$127:$127,24+(COLUMN(B29)-1)*3)</f>
        <v>4433.96226415094</v>
      </c>
      <c r="E32" cm="1">
        <f t="array" ref="E32">INDEX('2 过程管理表单'!$127:$127,24+(COLUMN(C29)-1)*3)</f>
        <v>4433.96226415094</v>
      </c>
      <c r="F32" cm="1">
        <f t="array" ref="F32">INDEX('2 过程管理表单'!$127:$127,24+(COLUMN(D29)-1)*3)</f>
        <v>4433.96226415094</v>
      </c>
      <c r="G32" cm="1">
        <f t="array" ref="G32">INDEX('2 过程管理表单'!$127:$127,24+(COLUMN(E29)-1)*3)</f>
        <v>4433.96226415094</v>
      </c>
      <c r="H32" cm="1">
        <f t="array" ref="H32">INDEX('2 过程管理表单'!$127:$127,24+(COLUMN(F29)-1)*3)</f>
        <v>4433.96226415094</v>
      </c>
      <c r="I32" cm="1">
        <f t="array" ref="I32">INDEX('2 过程管理表单'!$127:$127,24+(COLUMN(G29)-1)*3)</f>
        <v>4433.96226415094</v>
      </c>
      <c r="J32" cm="1">
        <f t="array" ref="J32">INDEX('2 过程管理表单'!$127:$127,24+(COLUMN(H29)-1)*3)</f>
        <v>4433.96226415094</v>
      </c>
      <c r="K32" cm="1">
        <f t="array" ref="K32">INDEX('2 过程管理表单'!$127:$127,24+(COLUMN(I29)-1)*3)</f>
        <v>4433.96226415094</v>
      </c>
      <c r="L32" cm="1">
        <f t="array" ref="L32">INDEX('2 过程管理表单'!$127:$127,24+(COLUMN(J29)-1)*3)</f>
        <v>4433.96226415094</v>
      </c>
      <c r="M32" cm="1">
        <f t="array" ref="M32">INDEX('2 过程管理表单'!$127:$127,24+(COLUMN(K29)-1)*3)</f>
        <v>4433.96226415094</v>
      </c>
      <c r="N32" cm="1">
        <f t="array" ref="N32">INDEX('2 过程管理表单'!$127:$127,24+(COLUMN(L29)-1)*3)</f>
        <v>4433.96226415094</v>
      </c>
    </row>
    <row r="33" spans="1:14">
      <c r="A33" t="s">
        <v>22</v>
      </c>
      <c r="B33" t="s">
        <v>4228</v>
      </c>
      <c r="C33">
        <f>C32</f>
        <v>4433.96226415094</v>
      </c>
      <c r="D33">
        <f>C33+D32</f>
        <v>8867.92452830188</v>
      </c>
      <c r="E33">
        <f t="shared" ref="E33:N33" si="15">D33+E32</f>
        <v>13301.8867924528</v>
      </c>
      <c r="F33">
        <f t="shared" si="15"/>
        <v>17735.8490566038</v>
      </c>
      <c r="G33">
        <f t="shared" si="15"/>
        <v>22169.8113207547</v>
      </c>
      <c r="H33">
        <f t="shared" si="15"/>
        <v>26603.7735849056</v>
      </c>
      <c r="I33">
        <f t="shared" si="15"/>
        <v>31037.7358490566</v>
      </c>
      <c r="J33">
        <f t="shared" si="15"/>
        <v>35471.6981132075</v>
      </c>
      <c r="K33">
        <f t="shared" si="15"/>
        <v>39905.6603773585</v>
      </c>
      <c r="L33">
        <f t="shared" si="15"/>
        <v>44339.6226415094</v>
      </c>
      <c r="M33">
        <f t="shared" si="15"/>
        <v>48773.5849056603</v>
      </c>
      <c r="N33">
        <f t="shared" si="15"/>
        <v>53207.5471698113</v>
      </c>
    </row>
    <row r="34" spans="1:14">
      <c r="A34" t="s">
        <v>24</v>
      </c>
      <c r="B34" t="s">
        <v>4225</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4226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4227</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4228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4225</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4226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4227</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4228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4225</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4226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4227</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4228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4276</v>
      </c>
      <c r="C46">
        <f>C2+C6+C10+C14+C18+C22+C26+C30+C34+C38+C42</f>
        <v>19772.0547945206</v>
      </c>
      <c r="D46">
        <f t="shared" ref="D46:N46" si="22">D2+D6+D10+D14+D18+D22+D26+D30+D34+D38+D42</f>
        <v>17858.6301369862</v>
      </c>
      <c r="E46">
        <f t="shared" si="22"/>
        <v>19772.0547945206</v>
      </c>
      <c r="F46">
        <f t="shared" si="22"/>
        <v>19134.2465753425</v>
      </c>
      <c r="G46">
        <f t="shared" si="22"/>
        <v>19772.0547945206</v>
      </c>
      <c r="H46">
        <f t="shared" si="22"/>
        <v>19134.2465753425</v>
      </c>
      <c r="I46">
        <f t="shared" si="22"/>
        <v>19772.0547945206</v>
      </c>
      <c r="J46">
        <f t="shared" si="22"/>
        <v>19772.0547945206</v>
      </c>
      <c r="K46">
        <f t="shared" si="22"/>
        <v>19134.2465753425</v>
      </c>
      <c r="L46">
        <f t="shared" si="22"/>
        <v>19772.0547945206</v>
      </c>
      <c r="M46">
        <f t="shared" si="22"/>
        <v>0</v>
      </c>
      <c r="N46">
        <f t="shared" si="22"/>
        <v>0</v>
      </c>
    </row>
    <row r="47" spans="2:14">
      <c r="B47" t="s">
        <v>4277</v>
      </c>
      <c r="C47">
        <f>C46</f>
        <v>19772.0547945206</v>
      </c>
      <c r="D47">
        <f>C47+D46</f>
        <v>37630.6849315068</v>
      </c>
      <c r="E47">
        <f t="shared" ref="E47:N47" si="23">D47+E46</f>
        <v>57402.7397260274</v>
      </c>
      <c r="F47">
        <f t="shared" si="23"/>
        <v>76536.9863013698</v>
      </c>
      <c r="G47">
        <f t="shared" si="23"/>
        <v>96309.0410958904</v>
      </c>
      <c r="H47">
        <f t="shared" si="23"/>
        <v>115443.287671233</v>
      </c>
      <c r="I47">
        <f t="shared" si="23"/>
        <v>135215.342465753</v>
      </c>
      <c r="J47">
        <f t="shared" si="23"/>
        <v>154987.397260274</v>
      </c>
      <c r="K47">
        <f t="shared" si="23"/>
        <v>174121.643835617</v>
      </c>
      <c r="L47">
        <f t="shared" si="23"/>
        <v>193893.698630137</v>
      </c>
      <c r="M47">
        <f t="shared" si="23"/>
        <v>193893.698630137</v>
      </c>
      <c r="N47">
        <f t="shared" si="23"/>
        <v>193893.698630137</v>
      </c>
    </row>
    <row r="48" spans="2:14">
      <c r="B48" t="s">
        <v>4278</v>
      </c>
      <c r="C48">
        <f>C4+C8+C12+C16+C20+C24+C28+C32+C36+C40+C44</f>
        <v>18301.8867924528</v>
      </c>
      <c r="D48">
        <f t="shared" ref="D48:N48" si="24">D4+D8+D12+D16+D20+D24+D28+D32+D36+D40+D44</f>
        <v>18301.8867924528</v>
      </c>
      <c r="E48">
        <f t="shared" si="24"/>
        <v>18301.8867924528</v>
      </c>
      <c r="F48">
        <f t="shared" si="24"/>
        <v>18301.8867924528</v>
      </c>
      <c r="G48">
        <f t="shared" si="24"/>
        <v>18301.8867924528</v>
      </c>
      <c r="H48">
        <f t="shared" si="24"/>
        <v>18301.8867924528</v>
      </c>
      <c r="I48">
        <f t="shared" si="24"/>
        <v>18301.8867924528</v>
      </c>
      <c r="J48">
        <f t="shared" si="24"/>
        <v>18301.8867924528</v>
      </c>
      <c r="K48">
        <f t="shared" si="24"/>
        <v>18301.8867924528</v>
      </c>
      <c r="L48">
        <f t="shared" si="24"/>
        <v>18301.8867924528</v>
      </c>
      <c r="M48">
        <f t="shared" si="24"/>
        <v>18301.8867924528</v>
      </c>
      <c r="N48">
        <f t="shared" si="24"/>
        <v>18301.8867924528</v>
      </c>
    </row>
    <row r="49" spans="2:14">
      <c r="B49" t="s">
        <v>4279</v>
      </c>
      <c r="C49">
        <f>C48</f>
        <v>18301.8867924528</v>
      </c>
      <c r="D49">
        <f>C49+D48</f>
        <v>36603.7735849057</v>
      </c>
      <c r="E49">
        <f t="shared" ref="E49:N49" si="25">D49+E48</f>
        <v>54905.6603773585</v>
      </c>
      <c r="F49">
        <f t="shared" si="25"/>
        <v>73207.5471698114</v>
      </c>
      <c r="G49">
        <f t="shared" si="25"/>
        <v>91509.4339622642</v>
      </c>
      <c r="H49">
        <f t="shared" si="25"/>
        <v>109811.320754717</v>
      </c>
      <c r="I49">
        <f t="shared" si="25"/>
        <v>128113.20754717</v>
      </c>
      <c r="J49">
        <f t="shared" si="25"/>
        <v>146415.094339623</v>
      </c>
      <c r="K49">
        <f t="shared" si="25"/>
        <v>164716.981132076</v>
      </c>
      <c r="L49">
        <f t="shared" si="25"/>
        <v>183018.867924528</v>
      </c>
      <c r="M49">
        <f t="shared" si="25"/>
        <v>201320.754716981</v>
      </c>
      <c r="N49">
        <f t="shared" si="25"/>
        <v>219622.641509434</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3236</v>
      </c>
      <c r="C1" s="1" t="s">
        <v>4281</v>
      </c>
      <c r="D1" s="1" t="s">
        <v>4282</v>
      </c>
      <c r="E1" s="1" t="s">
        <v>4283</v>
      </c>
      <c r="F1" s="1" t="s">
        <v>4284</v>
      </c>
      <c r="G1" s="1" t="s">
        <v>4285</v>
      </c>
      <c r="H1" s="1" t="s">
        <v>4286</v>
      </c>
      <c r="I1" s="1" t="s">
        <v>4287</v>
      </c>
      <c r="J1" s="1" t="s">
        <v>4288</v>
      </c>
      <c r="K1" s="1" t="s">
        <v>4289</v>
      </c>
      <c r="L1" s="1" t="s">
        <v>4290</v>
      </c>
      <c r="M1" s="1" t="s">
        <v>4291</v>
      </c>
      <c r="N1" s="1" t="s">
        <v>4292</v>
      </c>
    </row>
    <row r="2" spans="1:14">
      <c r="A2" t="s">
        <v>218</v>
      </c>
      <c r="B2" t="s">
        <v>4225</v>
      </c>
      <c r="C2">
        <f>INDEX('2 过程管理表单'!$6:$6,26+(COLUMN(A$1)-1)*3)</f>
        <v>19772.0547945206</v>
      </c>
      <c r="D2">
        <f>INDEX('2 过程管理表单'!$6:$6,26+(COLUMN(B$1)-1)*3)</f>
        <v>17858.6301369863</v>
      </c>
      <c r="E2">
        <f>INDEX('2 过程管理表单'!$6:$6,26+(COLUMN(C$1)-1)*3)</f>
        <v>19772.0547945206</v>
      </c>
      <c r="F2">
        <f>INDEX('2 过程管理表单'!$6:$6,26+(COLUMN(D$1)-1)*3)</f>
        <v>19134.2465753425</v>
      </c>
      <c r="G2">
        <f>INDEX('2 过程管理表单'!$6:$6,26+(COLUMN(E$1)-1)*3)</f>
        <v>19772.0547945206</v>
      </c>
      <c r="H2">
        <f>INDEX('2 过程管理表单'!$6:$6,26+(COLUMN(F$1)-1)*3)</f>
        <v>19134.2465753425</v>
      </c>
      <c r="I2">
        <f>INDEX('2 过程管理表单'!$6:$6,26+(COLUMN(G$1)-1)*3)</f>
        <v>19772.0547945206</v>
      </c>
      <c r="J2">
        <f>INDEX('2 过程管理表单'!$6:$6,26+(COLUMN(H$1)-1)*3)</f>
        <v>19772.0547945206</v>
      </c>
      <c r="K2">
        <f>INDEX('2 过程管理表单'!$6:$6,26+(COLUMN(I$1)-1)*3)</f>
        <v>19134.2465753425</v>
      </c>
      <c r="L2">
        <f>INDEX('2 过程管理表单'!$6:$6,26+(COLUMN(J$1)-1)*3)</f>
        <v>19772.0547945206</v>
      </c>
      <c r="M2">
        <f>INDEX('2 过程管理表单'!$6:$6,26+(COLUMN(K$1)-1)*3)</f>
        <v>0</v>
      </c>
      <c r="N2">
        <f>INDEX('2 过程管理表单'!$6:$6,26+(COLUMN(L$1)-1)*3)</f>
        <v>0</v>
      </c>
    </row>
    <row r="3" spans="1:14">
      <c r="A3" t="s">
        <v>218</v>
      </c>
      <c r="B3" t="s">
        <v>4226</v>
      </c>
      <c r="C3">
        <f>C2</f>
        <v>19772.0547945206</v>
      </c>
      <c r="D3">
        <f>C3+D2</f>
        <v>37630.6849315069</v>
      </c>
      <c r="E3">
        <f t="shared" ref="E3:N3" si="0">D3+E2</f>
        <v>57402.7397260275</v>
      </c>
      <c r="F3">
        <f t="shared" si="0"/>
        <v>76536.98630137</v>
      </c>
      <c r="G3">
        <f t="shared" si="0"/>
        <v>96309.0410958906</v>
      </c>
      <c r="H3">
        <f t="shared" si="0"/>
        <v>115443.287671233</v>
      </c>
      <c r="I3">
        <f t="shared" si="0"/>
        <v>135215.342465754</v>
      </c>
      <c r="J3">
        <f t="shared" si="0"/>
        <v>154987.397260274</v>
      </c>
      <c r="K3">
        <f t="shared" si="0"/>
        <v>174121.643835617</v>
      </c>
      <c r="L3">
        <f t="shared" si="0"/>
        <v>193893.698630137</v>
      </c>
      <c r="M3">
        <f t="shared" si="0"/>
        <v>193893.698630137</v>
      </c>
      <c r="N3">
        <f t="shared" si="0"/>
        <v>193893.698630137</v>
      </c>
    </row>
    <row r="4" spans="1:14">
      <c r="A4" t="s">
        <v>218</v>
      </c>
      <c r="B4" t="s">
        <v>4227</v>
      </c>
      <c r="C4">
        <f>INDEX('2 过程管理表单'!$6:$6,24+(COLUMN(A$1)-1)*3)</f>
        <v>28244.5267924528</v>
      </c>
      <c r="D4">
        <f>INDEX('2 过程管理表单'!$6:$6,24+(COLUMN(B$1)-1)*3)</f>
        <v>26925.9467924528</v>
      </c>
      <c r="E4">
        <f>INDEX('2 过程管理表单'!$6:$6,24+(COLUMN(C$1)-1)*3)</f>
        <v>26925.9467924528</v>
      </c>
      <c r="F4">
        <f>INDEX('2 过程管理表单'!$6:$6,24+(COLUMN(D$1)-1)*3)</f>
        <v>26925.9467924528</v>
      </c>
      <c r="G4">
        <f>INDEX('2 过程管理表单'!$6:$6,24+(COLUMN(E$1)-1)*3)</f>
        <v>26925.9467924528</v>
      </c>
      <c r="H4">
        <f>INDEX('2 过程管理表单'!$6:$6,24+(COLUMN(F$1)-1)*3)</f>
        <v>26925.9467924528</v>
      </c>
      <c r="I4">
        <f>INDEX('2 过程管理表单'!$6:$6,24+(COLUMN(G$1)-1)*3)</f>
        <v>26925.9467924528</v>
      </c>
      <c r="J4">
        <f>INDEX('2 过程管理表单'!$6:$6,24+(COLUMN(H$1)-1)*3)</f>
        <v>26925.9467924528</v>
      </c>
      <c r="K4">
        <f>INDEX('2 过程管理表单'!$6:$6,24+(COLUMN(I$1)-1)*3)</f>
        <v>26925.9467924528</v>
      </c>
      <c r="L4">
        <f>INDEX('2 过程管理表单'!$6:$6,24+(COLUMN(J$1)-1)*3)</f>
        <v>26925.9467924528</v>
      </c>
      <c r="M4">
        <f>INDEX('2 过程管理表单'!$6:$6,24+(COLUMN(K$1)-1)*3)</f>
        <v>26925.9467924528</v>
      </c>
      <c r="N4">
        <f>INDEX('2 过程管理表单'!$6:$6,24+(COLUMN(L$1)-1)*3)</f>
        <v>26925.9467924528</v>
      </c>
    </row>
    <row r="5" spans="1:14">
      <c r="A5" t="s">
        <v>218</v>
      </c>
      <c r="B5" t="s">
        <v>4228</v>
      </c>
      <c r="C5">
        <f>C4</f>
        <v>28244.5267924528</v>
      </c>
      <c r="D5">
        <f>C5+D4</f>
        <v>55170.4735849056</v>
      </c>
      <c r="E5">
        <f t="shared" ref="E5:N5" si="1">D5+E4</f>
        <v>82096.4203773584</v>
      </c>
      <c r="F5">
        <f t="shared" si="1"/>
        <v>109022.367169811</v>
      </c>
      <c r="G5">
        <f t="shared" si="1"/>
        <v>135948.313962264</v>
      </c>
      <c r="H5">
        <f t="shared" si="1"/>
        <v>162874.260754717</v>
      </c>
      <c r="I5">
        <f t="shared" si="1"/>
        <v>189800.20754717</v>
      </c>
      <c r="J5">
        <f t="shared" si="1"/>
        <v>216726.154339622</v>
      </c>
      <c r="K5">
        <f t="shared" si="1"/>
        <v>243652.101132075</v>
      </c>
      <c r="L5">
        <f t="shared" si="1"/>
        <v>270578.047924528</v>
      </c>
      <c r="M5">
        <f t="shared" si="1"/>
        <v>297503.994716981</v>
      </c>
      <c r="N5">
        <f t="shared" si="1"/>
        <v>324429.941509434</v>
      </c>
    </row>
    <row r="6" spans="1:14">
      <c r="A6" t="s">
        <v>220</v>
      </c>
      <c r="B6" t="s">
        <v>4225</v>
      </c>
      <c r="C6">
        <f>INDEX('2 过程管理表单'!$177:$177,26+(COLUMN(A$1)-1)*3)</f>
        <v>0</v>
      </c>
      <c r="D6">
        <f>INDEX('2 过程管理表单'!$177:$177,26+(COLUMN(B$1)-1)*3)</f>
        <v>0</v>
      </c>
      <c r="E6">
        <f>INDEX('2 过程管理表单'!$177:$177,26+(COLUMN(C$1)-1)*3)</f>
        <v>1369.84944797591</v>
      </c>
      <c r="F6">
        <f>INDEX('2 过程管理表单'!$177:$177,26+(COLUMN(D$1)-1)*3)</f>
        <v>2204.08101876989</v>
      </c>
      <c r="G6">
        <f>INDEX('2 过程管理表单'!$177:$177,26+(COLUMN(E$1)-1)*3)</f>
        <v>3518.21342546184</v>
      </c>
      <c r="H6">
        <f>INDEX('2 过程管理表单'!$177:$177,26+(COLUMN(F$1)-1)*3)</f>
        <v>3404.72266980178</v>
      </c>
      <c r="I6">
        <f>INDEX('2 过程管理表单'!$177:$177,26+(COLUMN(G$1)-1)*3)</f>
        <v>2705.09867136348</v>
      </c>
      <c r="J6">
        <f>INDEX('2 过程管理表单'!$177:$177,26+(COLUMN(H$1)-1)*3)</f>
        <v>2705.09867136348</v>
      </c>
      <c r="K6">
        <f>INDEX('2 过程管理表单'!$177:$177,26+(COLUMN(I$1)-1)*3)</f>
        <v>2617.83742390014</v>
      </c>
      <c r="L6">
        <f>INDEX('2 过程管理表单'!$177:$177,26+(COLUMN(J$1)-1)*3)</f>
        <v>2705.09867136348</v>
      </c>
      <c r="M6">
        <f>INDEX('2 过程管理表单'!$177:$177,26+(COLUMN(K$1)-1)*3)</f>
        <v>0</v>
      </c>
      <c r="N6">
        <f>INDEX('2 过程管理表单'!$177:$177,26+(COLUMN(L$1)-1)*3)</f>
        <v>0</v>
      </c>
    </row>
    <row r="7" spans="1:14">
      <c r="A7" t="s">
        <v>220</v>
      </c>
      <c r="B7" t="s">
        <v>4226</v>
      </c>
      <c r="C7">
        <f>C6</f>
        <v>0</v>
      </c>
      <c r="D7">
        <f>C7+D6</f>
        <v>0</v>
      </c>
      <c r="E7">
        <f t="shared" ref="E7:N7" si="2">D7+E6</f>
        <v>1369.84944797591</v>
      </c>
      <c r="F7">
        <f t="shared" si="2"/>
        <v>3573.9304667458</v>
      </c>
      <c r="G7">
        <f t="shared" si="2"/>
        <v>7092.14389220764</v>
      </c>
      <c r="H7">
        <f t="shared" si="2"/>
        <v>10496.8665620094</v>
      </c>
      <c r="I7">
        <f t="shared" si="2"/>
        <v>13201.9652333729</v>
      </c>
      <c r="J7">
        <f t="shared" si="2"/>
        <v>15907.0639047364</v>
      </c>
      <c r="K7">
        <f t="shared" si="2"/>
        <v>18524.9013286365</v>
      </c>
      <c r="L7">
        <f t="shared" si="2"/>
        <v>21230</v>
      </c>
      <c r="M7">
        <f t="shared" si="2"/>
        <v>21230</v>
      </c>
      <c r="N7">
        <f t="shared" si="2"/>
        <v>21230</v>
      </c>
    </row>
    <row r="8" spans="1:14">
      <c r="A8" t="s">
        <v>220</v>
      </c>
      <c r="B8" t="s">
        <v>4227</v>
      </c>
      <c r="C8">
        <f>INDEX('2 过程管理表单'!$177:$177,24+(COLUMN(A$1)-1)*3)</f>
        <v>4716.98113207547</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4228</v>
      </c>
      <c r="C9">
        <f>C8</f>
        <v>4716.98113207547</v>
      </c>
      <c r="D9">
        <f>C9+D8</f>
        <v>4716.98113207547</v>
      </c>
      <c r="E9">
        <f t="shared" ref="E9:N9" si="3">D9+E8</f>
        <v>4716.98113207547</v>
      </c>
      <c r="F9">
        <f t="shared" si="3"/>
        <v>4716.98113207547</v>
      </c>
      <c r="G9">
        <f t="shared" si="3"/>
        <v>4716.98113207547</v>
      </c>
      <c r="H9">
        <f t="shared" si="3"/>
        <v>4716.98113207547</v>
      </c>
      <c r="I9">
        <f t="shared" si="3"/>
        <v>4716.98113207547</v>
      </c>
      <c r="J9">
        <f t="shared" si="3"/>
        <v>4716.98113207547</v>
      </c>
      <c r="K9">
        <f t="shared" si="3"/>
        <v>4716.98113207547</v>
      </c>
      <c r="L9">
        <f t="shared" si="3"/>
        <v>4716.98113207547</v>
      </c>
      <c r="M9">
        <f t="shared" si="3"/>
        <v>4716.98113207547</v>
      </c>
      <c r="N9">
        <f t="shared" si="3"/>
        <v>4716.98113207547</v>
      </c>
    </row>
    <row r="10" spans="1:14">
      <c r="A10" t="s">
        <v>222</v>
      </c>
      <c r="B10" t="s">
        <v>4225</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4226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4227</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4228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4225</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4226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4227</v>
      </c>
      <c r="C16">
        <f>INDEX('2 过程管理表单'!$509:$509,24+(COLUMN(A$1)-1)*3)</f>
        <v>42000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4228</v>
      </c>
      <c r="C17">
        <f>C16</f>
        <v>42000</v>
      </c>
      <c r="D17">
        <f>C17+D16</f>
        <v>42000</v>
      </c>
      <c r="E17">
        <f t="shared" ref="E17:N17" si="7">D17+E16</f>
        <v>42000</v>
      </c>
      <c r="F17">
        <f t="shared" si="7"/>
        <v>42000</v>
      </c>
      <c r="G17">
        <f t="shared" si="7"/>
        <v>42000</v>
      </c>
      <c r="H17">
        <f t="shared" si="7"/>
        <v>42000</v>
      </c>
      <c r="I17">
        <f t="shared" si="7"/>
        <v>42000</v>
      </c>
      <c r="J17">
        <f t="shared" si="7"/>
        <v>42000</v>
      </c>
      <c r="K17">
        <f t="shared" si="7"/>
        <v>42000</v>
      </c>
      <c r="L17">
        <f t="shared" si="7"/>
        <v>42000</v>
      </c>
      <c r="M17">
        <f t="shared" si="7"/>
        <v>42000</v>
      </c>
      <c r="N17">
        <f t="shared" si="7"/>
        <v>42000</v>
      </c>
    </row>
    <row r="18" spans="1:14">
      <c r="A18" t="s">
        <v>1764</v>
      </c>
      <c r="B18" t="s">
        <v>4225</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4226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4227</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4228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4225</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4226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4227</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4228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4225</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4226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4227</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4228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4225</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4226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4227</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4228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4225</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4226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4227</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4228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4225</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4226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4227</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4228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4225</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4226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4227</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4228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4225</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4226</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4227</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4228</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4225</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4226</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4227</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4228</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4225</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4226</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4227</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4228</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4225</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4226</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4227</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4228</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4225</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4226</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4227</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4228</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4225</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4226</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4227</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4228</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4225</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4226</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4227</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4228</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4225</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4226</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4227</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4228</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4225</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4226</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4227</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4228</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4225</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4226</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4227</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4228</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4225</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4226</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4227</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4228</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4225</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4226</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4227</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4228</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4225</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4226</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4227</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4228</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4225</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4226</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4227</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4228</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4225</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4226</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4227</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4228</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4225</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4226</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4227</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4228</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4225</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4226</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4227</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4228</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4225</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4226</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4227</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4228</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4225</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4226</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4227</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4228</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4225</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4226</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4227</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4228</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4225</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4226</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4227</v>
      </c>
      <c r="C128">
        <f>INDEX('2 过程管理表单'!$614:$614,24+(COLUMN(A$1)-1)*3)</f>
        <v>400</v>
      </c>
      <c r="D128">
        <f>INDEX('2 过程管理表单'!$614:$614,24+(COLUMN(B$1)-1)*3)</f>
        <v>400</v>
      </c>
      <c r="E128">
        <f>INDEX('2 过程管理表单'!$614:$614,24+(COLUMN(C$1)-1)*3)</f>
        <v>400</v>
      </c>
      <c r="F128">
        <f>INDEX('2 过程管理表单'!$614:$614,24+(COLUMN(D$1)-1)*3)</f>
        <v>400</v>
      </c>
      <c r="G128">
        <f>INDEX('2 过程管理表单'!$614:$614,24+(COLUMN(E$1)-1)*3)</f>
        <v>400</v>
      </c>
      <c r="H128">
        <f>INDEX('2 过程管理表单'!$614:$614,24+(COLUMN(F$1)-1)*3)</f>
        <v>400</v>
      </c>
      <c r="I128">
        <f>INDEX('2 过程管理表单'!$614:$614,24+(COLUMN(G$1)-1)*3)</f>
        <v>400</v>
      </c>
      <c r="J128">
        <f>INDEX('2 过程管理表单'!$614:$614,24+(COLUMN(H$1)-1)*3)</f>
        <v>400</v>
      </c>
      <c r="K128">
        <f>INDEX('2 过程管理表单'!$614:$614,24+(COLUMN(I$1)-1)*3)</f>
        <v>400</v>
      </c>
      <c r="L128">
        <f>INDEX('2 过程管理表单'!$614:$614,24+(COLUMN(J$1)-1)*3)</f>
        <v>400</v>
      </c>
      <c r="M128">
        <f>INDEX('2 过程管理表单'!$614:$614,24+(COLUMN(K$1)-1)*3)</f>
        <v>400</v>
      </c>
      <c r="N128">
        <f>INDEX('2 过程管理表单'!$614:$614,24+(COLUMN(L$1)-1)*3)</f>
        <v>400</v>
      </c>
    </row>
    <row r="129" spans="1:14">
      <c r="A129" t="s">
        <v>157</v>
      </c>
      <c r="B129" t="s">
        <v>4228</v>
      </c>
      <c r="C129">
        <f>C128</f>
        <v>400</v>
      </c>
      <c r="D129">
        <f>C129+D128</f>
        <v>800</v>
      </c>
      <c r="E129">
        <f t="shared" ref="E129:N129" si="63">D129+E128</f>
        <v>1200</v>
      </c>
      <c r="F129">
        <f t="shared" si="63"/>
        <v>1600</v>
      </c>
      <c r="G129">
        <f t="shared" si="63"/>
        <v>2000</v>
      </c>
      <c r="H129">
        <f t="shared" si="63"/>
        <v>2400</v>
      </c>
      <c r="I129">
        <f t="shared" si="63"/>
        <v>2800</v>
      </c>
      <c r="J129">
        <f t="shared" si="63"/>
        <v>3200</v>
      </c>
      <c r="K129">
        <f t="shared" si="63"/>
        <v>3600</v>
      </c>
      <c r="L129">
        <f t="shared" si="63"/>
        <v>4000</v>
      </c>
      <c r="M129">
        <f t="shared" si="63"/>
        <v>4400</v>
      </c>
      <c r="N129">
        <f t="shared" si="63"/>
        <v>4800</v>
      </c>
    </row>
    <row r="130" spans="1:14">
      <c r="A130" t="s">
        <v>78</v>
      </c>
      <c r="B130" t="s">
        <v>4225</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4226</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4227</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4228</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4225</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4226</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4227</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4228</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4225</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4226</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4227</v>
      </c>
      <c r="C140">
        <f>INDEX('2 过程管理表单'!$618:$618,24+(COLUMN(A$1)-1)*3)</f>
        <v>640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4228</v>
      </c>
      <c r="C141">
        <f>C140</f>
        <v>640</v>
      </c>
      <c r="D141">
        <f>C141+D140</f>
        <v>640</v>
      </c>
      <c r="E141">
        <f t="shared" ref="E141:N141" si="69">D141+E140</f>
        <v>640</v>
      </c>
      <c r="F141">
        <f t="shared" si="69"/>
        <v>640</v>
      </c>
      <c r="G141">
        <f t="shared" si="69"/>
        <v>640</v>
      </c>
      <c r="H141">
        <f t="shared" si="69"/>
        <v>640</v>
      </c>
      <c r="I141">
        <f t="shared" si="69"/>
        <v>640</v>
      </c>
      <c r="J141">
        <f t="shared" si="69"/>
        <v>640</v>
      </c>
      <c r="K141">
        <f t="shared" si="69"/>
        <v>640</v>
      </c>
      <c r="L141">
        <f t="shared" si="69"/>
        <v>640</v>
      </c>
      <c r="M141">
        <f t="shared" si="69"/>
        <v>640</v>
      </c>
      <c r="N141">
        <f t="shared" si="69"/>
        <v>640</v>
      </c>
    </row>
    <row r="142" spans="1:14">
      <c r="A142" t="s">
        <v>2382</v>
      </c>
      <c r="B142" t="s">
        <v>4225</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4226</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4227</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4228</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4225</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4226</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4227</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4228</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4225</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4226</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4227</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4228</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4293</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4294</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4295</v>
      </c>
      <c r="C157">
        <f>IF(C7&gt;C9,1,0)</f>
        <v>0</v>
      </c>
      <c r="D157">
        <f t="shared" ref="D157:N157" si="77">IF(D7&gt;D9,1,0)</f>
        <v>0</v>
      </c>
      <c r="E157">
        <f t="shared" si="77"/>
        <v>0</v>
      </c>
      <c r="F157">
        <f t="shared" si="77"/>
        <v>0</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4296</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4297</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4298</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4299</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4300</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4301</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4302</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4303</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4304</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4305</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4306</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4307</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4308</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4309</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4310</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4311</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4312</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4313</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4314</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4315</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4316</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4317</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4318</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4319</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4320</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4321</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4322</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4323</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4324</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4325</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4326</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4327</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4328</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1</v>
      </c>
      <c r="H194">
        <f t="shared" si="114"/>
        <v>1</v>
      </c>
      <c r="I194">
        <f t="shared" si="114"/>
        <v>1</v>
      </c>
      <c r="J194">
        <f t="shared" si="114"/>
        <v>1</v>
      </c>
      <c r="K194">
        <f t="shared" si="114"/>
        <v>1</v>
      </c>
      <c r="L194">
        <f t="shared" si="114"/>
        <v>1</v>
      </c>
      <c r="M194">
        <f t="shared" si="114"/>
        <v>1</v>
      </c>
      <c r="N194">
        <f t="shared" si="114"/>
        <v>1</v>
      </c>
    </row>
    <row r="195" spans="2:14">
      <c r="B195" t="s">
        <v>4235</v>
      </c>
      <c r="C195">
        <f>C194</f>
        <v>0</v>
      </c>
      <c r="D195">
        <f>C195+D194</f>
        <v>0</v>
      </c>
      <c r="E195">
        <f t="shared" ref="E195:N195" si="115">D195+E194</f>
        <v>0</v>
      </c>
      <c r="F195">
        <f t="shared" si="115"/>
        <v>0</v>
      </c>
      <c r="G195">
        <f t="shared" si="115"/>
        <v>1</v>
      </c>
      <c r="H195">
        <f t="shared" si="115"/>
        <v>2</v>
      </c>
      <c r="I195">
        <f t="shared" si="115"/>
        <v>3</v>
      </c>
      <c r="J195">
        <f t="shared" si="115"/>
        <v>4</v>
      </c>
      <c r="K195">
        <f t="shared" si="115"/>
        <v>5</v>
      </c>
      <c r="L195">
        <f t="shared" si="115"/>
        <v>6</v>
      </c>
      <c r="M195">
        <f t="shared" si="115"/>
        <v>7</v>
      </c>
      <c r="N195">
        <f t="shared" si="115"/>
        <v>8</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2025-08-26T07:30:43Z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95A9F5C897324D2C8F61F29112091137_13</vt:lpwstr>
  </property>
  <property fmtid="{D5CDD505-2E9C-101B-9397-08002B2CF9AE}" pid="3" name="KSOProductBuildVer">
    <vt:lpwstr>2052-12.1.0.21541</vt:lpwstr>
  </property>
  <property fmtid="{D5CDD505-2E9C-101B-9397-08002B2CF9AE}" pid="4" name="KSOReadingLayout">
    <vt:bool>false</vt:bool>
  </property>
</Properties>
</file>